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Ex1.xml" ContentType="application/vnd.ms-office.chartex+xml"/>
  <Override PartName="/xl/charts/style29.xml" ContentType="application/vnd.ms-office.chartstyle+xml"/>
  <Override PartName="/xl/charts/colors29.xml" ContentType="application/vnd.ms-office.chartcolorstyle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8.xml" ContentType="application/vnd.openxmlformats-officedocument.drawing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3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8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49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0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1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9.xml" ContentType="application/vnd.openxmlformats-officedocument.drawing+xml"/>
  <Override PartName="/xl/charts/chart5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20.xml" ContentType="application/vnd.openxmlformats-officedocument.drawingml.chartshapes+xml"/>
  <Override PartName="/xl/charts/chart5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5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22.xml" ContentType="application/vnd.openxmlformats-officedocument.drawingml.chartshapes+xml"/>
  <Override PartName="/xl/charts/chart6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23.xml" ContentType="application/vnd.openxmlformats-officedocument.drawingml.chartshapes+xml"/>
  <Override PartName="/xl/charts/chart6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6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4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5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6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7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8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79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frai\Desktop\thesis backup\"/>
    </mc:Choice>
  </mc:AlternateContent>
  <xr:revisionPtr revIDLastSave="0" documentId="10_ncr:100000_{1C24F294-9F62-4E90-92AE-0CFBEEB6D75A}" xr6:coauthVersionLast="31" xr6:coauthVersionMax="31" xr10:uidLastSave="{00000000-0000-0000-0000-000000000000}"/>
  <bookViews>
    <workbookView xWindow="0" yWindow="0" windowWidth="23040" windowHeight="9050" tabRatio="836" firstSheet="11" activeTab="12" xr2:uid="{00000000-000D-0000-FFFF-FFFF00000000}"/>
  </bookViews>
  <sheets>
    <sheet name="Appendix J" sheetId="4" r:id="rId1"/>
    <sheet name="COSTS" sheetId="13" r:id="rId2"/>
    <sheet name="Waterflood equipment" sheetId="1" r:id="rId3"/>
    <sheet name="Appendix K" sheetId="14" r:id="rId4"/>
    <sheet name="Cashflow plots" sheetId="6" r:id="rId5"/>
    <sheet name="Cashflow plots (2)" sheetId="9" r:id="rId6"/>
    <sheet name="Appendix L" sheetId="15" r:id="rId7"/>
    <sheet name="Appendix M" sheetId="5" r:id="rId8"/>
    <sheet name="Appendix N" sheetId="7" r:id="rId9"/>
    <sheet name="Exergy plots" sheetId="25" r:id="rId10"/>
    <sheet name="Appendix O" sheetId="22" r:id="rId11"/>
    <sheet name="Analytic RO plots " sheetId="26" r:id="rId12"/>
    <sheet name="Appendix P" sheetId="20" r:id="rId13"/>
    <sheet name="Appendix Q" sheetId="27" r:id="rId14"/>
    <sheet name="Appendix R" sheetId="28" r:id="rId15"/>
    <sheet name="Appendix S" sheetId="29" r:id="rId16"/>
    <sheet name="Appendix T" sheetId="30" r:id="rId17"/>
    <sheet name="Appendix T2" sheetId="31" r:id="rId18"/>
    <sheet name="Sheet1" sheetId="32" r:id="rId19"/>
    <sheet name="Real options tester" sheetId="19" state="hidden" r:id="rId20"/>
  </sheets>
  <definedNames>
    <definedName name="_xlchart.v1.0" hidden="1">'Appendix P'!$AA$35:$AA$1034</definedName>
    <definedName name="_xlchart.v1.1" hidden="1">'Appendix P'!$AB$35:$AB$1034</definedName>
    <definedName name="_xlchart.v1.10" hidden="1">'Appendix P'!$AK$35:$AK$1034</definedName>
    <definedName name="_xlchart.v1.11" hidden="1">'Appendix P'!$AL$35:$AL$1034</definedName>
    <definedName name="_xlchart.v1.12" hidden="1">'Appendix P'!$AM$35:$AM$1034</definedName>
    <definedName name="_xlchart.v1.13" hidden="1">'Appendix P'!$AN$35:$AN$1034</definedName>
    <definedName name="_xlchart.v1.14" hidden="1">'Appendix P'!$AO$35:$AO$1034</definedName>
    <definedName name="_xlchart.v1.15" hidden="1">'Appendix P'!$AP$35:$AP$1034</definedName>
    <definedName name="_xlchart.v1.16" hidden="1">'Appendix P'!$AQ$35:$AQ$1034</definedName>
    <definedName name="_xlchart.v1.17" hidden="1">'Appendix P'!$AR$35:$AR$1034</definedName>
    <definedName name="_xlchart.v1.18" hidden="1">'Appendix P'!$Z$35:$Z$1034</definedName>
    <definedName name="_xlchart.v1.2" hidden="1">'Appendix P'!$AC$35:$AC$1034</definedName>
    <definedName name="_xlchart.v1.3" hidden="1">'Appendix P'!$AD$35:$AD$1034</definedName>
    <definedName name="_xlchart.v1.4" hidden="1">'Appendix P'!$AE$35:$AE$1034</definedName>
    <definedName name="_xlchart.v1.5" hidden="1">'Appendix P'!$AF$35:$AF$1034</definedName>
    <definedName name="_xlchart.v1.6" hidden="1">'Appendix P'!$AG$35:$AG$1034</definedName>
    <definedName name="_xlchart.v1.7" hidden="1">'Appendix P'!$AH$35:$AH$1034</definedName>
    <definedName name="_xlchart.v1.8" hidden="1">'Appendix P'!$AI$35:$AI$1034</definedName>
    <definedName name="_xlchart.v1.9" hidden="1">'Appendix P'!$AJ$35:$AJ$1034</definedName>
    <definedName name="OIP" localSheetId="0">'Appendix J'!$B$5</definedName>
    <definedName name="_xlnm.Print_Area" localSheetId="14">'Appendix R'!$A$1:$S$117</definedName>
    <definedName name="_xlnm.Print_Area" localSheetId="15">'Appendix S'!$A$1:$AI$342</definedName>
    <definedName name="_xlnm.Print_Area" localSheetId="16">'Appendix T'!$A$1:$AA$64</definedName>
    <definedName name="_xlnm.Print_Area" localSheetId="17">'Appendix T2'!$A$1:$AF$200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86" i="31" l="1"/>
  <c r="G213" i="29"/>
  <c r="E213" i="29"/>
  <c r="C213" i="29"/>
  <c r="U167" i="31"/>
  <c r="L31" i="7"/>
  <c r="N31" i="7" s="1"/>
  <c r="E31" i="7"/>
  <c r="B31" i="7"/>
  <c r="D31" i="7" s="1"/>
  <c r="R31" i="7"/>
  <c r="K31" i="7"/>
  <c r="H31" i="7"/>
  <c r="I31" i="7" s="1"/>
  <c r="J31" i="7" s="1"/>
  <c r="H30" i="7"/>
  <c r="G31" i="7"/>
  <c r="F213" i="29"/>
  <c r="F57" i="14"/>
  <c r="E57" i="14"/>
  <c r="E30" i="7"/>
  <c r="I30" i="7" s="1"/>
  <c r="E277" i="29"/>
  <c r="E134" i="29"/>
  <c r="E106" i="29"/>
  <c r="C106" i="29"/>
  <c r="E80" i="29"/>
  <c r="G53" i="29"/>
  <c r="F53" i="29"/>
  <c r="E53" i="29"/>
  <c r="E27" i="29"/>
  <c r="F27" i="31"/>
  <c r="F28" i="31" s="1"/>
  <c r="E27" i="31"/>
  <c r="M31" i="7" l="1"/>
  <c r="O31" i="7" s="1"/>
  <c r="P31" i="7"/>
  <c r="Q31" i="7" s="1"/>
  <c r="S31" i="7"/>
  <c r="G30" i="7"/>
  <c r="J30" i="7" s="1"/>
  <c r="U147" i="31"/>
  <c r="U130" i="31"/>
  <c r="U112" i="31"/>
  <c r="U95" i="31"/>
  <c r="U77" i="31"/>
  <c r="U60" i="31"/>
  <c r="U42" i="31"/>
  <c r="K134" i="31"/>
  <c r="K145" i="31"/>
  <c r="C62" i="14" l="1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61" i="14"/>
  <c r="E5" i="29" l="1"/>
  <c r="E6" i="29" l="1"/>
  <c r="E7" i="29" s="1"/>
  <c r="E8" i="29" s="1"/>
  <c r="E9" i="29" s="1"/>
  <c r="E10" i="29" s="1"/>
  <c r="E11" i="29" s="1"/>
  <c r="E12" i="29" s="1"/>
  <c r="E13" i="29" s="1"/>
  <c r="E14" i="29" s="1"/>
  <c r="E15" i="29" s="1"/>
  <c r="E16" i="29" s="1"/>
  <c r="E17" i="29" s="1"/>
  <c r="E18" i="29" s="1"/>
  <c r="E19" i="29" s="1"/>
  <c r="E20" i="29" s="1"/>
  <c r="E21" i="29" s="1"/>
  <c r="E22" i="29" s="1"/>
  <c r="E23" i="29" s="1"/>
  <c r="E24" i="29" s="1"/>
  <c r="D31" i="30" l="1"/>
  <c r="C31" i="30"/>
  <c r="G4" i="30"/>
  <c r="F4" i="30"/>
  <c r="B274" i="29"/>
  <c r="B273" i="29"/>
  <c r="B272" i="29"/>
  <c r="B271" i="29"/>
  <c r="B270" i="29"/>
  <c r="B269" i="29"/>
  <c r="B268" i="29"/>
  <c r="B267" i="29"/>
  <c r="B266" i="29"/>
  <c r="B265" i="29"/>
  <c r="B264" i="29"/>
  <c r="B263" i="29"/>
  <c r="B262" i="29"/>
  <c r="B261" i="29"/>
  <c r="B260" i="29"/>
  <c r="B259" i="29"/>
  <c r="B258" i="29"/>
  <c r="B257" i="29"/>
  <c r="B256" i="29"/>
  <c r="B255" i="29"/>
  <c r="B131" i="29"/>
  <c r="B130" i="29"/>
  <c r="B129" i="29"/>
  <c r="B128" i="29"/>
  <c r="B127" i="29"/>
  <c r="B126" i="29"/>
  <c r="B125" i="29"/>
  <c r="B124" i="29"/>
  <c r="B123" i="29"/>
  <c r="B122" i="29"/>
  <c r="B121" i="29"/>
  <c r="B120" i="29"/>
  <c r="B119" i="29"/>
  <c r="B118" i="29"/>
  <c r="B117" i="29"/>
  <c r="B116" i="29"/>
  <c r="B115" i="29"/>
  <c r="B114" i="29"/>
  <c r="B113" i="29"/>
  <c r="B112" i="29"/>
  <c r="E58" i="29"/>
  <c r="E59" i="29" s="1"/>
  <c r="E60" i="29" s="1"/>
  <c r="E61" i="29" s="1"/>
  <c r="E62" i="29" s="1"/>
  <c r="E63" i="29" s="1"/>
  <c r="E64" i="29" s="1"/>
  <c r="E65" i="29" s="1"/>
  <c r="E66" i="29" s="1"/>
  <c r="E67" i="29" s="1"/>
  <c r="E68" i="29" s="1"/>
  <c r="E69" i="29" s="1"/>
  <c r="E70" i="29" s="1"/>
  <c r="E71" i="29" s="1"/>
  <c r="E72" i="29" s="1"/>
  <c r="E73" i="29" s="1"/>
  <c r="E74" i="29" s="1"/>
  <c r="E75" i="29" s="1"/>
  <c r="E76" i="29" s="1"/>
  <c r="E77" i="29" s="1"/>
  <c r="C80" i="29" s="1"/>
  <c r="E31" i="29"/>
  <c r="E32" i="29" s="1"/>
  <c r="E33" i="29" s="1"/>
  <c r="E34" i="29" s="1"/>
  <c r="E35" i="29" s="1"/>
  <c r="E36" i="29" s="1"/>
  <c r="E37" i="29" s="1"/>
  <c r="E38" i="29" s="1"/>
  <c r="E39" i="29" s="1"/>
  <c r="E40" i="29" s="1"/>
  <c r="E41" i="29" s="1"/>
  <c r="E42" i="29" s="1"/>
  <c r="E43" i="29" s="1"/>
  <c r="E44" i="29" s="1"/>
  <c r="E45" i="29" s="1"/>
  <c r="E46" i="29" s="1"/>
  <c r="E47" i="29" s="1"/>
  <c r="E48" i="29" s="1"/>
  <c r="E49" i="29" s="1"/>
  <c r="E50" i="29" s="1"/>
  <c r="C53" i="29" s="1"/>
  <c r="C27" i="29"/>
  <c r="E31" i="28"/>
  <c r="E32" i="28" s="1"/>
  <c r="E33" i="28" s="1"/>
  <c r="E34" i="28" s="1"/>
  <c r="E35" i="28" s="1"/>
  <c r="E36" i="28" s="1"/>
  <c r="E37" i="28" s="1"/>
  <c r="E38" i="28" s="1"/>
  <c r="E39" i="28" s="1"/>
  <c r="E40" i="28" s="1"/>
  <c r="E41" i="28" s="1"/>
  <c r="E42" i="28" s="1"/>
  <c r="E43" i="28" s="1"/>
  <c r="E44" i="28" s="1"/>
  <c r="E45" i="28" s="1"/>
  <c r="E46" i="28" s="1"/>
  <c r="E47" i="28" s="1"/>
  <c r="E48" i="28" s="1"/>
  <c r="E49" i="28" s="1"/>
  <c r="E50" i="28" s="1"/>
  <c r="E51" i="28" s="1"/>
  <c r="C78" i="28" s="1"/>
  <c r="C134" i="29" l="1"/>
  <c r="C277" i="29"/>
  <c r="O28" i="13" l="1"/>
  <c r="P28" i="13" s="1"/>
  <c r="E5" i="7"/>
  <c r="B5" i="20" l="1"/>
  <c r="B6" i="20" s="1"/>
  <c r="B7" i="20" s="1"/>
  <c r="B8" i="20" s="1"/>
  <c r="B9" i="20" s="1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8" i="5" l="1"/>
  <c r="H64" i="15" l="1"/>
  <c r="E58" i="15"/>
  <c r="E55" i="15"/>
  <c r="C58" i="15"/>
  <c r="D57" i="15" s="1"/>
  <c r="D58" i="15" s="1"/>
  <c r="E57" i="15" s="1"/>
  <c r="C56" i="15"/>
  <c r="C57" i="15" s="1"/>
  <c r="H53" i="15"/>
  <c r="D52" i="15"/>
  <c r="E52" i="15" s="1"/>
  <c r="G52" i="15" s="1"/>
  <c r="AT52" i="14"/>
  <c r="AQ52" i="14"/>
  <c r="AJ52" i="14"/>
  <c r="O25" i="14"/>
  <c r="O24" i="14"/>
  <c r="G50" i="14" s="1"/>
  <c r="O23" i="14"/>
  <c r="E83" i="15" s="1"/>
  <c r="O22" i="14"/>
  <c r="G48" i="14" s="1"/>
  <c r="O21" i="14"/>
  <c r="O20" i="14"/>
  <c r="O19" i="14"/>
  <c r="E79" i="15" s="1"/>
  <c r="O18" i="14"/>
  <c r="O17" i="14"/>
  <c r="O16" i="14"/>
  <c r="G42" i="14" s="1"/>
  <c r="O15" i="14"/>
  <c r="E75" i="15" s="1"/>
  <c r="O14" i="14"/>
  <c r="G40" i="14" s="1"/>
  <c r="O13" i="14"/>
  <c r="O12" i="14"/>
  <c r="O11" i="14"/>
  <c r="E71" i="15" s="1"/>
  <c r="O10" i="14"/>
  <c r="O9" i="14"/>
  <c r="O8" i="14"/>
  <c r="G34" i="14" s="1"/>
  <c r="O7" i="14"/>
  <c r="E67" i="15" s="1"/>
  <c r="O6" i="14"/>
  <c r="G32" i="14" s="1"/>
  <c r="O5" i="14"/>
  <c r="D56" i="15" l="1"/>
  <c r="E56" i="15" s="1"/>
  <c r="I56" i="15" s="1"/>
  <c r="I57" i="15" s="1"/>
  <c r="I58" i="15" s="1"/>
  <c r="E72" i="15"/>
  <c r="G72" i="15" s="1"/>
  <c r="E69" i="15"/>
  <c r="G69" i="15" s="1"/>
  <c r="G33" i="14"/>
  <c r="G49" i="14"/>
  <c r="G46" i="14"/>
  <c r="E85" i="15"/>
  <c r="G85" i="15" s="1"/>
  <c r="G41" i="14"/>
  <c r="E80" i="15"/>
  <c r="N80" i="15" s="1"/>
  <c r="G38" i="14"/>
  <c r="E77" i="15"/>
  <c r="G77" i="15" s="1"/>
  <c r="G44" i="14"/>
  <c r="E78" i="15"/>
  <c r="G71" i="15"/>
  <c r="N71" i="15"/>
  <c r="E81" i="15"/>
  <c r="G47" i="14"/>
  <c r="E73" i="15"/>
  <c r="G39" i="14"/>
  <c r="G36" i="14"/>
  <c r="E70" i="15"/>
  <c r="G79" i="15"/>
  <c r="N79" i="15"/>
  <c r="G75" i="15"/>
  <c r="N75" i="15"/>
  <c r="N72" i="15"/>
  <c r="N67" i="15"/>
  <c r="G67" i="15"/>
  <c r="G31" i="14"/>
  <c r="E65" i="15"/>
  <c r="N83" i="15"/>
  <c r="G83" i="15"/>
  <c r="G45" i="14"/>
  <c r="G37" i="14"/>
  <c r="E84" i="15"/>
  <c r="E76" i="15"/>
  <c r="E68" i="15"/>
  <c r="G51" i="14"/>
  <c r="G43" i="14"/>
  <c r="G35" i="14"/>
  <c r="G57" i="14" s="1"/>
  <c r="E82" i="15"/>
  <c r="E74" i="15"/>
  <c r="E66" i="15"/>
  <c r="N69" i="15"/>
  <c r="E51" i="15"/>
  <c r="G51" i="15" s="1"/>
  <c r="F10" i="5"/>
  <c r="F18" i="5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B25" i="14"/>
  <c r="F24" i="5" s="1"/>
  <c r="B24" i="14"/>
  <c r="F23" i="5" s="1"/>
  <c r="B23" i="14"/>
  <c r="F22" i="5" s="1"/>
  <c r="B22" i="14"/>
  <c r="F21" i="5" s="1"/>
  <c r="B21" i="14"/>
  <c r="F20" i="5" s="1"/>
  <c r="B20" i="14"/>
  <c r="F19" i="5" s="1"/>
  <c r="B19" i="14"/>
  <c r="B18" i="14"/>
  <c r="F17" i="5" s="1"/>
  <c r="B17" i="14"/>
  <c r="F16" i="5" s="1"/>
  <c r="B16" i="14"/>
  <c r="F15" i="5" s="1"/>
  <c r="B15" i="14"/>
  <c r="F14" i="5" s="1"/>
  <c r="B14" i="14"/>
  <c r="F13" i="5" s="1"/>
  <c r="B13" i="14"/>
  <c r="F12" i="5" s="1"/>
  <c r="B12" i="14"/>
  <c r="F11" i="5" s="1"/>
  <c r="B11" i="14"/>
  <c r="B10" i="14"/>
  <c r="F9" i="5" s="1"/>
  <c r="B9" i="14"/>
  <c r="F8" i="5" s="1"/>
  <c r="B8" i="14"/>
  <c r="F7" i="5" s="1"/>
  <c r="B7" i="14"/>
  <c r="F6" i="5" s="1"/>
  <c r="B6" i="14"/>
  <c r="F5" i="5" s="1"/>
  <c r="B5" i="14"/>
  <c r="F4" i="5" s="1"/>
  <c r="K30" i="7" l="1"/>
  <c r="G80" i="15"/>
  <c r="N85" i="15"/>
  <c r="W85" i="15" s="1"/>
  <c r="N77" i="15"/>
  <c r="W77" i="15" s="1"/>
  <c r="W72" i="15"/>
  <c r="W67" i="15"/>
  <c r="W69" i="15"/>
  <c r="N70" i="15"/>
  <c r="G70" i="15"/>
  <c r="N76" i="15"/>
  <c r="G76" i="15"/>
  <c r="W83" i="15"/>
  <c r="G81" i="15"/>
  <c r="N81" i="15"/>
  <c r="W71" i="15"/>
  <c r="W80" i="15"/>
  <c r="N68" i="15"/>
  <c r="G68" i="15"/>
  <c r="N66" i="15"/>
  <c r="G66" i="15"/>
  <c r="N84" i="15"/>
  <c r="G84" i="15"/>
  <c r="I51" i="15"/>
  <c r="N65" i="15"/>
  <c r="G65" i="15"/>
  <c r="W75" i="15"/>
  <c r="G78" i="15"/>
  <c r="N78" i="15"/>
  <c r="N74" i="15"/>
  <c r="G74" i="15"/>
  <c r="G53" i="14"/>
  <c r="N82" i="15"/>
  <c r="G82" i="15"/>
  <c r="W79" i="15"/>
  <c r="G73" i="15"/>
  <c r="N73" i="15"/>
  <c r="G32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C13" i="4"/>
  <c r="B13" i="4" s="1"/>
  <c r="B6" i="5" s="1"/>
  <c r="J11" i="5" l="1"/>
  <c r="J19" i="5"/>
  <c r="J4" i="5"/>
  <c r="J5" i="5"/>
  <c r="J13" i="5"/>
  <c r="J21" i="5"/>
  <c r="J6" i="5"/>
  <c r="J14" i="5"/>
  <c r="J22" i="5"/>
  <c r="J7" i="5"/>
  <c r="J15" i="5"/>
  <c r="J23" i="5"/>
  <c r="J8" i="5"/>
  <c r="J16" i="5"/>
  <c r="J24" i="5"/>
  <c r="J12" i="5"/>
  <c r="J9" i="5"/>
  <c r="J17" i="5"/>
  <c r="J20" i="5"/>
  <c r="J10" i="5"/>
  <c r="J18" i="5"/>
  <c r="W76" i="15"/>
  <c r="W74" i="15"/>
  <c r="BC75" i="15"/>
  <c r="W66" i="15"/>
  <c r="W70" i="15"/>
  <c r="BC69" i="15"/>
  <c r="BC79" i="15"/>
  <c r="W81" i="15"/>
  <c r="BC77" i="15"/>
  <c r="W78" i="15"/>
  <c r="C4" i="15"/>
  <c r="W68" i="15"/>
  <c r="W65" i="15"/>
  <c r="BC67" i="15"/>
  <c r="BC85" i="15"/>
  <c r="BC80" i="15"/>
  <c r="BC83" i="15"/>
  <c r="W82" i="15"/>
  <c r="BC72" i="15"/>
  <c r="W73" i="15"/>
  <c r="W84" i="15"/>
  <c r="BC71" i="15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B7" i="19"/>
  <c r="B6" i="19"/>
  <c r="B2" i="19"/>
  <c r="AW50" i="20"/>
  <c r="AW49" i="20"/>
  <c r="AW48" i="20"/>
  <c r="AW47" i="20"/>
  <c r="AW46" i="20"/>
  <c r="AW45" i="20"/>
  <c r="AW44" i="20"/>
  <c r="AW43" i="20"/>
  <c r="AW42" i="20"/>
  <c r="AW41" i="20"/>
  <c r="AW40" i="20"/>
  <c r="AW39" i="20"/>
  <c r="AW38" i="20"/>
  <c r="AW37" i="20"/>
  <c r="AW36" i="20"/>
  <c r="AW35" i="20"/>
  <c r="B34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V27" i="20"/>
  <c r="D30" i="19" s="1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27" i="20"/>
  <c r="M5" i="7"/>
  <c r="H5" i="7"/>
  <c r="I5" i="7" s="1"/>
  <c r="D5" i="7"/>
  <c r="C5" i="7"/>
  <c r="B2" i="7"/>
  <c r="N5" i="7" s="1"/>
  <c r="H24" i="5"/>
  <c r="H23" i="5"/>
  <c r="H22" i="5"/>
  <c r="L22" i="5" s="1"/>
  <c r="H21" i="5"/>
  <c r="L21" i="5" s="1"/>
  <c r="H20" i="5"/>
  <c r="L20" i="5" s="1"/>
  <c r="H19" i="5"/>
  <c r="L19" i="5" s="1"/>
  <c r="H18" i="5"/>
  <c r="H17" i="5"/>
  <c r="L17" i="5" s="1"/>
  <c r="H16" i="5"/>
  <c r="H15" i="5"/>
  <c r="L15" i="5" s="1"/>
  <c r="H14" i="5"/>
  <c r="H13" i="5"/>
  <c r="L13" i="5" s="1"/>
  <c r="H12" i="5"/>
  <c r="L12" i="5" s="1"/>
  <c r="H11" i="5"/>
  <c r="L11" i="5" s="1"/>
  <c r="H10" i="5"/>
  <c r="H9" i="5"/>
  <c r="L9" i="5" s="1"/>
  <c r="H8" i="5"/>
  <c r="B9" i="5"/>
  <c r="H7" i="5"/>
  <c r="L7" i="5" s="1"/>
  <c r="B7" i="5"/>
  <c r="H6" i="5"/>
  <c r="L6" i="5" s="1"/>
  <c r="H5" i="5"/>
  <c r="B5" i="5"/>
  <c r="H4" i="5"/>
  <c r="L4" i="5" s="1"/>
  <c r="B4" i="5"/>
  <c r="B2" i="5"/>
  <c r="D2" i="5" s="1"/>
  <c r="BP64" i="15"/>
  <c r="G49" i="15"/>
  <c r="E49" i="15"/>
  <c r="E48" i="15"/>
  <c r="G48" i="15" s="1"/>
  <c r="G46" i="15"/>
  <c r="E46" i="15"/>
  <c r="E45" i="15"/>
  <c r="G45" i="15" s="1"/>
  <c r="H41" i="15"/>
  <c r="G41" i="15"/>
  <c r="E41" i="15"/>
  <c r="E40" i="15"/>
  <c r="G40" i="15" s="1"/>
  <c r="H40" i="15" s="1"/>
  <c r="H42" i="15" s="1"/>
  <c r="D39" i="15"/>
  <c r="C55" i="15" s="1"/>
  <c r="D54" i="15" s="1"/>
  <c r="D55" i="15" s="1"/>
  <c r="E54" i="15" s="1"/>
  <c r="H38" i="15"/>
  <c r="G38" i="15"/>
  <c r="D37" i="15"/>
  <c r="H33" i="15"/>
  <c r="G33" i="15"/>
  <c r="D33" i="15"/>
  <c r="D34" i="15" s="1"/>
  <c r="E33" i="15" s="1"/>
  <c r="C33" i="15"/>
  <c r="D32" i="15"/>
  <c r="E32" i="15" s="1"/>
  <c r="G32" i="15" s="1"/>
  <c r="H32" i="15" s="1"/>
  <c r="I32" i="15" s="1"/>
  <c r="I34" i="15" s="1"/>
  <c r="H30" i="15"/>
  <c r="G30" i="15"/>
  <c r="D30" i="15"/>
  <c r="D31" i="15" s="1"/>
  <c r="E30" i="15" s="1"/>
  <c r="C30" i="15"/>
  <c r="H31" i="15" s="1"/>
  <c r="I30" i="15" s="1"/>
  <c r="E29" i="15"/>
  <c r="G29" i="15" s="1"/>
  <c r="D29" i="15"/>
  <c r="R51" i="14"/>
  <c r="Q51" i="14"/>
  <c r="P51" i="14"/>
  <c r="O51" i="14"/>
  <c r="R50" i="14"/>
  <c r="AQ50" i="14" s="1"/>
  <c r="Q50" i="14"/>
  <c r="P50" i="14"/>
  <c r="O50" i="14"/>
  <c r="R49" i="14"/>
  <c r="AQ49" i="14" s="1"/>
  <c r="Q49" i="14"/>
  <c r="P49" i="14"/>
  <c r="O49" i="14"/>
  <c r="V49" i="14" s="1"/>
  <c r="R48" i="14"/>
  <c r="Q48" i="14"/>
  <c r="P48" i="14"/>
  <c r="AC48" i="14" s="1"/>
  <c r="O48" i="14"/>
  <c r="R47" i="14"/>
  <c r="AQ47" i="14" s="1"/>
  <c r="Q47" i="14"/>
  <c r="P47" i="14"/>
  <c r="O47" i="14"/>
  <c r="R46" i="14"/>
  <c r="Q46" i="14"/>
  <c r="P46" i="14"/>
  <c r="O46" i="14"/>
  <c r="R45" i="14"/>
  <c r="Q45" i="14"/>
  <c r="P45" i="14"/>
  <c r="O45" i="14"/>
  <c r="AS44" i="14"/>
  <c r="R44" i="14"/>
  <c r="AQ44" i="14" s="1"/>
  <c r="Q44" i="14"/>
  <c r="P44" i="14"/>
  <c r="O44" i="14"/>
  <c r="R43" i="14"/>
  <c r="AQ43" i="14" s="1"/>
  <c r="Q43" i="14"/>
  <c r="AJ43" i="14" s="1"/>
  <c r="P43" i="14"/>
  <c r="O43" i="14"/>
  <c r="V43" i="14" s="1"/>
  <c r="X42" i="14"/>
  <c r="R42" i="14"/>
  <c r="Q42" i="14"/>
  <c r="AJ42" i="14" s="1"/>
  <c r="P42" i="14"/>
  <c r="O42" i="14"/>
  <c r="V42" i="14" s="1"/>
  <c r="R41" i="14"/>
  <c r="Q41" i="14"/>
  <c r="P41" i="14"/>
  <c r="O41" i="14"/>
  <c r="R40" i="14"/>
  <c r="Q40" i="14"/>
  <c r="AJ40" i="14" s="1"/>
  <c r="P40" i="14"/>
  <c r="O40" i="14"/>
  <c r="AS39" i="14"/>
  <c r="R39" i="14"/>
  <c r="AQ39" i="14" s="1"/>
  <c r="Q39" i="14"/>
  <c r="P39" i="14"/>
  <c r="O39" i="14"/>
  <c r="AS38" i="14"/>
  <c r="R38" i="14"/>
  <c r="AQ38" i="14" s="1"/>
  <c r="Q38" i="14"/>
  <c r="P38" i="14"/>
  <c r="O38" i="14"/>
  <c r="X37" i="14"/>
  <c r="R37" i="14"/>
  <c r="Q37" i="14"/>
  <c r="P37" i="14"/>
  <c r="O37" i="14"/>
  <c r="V37" i="14" s="1"/>
  <c r="R36" i="14"/>
  <c r="AQ36" i="14" s="1"/>
  <c r="Q36" i="14"/>
  <c r="P36" i="14"/>
  <c r="O36" i="14"/>
  <c r="R35" i="14"/>
  <c r="Q35" i="14"/>
  <c r="P35" i="14"/>
  <c r="AC35" i="14" s="1"/>
  <c r="O35" i="14"/>
  <c r="R34" i="14"/>
  <c r="AQ34" i="14" s="1"/>
  <c r="Q34" i="14"/>
  <c r="P34" i="14"/>
  <c r="O34" i="14"/>
  <c r="R33" i="14"/>
  <c r="Q33" i="14"/>
  <c r="P33" i="14"/>
  <c r="O33" i="14"/>
  <c r="R32" i="14"/>
  <c r="Q32" i="14"/>
  <c r="P32" i="14"/>
  <c r="O32" i="14"/>
  <c r="R31" i="14"/>
  <c r="Q31" i="14"/>
  <c r="P31" i="14"/>
  <c r="O31" i="14"/>
  <c r="AA30" i="14"/>
  <c r="R30" i="14"/>
  <c r="Q30" i="14"/>
  <c r="AJ30" i="14" s="1"/>
  <c r="P30" i="14"/>
  <c r="O30" i="14"/>
  <c r="BI29" i="14"/>
  <c r="E23" i="14"/>
  <c r="E24" i="14" s="1"/>
  <c r="E25" i="14" s="1"/>
  <c r="D23" i="14"/>
  <c r="D24" i="14" s="1"/>
  <c r="D25" i="14" s="1"/>
  <c r="E19" i="14"/>
  <c r="E20" i="14" s="1"/>
  <c r="E21" i="14" s="1"/>
  <c r="E18" i="14"/>
  <c r="F14" i="14"/>
  <c r="F15" i="14" s="1"/>
  <c r="F16" i="14" s="1"/>
  <c r="F17" i="14" s="1"/>
  <c r="F18" i="14" s="1"/>
  <c r="F19" i="14" s="1"/>
  <c r="F20" i="14" s="1"/>
  <c r="F21" i="14" s="1"/>
  <c r="F22" i="14" s="1"/>
  <c r="F23" i="14" s="1"/>
  <c r="F24" i="14" s="1"/>
  <c r="F25" i="14" s="1"/>
  <c r="F13" i="14"/>
  <c r="E13" i="14"/>
  <c r="E14" i="14" s="1"/>
  <c r="E15" i="14" s="1"/>
  <c r="E16" i="14" s="1"/>
  <c r="D13" i="14"/>
  <c r="D14" i="14" s="1"/>
  <c r="D15" i="14" s="1"/>
  <c r="D16" i="14" s="1"/>
  <c r="D17" i="14" s="1"/>
  <c r="D18" i="14" s="1"/>
  <c r="D19" i="14" s="1"/>
  <c r="D20" i="14" s="1"/>
  <c r="D21" i="14" s="1"/>
  <c r="D22" i="14" s="1"/>
  <c r="D8" i="14"/>
  <c r="D9" i="14" s="1"/>
  <c r="D10" i="14" s="1"/>
  <c r="D11" i="14" s="1"/>
  <c r="F7" i="14"/>
  <c r="F8" i="14" s="1"/>
  <c r="F9" i="14" s="1"/>
  <c r="F10" i="14" s="1"/>
  <c r="F11" i="14" s="1"/>
  <c r="F6" i="14"/>
  <c r="E6" i="14"/>
  <c r="E7" i="14" s="1"/>
  <c r="E8" i="14" s="1"/>
  <c r="E9" i="14" s="1"/>
  <c r="E10" i="14" s="1"/>
  <c r="E11" i="14" s="1"/>
  <c r="D6" i="14"/>
  <c r="D7" i="14" s="1"/>
  <c r="B10" i="1"/>
  <c r="F9" i="1"/>
  <c r="B9" i="1"/>
  <c r="F8" i="1"/>
  <c r="F10" i="1" s="1"/>
  <c r="B8" i="1"/>
  <c r="F7" i="1"/>
  <c r="B7" i="1"/>
  <c r="H6" i="1"/>
  <c r="H7" i="1" s="1"/>
  <c r="B18" i="1" s="1"/>
  <c r="B22" i="1" s="1"/>
  <c r="D22" i="1" s="1"/>
  <c r="P27" i="13"/>
  <c r="N27" i="13"/>
  <c r="F27" i="13"/>
  <c r="D27" i="13"/>
  <c r="N26" i="13"/>
  <c r="P26" i="13" s="1"/>
  <c r="D26" i="13"/>
  <c r="F26" i="13" s="1"/>
  <c r="N25" i="13"/>
  <c r="P25" i="13" s="1"/>
  <c r="F25" i="13"/>
  <c r="D25" i="13"/>
  <c r="N24" i="13"/>
  <c r="P24" i="13" s="1"/>
  <c r="D24" i="13"/>
  <c r="F24" i="13" s="1"/>
  <c r="N23" i="13"/>
  <c r="P23" i="13" s="1"/>
  <c r="F23" i="13"/>
  <c r="D23" i="13"/>
  <c r="N22" i="13"/>
  <c r="P22" i="13" s="1"/>
  <c r="D22" i="13"/>
  <c r="F22" i="13" s="1"/>
  <c r="O21" i="13"/>
  <c r="N21" i="13"/>
  <c r="P21" i="13" s="1"/>
  <c r="AA6" i="14" s="1"/>
  <c r="AA7" i="14" s="1"/>
  <c r="AA8" i="14" s="1"/>
  <c r="E21" i="13"/>
  <c r="D21" i="13"/>
  <c r="O20" i="13"/>
  <c r="P20" i="13" s="1"/>
  <c r="O19" i="13"/>
  <c r="P19" i="13" s="1"/>
  <c r="E19" i="13"/>
  <c r="F19" i="13" s="1"/>
  <c r="O18" i="13"/>
  <c r="P18" i="13" s="1"/>
  <c r="O15" i="13"/>
  <c r="P15" i="13" s="1"/>
  <c r="E15" i="13"/>
  <c r="F15" i="13" s="1"/>
  <c r="O14" i="13"/>
  <c r="O13" i="13"/>
  <c r="P13" i="13" s="1"/>
  <c r="E13" i="13"/>
  <c r="F13" i="13" s="1"/>
  <c r="C3" i="13"/>
  <c r="B26" i="4"/>
  <c r="B23" i="4"/>
  <c r="B15" i="4"/>
  <c r="AE36" i="14" l="1"/>
  <c r="AC36" i="14"/>
  <c r="AE41" i="14"/>
  <c r="AC41" i="14"/>
  <c r="AE38" i="14"/>
  <c r="AC38" i="14"/>
  <c r="F21" i="13"/>
  <c r="AE43" i="14"/>
  <c r="AC43" i="14"/>
  <c r="AE50" i="14"/>
  <c r="AC50" i="14"/>
  <c r="AE31" i="14"/>
  <c r="AC31" i="14"/>
  <c r="AE33" i="14"/>
  <c r="AC33" i="14"/>
  <c r="AS36" i="14"/>
  <c r="AE45" i="14"/>
  <c r="AC45" i="14"/>
  <c r="AE47" i="14"/>
  <c r="AC47" i="14"/>
  <c r="AE48" i="14"/>
  <c r="AE40" i="14"/>
  <c r="AC40" i="14"/>
  <c r="AE42" i="14"/>
  <c r="AC42" i="14"/>
  <c r="X43" i="14"/>
  <c r="E38" i="15"/>
  <c r="L8" i="5"/>
  <c r="L16" i="5"/>
  <c r="L24" i="5"/>
  <c r="Z6" i="14"/>
  <c r="Z7" i="14" s="1"/>
  <c r="Z8" i="14" s="1"/>
  <c r="AE37" i="14"/>
  <c r="AC37" i="14"/>
  <c r="AE49" i="14"/>
  <c r="AC49" i="14"/>
  <c r="AE51" i="14"/>
  <c r="AC51" i="14"/>
  <c r="S90" i="14"/>
  <c r="AC30" i="14"/>
  <c r="AE35" i="14"/>
  <c r="AE44" i="14"/>
  <c r="AC44" i="14"/>
  <c r="AS47" i="14"/>
  <c r="A22" i="5"/>
  <c r="L10" i="5"/>
  <c r="L18" i="5"/>
  <c r="AE32" i="14"/>
  <c r="AC32" i="14"/>
  <c r="AE34" i="14"/>
  <c r="AC34" i="14"/>
  <c r="AE39" i="14"/>
  <c r="AC39" i="14"/>
  <c r="AE46" i="14"/>
  <c r="AC46" i="14"/>
  <c r="L5" i="5"/>
  <c r="L23" i="5"/>
  <c r="L14" i="5"/>
  <c r="AS35" i="14"/>
  <c r="AQ35" i="14"/>
  <c r="AS43" i="14"/>
  <c r="AS40" i="14"/>
  <c r="AQ40" i="14"/>
  <c r="AS42" i="14"/>
  <c r="AQ42" i="14"/>
  <c r="AS45" i="14"/>
  <c r="AQ45" i="14"/>
  <c r="AS50" i="14"/>
  <c r="AO30" i="14"/>
  <c r="AQ30" i="14"/>
  <c r="AS37" i="14"/>
  <c r="AQ37" i="14"/>
  <c r="AS32" i="14"/>
  <c r="AQ32" i="14"/>
  <c r="AS34" i="14"/>
  <c r="AS49" i="14"/>
  <c r="AS41" i="14"/>
  <c r="AQ41" i="14"/>
  <c r="AS46" i="14"/>
  <c r="AQ46" i="14"/>
  <c r="AS51" i="14"/>
  <c r="AQ51" i="14"/>
  <c r="AS48" i="14"/>
  <c r="AQ48" i="14"/>
  <c r="AS31" i="14"/>
  <c r="AQ31" i="14"/>
  <c r="AS33" i="14"/>
  <c r="AQ33" i="14"/>
  <c r="AL39" i="14"/>
  <c r="AJ39" i="14"/>
  <c r="AL45" i="14"/>
  <c r="AJ45" i="14"/>
  <c r="AL47" i="14"/>
  <c r="AJ47" i="14"/>
  <c r="AL36" i="14"/>
  <c r="AJ36" i="14"/>
  <c r="AL42" i="14"/>
  <c r="AL49" i="14"/>
  <c r="AJ49" i="14"/>
  <c r="AL41" i="14"/>
  <c r="AJ41" i="14"/>
  <c r="AL31" i="14"/>
  <c r="AJ31" i="14"/>
  <c r="AL33" i="14"/>
  <c r="AJ33" i="14"/>
  <c r="AL38" i="14"/>
  <c r="AJ38" i="14"/>
  <c r="AL44" i="14"/>
  <c r="AJ44" i="14"/>
  <c r="AL35" i="14"/>
  <c r="AJ35" i="14"/>
  <c r="AL46" i="14"/>
  <c r="AJ46" i="14"/>
  <c r="AL51" i="14"/>
  <c r="AJ51" i="14"/>
  <c r="AL48" i="14"/>
  <c r="AJ48" i="14"/>
  <c r="AL37" i="14"/>
  <c r="AJ37" i="14"/>
  <c r="AL32" i="14"/>
  <c r="AJ32" i="14"/>
  <c r="AL34" i="14"/>
  <c r="AJ34" i="14"/>
  <c r="AL40" i="14"/>
  <c r="AL43" i="14"/>
  <c r="AL50" i="14"/>
  <c r="AJ50" i="14"/>
  <c r="X31" i="14"/>
  <c r="V31" i="14"/>
  <c r="X33" i="14"/>
  <c r="V33" i="14"/>
  <c r="X38" i="14"/>
  <c r="V38" i="14"/>
  <c r="X44" i="14"/>
  <c r="V44" i="14"/>
  <c r="X35" i="14"/>
  <c r="V35" i="14"/>
  <c r="X46" i="14"/>
  <c r="V46" i="14"/>
  <c r="W30" i="14"/>
  <c r="V30" i="14"/>
  <c r="X40" i="14"/>
  <c r="V40" i="14"/>
  <c r="X48" i="14"/>
  <c r="V48" i="14"/>
  <c r="X51" i="14"/>
  <c r="V51" i="14"/>
  <c r="X49" i="14"/>
  <c r="X32" i="14"/>
  <c r="V32" i="14"/>
  <c r="X34" i="14"/>
  <c r="V34" i="14"/>
  <c r="X39" i="14"/>
  <c r="V39" i="14"/>
  <c r="X45" i="14"/>
  <c r="V45" i="14"/>
  <c r="X47" i="14"/>
  <c r="V47" i="14"/>
  <c r="X50" i="14"/>
  <c r="V50" i="14"/>
  <c r="T30" i="14"/>
  <c r="X36" i="14"/>
  <c r="V36" i="14"/>
  <c r="X41" i="14"/>
  <c r="V41" i="14"/>
  <c r="D24" i="19"/>
  <c r="D17" i="19"/>
  <c r="D25" i="19"/>
  <c r="D26" i="19"/>
  <c r="D19" i="19"/>
  <c r="D27" i="19"/>
  <c r="B30" i="22"/>
  <c r="B18" i="22"/>
  <c r="D18" i="19"/>
  <c r="D14" i="19"/>
  <c r="B24" i="22"/>
  <c r="D15" i="19"/>
  <c r="BC73" i="15"/>
  <c r="BC70" i="15"/>
  <c r="BC76" i="15"/>
  <c r="BC74" i="15"/>
  <c r="BC66" i="15"/>
  <c r="BC82" i="15"/>
  <c r="BC65" i="15"/>
  <c r="BC81" i="15"/>
  <c r="BC78" i="15"/>
  <c r="BC84" i="15"/>
  <c r="BC68" i="15"/>
  <c r="E37" i="15"/>
  <c r="C53" i="15"/>
  <c r="C54" i="15" s="1"/>
  <c r="U30" i="14"/>
  <c r="AD30" i="14"/>
  <c r="AN30" i="14"/>
  <c r="AP30" i="14"/>
  <c r="D10" i="19"/>
  <c r="M12" i="5"/>
  <c r="F5" i="7"/>
  <c r="G5" i="7" s="1"/>
  <c r="B17" i="22"/>
  <c r="B16" i="22"/>
  <c r="B29" i="22"/>
  <c r="B20" i="22"/>
  <c r="B26" i="22"/>
  <c r="B19" i="22"/>
  <c r="B12" i="22"/>
  <c r="B27" i="22"/>
  <c r="B28" i="22"/>
  <c r="D13" i="19"/>
  <c r="B15" i="22"/>
  <c r="O17" i="13"/>
  <c r="P17" i="13" s="1"/>
  <c r="P14" i="13"/>
  <c r="P31" i="13" s="1"/>
  <c r="O16" i="13"/>
  <c r="P16" i="13" s="1"/>
  <c r="M18" i="5"/>
  <c r="D21" i="19"/>
  <c r="B23" i="22"/>
  <c r="D29" i="19"/>
  <c r="B31" i="22"/>
  <c r="E20" i="13"/>
  <c r="F20" i="13" s="1"/>
  <c r="E18" i="13"/>
  <c r="F18" i="13" s="1"/>
  <c r="E14" i="13"/>
  <c r="B11" i="1"/>
  <c r="B12" i="1" s="1"/>
  <c r="U90" i="14"/>
  <c r="AR30" i="14"/>
  <c r="U60" i="14"/>
  <c r="M6" i="5"/>
  <c r="M11" i="5"/>
  <c r="M21" i="5"/>
  <c r="H34" i="15"/>
  <c r="I33" i="15" s="1"/>
  <c r="H29" i="15"/>
  <c r="I29" i="15" s="1"/>
  <c r="M19" i="5"/>
  <c r="D12" i="19"/>
  <c r="B14" i="22"/>
  <c r="D20" i="19"/>
  <c r="B22" i="22"/>
  <c r="D28" i="19"/>
  <c r="AK30" i="14"/>
  <c r="AI30" i="14"/>
  <c r="T90" i="14"/>
  <c r="AH30" i="14"/>
  <c r="AG30" i="14"/>
  <c r="T60" i="14"/>
  <c r="M13" i="5"/>
  <c r="D11" i="19"/>
  <c r="B13" i="22"/>
  <c r="D22" i="19"/>
  <c r="J6" i="1"/>
  <c r="D23" i="19"/>
  <c r="B25" i="22"/>
  <c r="R90" i="14"/>
  <c r="S30" i="14"/>
  <c r="R60" i="14"/>
  <c r="D16" i="19"/>
  <c r="S60" i="14"/>
  <c r="AB30" i="14"/>
  <c r="Z30" i="14"/>
  <c r="B21" i="22"/>
  <c r="AE6" i="14" l="1"/>
  <c r="AE7" i="14" s="1"/>
  <c r="AE8" i="14" s="1"/>
  <c r="I4" i="15"/>
  <c r="G37" i="15"/>
  <c r="H37" i="15" s="1"/>
  <c r="H39" i="15" s="1"/>
  <c r="D53" i="15"/>
  <c r="E53" i="15" s="1"/>
  <c r="I53" i="15" s="1"/>
  <c r="I54" i="15" s="1"/>
  <c r="I55" i="15" s="1"/>
  <c r="I31" i="15"/>
  <c r="N12" i="5"/>
  <c r="O12" i="5" s="1"/>
  <c r="P12" i="5" s="1"/>
  <c r="N18" i="5"/>
  <c r="O18" i="5" s="1"/>
  <c r="P18" i="5" s="1"/>
  <c r="N21" i="5"/>
  <c r="O21" i="5" s="1"/>
  <c r="P21" i="5" s="1"/>
  <c r="N6" i="5"/>
  <c r="O6" i="5" s="1"/>
  <c r="P6" i="5" s="1"/>
  <c r="M20" i="5"/>
  <c r="N20" i="5" s="1"/>
  <c r="O20" i="5" s="1"/>
  <c r="P20" i="5" s="1"/>
  <c r="N19" i="5"/>
  <c r="O19" i="5" s="1"/>
  <c r="P19" i="5" s="1"/>
  <c r="M10" i="5"/>
  <c r="N10" i="5" s="1"/>
  <c r="O10" i="5" s="1"/>
  <c r="P10" i="5" s="1"/>
  <c r="N11" i="5"/>
  <c r="O11" i="5" s="1"/>
  <c r="P11" i="5" s="1"/>
  <c r="E16" i="13"/>
  <c r="F16" i="13" s="1"/>
  <c r="F14" i="13"/>
  <c r="E17" i="13"/>
  <c r="F17" i="13" s="1"/>
  <c r="E6" i="15"/>
  <c r="N13" i="5"/>
  <c r="O13" i="5" s="1"/>
  <c r="P13" i="5" s="1"/>
  <c r="B24" i="1"/>
  <c r="L6" i="1"/>
  <c r="J7" i="1"/>
  <c r="M22" i="5"/>
  <c r="M7" i="5"/>
  <c r="M15" i="5"/>
  <c r="M14" i="5"/>
  <c r="K65" i="15"/>
  <c r="N5" i="14"/>
  <c r="F31" i="14" s="1"/>
  <c r="G4" i="5"/>
  <c r="Q4" i="5" s="1"/>
  <c r="B65" i="15" l="1"/>
  <c r="AF65" i="15" s="1"/>
  <c r="T4" i="5"/>
  <c r="F65" i="15"/>
  <c r="N7" i="5"/>
  <c r="O7" i="5" s="1"/>
  <c r="P7" i="5" s="1"/>
  <c r="M24" i="5"/>
  <c r="N24" i="5" s="1"/>
  <c r="O24" i="5" s="1"/>
  <c r="P24" i="5" s="1"/>
  <c r="M16" i="5"/>
  <c r="N16" i="5" s="1"/>
  <c r="O16" i="5" s="1"/>
  <c r="P16" i="5" s="1"/>
  <c r="N14" i="5"/>
  <c r="O14" i="5" s="1"/>
  <c r="P14" i="5" s="1"/>
  <c r="M17" i="5"/>
  <c r="N17" i="5" s="1"/>
  <c r="O17" i="5" s="1"/>
  <c r="P17" i="5" s="1"/>
  <c r="S4" i="14"/>
  <c r="I30" i="14" s="1"/>
  <c r="AB6" i="14"/>
  <c r="AB7" i="14" s="1"/>
  <c r="AB8" i="14" s="1"/>
  <c r="M5" i="5"/>
  <c r="N5" i="5" s="1"/>
  <c r="O5" i="5" s="1"/>
  <c r="P5" i="5" s="1"/>
  <c r="AI31" i="14"/>
  <c r="AB31" i="14"/>
  <c r="AP31" i="14"/>
  <c r="U31" i="14"/>
  <c r="N22" i="5"/>
  <c r="O22" i="5" s="1"/>
  <c r="P22" i="5" s="1"/>
  <c r="M8" i="5"/>
  <c r="N8" i="5" s="1"/>
  <c r="O8" i="5" s="1"/>
  <c r="P8" i="5" s="1"/>
  <c r="T65" i="15"/>
  <c r="N15" i="5"/>
  <c r="O15" i="5" s="1"/>
  <c r="P15" i="5" s="1"/>
  <c r="D6" i="15"/>
  <c r="F29" i="13"/>
  <c r="M9" i="5"/>
  <c r="N9" i="5" s="1"/>
  <c r="O9" i="5" s="1"/>
  <c r="P9" i="5" s="1"/>
  <c r="M23" i="5"/>
  <c r="N23" i="5" s="1"/>
  <c r="O23" i="5" s="1"/>
  <c r="P23" i="5" s="1"/>
  <c r="K66" i="15"/>
  <c r="G5" i="5"/>
  <c r="N6" i="14"/>
  <c r="F32" i="14" s="1"/>
  <c r="E27" i="15"/>
  <c r="C28" i="15"/>
  <c r="D27" i="15"/>
  <c r="L8" i="1"/>
  <c r="E28" i="15"/>
  <c r="B13" i="1"/>
  <c r="B14" i="1" s="1"/>
  <c r="M4" i="5"/>
  <c r="N4" i="5" s="1"/>
  <c r="C6" i="15"/>
  <c r="H27" i="15" l="1"/>
  <c r="H28" i="15" s="1"/>
  <c r="G27" i="15"/>
  <c r="G28" i="15" s="1"/>
  <c r="B66" i="15"/>
  <c r="AF66" i="15" s="1"/>
  <c r="T5" i="5"/>
  <c r="Q5" i="5"/>
  <c r="L30" i="14"/>
  <c r="K30" i="14"/>
  <c r="K5" i="7"/>
  <c r="J30" i="14"/>
  <c r="AX65" i="15"/>
  <c r="BB65" i="15" s="1"/>
  <c r="AO65" i="15"/>
  <c r="H65" i="15"/>
  <c r="I65" i="15" s="1"/>
  <c r="O4" i="5"/>
  <c r="X1034" i="20"/>
  <c r="X1026" i="20"/>
  <c r="X1018" i="20"/>
  <c r="X1027" i="20"/>
  <c r="X1019" i="20"/>
  <c r="X1028" i="20"/>
  <c r="X1020" i="20"/>
  <c r="X1029" i="20"/>
  <c r="X1021" i="20"/>
  <c r="X1030" i="20"/>
  <c r="X1022" i="20"/>
  <c r="X1033" i="20"/>
  <c r="X1025" i="20"/>
  <c r="X1017" i="20"/>
  <c r="X1023" i="20"/>
  <c r="X1011" i="20"/>
  <c r="X1003" i="20"/>
  <c r="X995" i="20"/>
  <c r="X1016" i="20"/>
  <c r="X1012" i="20"/>
  <c r="X1004" i="20"/>
  <c r="X996" i="20"/>
  <c r="X1031" i="20"/>
  <c r="X1013" i="20"/>
  <c r="X1005" i="20"/>
  <c r="X997" i="20"/>
  <c r="X1032" i="20"/>
  <c r="X1008" i="20"/>
  <c r="X1000" i="20"/>
  <c r="X1015" i="20"/>
  <c r="X1009" i="20"/>
  <c r="X1001" i="20"/>
  <c r="X1010" i="20"/>
  <c r="X991" i="20"/>
  <c r="X983" i="20"/>
  <c r="X992" i="20"/>
  <c r="X984" i="20"/>
  <c r="X976" i="20"/>
  <c r="X1024" i="20"/>
  <c r="X1007" i="20"/>
  <c r="X1006" i="20"/>
  <c r="X994" i="20"/>
  <c r="X985" i="20"/>
  <c r="X977" i="20"/>
  <c r="X993" i="20"/>
  <c r="X986" i="20"/>
  <c r="X1014" i="20"/>
  <c r="X1002" i="20"/>
  <c r="X988" i="20"/>
  <c r="X980" i="20"/>
  <c r="X982" i="20"/>
  <c r="X981" i="20"/>
  <c r="X972" i="20"/>
  <c r="X964" i="20"/>
  <c r="X998" i="20"/>
  <c r="X979" i="20"/>
  <c r="X973" i="20"/>
  <c r="X965" i="20"/>
  <c r="X957" i="20"/>
  <c r="X975" i="20"/>
  <c r="X974" i="20"/>
  <c r="X966" i="20"/>
  <c r="X958" i="20"/>
  <c r="X990" i="20"/>
  <c r="X989" i="20"/>
  <c r="X967" i="20"/>
  <c r="X959" i="20"/>
  <c r="X987" i="20"/>
  <c r="X968" i="20"/>
  <c r="X960" i="20"/>
  <c r="X969" i="20"/>
  <c r="X961" i="20"/>
  <c r="X963" i="20"/>
  <c r="X955" i="20"/>
  <c r="X947" i="20"/>
  <c r="X939" i="20"/>
  <c r="X978" i="20"/>
  <c r="X956" i="20"/>
  <c r="X948" i="20"/>
  <c r="X940" i="20"/>
  <c r="X971" i="20"/>
  <c r="X949" i="20"/>
  <c r="X941" i="20"/>
  <c r="X999" i="20"/>
  <c r="X950" i="20"/>
  <c r="X942" i="20"/>
  <c r="X962" i="20"/>
  <c r="X952" i="20"/>
  <c r="X944" i="20"/>
  <c r="X936" i="20"/>
  <c r="X946" i="20"/>
  <c r="X945" i="20"/>
  <c r="X928" i="20"/>
  <c r="X920" i="20"/>
  <c r="X943" i="20"/>
  <c r="X929" i="20"/>
  <c r="X921" i="20"/>
  <c r="X930" i="20"/>
  <c r="X922" i="20"/>
  <c r="X954" i="20"/>
  <c r="X953" i="20"/>
  <c r="X935" i="20"/>
  <c r="X931" i="20"/>
  <c r="X923" i="20"/>
  <c r="X951" i="20"/>
  <c r="X932" i="20"/>
  <c r="X924" i="20"/>
  <c r="X970" i="20"/>
  <c r="X938" i="20"/>
  <c r="X937" i="20"/>
  <c r="X933" i="20"/>
  <c r="X910" i="20"/>
  <c r="X902" i="20"/>
  <c r="X894" i="20"/>
  <c r="X886" i="20"/>
  <c r="X878" i="20"/>
  <c r="X870" i="20"/>
  <c r="X911" i="20"/>
  <c r="X903" i="20"/>
  <c r="X895" i="20"/>
  <c r="X887" i="20"/>
  <c r="X879" i="20"/>
  <c r="X871" i="20"/>
  <c r="X912" i="20"/>
  <c r="X904" i="20"/>
  <c r="X896" i="20"/>
  <c r="X888" i="20"/>
  <c r="X880" i="20"/>
  <c r="X872" i="20"/>
  <c r="X919" i="20"/>
  <c r="X918" i="20"/>
  <c r="X917" i="20"/>
  <c r="X913" i="20"/>
  <c r="X905" i="20"/>
  <c r="X897" i="20"/>
  <c r="X889" i="20"/>
  <c r="X881" i="20"/>
  <c r="X873" i="20"/>
  <c r="X914" i="20"/>
  <c r="X906" i="20"/>
  <c r="X898" i="20"/>
  <c r="X890" i="20"/>
  <c r="X882" i="20"/>
  <c r="X874" i="20"/>
  <c r="X934" i="20"/>
  <c r="X915" i="20"/>
  <c r="X907" i="20"/>
  <c r="X899" i="20"/>
  <c r="X891" i="20"/>
  <c r="X883" i="20"/>
  <c r="X875" i="20"/>
  <c r="X867" i="20"/>
  <c r="X925" i="20"/>
  <c r="X900" i="20"/>
  <c r="X868" i="20"/>
  <c r="X865" i="20"/>
  <c r="X857" i="20"/>
  <c r="X893" i="20"/>
  <c r="X866" i="20"/>
  <c r="X858" i="20"/>
  <c r="X908" i="20"/>
  <c r="X876" i="20"/>
  <c r="X859" i="20"/>
  <c r="X851" i="20"/>
  <c r="X901" i="20"/>
  <c r="X869" i="20"/>
  <c r="X860" i="20"/>
  <c r="X852" i="20"/>
  <c r="X909" i="20"/>
  <c r="X877" i="20"/>
  <c r="X862" i="20"/>
  <c r="X854" i="20"/>
  <c r="X926" i="20"/>
  <c r="X892" i="20"/>
  <c r="X863" i="20"/>
  <c r="X855" i="20"/>
  <c r="X853" i="20"/>
  <c r="X847" i="20"/>
  <c r="X839" i="20"/>
  <c r="X831" i="20"/>
  <c r="X823" i="20"/>
  <c r="X815" i="20"/>
  <c r="X807" i="20"/>
  <c r="X885" i="20"/>
  <c r="X864" i="20"/>
  <c r="X848" i="20"/>
  <c r="X840" i="20"/>
  <c r="X832" i="20"/>
  <c r="X824" i="20"/>
  <c r="X816" i="20"/>
  <c r="X808" i="20"/>
  <c r="X800" i="20"/>
  <c r="X884" i="20"/>
  <c r="X861" i="20"/>
  <c r="X849" i="20"/>
  <c r="X841" i="20"/>
  <c r="X833" i="20"/>
  <c r="X825" i="20"/>
  <c r="X817" i="20"/>
  <c r="X809" i="20"/>
  <c r="X801" i="20"/>
  <c r="X850" i="20"/>
  <c r="X842" i="20"/>
  <c r="X834" i="20"/>
  <c r="X826" i="20"/>
  <c r="X818" i="20"/>
  <c r="X810" i="20"/>
  <c r="X916" i="20"/>
  <c r="X843" i="20"/>
  <c r="X835" i="20"/>
  <c r="X827" i="20"/>
  <c r="X819" i="20"/>
  <c r="X811" i="20"/>
  <c r="X803" i="20"/>
  <c r="X844" i="20"/>
  <c r="X836" i="20"/>
  <c r="X828" i="20"/>
  <c r="X820" i="20"/>
  <c r="X812" i="20"/>
  <c r="X804" i="20"/>
  <c r="X927" i="20"/>
  <c r="X829" i="20"/>
  <c r="X805" i="20"/>
  <c r="X798" i="20"/>
  <c r="X790" i="20"/>
  <c r="X782" i="20"/>
  <c r="X774" i="20"/>
  <c r="X766" i="20"/>
  <c r="X758" i="20"/>
  <c r="X822" i="20"/>
  <c r="X799" i="20"/>
  <c r="X791" i="20"/>
  <c r="X783" i="20"/>
  <c r="X775" i="20"/>
  <c r="X767" i="20"/>
  <c r="X759" i="20"/>
  <c r="X837" i="20"/>
  <c r="X792" i="20"/>
  <c r="X784" i="20"/>
  <c r="X776" i="20"/>
  <c r="X768" i="20"/>
  <c r="X760" i="20"/>
  <c r="X856" i="20"/>
  <c r="X830" i="20"/>
  <c r="X802" i="20"/>
  <c r="X793" i="20"/>
  <c r="X785" i="20"/>
  <c r="X777" i="20"/>
  <c r="X769" i="20"/>
  <c r="X761" i="20"/>
  <c r="X845" i="20"/>
  <c r="X813" i="20"/>
  <c r="X794" i="20"/>
  <c r="X786" i="20"/>
  <c r="X778" i="20"/>
  <c r="X770" i="20"/>
  <c r="X762" i="20"/>
  <c r="X838" i="20"/>
  <c r="X789" i="20"/>
  <c r="X788" i="20"/>
  <c r="X787" i="20"/>
  <c r="X755" i="20"/>
  <c r="X747" i="20"/>
  <c r="X739" i="20"/>
  <c r="X731" i="20"/>
  <c r="X723" i="20"/>
  <c r="X846" i="20"/>
  <c r="X814" i="20"/>
  <c r="X806" i="20"/>
  <c r="X756" i="20"/>
  <c r="X748" i="20"/>
  <c r="X740" i="20"/>
  <c r="X732" i="20"/>
  <c r="X724" i="20"/>
  <c r="X773" i="20"/>
  <c r="X772" i="20"/>
  <c r="X771" i="20"/>
  <c r="X749" i="20"/>
  <c r="X741" i="20"/>
  <c r="X733" i="20"/>
  <c r="X725" i="20"/>
  <c r="X797" i="20"/>
  <c r="X796" i="20"/>
  <c r="X795" i="20"/>
  <c r="X750" i="20"/>
  <c r="X742" i="20"/>
  <c r="X734" i="20"/>
  <c r="X726" i="20"/>
  <c r="X821" i="20"/>
  <c r="X751" i="20"/>
  <c r="X743" i="20"/>
  <c r="X735" i="20"/>
  <c r="X727" i="20"/>
  <c r="X719" i="20"/>
  <c r="X781" i="20"/>
  <c r="X780" i="20"/>
  <c r="X779" i="20"/>
  <c r="X752" i="20"/>
  <c r="X744" i="20"/>
  <c r="X736" i="20"/>
  <c r="X728" i="20"/>
  <c r="X720" i="20"/>
  <c r="X757" i="20"/>
  <c r="X729" i="20"/>
  <c r="X713" i="20"/>
  <c r="X705" i="20"/>
  <c r="X697" i="20"/>
  <c r="X689" i="20"/>
  <c r="X681" i="20"/>
  <c r="X763" i="20"/>
  <c r="X754" i="20"/>
  <c r="X722" i="20"/>
  <c r="X714" i="20"/>
  <c r="X706" i="20"/>
  <c r="X698" i="20"/>
  <c r="X690" i="20"/>
  <c r="X682" i="20"/>
  <c r="X737" i="20"/>
  <c r="X715" i="20"/>
  <c r="X707" i="20"/>
  <c r="X699" i="20"/>
  <c r="X691" i="20"/>
  <c r="X683" i="20"/>
  <c r="X675" i="20"/>
  <c r="X730" i="20"/>
  <c r="X716" i="20"/>
  <c r="X708" i="20"/>
  <c r="X700" i="20"/>
  <c r="X692" i="20"/>
  <c r="X684" i="20"/>
  <c r="X676" i="20"/>
  <c r="X745" i="20"/>
  <c r="X717" i="20"/>
  <c r="X709" i="20"/>
  <c r="X701" i="20"/>
  <c r="X693" i="20"/>
  <c r="X685" i="20"/>
  <c r="X677" i="20"/>
  <c r="X765" i="20"/>
  <c r="X738" i="20"/>
  <c r="X718" i="20"/>
  <c r="X710" i="20"/>
  <c r="X702" i="20"/>
  <c r="X694" i="20"/>
  <c r="X686" i="20"/>
  <c r="X678" i="20"/>
  <c r="X764" i="20"/>
  <c r="X746" i="20"/>
  <c r="X712" i="20"/>
  <c r="X704" i="20"/>
  <c r="X721" i="20"/>
  <c r="X711" i="20"/>
  <c r="X688" i="20"/>
  <c r="X674" i="20"/>
  <c r="X666" i="20"/>
  <c r="X658" i="20"/>
  <c r="X650" i="20"/>
  <c r="X642" i="20"/>
  <c r="X634" i="20"/>
  <c r="X753" i="20"/>
  <c r="X703" i="20"/>
  <c r="X667" i="20"/>
  <c r="X659" i="20"/>
  <c r="X651" i="20"/>
  <c r="X643" i="20"/>
  <c r="X635" i="20"/>
  <c r="X627" i="20"/>
  <c r="X696" i="20"/>
  <c r="X668" i="20"/>
  <c r="X660" i="20"/>
  <c r="X652" i="20"/>
  <c r="X644" i="20"/>
  <c r="X636" i="20"/>
  <c r="X679" i="20"/>
  <c r="X669" i="20"/>
  <c r="X661" i="20"/>
  <c r="X653" i="20"/>
  <c r="X645" i="20"/>
  <c r="X637" i="20"/>
  <c r="X629" i="20"/>
  <c r="X670" i="20"/>
  <c r="X662" i="20"/>
  <c r="X654" i="20"/>
  <c r="X646" i="20"/>
  <c r="X638" i="20"/>
  <c r="X630" i="20"/>
  <c r="X695" i="20"/>
  <c r="X673" i="20"/>
  <c r="X665" i="20"/>
  <c r="X657" i="20"/>
  <c r="X649" i="20"/>
  <c r="X641" i="20"/>
  <c r="X633" i="20"/>
  <c r="X663" i="20"/>
  <c r="X623" i="20"/>
  <c r="X615" i="20"/>
  <c r="X607" i="20"/>
  <c r="X599" i="20"/>
  <c r="X591" i="20"/>
  <c r="X656" i="20"/>
  <c r="X624" i="20"/>
  <c r="X616" i="20"/>
  <c r="X608" i="20"/>
  <c r="X600" i="20"/>
  <c r="X592" i="20"/>
  <c r="X584" i="20"/>
  <c r="X671" i="20"/>
  <c r="X639" i="20"/>
  <c r="X628" i="20"/>
  <c r="X625" i="20"/>
  <c r="X617" i="20"/>
  <c r="X609" i="20"/>
  <c r="X601" i="20"/>
  <c r="X593" i="20"/>
  <c r="X664" i="20"/>
  <c r="X626" i="20"/>
  <c r="X618" i="20"/>
  <c r="X610" i="20"/>
  <c r="X602" i="20"/>
  <c r="X594" i="20"/>
  <c r="X586" i="20"/>
  <c r="X687" i="20"/>
  <c r="X647" i="20"/>
  <c r="X632" i="20"/>
  <c r="X619" i="20"/>
  <c r="X611" i="20"/>
  <c r="X603" i="20"/>
  <c r="X595" i="20"/>
  <c r="X587" i="20"/>
  <c r="X672" i="20"/>
  <c r="X640" i="20"/>
  <c r="X620" i="20"/>
  <c r="X612" i="20"/>
  <c r="X604" i="20"/>
  <c r="X596" i="20"/>
  <c r="X588" i="20"/>
  <c r="X680" i="20"/>
  <c r="X648" i="20"/>
  <c r="X631" i="20"/>
  <c r="X622" i="20"/>
  <c r="X614" i="20"/>
  <c r="X606" i="20"/>
  <c r="X598" i="20"/>
  <c r="X590" i="20"/>
  <c r="X578" i="20"/>
  <c r="X570" i="20"/>
  <c r="X562" i="20"/>
  <c r="X554" i="20"/>
  <c r="X546" i="20"/>
  <c r="X579" i="20"/>
  <c r="X571" i="20"/>
  <c r="X563" i="20"/>
  <c r="X555" i="20"/>
  <c r="X547" i="20"/>
  <c r="X539" i="20"/>
  <c r="X597" i="20"/>
  <c r="X585" i="20"/>
  <c r="X580" i="20"/>
  <c r="X572" i="20"/>
  <c r="X564" i="20"/>
  <c r="X556" i="20"/>
  <c r="X548" i="20"/>
  <c r="X540" i="20"/>
  <c r="X605" i="20"/>
  <c r="X581" i="20"/>
  <c r="X573" i="20"/>
  <c r="X565" i="20"/>
  <c r="X557" i="20"/>
  <c r="X549" i="20"/>
  <c r="X613" i="20"/>
  <c r="X582" i="20"/>
  <c r="X574" i="20"/>
  <c r="X566" i="20"/>
  <c r="X558" i="20"/>
  <c r="X550" i="20"/>
  <c r="X542" i="20"/>
  <c r="X534" i="20"/>
  <c r="X655" i="20"/>
  <c r="X621" i="20"/>
  <c r="X575" i="20"/>
  <c r="X567" i="20"/>
  <c r="X559" i="20"/>
  <c r="X551" i="20"/>
  <c r="X543" i="20"/>
  <c r="X535" i="20"/>
  <c r="X583" i="20"/>
  <c r="X576" i="20"/>
  <c r="X568" i="20"/>
  <c r="X560" i="20"/>
  <c r="X552" i="20"/>
  <c r="X544" i="20"/>
  <c r="X536" i="20"/>
  <c r="X553" i="20"/>
  <c r="X541" i="20"/>
  <c r="X524" i="20"/>
  <c r="X516" i="20"/>
  <c r="X508" i="20"/>
  <c r="X500" i="20"/>
  <c r="X492" i="20"/>
  <c r="X484" i="20"/>
  <c r="X476" i="20"/>
  <c r="X468" i="20"/>
  <c r="X460" i="20"/>
  <c r="X452" i="20"/>
  <c r="X444" i="20"/>
  <c r="X436" i="20"/>
  <c r="X428" i="20"/>
  <c r="X561" i="20"/>
  <c r="X545" i="20"/>
  <c r="X538" i="20"/>
  <c r="X537" i="20"/>
  <c r="X525" i="20"/>
  <c r="X517" i="20"/>
  <c r="X509" i="20"/>
  <c r="X501" i="20"/>
  <c r="X493" i="20"/>
  <c r="X485" i="20"/>
  <c r="X477" i="20"/>
  <c r="X469" i="20"/>
  <c r="X461" i="20"/>
  <c r="X453" i="20"/>
  <c r="X445" i="20"/>
  <c r="X437" i="20"/>
  <c r="X429" i="20"/>
  <c r="X569" i="20"/>
  <c r="X526" i="20"/>
  <c r="X518" i="20"/>
  <c r="X510" i="20"/>
  <c r="X502" i="20"/>
  <c r="X494" i="20"/>
  <c r="X486" i="20"/>
  <c r="X478" i="20"/>
  <c r="X470" i="20"/>
  <c r="X462" i="20"/>
  <c r="X454" i="20"/>
  <c r="X446" i="20"/>
  <c r="X438" i="20"/>
  <c r="X430" i="20"/>
  <c r="X589" i="20"/>
  <c r="X577" i="20"/>
  <c r="X527" i="20"/>
  <c r="X519" i="20"/>
  <c r="X511" i="20"/>
  <c r="X503" i="20"/>
  <c r="X495" i="20"/>
  <c r="X487" i="20"/>
  <c r="X479" i="20"/>
  <c r="X471" i="20"/>
  <c r="X463" i="20"/>
  <c r="X455" i="20"/>
  <c r="X447" i="20"/>
  <c r="X439" i="20"/>
  <c r="X431" i="20"/>
  <c r="X533" i="20"/>
  <c r="X528" i="20"/>
  <c r="X520" i="20"/>
  <c r="X512" i="20"/>
  <c r="X504" i="20"/>
  <c r="X496" i="20"/>
  <c r="X488" i="20"/>
  <c r="X480" i="20"/>
  <c r="X472" i="20"/>
  <c r="X464" i="20"/>
  <c r="X456" i="20"/>
  <c r="X448" i="20"/>
  <c r="X440" i="20"/>
  <c r="X432" i="20"/>
  <c r="X424" i="20"/>
  <c r="X532" i="20"/>
  <c r="X529" i="20"/>
  <c r="X521" i="20"/>
  <c r="X513" i="20"/>
  <c r="X505" i="20"/>
  <c r="X497" i="20"/>
  <c r="X489" i="20"/>
  <c r="X481" i="20"/>
  <c r="X473" i="20"/>
  <c r="X465" i="20"/>
  <c r="X457" i="20"/>
  <c r="X449" i="20"/>
  <c r="X441" i="20"/>
  <c r="X433" i="20"/>
  <c r="X425" i="20"/>
  <c r="X531" i="20"/>
  <c r="X523" i="20"/>
  <c r="X515" i="20"/>
  <c r="X507" i="20"/>
  <c r="X499" i="20"/>
  <c r="X491" i="20"/>
  <c r="X483" i="20"/>
  <c r="X475" i="20"/>
  <c r="X467" i="20"/>
  <c r="X459" i="20"/>
  <c r="X451" i="20"/>
  <c r="X443" i="20"/>
  <c r="X435" i="20"/>
  <c r="X427" i="20"/>
  <c r="X506" i="20"/>
  <c r="X442" i="20"/>
  <c r="X416" i="20"/>
  <c r="X408" i="20"/>
  <c r="X400" i="20"/>
  <c r="X392" i="20"/>
  <c r="X384" i="20"/>
  <c r="X376" i="20"/>
  <c r="X368" i="20"/>
  <c r="X360" i="20"/>
  <c r="X352" i="20"/>
  <c r="X344" i="20"/>
  <c r="X336" i="20"/>
  <c r="X328" i="20"/>
  <c r="X514" i="20"/>
  <c r="X450" i="20"/>
  <c r="X426" i="20"/>
  <c r="X417" i="20"/>
  <c r="X409" i="20"/>
  <c r="X401" i="20"/>
  <c r="X393" i="20"/>
  <c r="X385" i="20"/>
  <c r="X377" i="20"/>
  <c r="X369" i="20"/>
  <c r="X361" i="20"/>
  <c r="X353" i="20"/>
  <c r="X345" i="20"/>
  <c r="X337" i="20"/>
  <c r="X329" i="20"/>
  <c r="X321" i="20"/>
  <c r="X522" i="20"/>
  <c r="X458" i="20"/>
  <c r="X418" i="20"/>
  <c r="X410" i="20"/>
  <c r="X402" i="20"/>
  <c r="X394" i="20"/>
  <c r="X386" i="20"/>
  <c r="X378" i="20"/>
  <c r="X370" i="20"/>
  <c r="X362" i="20"/>
  <c r="X354" i="20"/>
  <c r="X346" i="20"/>
  <c r="X338" i="20"/>
  <c r="X330" i="20"/>
  <c r="X322" i="20"/>
  <c r="X530" i="20"/>
  <c r="X466" i="20"/>
  <c r="X419" i="20"/>
  <c r="X411" i="20"/>
  <c r="X403" i="20"/>
  <c r="X395" i="20"/>
  <c r="X387" i="20"/>
  <c r="X379" i="20"/>
  <c r="X371" i="20"/>
  <c r="X363" i="20"/>
  <c r="X355" i="20"/>
  <c r="X347" i="20"/>
  <c r="X339" i="20"/>
  <c r="X331" i="20"/>
  <c r="X323" i="20"/>
  <c r="X474" i="20"/>
  <c r="X420" i="20"/>
  <c r="X412" i="20"/>
  <c r="X404" i="20"/>
  <c r="X396" i="20"/>
  <c r="X388" i="20"/>
  <c r="X380" i="20"/>
  <c r="X372" i="20"/>
  <c r="X364" i="20"/>
  <c r="X356" i="20"/>
  <c r="X348" i="20"/>
  <c r="X340" i="20"/>
  <c r="X332" i="20"/>
  <c r="X324" i="20"/>
  <c r="X482" i="20"/>
  <c r="X421" i="20"/>
  <c r="X413" i="20"/>
  <c r="X405" i="20"/>
  <c r="X397" i="20"/>
  <c r="X389" i="20"/>
  <c r="X381" i="20"/>
  <c r="X373" i="20"/>
  <c r="X365" i="20"/>
  <c r="X357" i="20"/>
  <c r="X349" i="20"/>
  <c r="X341" i="20"/>
  <c r="X333" i="20"/>
  <c r="X325" i="20"/>
  <c r="X498" i="20"/>
  <c r="X434" i="20"/>
  <c r="X423" i="20"/>
  <c r="X415" i="20"/>
  <c r="X407" i="20"/>
  <c r="X399" i="20"/>
  <c r="X391" i="20"/>
  <c r="X383" i="20"/>
  <c r="X375" i="20"/>
  <c r="X367" i="20"/>
  <c r="X359" i="20"/>
  <c r="X351" i="20"/>
  <c r="X343" i="20"/>
  <c r="X335" i="20"/>
  <c r="X414" i="20"/>
  <c r="X350" i="20"/>
  <c r="X326" i="20"/>
  <c r="X319" i="20"/>
  <c r="X311" i="20"/>
  <c r="X303" i="20"/>
  <c r="X295" i="20"/>
  <c r="X287" i="20"/>
  <c r="X279" i="20"/>
  <c r="X271" i="20"/>
  <c r="X263" i="20"/>
  <c r="X255" i="20"/>
  <c r="X247" i="20"/>
  <c r="X239" i="20"/>
  <c r="X231" i="20"/>
  <c r="X223" i="20"/>
  <c r="X422" i="20"/>
  <c r="X358" i="20"/>
  <c r="X320" i="20"/>
  <c r="X312" i="20"/>
  <c r="X304" i="20"/>
  <c r="X296" i="20"/>
  <c r="X288" i="20"/>
  <c r="X280" i="20"/>
  <c r="X272" i="20"/>
  <c r="X264" i="20"/>
  <c r="X256" i="20"/>
  <c r="X248" i="20"/>
  <c r="X240" i="20"/>
  <c r="X232" i="20"/>
  <c r="X224" i="20"/>
  <c r="X490" i="20"/>
  <c r="X366" i="20"/>
  <c r="X313" i="20"/>
  <c r="X305" i="20"/>
  <c r="X297" i="20"/>
  <c r="X289" i="20"/>
  <c r="X281" i="20"/>
  <c r="X273" i="20"/>
  <c r="X265" i="20"/>
  <c r="X257" i="20"/>
  <c r="X249" i="20"/>
  <c r="X241" i="20"/>
  <c r="X233" i="20"/>
  <c r="X225" i="20"/>
  <c r="X374" i="20"/>
  <c r="X327" i="20"/>
  <c r="X314" i="20"/>
  <c r="X306" i="20"/>
  <c r="X298" i="20"/>
  <c r="X290" i="20"/>
  <c r="X282" i="20"/>
  <c r="X274" i="20"/>
  <c r="X266" i="20"/>
  <c r="X258" i="20"/>
  <c r="X250" i="20"/>
  <c r="X242" i="20"/>
  <c r="X234" i="20"/>
  <c r="X226" i="20"/>
  <c r="X218" i="20"/>
  <c r="X382" i="20"/>
  <c r="X315" i="20"/>
  <c r="X307" i="20"/>
  <c r="X299" i="20"/>
  <c r="X291" i="20"/>
  <c r="X283" i="20"/>
  <c r="X275" i="20"/>
  <c r="X267" i="20"/>
  <c r="X259" i="20"/>
  <c r="X251" i="20"/>
  <c r="X243" i="20"/>
  <c r="X235" i="20"/>
  <c r="X227" i="20"/>
  <c r="X219" i="20"/>
  <c r="X406" i="20"/>
  <c r="X342" i="20"/>
  <c r="X318" i="20"/>
  <c r="X310" i="20"/>
  <c r="X302" i="20"/>
  <c r="X294" i="20"/>
  <c r="X286" i="20"/>
  <c r="X278" i="20"/>
  <c r="X270" i="20"/>
  <c r="X262" i="20"/>
  <c r="X254" i="20"/>
  <c r="X246" i="20"/>
  <c r="X238" i="20"/>
  <c r="X230" i="20"/>
  <c r="X222" i="20"/>
  <c r="X300" i="20"/>
  <c r="X268" i="20"/>
  <c r="X236" i="20"/>
  <c r="X212" i="20"/>
  <c r="X204" i="20"/>
  <c r="X196" i="20"/>
  <c r="X188" i="20"/>
  <c r="X180" i="20"/>
  <c r="X172" i="20"/>
  <c r="X164" i="20"/>
  <c r="X156" i="20"/>
  <c r="X148" i="20"/>
  <c r="X140" i="20"/>
  <c r="X132" i="20"/>
  <c r="X293" i="20"/>
  <c r="X261" i="20"/>
  <c r="X229" i="20"/>
  <c r="X213" i="20"/>
  <c r="X205" i="20"/>
  <c r="X197" i="20"/>
  <c r="X189" i="20"/>
  <c r="X181" i="20"/>
  <c r="X173" i="20"/>
  <c r="X165" i="20"/>
  <c r="X157" i="20"/>
  <c r="X149" i="20"/>
  <c r="X141" i="20"/>
  <c r="X133" i="20"/>
  <c r="X390" i="20"/>
  <c r="X308" i="20"/>
  <c r="X276" i="20"/>
  <c r="X244" i="20"/>
  <c r="X214" i="20"/>
  <c r="X206" i="20"/>
  <c r="X198" i="20"/>
  <c r="X190" i="20"/>
  <c r="X182" i="20"/>
  <c r="X174" i="20"/>
  <c r="X166" i="20"/>
  <c r="X158" i="20"/>
  <c r="X150" i="20"/>
  <c r="X142" i="20"/>
  <c r="X134" i="20"/>
  <c r="X334" i="20"/>
  <c r="X301" i="20"/>
  <c r="X269" i="20"/>
  <c r="X237" i="20"/>
  <c r="X215" i="20"/>
  <c r="X207" i="20"/>
  <c r="X199" i="20"/>
  <c r="X191" i="20"/>
  <c r="X183" i="20"/>
  <c r="X175" i="20"/>
  <c r="X167" i="20"/>
  <c r="X159" i="20"/>
  <c r="X151" i="20"/>
  <c r="X143" i="20"/>
  <c r="X135" i="20"/>
  <c r="X316" i="20"/>
  <c r="X284" i="20"/>
  <c r="X252" i="20"/>
  <c r="X220" i="20"/>
  <c r="X216" i="20"/>
  <c r="X208" i="20"/>
  <c r="X200" i="20"/>
  <c r="X192" i="20"/>
  <c r="X184" i="20"/>
  <c r="X176" i="20"/>
  <c r="X168" i="20"/>
  <c r="X160" i="20"/>
  <c r="X152" i="20"/>
  <c r="X144" i="20"/>
  <c r="X136" i="20"/>
  <c r="X317" i="20"/>
  <c r="X285" i="20"/>
  <c r="X253" i="20"/>
  <c r="X221" i="20"/>
  <c r="X211" i="20"/>
  <c r="X203" i="20"/>
  <c r="X195" i="20"/>
  <c r="X187" i="20"/>
  <c r="X179" i="20"/>
  <c r="X171" i="20"/>
  <c r="X163" i="20"/>
  <c r="X155" i="20"/>
  <c r="X147" i="20"/>
  <c r="X139" i="20"/>
  <c r="X131" i="20"/>
  <c r="X193" i="20"/>
  <c r="X161" i="20"/>
  <c r="X129" i="20"/>
  <c r="X124" i="20"/>
  <c r="X116" i="20"/>
  <c r="X108" i="20"/>
  <c r="X100" i="20"/>
  <c r="X92" i="20"/>
  <c r="X84" i="20"/>
  <c r="X76" i="20"/>
  <c r="X68" i="20"/>
  <c r="X60" i="20"/>
  <c r="X186" i="20"/>
  <c r="X154" i="20"/>
  <c r="X125" i="20"/>
  <c r="X117" i="20"/>
  <c r="X109" i="20"/>
  <c r="X101" i="20"/>
  <c r="X93" i="20"/>
  <c r="X85" i="20"/>
  <c r="X77" i="20"/>
  <c r="X69" i="20"/>
  <c r="X61" i="20"/>
  <c r="X245" i="20"/>
  <c r="X201" i="20"/>
  <c r="X169" i="20"/>
  <c r="X137" i="20"/>
  <c r="X126" i="20"/>
  <c r="X118" i="20"/>
  <c r="X110" i="20"/>
  <c r="X102" i="20"/>
  <c r="X94" i="20"/>
  <c r="X86" i="20"/>
  <c r="X78" i="20"/>
  <c r="X70" i="20"/>
  <c r="X62" i="20"/>
  <c r="X228" i="20"/>
  <c r="X194" i="20"/>
  <c r="X162" i="20"/>
  <c r="X130" i="20"/>
  <c r="X127" i="20"/>
  <c r="X119" i="20"/>
  <c r="X111" i="20"/>
  <c r="X103" i="20"/>
  <c r="X95" i="20"/>
  <c r="X87" i="20"/>
  <c r="X79" i="20"/>
  <c r="X71" i="20"/>
  <c r="X63" i="20"/>
  <c r="X277" i="20"/>
  <c r="X209" i="20"/>
  <c r="X177" i="20"/>
  <c r="X145" i="20"/>
  <c r="X128" i="20"/>
  <c r="X120" i="20"/>
  <c r="X112" i="20"/>
  <c r="X104" i="20"/>
  <c r="X96" i="20"/>
  <c r="X88" i="20"/>
  <c r="X80" i="20"/>
  <c r="X72" i="20"/>
  <c r="X64" i="20"/>
  <c r="X292" i="20"/>
  <c r="X210" i="20"/>
  <c r="X178" i="20"/>
  <c r="X146" i="20"/>
  <c r="X123" i="20"/>
  <c r="X115" i="20"/>
  <c r="X107" i="20"/>
  <c r="X99" i="20"/>
  <c r="X91" i="20"/>
  <c r="X83" i="20"/>
  <c r="X75" i="20"/>
  <c r="X67" i="20"/>
  <c r="X59" i="20"/>
  <c r="X202" i="20"/>
  <c r="X97" i="20"/>
  <c r="X65" i="20"/>
  <c r="X52" i="20"/>
  <c r="X44" i="20"/>
  <c r="AL30" i="14"/>
  <c r="AM30" i="14" s="1"/>
  <c r="X398" i="20"/>
  <c r="X309" i="20"/>
  <c r="X185" i="20"/>
  <c r="X122" i="20"/>
  <c r="X90" i="20"/>
  <c r="X58" i="20"/>
  <c r="X56" i="20"/>
  <c r="X51" i="20"/>
  <c r="X50" i="20"/>
  <c r="X43" i="20"/>
  <c r="X42" i="20"/>
  <c r="X260" i="20"/>
  <c r="X105" i="20"/>
  <c r="X73" i="20"/>
  <c r="X39" i="20"/>
  <c r="X37" i="20"/>
  <c r="X217" i="20"/>
  <c r="X98" i="20"/>
  <c r="X66" i="20"/>
  <c r="X49" i="20"/>
  <c r="X41" i="20"/>
  <c r="X138" i="20"/>
  <c r="X113" i="20"/>
  <c r="X81" i="20"/>
  <c r="X48" i="20"/>
  <c r="X36" i="20"/>
  <c r="X106" i="20"/>
  <c r="X74" i="20"/>
  <c r="X54" i="20"/>
  <c r="X47" i="20"/>
  <c r="X46" i="20"/>
  <c r="X38" i="20"/>
  <c r="X153" i="20"/>
  <c r="X114" i="20"/>
  <c r="X82" i="20"/>
  <c r="X57" i="20"/>
  <c r="X53" i="20"/>
  <c r="X45" i="20"/>
  <c r="X89" i="20"/>
  <c r="I53" i="14"/>
  <c r="B4" i="28" s="1"/>
  <c r="X121" i="20"/>
  <c r="AS30" i="14"/>
  <c r="AT30" i="14" s="1"/>
  <c r="X30" i="14"/>
  <c r="Y30" i="14" s="1"/>
  <c r="X40" i="20"/>
  <c r="X170" i="20"/>
  <c r="X55" i="20"/>
  <c r="X35" i="20"/>
  <c r="AE30" i="14"/>
  <c r="AF30" i="14" s="1"/>
  <c r="AB32" i="14"/>
  <c r="AI32" i="14"/>
  <c r="AP32" i="14"/>
  <c r="U32" i="14"/>
  <c r="K67" i="15"/>
  <c r="N7" i="14"/>
  <c r="F33" i="14" s="1"/>
  <c r="G6" i="5"/>
  <c r="T66" i="15"/>
  <c r="F6" i="15"/>
  <c r="F66" i="15" l="1"/>
  <c r="H66" i="15" s="1"/>
  <c r="I66" i="15" s="1"/>
  <c r="B67" i="15"/>
  <c r="AF67" i="15" s="1"/>
  <c r="T6" i="5"/>
  <c r="Q6" i="5"/>
  <c r="AX66" i="15"/>
  <c r="BB66" i="15" s="1"/>
  <c r="BD66" i="15" s="1"/>
  <c r="BE66" i="15" s="1"/>
  <c r="AO66" i="15"/>
  <c r="BD65" i="15"/>
  <c r="BE65" i="15" s="1"/>
  <c r="P4" i="5"/>
  <c r="P26" i="5" s="1"/>
  <c r="O26" i="5"/>
  <c r="X90" i="14"/>
  <c r="AW30" i="14"/>
  <c r="X60" i="14"/>
  <c r="I6" i="15"/>
  <c r="N8" i="14"/>
  <c r="F34" i="14" s="1"/>
  <c r="G7" i="5"/>
  <c r="K68" i="15"/>
  <c r="U33" i="14"/>
  <c r="AP33" i="14"/>
  <c r="AB33" i="14"/>
  <c r="AI33" i="14"/>
  <c r="T67" i="15"/>
  <c r="AU30" i="14"/>
  <c r="V90" i="14"/>
  <c r="V60" i="14"/>
  <c r="W90" i="14"/>
  <c r="AV30" i="14"/>
  <c r="W60" i="14"/>
  <c r="C31" i="28" s="1"/>
  <c r="F31" i="28" s="1"/>
  <c r="AX30" i="14"/>
  <c r="Y60" i="14"/>
  <c r="Y90" i="14"/>
  <c r="P5" i="7"/>
  <c r="R5" i="7"/>
  <c r="Q5" i="7" l="1"/>
  <c r="C164" i="29"/>
  <c r="F67" i="15"/>
  <c r="H67" i="15" s="1"/>
  <c r="I67" i="15" s="1"/>
  <c r="B68" i="15"/>
  <c r="AF68" i="15" s="1"/>
  <c r="T7" i="5"/>
  <c r="Q7" i="5"/>
  <c r="AX67" i="15"/>
  <c r="BB67" i="15" s="1"/>
  <c r="AO67" i="15"/>
  <c r="AZ30" i="14"/>
  <c r="Z60" i="14"/>
  <c r="AA90" i="14"/>
  <c r="Z90" i="14"/>
  <c r="G8" i="5"/>
  <c r="K69" i="15"/>
  <c r="N9" i="14"/>
  <c r="F35" i="14" s="1"/>
  <c r="AB60" i="14"/>
  <c r="BB30" i="14"/>
  <c r="AP34" i="14"/>
  <c r="U34" i="14"/>
  <c r="AB34" i="14"/>
  <c r="AI34" i="14"/>
  <c r="AA60" i="14"/>
  <c r="E32" i="5"/>
  <c r="AY30" i="14"/>
  <c r="BA30" i="14"/>
  <c r="AB90" i="14"/>
  <c r="AC90" i="14"/>
  <c r="T68" i="15"/>
  <c r="AC60" i="14"/>
  <c r="F68" i="15" l="1"/>
  <c r="H68" i="15" s="1"/>
  <c r="I68" i="15" s="1"/>
  <c r="B69" i="15"/>
  <c r="AF69" i="15" s="1"/>
  <c r="T8" i="5"/>
  <c r="Q8" i="5"/>
  <c r="AX68" i="15"/>
  <c r="BB68" i="15" s="1"/>
  <c r="BD68" i="15" s="1"/>
  <c r="BE68" i="15" s="1"/>
  <c r="AO68" i="15"/>
  <c r="BD67" i="15"/>
  <c r="BE67" i="15" s="1"/>
  <c r="AI35" i="14"/>
  <c r="AB35" i="14"/>
  <c r="AP35" i="14"/>
  <c r="U35" i="14"/>
  <c r="T69" i="15"/>
  <c r="K70" i="15"/>
  <c r="G9" i="5"/>
  <c r="N10" i="14"/>
  <c r="F36" i="14" s="1"/>
  <c r="F69" i="15" l="1"/>
  <c r="H69" i="15" s="1"/>
  <c r="I69" i="15" s="1"/>
  <c r="B70" i="15"/>
  <c r="AF70" i="15" s="1"/>
  <c r="Q9" i="5"/>
  <c r="T9" i="5"/>
  <c r="AX69" i="15"/>
  <c r="BB69" i="15" s="1"/>
  <c r="BD69" i="15" s="1"/>
  <c r="BE69" i="15" s="1"/>
  <c r="AO69" i="15"/>
  <c r="AB36" i="14"/>
  <c r="AI36" i="14"/>
  <c r="AP36" i="14"/>
  <c r="U36" i="14"/>
  <c r="T70" i="15"/>
  <c r="G10" i="5"/>
  <c r="N11" i="14"/>
  <c r="F37" i="14" s="1"/>
  <c r="K71" i="15"/>
  <c r="F70" i="15" l="1"/>
  <c r="H70" i="15" s="1"/>
  <c r="I70" i="15" s="1"/>
  <c r="B71" i="15"/>
  <c r="AF71" i="15" s="1"/>
  <c r="T10" i="5"/>
  <c r="Q10" i="5"/>
  <c r="AX70" i="15"/>
  <c r="BB70" i="15" s="1"/>
  <c r="AO70" i="15"/>
  <c r="K72" i="15"/>
  <c r="N12" i="14"/>
  <c r="F38" i="14" s="1"/>
  <c r="G11" i="5"/>
  <c r="T71" i="15"/>
  <c r="U37" i="14"/>
  <c r="AP37" i="14"/>
  <c r="AB37" i="14"/>
  <c r="AI37" i="14"/>
  <c r="F71" i="15" l="1"/>
  <c r="H71" i="15" s="1"/>
  <c r="I71" i="15" s="1"/>
  <c r="B72" i="15"/>
  <c r="AF72" i="15" s="1"/>
  <c r="Q11" i="5"/>
  <c r="T11" i="5"/>
  <c r="BD70" i="15"/>
  <c r="BE70" i="15" s="1"/>
  <c r="AX71" i="15"/>
  <c r="BB71" i="15" s="1"/>
  <c r="BD71" i="15" s="1"/>
  <c r="BE71" i="15" s="1"/>
  <c r="AO71" i="15"/>
  <c r="F72" i="15"/>
  <c r="H72" i="15" s="1"/>
  <c r="T72" i="15"/>
  <c r="G12" i="5"/>
  <c r="K73" i="15"/>
  <c r="N13" i="14"/>
  <c r="F39" i="14" s="1"/>
  <c r="AP38" i="14"/>
  <c r="U38" i="14"/>
  <c r="AI38" i="14"/>
  <c r="AB38" i="14"/>
  <c r="B73" i="15" l="1"/>
  <c r="AF73" i="15" s="1"/>
  <c r="Q12" i="5"/>
  <c r="T12" i="5"/>
  <c r="AX72" i="15"/>
  <c r="BB72" i="15" s="1"/>
  <c r="BD72" i="15" s="1"/>
  <c r="BE72" i="15" s="1"/>
  <c r="AO72" i="15"/>
  <c r="F73" i="15"/>
  <c r="H73" i="15" s="1"/>
  <c r="I72" i="15"/>
  <c r="K74" i="15"/>
  <c r="G13" i="5"/>
  <c r="N14" i="14"/>
  <c r="F40" i="14" s="1"/>
  <c r="U39" i="14"/>
  <c r="AP39" i="14"/>
  <c r="AB39" i="14"/>
  <c r="AI39" i="14"/>
  <c r="T73" i="15"/>
  <c r="B74" i="15" l="1"/>
  <c r="AF74" i="15" s="1"/>
  <c r="T13" i="5"/>
  <c r="Q13" i="5"/>
  <c r="AX73" i="15"/>
  <c r="BB73" i="15" s="1"/>
  <c r="BD73" i="15" s="1"/>
  <c r="BE73" i="15" s="1"/>
  <c r="AO73" i="15"/>
  <c r="F74" i="15"/>
  <c r="H74" i="15" s="1"/>
  <c r="I73" i="15"/>
  <c r="G14" i="5"/>
  <c r="K75" i="15"/>
  <c r="N15" i="14"/>
  <c r="F41" i="14" s="1"/>
  <c r="AI40" i="14"/>
  <c r="AP40" i="14"/>
  <c r="AB40" i="14"/>
  <c r="U40" i="14"/>
  <c r="T74" i="15"/>
  <c r="B75" i="15" l="1"/>
  <c r="AF75" i="15" s="1"/>
  <c r="Q14" i="5"/>
  <c r="T14" i="5"/>
  <c r="AX74" i="15"/>
  <c r="BB74" i="15" s="1"/>
  <c r="BD74" i="15" s="1"/>
  <c r="BE74" i="15" s="1"/>
  <c r="AO74" i="15"/>
  <c r="F75" i="15"/>
  <c r="H75" i="15" s="1"/>
  <c r="I74" i="15"/>
  <c r="N16" i="14"/>
  <c r="F42" i="14" s="1"/>
  <c r="G15" i="5"/>
  <c r="K76" i="15"/>
  <c r="T75" i="15"/>
  <c r="U41" i="14"/>
  <c r="AP41" i="14"/>
  <c r="AB41" i="14"/>
  <c r="AI41" i="14"/>
  <c r="B76" i="15" l="1"/>
  <c r="AF76" i="15" s="1"/>
  <c r="T15" i="5"/>
  <c r="Q15" i="5"/>
  <c r="AX75" i="15"/>
  <c r="BB75" i="15" s="1"/>
  <c r="BD75" i="15" s="1"/>
  <c r="BE75" i="15" s="1"/>
  <c r="AO75" i="15"/>
  <c r="F76" i="15"/>
  <c r="H76" i="15" s="1"/>
  <c r="I75" i="15"/>
  <c r="T76" i="15"/>
  <c r="G16" i="5"/>
  <c r="N17" i="14"/>
  <c r="F43" i="14" s="1"/>
  <c r="K77" i="15"/>
  <c r="AI42" i="14"/>
  <c r="AP42" i="14"/>
  <c r="AB42" i="14"/>
  <c r="U42" i="14"/>
  <c r="B77" i="15" l="1"/>
  <c r="AF77" i="15" s="1"/>
  <c r="T16" i="5"/>
  <c r="Q16" i="5"/>
  <c r="AX76" i="15"/>
  <c r="BB76" i="15" s="1"/>
  <c r="BD76" i="15" s="1"/>
  <c r="BE76" i="15" s="1"/>
  <c r="AO76" i="15"/>
  <c r="F77" i="15"/>
  <c r="H77" i="15" s="1"/>
  <c r="I76" i="15"/>
  <c r="T77" i="15"/>
  <c r="U43" i="14"/>
  <c r="AP43" i="14"/>
  <c r="AB43" i="14"/>
  <c r="AI43" i="14"/>
  <c r="K78" i="15"/>
  <c r="N18" i="14"/>
  <c r="F44" i="14" s="1"/>
  <c r="G17" i="5"/>
  <c r="B78" i="15" l="1"/>
  <c r="AF78" i="15" s="1"/>
  <c r="Q17" i="5"/>
  <c r="T17" i="5"/>
  <c r="AX77" i="15"/>
  <c r="BB77" i="15" s="1"/>
  <c r="BD77" i="15" s="1"/>
  <c r="BE77" i="15" s="1"/>
  <c r="AO77" i="15"/>
  <c r="F78" i="15"/>
  <c r="H78" i="15" s="1"/>
  <c r="I77" i="15"/>
  <c r="AI44" i="14"/>
  <c r="AB44" i="14"/>
  <c r="U44" i="14"/>
  <c r="AP44" i="14"/>
  <c r="T78" i="15"/>
  <c r="G18" i="5"/>
  <c r="K79" i="15"/>
  <c r="N19" i="14"/>
  <c r="F45" i="14" s="1"/>
  <c r="B79" i="15" l="1"/>
  <c r="AF79" i="15" s="1"/>
  <c r="Q18" i="5"/>
  <c r="T18" i="5"/>
  <c r="AX78" i="15"/>
  <c r="BB78" i="15" s="1"/>
  <c r="BD78" i="15" s="1"/>
  <c r="BE78" i="15" s="1"/>
  <c r="AO78" i="15"/>
  <c r="F79" i="15"/>
  <c r="H79" i="15" s="1"/>
  <c r="I78" i="15"/>
  <c r="T79" i="15"/>
  <c r="N20" i="14"/>
  <c r="F46" i="14" s="1"/>
  <c r="G19" i="5"/>
  <c r="K80" i="15"/>
  <c r="U45" i="14"/>
  <c r="AP45" i="14"/>
  <c r="AB45" i="14"/>
  <c r="AI45" i="14"/>
  <c r="B80" i="15" l="1"/>
  <c r="AF80" i="15" s="1"/>
  <c r="Q19" i="5"/>
  <c r="T19" i="5"/>
  <c r="AX79" i="15"/>
  <c r="BB79" i="15" s="1"/>
  <c r="BD79" i="15" s="1"/>
  <c r="BE79" i="15" s="1"/>
  <c r="AO79" i="15"/>
  <c r="F80" i="15"/>
  <c r="H80" i="15" s="1"/>
  <c r="I79" i="15"/>
  <c r="AI46" i="14"/>
  <c r="AB46" i="14"/>
  <c r="U46" i="14"/>
  <c r="AP46" i="14"/>
  <c r="T80" i="15"/>
  <c r="G20" i="5"/>
  <c r="K81" i="15"/>
  <c r="N21" i="14"/>
  <c r="F47" i="14" s="1"/>
  <c r="B81" i="15" l="1"/>
  <c r="AF81" i="15" s="1"/>
  <c r="Q20" i="5"/>
  <c r="T20" i="5"/>
  <c r="AX80" i="15"/>
  <c r="BB80" i="15" s="1"/>
  <c r="BD80" i="15" s="1"/>
  <c r="BE80" i="15" s="1"/>
  <c r="AO80" i="15"/>
  <c r="F81" i="15"/>
  <c r="H81" i="15" s="1"/>
  <c r="I80" i="15"/>
  <c r="T81" i="15"/>
  <c r="U47" i="14"/>
  <c r="AI47" i="14"/>
  <c r="AB47" i="14"/>
  <c r="AP47" i="14"/>
  <c r="K82" i="15"/>
  <c r="G21" i="5"/>
  <c r="N22" i="14"/>
  <c r="F48" i="14" s="1"/>
  <c r="B82" i="15" l="1"/>
  <c r="AF82" i="15" s="1"/>
  <c r="T21" i="5"/>
  <c r="Q21" i="5"/>
  <c r="AX81" i="15"/>
  <c r="BB81" i="15" s="1"/>
  <c r="BD81" i="15" s="1"/>
  <c r="BE81" i="15" s="1"/>
  <c r="AO81" i="15"/>
  <c r="F82" i="15"/>
  <c r="H82" i="15" s="1"/>
  <c r="I81" i="15"/>
  <c r="AI48" i="14"/>
  <c r="U48" i="14"/>
  <c r="AB48" i="14"/>
  <c r="AP48" i="14"/>
  <c r="G22" i="5"/>
  <c r="N23" i="14"/>
  <c r="F49" i="14" s="1"/>
  <c r="K83" i="15"/>
  <c r="T82" i="15"/>
  <c r="B83" i="15" l="1"/>
  <c r="AF83" i="15" s="1"/>
  <c r="T22" i="5"/>
  <c r="Q22" i="5"/>
  <c r="AX82" i="15"/>
  <c r="BB82" i="15" s="1"/>
  <c r="BD82" i="15" s="1"/>
  <c r="BE82" i="15" s="1"/>
  <c r="AO82" i="15"/>
  <c r="F83" i="15"/>
  <c r="H83" i="15" s="1"/>
  <c r="I82" i="15"/>
  <c r="T83" i="15"/>
  <c r="K84" i="15"/>
  <c r="G23" i="5"/>
  <c r="N24" i="14"/>
  <c r="F50" i="14" s="1"/>
  <c r="G24" i="5"/>
  <c r="N25" i="14"/>
  <c r="F51" i="14" s="1"/>
  <c r="K85" i="15"/>
  <c r="U49" i="14"/>
  <c r="AI49" i="14"/>
  <c r="AP49" i="14"/>
  <c r="AB49" i="14"/>
  <c r="B85" i="15" l="1"/>
  <c r="AF85" i="15" s="1"/>
  <c r="T24" i="5"/>
  <c r="Q24" i="5"/>
  <c r="B84" i="15"/>
  <c r="AF84" i="15" s="1"/>
  <c r="T23" i="5"/>
  <c r="Q23" i="5"/>
  <c r="AX83" i="15"/>
  <c r="BB83" i="15" s="1"/>
  <c r="BD83" i="15" s="1"/>
  <c r="BE83" i="15" s="1"/>
  <c r="AO83" i="15"/>
  <c r="F85" i="15"/>
  <c r="H85" i="15" s="1"/>
  <c r="I83" i="15"/>
  <c r="T84" i="15"/>
  <c r="AI50" i="14"/>
  <c r="U50" i="14"/>
  <c r="AP50" i="14"/>
  <c r="AB50" i="14"/>
  <c r="F53" i="14"/>
  <c r="T85" i="15"/>
  <c r="U51" i="14"/>
  <c r="AI51" i="14"/>
  <c r="AB51" i="14"/>
  <c r="AP51" i="14"/>
  <c r="F84" i="15" l="1"/>
  <c r="H84" i="15" s="1"/>
  <c r="I84" i="15" s="1"/>
  <c r="AX85" i="15"/>
  <c r="BB85" i="15" s="1"/>
  <c r="BD85" i="15" s="1"/>
  <c r="BE85" i="15" s="1"/>
  <c r="AO85" i="15"/>
  <c r="AX84" i="15"/>
  <c r="BB84" i="15" s="1"/>
  <c r="AO84" i="15"/>
  <c r="I85" i="15"/>
  <c r="Q26" i="5"/>
  <c r="AD6" i="14"/>
  <c r="AD7" i="14" s="1"/>
  <c r="AD8" i="14" s="1"/>
  <c r="C3" i="15" l="1"/>
  <c r="C5" i="15" s="1"/>
  <c r="BD84" i="15"/>
  <c r="BE84" i="15" s="1"/>
  <c r="I3" i="15"/>
  <c r="I5" i="15" l="1"/>
  <c r="I7" i="15" s="1"/>
  <c r="I9" i="15"/>
  <c r="B33" i="5"/>
  <c r="U4" i="5" l="1"/>
  <c r="L65" i="15" l="1"/>
  <c r="C5" i="14"/>
  <c r="P5" i="14" l="1"/>
  <c r="U65" i="15"/>
  <c r="I5" i="14"/>
  <c r="M65" i="15"/>
  <c r="V65" i="15" s="1"/>
  <c r="AH65" i="15" s="1"/>
  <c r="R4" i="5" s="1"/>
  <c r="H5" i="14"/>
  <c r="G5" i="14"/>
  <c r="E31" i="14"/>
  <c r="K6" i="7" s="1"/>
  <c r="B22" i="19"/>
  <c r="B21" i="19"/>
  <c r="B14" i="19"/>
  <c r="B24" i="19"/>
  <c r="B29" i="19"/>
  <c r="B16" i="19"/>
  <c r="B26" i="19"/>
  <c r="B13" i="19"/>
  <c r="B30" i="19"/>
  <c r="B25" i="19"/>
  <c r="B10" i="19"/>
  <c r="B17" i="19"/>
  <c r="B27" i="19"/>
  <c r="B18" i="19"/>
  <c r="B12" i="19"/>
  <c r="B28" i="19"/>
  <c r="B19" i="19"/>
  <c r="B23" i="19"/>
  <c r="B20" i="19"/>
  <c r="B11" i="19"/>
  <c r="B15" i="19"/>
  <c r="D31" i="14" l="1"/>
  <c r="R91" i="14" s="1"/>
  <c r="B31" i="14"/>
  <c r="AG31" i="14" s="1"/>
  <c r="C31" i="14"/>
  <c r="T61" i="14" s="1"/>
  <c r="Y65" i="15"/>
  <c r="X65" i="15"/>
  <c r="O65" i="15"/>
  <c r="P65" i="15"/>
  <c r="U61" i="14"/>
  <c r="AO31" i="14"/>
  <c r="AA31" i="14"/>
  <c r="AH31" i="14"/>
  <c r="T31" i="14"/>
  <c r="Z31" i="14"/>
  <c r="S31" i="14"/>
  <c r="AN31" i="14"/>
  <c r="S91" i="14"/>
  <c r="AG65" i="15"/>
  <c r="U91" i="14" l="1"/>
  <c r="R61" i="14"/>
  <c r="S61" i="14"/>
  <c r="T91" i="14"/>
  <c r="AK65" i="15"/>
  <c r="AJ65" i="15"/>
  <c r="AT65" i="15"/>
  <c r="Z65" i="15"/>
  <c r="AA65" i="15" s="1"/>
  <c r="AB65" i="15" s="1"/>
  <c r="AE65" i="15" s="1"/>
  <c r="Q65" i="15"/>
  <c r="AP65" i="15"/>
  <c r="AS65" i="15" s="1"/>
  <c r="BH65" i="15" l="1"/>
  <c r="BG65" i="15"/>
  <c r="AL65" i="15"/>
  <c r="AM65" i="15" s="1"/>
  <c r="AU65" i="15"/>
  <c r="AV65" i="15" s="1"/>
  <c r="AW65" i="15" s="1"/>
  <c r="R65" i="15"/>
  <c r="AC65" i="15"/>
  <c r="AD65" i="15" s="1"/>
  <c r="BF65" i="15"/>
  <c r="BI65" i="15" l="1"/>
  <c r="BJ65" i="15" s="1"/>
  <c r="BN65" i="15" s="1"/>
  <c r="X4" i="5" l="1"/>
  <c r="B6" i="7"/>
  <c r="C58" i="29"/>
  <c r="F58" i="29" s="1"/>
  <c r="BJ89" i="15"/>
  <c r="D6" i="7"/>
  <c r="C6" i="7"/>
  <c r="B34" i="5" l="1"/>
  <c r="U5" i="5" l="1"/>
  <c r="L66" i="15" l="1"/>
  <c r="C6" i="14"/>
  <c r="P6" i="14" l="1"/>
  <c r="U66" i="15"/>
  <c r="G6" i="14"/>
  <c r="E32" i="14"/>
  <c r="K7" i="7" s="1"/>
  <c r="I6" i="14"/>
  <c r="H6" i="14"/>
  <c r="M66" i="15"/>
  <c r="V66" i="15" s="1"/>
  <c r="AH66" i="15" s="1"/>
  <c r="R5" i="5" s="1"/>
  <c r="B32" i="14" l="1"/>
  <c r="AG32" i="14" s="1"/>
  <c r="D32" i="14"/>
  <c r="C32" i="14"/>
  <c r="U62" i="14" s="1"/>
  <c r="O66" i="15"/>
  <c r="Y66" i="15"/>
  <c r="X66" i="15"/>
  <c r="P66" i="15"/>
  <c r="AA32" i="14"/>
  <c r="AO32" i="14"/>
  <c r="T32" i="14"/>
  <c r="AH32" i="14"/>
  <c r="Z32" i="14"/>
  <c r="T62" i="14"/>
  <c r="S62" i="14"/>
  <c r="R62" i="14"/>
  <c r="AG66" i="15"/>
  <c r="U92" i="14"/>
  <c r="R92" i="14"/>
  <c r="S92" i="14"/>
  <c r="T92" i="14"/>
  <c r="S32" i="14" l="1"/>
  <c r="AN32" i="14"/>
  <c r="Z66" i="15"/>
  <c r="AA66" i="15" s="1"/>
  <c r="AB66" i="15" s="1"/>
  <c r="AE66" i="15" s="1"/>
  <c r="AJ66" i="15"/>
  <c r="AT66" i="15"/>
  <c r="AK66" i="15"/>
  <c r="Q66" i="15"/>
  <c r="AP66" i="15"/>
  <c r="AS66" i="15" s="1"/>
  <c r="R66" i="15" l="1"/>
  <c r="AC66" i="15"/>
  <c r="AD66" i="15" s="1"/>
  <c r="AL66" i="15"/>
  <c r="AM66" i="15" s="1"/>
  <c r="BG66" i="15"/>
  <c r="AU66" i="15"/>
  <c r="AV66" i="15" s="1"/>
  <c r="AW66" i="15" s="1"/>
  <c r="BH66" i="15"/>
  <c r="BF66" i="15"/>
  <c r="BI66" i="15" l="1"/>
  <c r="BJ66" i="15" s="1"/>
  <c r="C59" i="29" s="1"/>
  <c r="F59" i="29" s="1"/>
  <c r="B7" i="7" l="1"/>
  <c r="D7" i="7" s="1"/>
  <c r="BJ90" i="15"/>
  <c r="BN66" i="15"/>
  <c r="X5" i="5"/>
  <c r="C7" i="7" l="1"/>
  <c r="B35" i="5"/>
  <c r="U6" i="5" l="1"/>
  <c r="L67" i="15" l="1"/>
  <c r="C7" i="14"/>
  <c r="P7" i="14" l="1"/>
  <c r="U67" i="15"/>
  <c r="M67" i="15"/>
  <c r="V67" i="15" s="1"/>
  <c r="AH67" i="15" s="1"/>
  <c r="R6" i="5" s="1"/>
  <c r="E33" i="14"/>
  <c r="K8" i="7" s="1"/>
  <c r="G7" i="14"/>
  <c r="H7" i="14"/>
  <c r="I7" i="14"/>
  <c r="D33" i="14" l="1"/>
  <c r="B33" i="14"/>
  <c r="C33" i="14"/>
  <c r="Y67" i="15"/>
  <c r="X67" i="15"/>
  <c r="O67" i="15"/>
  <c r="P67" i="15"/>
  <c r="AG33" i="14"/>
  <c r="AN33" i="14"/>
  <c r="S33" i="14"/>
  <c r="Z33" i="14"/>
  <c r="AO33" i="14"/>
  <c r="T33" i="14"/>
  <c r="AA33" i="14"/>
  <c r="AH33" i="14"/>
  <c r="U93" i="14"/>
  <c r="T93" i="14"/>
  <c r="S93" i="14"/>
  <c r="R93" i="14"/>
  <c r="U63" i="14"/>
  <c r="R63" i="14"/>
  <c r="T63" i="14"/>
  <c r="S63" i="14"/>
  <c r="AG67" i="15"/>
  <c r="AJ67" i="15" l="1"/>
  <c r="AT67" i="15"/>
  <c r="AK67" i="15"/>
  <c r="Z67" i="15"/>
  <c r="AA67" i="15" s="1"/>
  <c r="AB67" i="15" s="1"/>
  <c r="AE67" i="15" s="1"/>
  <c r="Q67" i="15"/>
  <c r="AP67" i="15"/>
  <c r="AS67" i="15" s="1"/>
  <c r="R67" i="15" l="1"/>
  <c r="AC67" i="15"/>
  <c r="AD67" i="15" s="1"/>
  <c r="AU67" i="15"/>
  <c r="AV67" i="15" s="1"/>
  <c r="AL67" i="15"/>
  <c r="AM67" i="15" s="1"/>
  <c r="BG67" i="15"/>
  <c r="BH67" i="15"/>
  <c r="BF67" i="15"/>
  <c r="AW67" i="15"/>
  <c r="BI67" i="15" l="1"/>
  <c r="BJ67" i="15" s="1"/>
  <c r="C60" i="29" s="1"/>
  <c r="F60" i="29" s="1"/>
  <c r="BN67" i="15" l="1"/>
  <c r="BJ91" i="15"/>
  <c r="X6" i="5"/>
  <c r="B8" i="7"/>
  <c r="D8" i="7" s="1"/>
  <c r="C8" i="7" l="1"/>
  <c r="B36" i="5"/>
  <c r="U7" i="5" l="1"/>
  <c r="C8" i="14" l="1"/>
  <c r="L68" i="15"/>
  <c r="P8" i="14" l="1"/>
  <c r="U68" i="15"/>
  <c r="M68" i="15"/>
  <c r="V68" i="15" s="1"/>
  <c r="AH68" i="15" s="1"/>
  <c r="R7" i="5" s="1"/>
  <c r="I8" i="14"/>
  <c r="H8" i="14"/>
  <c r="E34" i="14"/>
  <c r="K9" i="7" s="1"/>
  <c r="G8" i="14"/>
  <c r="D34" i="14" l="1"/>
  <c r="C34" i="14"/>
  <c r="B34" i="14"/>
  <c r="AG34" i="14" s="1"/>
  <c r="Y68" i="15"/>
  <c r="X68" i="15"/>
  <c r="O68" i="15"/>
  <c r="P68" i="15"/>
  <c r="Z34" i="14"/>
  <c r="AN34" i="14"/>
  <c r="S34" i="14"/>
  <c r="AA34" i="14"/>
  <c r="AH34" i="14"/>
  <c r="AO34" i="14"/>
  <c r="T34" i="14"/>
  <c r="T64" i="14"/>
  <c r="S64" i="14"/>
  <c r="U64" i="14"/>
  <c r="R64" i="14"/>
  <c r="U94" i="14"/>
  <c r="S94" i="14"/>
  <c r="R94" i="14"/>
  <c r="T94" i="14"/>
  <c r="AG68" i="15"/>
  <c r="AJ68" i="15" l="1"/>
  <c r="AT68" i="15"/>
  <c r="BH68" i="15" s="1"/>
  <c r="AK68" i="15"/>
  <c r="Z68" i="15"/>
  <c r="AA68" i="15" s="1"/>
  <c r="AB68" i="15" s="1"/>
  <c r="AE68" i="15" s="1"/>
  <c r="Q68" i="15"/>
  <c r="AP68" i="15"/>
  <c r="AS68" i="15" s="1"/>
  <c r="BG68" i="15" l="1"/>
  <c r="BI68" i="15" s="1"/>
  <c r="BJ68" i="15" s="1"/>
  <c r="C61" i="29" s="1"/>
  <c r="R68" i="15"/>
  <c r="AC68" i="15"/>
  <c r="AD68" i="15" s="1"/>
  <c r="AU68" i="15"/>
  <c r="AV68" i="15" s="1"/>
  <c r="AW68" i="15" s="1"/>
  <c r="AL68" i="15"/>
  <c r="AM68" i="15" s="1"/>
  <c r="BF68" i="15"/>
  <c r="F61" i="29" l="1"/>
  <c r="BJ92" i="15"/>
  <c r="B9" i="7"/>
  <c r="BN68" i="15"/>
  <c r="X7" i="5"/>
  <c r="C9" i="7" l="1"/>
  <c r="D9" i="7"/>
  <c r="B37" i="5" l="1"/>
  <c r="U8" i="5" l="1"/>
  <c r="C9" i="14" l="1"/>
  <c r="L69" i="15"/>
  <c r="P9" i="14" l="1"/>
  <c r="U69" i="15"/>
  <c r="I9" i="14"/>
  <c r="H9" i="14"/>
  <c r="G9" i="14"/>
  <c r="E35" i="14"/>
  <c r="K10" i="7" s="1"/>
  <c r="M69" i="15"/>
  <c r="V69" i="15" s="1"/>
  <c r="AH69" i="15" s="1"/>
  <c r="R8" i="5" s="1"/>
  <c r="C35" i="14" l="1"/>
  <c r="B35" i="14"/>
  <c r="D35" i="14"/>
  <c r="Y69" i="15"/>
  <c r="X69" i="15"/>
  <c r="O69" i="15"/>
  <c r="P69" i="15"/>
  <c r="AO35" i="14"/>
  <c r="AA35" i="14"/>
  <c r="AH35" i="14"/>
  <c r="T35" i="14"/>
  <c r="U95" i="14"/>
  <c r="T95" i="14"/>
  <c r="S95" i="14"/>
  <c r="R95" i="14"/>
  <c r="Z35" i="14"/>
  <c r="AN35" i="14"/>
  <c r="S35" i="14"/>
  <c r="AG35" i="14"/>
  <c r="U65" i="14"/>
  <c r="S65" i="14"/>
  <c r="R65" i="14"/>
  <c r="T65" i="14"/>
  <c r="AG69" i="15"/>
  <c r="AJ69" i="15" l="1"/>
  <c r="AT69" i="15"/>
  <c r="BH69" i="15" s="1"/>
  <c r="AK69" i="15"/>
  <c r="Z69" i="15"/>
  <c r="AA69" i="15" s="1"/>
  <c r="AB69" i="15" s="1"/>
  <c r="AE69" i="15" s="1"/>
  <c r="Q69" i="15"/>
  <c r="AP69" i="15"/>
  <c r="AS69" i="15" s="1"/>
  <c r="BG69" i="15" l="1"/>
  <c r="BI69" i="15" s="1"/>
  <c r="BJ69" i="15" s="1"/>
  <c r="C62" i="29" s="1"/>
  <c r="R69" i="15"/>
  <c r="AC69" i="15"/>
  <c r="AD69" i="15" s="1"/>
  <c r="AU69" i="15"/>
  <c r="AV69" i="15" s="1"/>
  <c r="AL69" i="15"/>
  <c r="AM69" i="15" s="1"/>
  <c r="AW69" i="15"/>
  <c r="BF69" i="15"/>
  <c r="F62" i="29" l="1"/>
  <c r="BJ93" i="15"/>
  <c r="BN69" i="15"/>
  <c r="B10" i="7"/>
  <c r="X8" i="5"/>
  <c r="C10" i="7" l="1"/>
  <c r="D10" i="7"/>
  <c r="B38" i="5" l="1"/>
  <c r="U9" i="5" l="1"/>
  <c r="L70" i="15" l="1"/>
  <c r="C10" i="14"/>
  <c r="P10" i="14" l="1"/>
  <c r="M70" i="15"/>
  <c r="V70" i="15" s="1"/>
  <c r="AH70" i="15" s="1"/>
  <c r="R9" i="5" s="1"/>
  <c r="G10" i="14"/>
  <c r="B36" i="14" s="1"/>
  <c r="E36" i="14"/>
  <c r="K11" i="7" s="1"/>
  <c r="I10" i="14"/>
  <c r="D36" i="14" s="1"/>
  <c r="H10" i="14"/>
  <c r="C36" i="14" s="1"/>
  <c r="U70" i="15"/>
  <c r="Y70" i="15" l="1"/>
  <c r="X70" i="15"/>
  <c r="O70" i="15"/>
  <c r="P70" i="15"/>
  <c r="U96" i="14"/>
  <c r="R96" i="14"/>
  <c r="S96" i="14"/>
  <c r="T96" i="14"/>
  <c r="AN36" i="14"/>
  <c r="S36" i="14"/>
  <c r="Z36" i="14"/>
  <c r="AG36" i="14"/>
  <c r="U66" i="14"/>
  <c r="T66" i="14"/>
  <c r="R66" i="14"/>
  <c r="S66" i="14"/>
  <c r="AG70" i="15"/>
  <c r="AA36" i="14"/>
  <c r="AH36" i="14"/>
  <c r="AO36" i="14"/>
  <c r="T36" i="14"/>
  <c r="Z70" i="15" l="1"/>
  <c r="AA70" i="15" s="1"/>
  <c r="AB70" i="15" s="1"/>
  <c r="AE70" i="15" s="1"/>
  <c r="Q70" i="15"/>
  <c r="AK70" i="15"/>
  <c r="AJ70" i="15"/>
  <c r="AT70" i="15"/>
  <c r="AP70" i="15"/>
  <c r="AS70" i="15" s="1"/>
  <c r="AL70" i="15" l="1"/>
  <c r="AM70" i="15" s="1"/>
  <c r="AU70" i="15"/>
  <c r="AV70" i="15" s="1"/>
  <c r="AW70" i="15" s="1"/>
  <c r="BH70" i="15"/>
  <c r="BG70" i="15"/>
  <c r="BI70" i="15" s="1"/>
  <c r="BJ70" i="15" s="1"/>
  <c r="C63" i="29" s="1"/>
  <c r="R70" i="15"/>
  <c r="AC70" i="15"/>
  <c r="AD70" i="15" s="1"/>
  <c r="BF70" i="15"/>
  <c r="F63" i="29" l="1"/>
  <c r="BJ94" i="15"/>
  <c r="B11" i="7"/>
  <c r="BN70" i="15"/>
  <c r="X9" i="5"/>
  <c r="C11" i="7" l="1"/>
  <c r="D11" i="7"/>
  <c r="B39" i="5" l="1"/>
  <c r="U10" i="5" l="1"/>
  <c r="C11" i="14" l="1"/>
  <c r="L71" i="15"/>
  <c r="P11" i="14" l="1"/>
  <c r="M71" i="15"/>
  <c r="V71" i="15" s="1"/>
  <c r="AH71" i="15" s="1"/>
  <c r="R10" i="5" s="1"/>
  <c r="E37" i="14"/>
  <c r="K12" i="7" s="1"/>
  <c r="H11" i="14"/>
  <c r="C37" i="14" s="1"/>
  <c r="G11" i="14"/>
  <c r="B37" i="14" s="1"/>
  <c r="I11" i="14"/>
  <c r="D37" i="14" s="1"/>
  <c r="U71" i="15"/>
  <c r="P71" i="15" l="1"/>
  <c r="Y71" i="15"/>
  <c r="X71" i="15"/>
  <c r="O71" i="15"/>
  <c r="U97" i="14"/>
  <c r="T97" i="14"/>
  <c r="S97" i="14"/>
  <c r="R97" i="14"/>
  <c r="AG37" i="14"/>
  <c r="AN37" i="14"/>
  <c r="S37" i="14"/>
  <c r="Z37" i="14"/>
  <c r="R67" i="14"/>
  <c r="U67" i="14"/>
  <c r="T67" i="14"/>
  <c r="S67" i="14"/>
  <c r="AG71" i="15"/>
  <c r="AO37" i="14"/>
  <c r="T37" i="14"/>
  <c r="AH37" i="14"/>
  <c r="AA37" i="14"/>
  <c r="Z71" i="15" l="1"/>
  <c r="AA71" i="15" s="1"/>
  <c r="AB71" i="15" s="1"/>
  <c r="AE71" i="15" s="1"/>
  <c r="Q71" i="15"/>
  <c r="AK71" i="15"/>
  <c r="AT71" i="15"/>
  <c r="BH71" i="15" s="1"/>
  <c r="AJ71" i="15"/>
  <c r="AL71" i="15" s="1"/>
  <c r="AM71" i="15" s="1"/>
  <c r="AP71" i="15"/>
  <c r="AS71" i="15" s="1"/>
  <c r="AU71" i="15" s="1"/>
  <c r="AV71" i="15" s="1"/>
  <c r="R71" i="15" l="1"/>
  <c r="AC71" i="15"/>
  <c r="AD71" i="15" s="1"/>
  <c r="BG71" i="15"/>
  <c r="BI71" i="15" s="1"/>
  <c r="BJ71" i="15" s="1"/>
  <c r="C64" i="29" s="1"/>
  <c r="BF71" i="15"/>
  <c r="AW71" i="15"/>
  <c r="F64" i="29" l="1"/>
  <c r="BJ95" i="15"/>
  <c r="X10" i="5"/>
  <c r="B12" i="7"/>
  <c r="BN71" i="15"/>
  <c r="D12" i="7" l="1"/>
  <c r="C12" i="7"/>
  <c r="B40" i="5" l="1"/>
  <c r="U11" i="5" l="1"/>
  <c r="C12" i="14" l="1"/>
  <c r="L72" i="15"/>
  <c r="P12" i="14" l="1"/>
  <c r="I12" i="14"/>
  <c r="D38" i="14" s="1"/>
  <c r="M72" i="15"/>
  <c r="V72" i="15" s="1"/>
  <c r="AH72" i="15" s="1"/>
  <c r="R11" i="5" s="1"/>
  <c r="E38" i="14"/>
  <c r="K13" i="7" s="1"/>
  <c r="G12" i="14"/>
  <c r="B38" i="14" s="1"/>
  <c r="H12" i="14"/>
  <c r="C38" i="14" s="1"/>
  <c r="U72" i="15"/>
  <c r="Y72" i="15" l="1"/>
  <c r="X72" i="15"/>
  <c r="O72" i="15"/>
  <c r="P72" i="15"/>
  <c r="U98" i="14"/>
  <c r="S98" i="14"/>
  <c r="R98" i="14"/>
  <c r="T98" i="14"/>
  <c r="S68" i="14"/>
  <c r="R68" i="14"/>
  <c r="U68" i="14"/>
  <c r="T68" i="14"/>
  <c r="AG38" i="14"/>
  <c r="Z38" i="14"/>
  <c r="AN38" i="14"/>
  <c r="S38" i="14"/>
  <c r="AG72" i="15"/>
  <c r="AA38" i="14"/>
  <c r="AH38" i="14"/>
  <c r="AO38" i="14"/>
  <c r="T38" i="14"/>
  <c r="Z72" i="15" l="1"/>
  <c r="AA72" i="15" s="1"/>
  <c r="AB72" i="15" s="1"/>
  <c r="AE72" i="15" s="1"/>
  <c r="Q72" i="15"/>
  <c r="AK72" i="15"/>
  <c r="AJ72" i="15"/>
  <c r="AT72" i="15"/>
  <c r="BH72" i="15" s="1"/>
  <c r="AP72" i="15"/>
  <c r="AS72" i="15" s="1"/>
  <c r="AL72" i="15" l="1"/>
  <c r="AM72" i="15" s="1"/>
  <c r="AU72" i="15"/>
  <c r="AV72" i="15" s="1"/>
  <c r="BG72" i="15"/>
  <c r="BI72" i="15" s="1"/>
  <c r="BJ72" i="15" s="1"/>
  <c r="C65" i="29" s="1"/>
  <c r="R72" i="15"/>
  <c r="AC72" i="15"/>
  <c r="AD72" i="15" s="1"/>
  <c r="AW72" i="15"/>
  <c r="BF72" i="15"/>
  <c r="F65" i="29" l="1"/>
  <c r="BJ96" i="15"/>
  <c r="B13" i="7"/>
  <c r="X11" i="5"/>
  <c r="BN72" i="15"/>
  <c r="C13" i="7" l="1"/>
  <c r="D13" i="7"/>
  <c r="B41" i="5" l="1"/>
  <c r="U12" i="5" l="1"/>
  <c r="L73" i="15" l="1"/>
  <c r="C13" i="14"/>
  <c r="P13" i="14" l="1"/>
  <c r="U73" i="15"/>
  <c r="H13" i="14"/>
  <c r="C39" i="14" s="1"/>
  <c r="M73" i="15"/>
  <c r="V73" i="15" s="1"/>
  <c r="AH73" i="15" s="1"/>
  <c r="R12" i="5" s="1"/>
  <c r="E39" i="14"/>
  <c r="K14" i="7" s="1"/>
  <c r="G13" i="14"/>
  <c r="B39" i="14" s="1"/>
  <c r="I13" i="14"/>
  <c r="D39" i="14" s="1"/>
  <c r="Y73" i="15" l="1"/>
  <c r="X73" i="15"/>
  <c r="O73" i="15"/>
  <c r="P73" i="15"/>
  <c r="T69" i="14"/>
  <c r="S69" i="14"/>
  <c r="R69" i="14"/>
  <c r="U69" i="14"/>
  <c r="AN39" i="14"/>
  <c r="AG39" i="14"/>
  <c r="S39" i="14"/>
  <c r="Z39" i="14"/>
  <c r="AO39" i="14"/>
  <c r="AH39" i="14"/>
  <c r="T39" i="14"/>
  <c r="AA39" i="14"/>
  <c r="U99" i="14"/>
  <c r="T99" i="14"/>
  <c r="S99" i="14"/>
  <c r="R99" i="14"/>
  <c r="AG73" i="15"/>
  <c r="Z73" i="15" l="1"/>
  <c r="AA73" i="15" s="1"/>
  <c r="AB73" i="15" s="1"/>
  <c r="AE73" i="15" s="1"/>
  <c r="AT73" i="15"/>
  <c r="AK73" i="15"/>
  <c r="AJ73" i="15"/>
  <c r="Q73" i="15"/>
  <c r="AP73" i="15"/>
  <c r="AS73" i="15" s="1"/>
  <c r="AU73" i="15" s="1"/>
  <c r="AV73" i="15" s="1"/>
  <c r="AL73" i="15" l="1"/>
  <c r="AM73" i="15" s="1"/>
  <c r="BH73" i="15"/>
  <c r="R73" i="15"/>
  <c r="AC73" i="15"/>
  <c r="AD73" i="15" s="1"/>
  <c r="BG73" i="15"/>
  <c r="BF73" i="15"/>
  <c r="AW73" i="15"/>
  <c r="BI73" i="15" l="1"/>
  <c r="BJ73" i="15" s="1"/>
  <c r="C66" i="29" s="1"/>
  <c r="F66" i="29" s="1"/>
  <c r="BN73" i="15" l="1"/>
  <c r="X12" i="5"/>
  <c r="B14" i="7"/>
  <c r="C14" i="7" s="1"/>
  <c r="BJ97" i="15"/>
  <c r="D14" i="7" l="1"/>
  <c r="B42" i="5"/>
  <c r="U13" i="5" l="1"/>
  <c r="L74" i="15" l="1"/>
  <c r="C14" i="14"/>
  <c r="P14" i="14" l="1"/>
  <c r="U74" i="15"/>
  <c r="E40" i="14"/>
  <c r="K15" i="7" s="1"/>
  <c r="I14" i="14"/>
  <c r="D40" i="14" s="1"/>
  <c r="H14" i="14"/>
  <c r="C40" i="14" s="1"/>
  <c r="G14" i="14"/>
  <c r="B40" i="14" s="1"/>
  <c r="M74" i="15"/>
  <c r="V74" i="15" s="1"/>
  <c r="AH74" i="15" s="1"/>
  <c r="R13" i="5" s="1"/>
  <c r="Y74" i="15" l="1"/>
  <c r="X74" i="15"/>
  <c r="O74" i="15"/>
  <c r="P74" i="15"/>
  <c r="U70" i="14"/>
  <c r="T70" i="14"/>
  <c r="S70" i="14"/>
  <c r="R70" i="14"/>
  <c r="AA40" i="14"/>
  <c r="T40" i="14"/>
  <c r="AO40" i="14"/>
  <c r="AH40" i="14"/>
  <c r="U100" i="14"/>
  <c r="R100" i="14"/>
  <c r="S100" i="14"/>
  <c r="T100" i="14"/>
  <c r="Z40" i="14"/>
  <c r="S40" i="14"/>
  <c r="AN40" i="14"/>
  <c r="AG40" i="14"/>
  <c r="AG74" i="15"/>
  <c r="Z74" i="15" l="1"/>
  <c r="AA74" i="15" s="1"/>
  <c r="AB74" i="15" s="1"/>
  <c r="AE74" i="15" s="1"/>
  <c r="AJ74" i="15"/>
  <c r="AT74" i="15"/>
  <c r="AK74" i="15"/>
  <c r="BH74" i="15" s="1"/>
  <c r="Q74" i="15"/>
  <c r="AP74" i="15"/>
  <c r="AS74" i="15" s="1"/>
  <c r="AU74" i="15" s="1"/>
  <c r="AV74" i="15" s="1"/>
  <c r="AL74" i="15" l="1"/>
  <c r="AM74" i="15" s="1"/>
  <c r="BG74" i="15"/>
  <c r="BI74" i="15" s="1"/>
  <c r="BJ74" i="15" s="1"/>
  <c r="C67" i="29" s="1"/>
  <c r="F67" i="29" s="1"/>
  <c r="R74" i="15"/>
  <c r="AC74" i="15"/>
  <c r="AD74" i="15" s="1"/>
  <c r="BF74" i="15"/>
  <c r="AW74" i="15"/>
  <c r="BJ98" i="15" l="1"/>
  <c r="BN74" i="15"/>
  <c r="B15" i="7"/>
  <c r="X13" i="5"/>
  <c r="D15" i="7" l="1"/>
  <c r="C15" i="7"/>
  <c r="B43" i="5" l="1"/>
  <c r="U14" i="5" l="1"/>
  <c r="L75" i="15" l="1"/>
  <c r="C15" i="14"/>
  <c r="P15" i="14" l="1"/>
  <c r="M75" i="15"/>
  <c r="V75" i="15" s="1"/>
  <c r="AH75" i="15" s="1"/>
  <c r="R14" i="5" s="1"/>
  <c r="E41" i="14"/>
  <c r="K16" i="7" s="1"/>
  <c r="H15" i="14"/>
  <c r="C41" i="14" s="1"/>
  <c r="G15" i="14"/>
  <c r="B41" i="14" s="1"/>
  <c r="I15" i="14"/>
  <c r="D41" i="14" s="1"/>
  <c r="U75" i="15"/>
  <c r="P75" i="15" l="1"/>
  <c r="Y75" i="15"/>
  <c r="X75" i="15"/>
  <c r="O75" i="15"/>
  <c r="U101" i="14"/>
  <c r="T101" i="14"/>
  <c r="S101" i="14"/>
  <c r="R101" i="14"/>
  <c r="U71" i="14"/>
  <c r="T71" i="14"/>
  <c r="S71" i="14"/>
  <c r="R71" i="14"/>
  <c r="AO41" i="14"/>
  <c r="AA41" i="14"/>
  <c r="AH41" i="14"/>
  <c r="T41" i="14"/>
  <c r="AN41" i="14"/>
  <c r="AG41" i="14"/>
  <c r="S41" i="14"/>
  <c r="Z41" i="14"/>
  <c r="AG75" i="15"/>
  <c r="Z75" i="15" l="1"/>
  <c r="AA75" i="15" s="1"/>
  <c r="AB75" i="15" s="1"/>
  <c r="AE75" i="15" s="1"/>
  <c r="AJ75" i="15"/>
  <c r="AT75" i="15"/>
  <c r="AK75" i="15"/>
  <c r="BH75" i="15" s="1"/>
  <c r="Q75" i="15"/>
  <c r="AP75" i="15"/>
  <c r="AS75" i="15" s="1"/>
  <c r="AU75" i="15" s="1"/>
  <c r="AV75" i="15" s="1"/>
  <c r="AL75" i="15" l="1"/>
  <c r="AM75" i="15" s="1"/>
  <c r="BG75" i="15"/>
  <c r="BI75" i="15" s="1"/>
  <c r="BJ75" i="15" s="1"/>
  <c r="C68" i="29" s="1"/>
  <c r="F68" i="29" s="1"/>
  <c r="R75" i="15"/>
  <c r="AC75" i="15"/>
  <c r="AD75" i="15" s="1"/>
  <c r="BF75" i="15"/>
  <c r="AW75" i="15"/>
  <c r="BJ99" i="15" l="1"/>
  <c r="BN75" i="15"/>
  <c r="X14" i="5"/>
  <c r="B16" i="7"/>
  <c r="D16" i="7" l="1"/>
  <c r="C16" i="7"/>
  <c r="B44" i="5" l="1"/>
  <c r="U15" i="5" l="1"/>
  <c r="L76" i="15" l="1"/>
  <c r="C16" i="14"/>
  <c r="P16" i="14" l="1"/>
  <c r="U76" i="15"/>
  <c r="M76" i="15"/>
  <c r="V76" i="15" s="1"/>
  <c r="AH76" i="15" s="1"/>
  <c r="R15" i="5" s="1"/>
  <c r="E42" i="14"/>
  <c r="K17" i="7" s="1"/>
  <c r="I16" i="14"/>
  <c r="D42" i="14" s="1"/>
  <c r="H16" i="14"/>
  <c r="C42" i="14" s="1"/>
  <c r="G16" i="14"/>
  <c r="B42" i="14" s="1"/>
  <c r="Y76" i="15" l="1"/>
  <c r="X76" i="15"/>
  <c r="O76" i="15"/>
  <c r="P76" i="15"/>
  <c r="AA42" i="14"/>
  <c r="AO42" i="14"/>
  <c r="T42" i="14"/>
  <c r="AH42" i="14"/>
  <c r="U72" i="14"/>
  <c r="T72" i="14"/>
  <c r="S72" i="14"/>
  <c r="R72" i="14"/>
  <c r="Z42" i="14"/>
  <c r="S42" i="14"/>
  <c r="AN42" i="14"/>
  <c r="AG42" i="14"/>
  <c r="U102" i="14"/>
  <c r="S102" i="14"/>
  <c r="R102" i="14"/>
  <c r="T102" i="14"/>
  <c r="AG76" i="15"/>
  <c r="Z76" i="15" l="1"/>
  <c r="AA76" i="15" s="1"/>
  <c r="AB76" i="15" s="1"/>
  <c r="AE76" i="15" s="1"/>
  <c r="AJ76" i="15"/>
  <c r="AT76" i="15"/>
  <c r="AK76" i="15"/>
  <c r="BH76" i="15" s="1"/>
  <c r="Q76" i="15"/>
  <c r="AP76" i="15"/>
  <c r="AS76" i="15" s="1"/>
  <c r="AU76" i="15" s="1"/>
  <c r="AV76" i="15" s="1"/>
  <c r="AL76" i="15" l="1"/>
  <c r="AM76" i="15" s="1"/>
  <c r="BG76" i="15"/>
  <c r="BI76" i="15" s="1"/>
  <c r="BJ76" i="15" s="1"/>
  <c r="C69" i="29" s="1"/>
  <c r="F69" i="29" s="1"/>
  <c r="R76" i="15"/>
  <c r="AC76" i="15"/>
  <c r="AD76" i="15" s="1"/>
  <c r="AW76" i="15"/>
  <c r="BF76" i="15"/>
  <c r="BJ100" i="15" l="1"/>
  <c r="B17" i="7"/>
  <c r="BN76" i="15"/>
  <c r="X15" i="5"/>
  <c r="C17" i="7" l="1"/>
  <c r="D17" i="7"/>
  <c r="B45" i="5" l="1"/>
  <c r="U16" i="5" l="1"/>
  <c r="L77" i="15" l="1"/>
  <c r="C17" i="14"/>
  <c r="P17" i="14" l="1"/>
  <c r="U77" i="15"/>
  <c r="I17" i="14"/>
  <c r="D43" i="14" s="1"/>
  <c r="H17" i="14"/>
  <c r="C43" i="14" s="1"/>
  <c r="G17" i="14"/>
  <c r="B43" i="14" s="1"/>
  <c r="M77" i="15"/>
  <c r="V77" i="15" s="1"/>
  <c r="AH77" i="15" s="1"/>
  <c r="R16" i="5" s="1"/>
  <c r="E43" i="14"/>
  <c r="K18" i="7" s="1"/>
  <c r="O77" i="15" l="1"/>
  <c r="Y77" i="15"/>
  <c r="X77" i="15"/>
  <c r="P77" i="15"/>
  <c r="AN43" i="14"/>
  <c r="Z43" i="14"/>
  <c r="S43" i="14"/>
  <c r="AG43" i="14"/>
  <c r="U73" i="14"/>
  <c r="T73" i="14"/>
  <c r="S73" i="14"/>
  <c r="R73" i="14"/>
  <c r="AO43" i="14"/>
  <c r="AA43" i="14"/>
  <c r="AH43" i="14"/>
  <c r="T43" i="14"/>
  <c r="U103" i="14"/>
  <c r="T103" i="14"/>
  <c r="S103" i="14"/>
  <c r="R103" i="14"/>
  <c r="AG77" i="15"/>
  <c r="Z77" i="15" l="1"/>
  <c r="AA77" i="15" s="1"/>
  <c r="AB77" i="15" s="1"/>
  <c r="AE77" i="15" s="1"/>
  <c r="AK77" i="15"/>
  <c r="AJ77" i="15"/>
  <c r="AL77" i="15" s="1"/>
  <c r="AM77" i="15" s="1"/>
  <c r="AT77" i="15"/>
  <c r="BH77" i="15" s="1"/>
  <c r="Q77" i="15"/>
  <c r="AP77" i="15"/>
  <c r="AS77" i="15" s="1"/>
  <c r="AU77" i="15" l="1"/>
  <c r="AV77" i="15" s="1"/>
  <c r="AW77" i="15" s="1"/>
  <c r="BG77" i="15"/>
  <c r="BI77" i="15" s="1"/>
  <c r="BJ77" i="15" s="1"/>
  <c r="C70" i="29" s="1"/>
  <c r="F70" i="29" s="1"/>
  <c r="R77" i="15"/>
  <c r="AC77" i="15"/>
  <c r="AD77" i="15" s="1"/>
  <c r="BF77" i="15"/>
  <c r="BJ101" i="15" l="1"/>
  <c r="B18" i="7"/>
  <c r="X16" i="5"/>
  <c r="BN77" i="15"/>
  <c r="D18" i="7" l="1"/>
  <c r="C18" i="7"/>
  <c r="B46" i="5" l="1"/>
  <c r="U17" i="5" l="1"/>
  <c r="C18" i="14" l="1"/>
  <c r="L78" i="15"/>
  <c r="P18" i="14" l="1"/>
  <c r="C27" i="14"/>
  <c r="E44" i="14"/>
  <c r="K19" i="7" s="1"/>
  <c r="H18" i="14"/>
  <c r="C44" i="14" s="1"/>
  <c r="G18" i="14"/>
  <c r="B44" i="14" s="1"/>
  <c r="M78" i="15"/>
  <c r="V78" i="15" s="1"/>
  <c r="AH78" i="15" s="1"/>
  <c r="R17" i="5" s="1"/>
  <c r="I18" i="14"/>
  <c r="D44" i="14" s="1"/>
  <c r="U78" i="15"/>
  <c r="E4" i="22" l="1"/>
  <c r="H4" i="22"/>
  <c r="Y78" i="15"/>
  <c r="X78" i="15"/>
  <c r="O78" i="15"/>
  <c r="P78" i="15"/>
  <c r="AA44" i="14"/>
  <c r="AO44" i="14"/>
  <c r="AH44" i="14"/>
  <c r="T44" i="14"/>
  <c r="AG78" i="15"/>
  <c r="U104" i="14"/>
  <c r="R104" i="14"/>
  <c r="S104" i="14"/>
  <c r="T104" i="14"/>
  <c r="Z44" i="14"/>
  <c r="AN44" i="14"/>
  <c r="AG44" i="14"/>
  <c r="S44" i="14"/>
  <c r="U74" i="14"/>
  <c r="T74" i="14"/>
  <c r="S74" i="14"/>
  <c r="R74" i="14"/>
  <c r="Z78" i="15" l="1"/>
  <c r="AA78" i="15" s="1"/>
  <c r="AB78" i="15" s="1"/>
  <c r="AE78" i="15" s="1"/>
  <c r="Q78" i="15"/>
  <c r="AK78" i="15"/>
  <c r="AJ78" i="15"/>
  <c r="AT78" i="15"/>
  <c r="BH78" i="15" s="1"/>
  <c r="AP78" i="15"/>
  <c r="AS78" i="15" s="1"/>
  <c r="AL78" i="15" l="1"/>
  <c r="AM78" i="15" s="1"/>
  <c r="AU78" i="15"/>
  <c r="AV78" i="15" s="1"/>
  <c r="AW78" i="15" s="1"/>
  <c r="BG78" i="15"/>
  <c r="BI78" i="15" s="1"/>
  <c r="BJ78" i="15" s="1"/>
  <c r="C71" i="29" s="1"/>
  <c r="F71" i="29" s="1"/>
  <c r="R78" i="15"/>
  <c r="AC78" i="15"/>
  <c r="AD78" i="15" s="1"/>
  <c r="BF78" i="15"/>
  <c r="BJ102" i="15" l="1"/>
  <c r="BN78" i="15"/>
  <c r="X17" i="5"/>
  <c r="B19" i="7"/>
  <c r="D19" i="7" l="1"/>
  <c r="C19" i="7"/>
  <c r="B47" i="5" l="1"/>
  <c r="U18" i="5" l="1"/>
  <c r="L79" i="15" l="1"/>
  <c r="C19" i="14"/>
  <c r="P19" i="14" l="1"/>
  <c r="I19" i="14"/>
  <c r="D45" i="14" s="1"/>
  <c r="M79" i="15"/>
  <c r="V79" i="15" s="1"/>
  <c r="AH79" i="15" s="1"/>
  <c r="R18" i="5" s="1"/>
  <c r="H19" i="14"/>
  <c r="C45" i="14" s="1"/>
  <c r="G19" i="14"/>
  <c r="B45" i="14" s="1"/>
  <c r="E45" i="14"/>
  <c r="K20" i="7" s="1"/>
  <c r="U79" i="15"/>
  <c r="Y79" i="15" l="1"/>
  <c r="X79" i="15"/>
  <c r="O79" i="15"/>
  <c r="P79" i="15"/>
  <c r="U105" i="14"/>
  <c r="T105" i="14"/>
  <c r="S105" i="14"/>
  <c r="R105" i="14"/>
  <c r="AO45" i="14"/>
  <c r="AA45" i="14"/>
  <c r="AH45" i="14"/>
  <c r="T45" i="14"/>
  <c r="AN45" i="14"/>
  <c r="Z45" i="14"/>
  <c r="AG45" i="14"/>
  <c r="S45" i="14"/>
  <c r="AG79" i="15"/>
  <c r="R75" i="14"/>
  <c r="T75" i="14"/>
  <c r="S75" i="14"/>
  <c r="U75" i="14"/>
  <c r="Z79" i="15" l="1"/>
  <c r="AA79" i="15" s="1"/>
  <c r="AB79" i="15" s="1"/>
  <c r="AE79" i="15" s="1"/>
  <c r="Q79" i="15"/>
  <c r="AK79" i="15"/>
  <c r="AT79" i="15"/>
  <c r="AJ79" i="15"/>
  <c r="AL79" i="15" s="1"/>
  <c r="AM79" i="15" s="1"/>
  <c r="AP79" i="15"/>
  <c r="AS79" i="15" s="1"/>
  <c r="AU79" i="15" s="1"/>
  <c r="AV79" i="15" s="1"/>
  <c r="BH79" i="15" l="1"/>
  <c r="BG79" i="15"/>
  <c r="R79" i="15"/>
  <c r="AC79" i="15"/>
  <c r="AD79" i="15" s="1"/>
  <c r="BF79" i="15"/>
  <c r="AW79" i="15"/>
  <c r="BI79" i="15" l="1"/>
  <c r="BJ79" i="15" s="1"/>
  <c r="C72" i="29" s="1"/>
  <c r="F72" i="29" s="1"/>
  <c r="X18" i="5" l="1"/>
  <c r="BJ103" i="15"/>
  <c r="B20" i="7"/>
  <c r="D20" i="7" s="1"/>
  <c r="BN79" i="15"/>
  <c r="C20" i="7" l="1"/>
  <c r="B48" i="5"/>
  <c r="U19" i="5" l="1"/>
  <c r="C20" i="14" l="1"/>
  <c r="L80" i="15"/>
  <c r="P20" i="14" l="1"/>
  <c r="E46" i="14"/>
  <c r="K21" i="7" s="1"/>
  <c r="I20" i="14"/>
  <c r="D46" i="14" s="1"/>
  <c r="H20" i="14"/>
  <c r="C46" i="14" s="1"/>
  <c r="M80" i="15"/>
  <c r="V80" i="15" s="1"/>
  <c r="AH80" i="15" s="1"/>
  <c r="R19" i="5" s="1"/>
  <c r="G20" i="14"/>
  <c r="B46" i="14" s="1"/>
  <c r="U80" i="15"/>
  <c r="O80" i="15" l="1"/>
  <c r="Y80" i="15"/>
  <c r="X80" i="15"/>
  <c r="P80" i="15"/>
  <c r="AG80" i="15"/>
  <c r="Z46" i="14"/>
  <c r="AN46" i="14"/>
  <c r="AG46" i="14"/>
  <c r="S46" i="14"/>
  <c r="S76" i="14"/>
  <c r="R76" i="14"/>
  <c r="U76" i="14"/>
  <c r="T76" i="14"/>
  <c r="U106" i="14"/>
  <c r="S106" i="14"/>
  <c r="R106" i="14"/>
  <c r="T106" i="14"/>
  <c r="AA46" i="14"/>
  <c r="AH46" i="14"/>
  <c r="T46" i="14"/>
  <c r="AO46" i="14"/>
  <c r="Z80" i="15" l="1"/>
  <c r="AA80" i="15" s="1"/>
  <c r="AB80" i="15" s="1"/>
  <c r="AE80" i="15" s="1"/>
  <c r="AK80" i="15"/>
  <c r="AJ80" i="15"/>
  <c r="AT80" i="15"/>
  <c r="BH80" i="15" s="1"/>
  <c r="Q80" i="15"/>
  <c r="AP80" i="15"/>
  <c r="AS80" i="15" s="1"/>
  <c r="AU80" i="15" l="1"/>
  <c r="AV80" i="15" s="1"/>
  <c r="AW80" i="15" s="1"/>
  <c r="AL80" i="15"/>
  <c r="AM80" i="15" s="1"/>
  <c r="BG80" i="15"/>
  <c r="BI80" i="15" s="1"/>
  <c r="BJ80" i="15" s="1"/>
  <c r="C73" i="29" s="1"/>
  <c r="F73" i="29" s="1"/>
  <c r="R80" i="15"/>
  <c r="AC80" i="15"/>
  <c r="AD80" i="15" s="1"/>
  <c r="BF80" i="15"/>
  <c r="BJ104" i="15" l="1"/>
  <c r="B21" i="7"/>
  <c r="X19" i="5"/>
  <c r="BN80" i="15"/>
  <c r="C21" i="7" l="1"/>
  <c r="D21" i="7"/>
  <c r="B49" i="5" l="1"/>
  <c r="U20" i="5" l="1"/>
  <c r="L81" i="15" l="1"/>
  <c r="C21" i="14"/>
  <c r="P21" i="14" l="1"/>
  <c r="I21" i="14"/>
  <c r="D47" i="14" s="1"/>
  <c r="H21" i="14"/>
  <c r="C47" i="14" s="1"/>
  <c r="G21" i="14"/>
  <c r="B47" i="14" s="1"/>
  <c r="M81" i="15"/>
  <c r="V81" i="15" s="1"/>
  <c r="AH81" i="15" s="1"/>
  <c r="R20" i="5" s="1"/>
  <c r="E47" i="14"/>
  <c r="K22" i="7" s="1"/>
  <c r="U81" i="15"/>
  <c r="Y81" i="15" l="1"/>
  <c r="X81" i="15"/>
  <c r="O81" i="15"/>
  <c r="P81" i="15"/>
  <c r="AG81" i="15"/>
  <c r="U107" i="14"/>
  <c r="T107" i="14"/>
  <c r="S107" i="14"/>
  <c r="R107" i="14"/>
  <c r="AO47" i="14"/>
  <c r="AA47" i="14"/>
  <c r="AH47" i="14"/>
  <c r="T47" i="14"/>
  <c r="AN47" i="14"/>
  <c r="Z47" i="14"/>
  <c r="AG47" i="14"/>
  <c r="S47" i="14"/>
  <c r="T77" i="14"/>
  <c r="S77" i="14"/>
  <c r="U77" i="14"/>
  <c r="R77" i="14"/>
  <c r="Z81" i="15" l="1"/>
  <c r="AA81" i="15" s="1"/>
  <c r="AB81" i="15" s="1"/>
  <c r="AE81" i="15" s="1"/>
  <c r="Q81" i="15"/>
  <c r="AT81" i="15"/>
  <c r="AK81" i="15"/>
  <c r="BH81" i="15" s="1"/>
  <c r="AJ81" i="15"/>
  <c r="AP81" i="15"/>
  <c r="AS81" i="15" s="1"/>
  <c r="AU81" i="15" s="1"/>
  <c r="AV81" i="15" s="1"/>
  <c r="AL81" i="15" l="1"/>
  <c r="AM81" i="15" s="1"/>
  <c r="BG81" i="15"/>
  <c r="BI81" i="15" s="1"/>
  <c r="BJ81" i="15" s="1"/>
  <c r="C74" i="29" s="1"/>
  <c r="F74" i="29" s="1"/>
  <c r="R81" i="15"/>
  <c r="AC81" i="15"/>
  <c r="AD81" i="15" s="1"/>
  <c r="BF81" i="15"/>
  <c r="AW81" i="15"/>
  <c r="BJ105" i="15" l="1"/>
  <c r="BN81" i="15"/>
  <c r="X20" i="5"/>
  <c r="B22" i="7"/>
  <c r="D22" i="7" l="1"/>
  <c r="C22" i="7"/>
  <c r="B50" i="5" l="1"/>
  <c r="U21" i="5" l="1"/>
  <c r="L82" i="15" l="1"/>
  <c r="C22" i="14"/>
  <c r="P22" i="14" l="1"/>
  <c r="E48" i="14"/>
  <c r="K23" i="7" s="1"/>
  <c r="M82" i="15"/>
  <c r="V82" i="15" s="1"/>
  <c r="AH82" i="15" s="1"/>
  <c r="R21" i="5" s="1"/>
  <c r="I22" i="14"/>
  <c r="D48" i="14" s="1"/>
  <c r="H22" i="14"/>
  <c r="C48" i="14" s="1"/>
  <c r="G22" i="14"/>
  <c r="B48" i="14" s="1"/>
  <c r="U82" i="15"/>
  <c r="Y82" i="15" l="1"/>
  <c r="X82" i="15"/>
  <c r="O82" i="15"/>
  <c r="P82" i="15"/>
  <c r="Z48" i="14"/>
  <c r="AG48" i="14"/>
  <c r="AN48" i="14"/>
  <c r="S48" i="14"/>
  <c r="U78" i="14"/>
  <c r="T78" i="14"/>
  <c r="R78" i="14"/>
  <c r="S78" i="14"/>
  <c r="AA48" i="14"/>
  <c r="AH48" i="14"/>
  <c r="AO48" i="14"/>
  <c r="T48" i="14"/>
  <c r="U108" i="14"/>
  <c r="R108" i="14"/>
  <c r="S108" i="14"/>
  <c r="T108" i="14"/>
  <c r="AG82" i="15"/>
  <c r="Z82" i="15" l="1"/>
  <c r="AA82" i="15" s="1"/>
  <c r="AB82" i="15" s="1"/>
  <c r="AE82" i="15" s="1"/>
  <c r="Q82" i="15"/>
  <c r="AJ82" i="15"/>
  <c r="AT82" i="15"/>
  <c r="AK82" i="15"/>
  <c r="BH82" i="15" s="1"/>
  <c r="AP82" i="15"/>
  <c r="AS82" i="15" s="1"/>
  <c r="AU82" i="15" s="1"/>
  <c r="AV82" i="15" s="1"/>
  <c r="AL82" i="15" l="1"/>
  <c r="AM82" i="15" s="1"/>
  <c r="R82" i="15"/>
  <c r="AC82" i="15"/>
  <c r="BG82" i="15"/>
  <c r="BI82" i="15" s="1"/>
  <c r="BJ82" i="15" s="1"/>
  <c r="C75" i="29" s="1"/>
  <c r="F75" i="29" s="1"/>
  <c r="AD82" i="15"/>
  <c r="AW82" i="15"/>
  <c r="BF82" i="15"/>
  <c r="BJ106" i="15" l="1"/>
  <c r="BN82" i="15"/>
  <c r="X21" i="5"/>
  <c r="B23" i="7"/>
  <c r="C23" i="7" l="1"/>
  <c r="D23" i="7"/>
  <c r="B51" i="5" l="1"/>
  <c r="U22" i="5" l="1"/>
  <c r="C23" i="14" l="1"/>
  <c r="L83" i="15"/>
  <c r="P23" i="14" l="1"/>
  <c r="U83" i="15"/>
  <c r="M83" i="15"/>
  <c r="V83" i="15" s="1"/>
  <c r="AH83" i="15" s="1"/>
  <c r="R22" i="5" s="1"/>
  <c r="I23" i="14"/>
  <c r="D49" i="14" s="1"/>
  <c r="H23" i="14"/>
  <c r="C49" i="14" s="1"/>
  <c r="G23" i="14"/>
  <c r="B49" i="14" s="1"/>
  <c r="E49" i="14"/>
  <c r="K24" i="7" s="1"/>
  <c r="Y83" i="15" l="1"/>
  <c r="X83" i="15"/>
  <c r="P83" i="15"/>
  <c r="O83" i="15"/>
  <c r="AN49" i="14"/>
  <c r="Z49" i="14"/>
  <c r="S49" i="14"/>
  <c r="AG49" i="14"/>
  <c r="U79" i="14"/>
  <c r="T79" i="14"/>
  <c r="S79" i="14"/>
  <c r="R79" i="14"/>
  <c r="U109" i="14"/>
  <c r="T109" i="14"/>
  <c r="S109" i="14"/>
  <c r="R109" i="14"/>
  <c r="AG83" i="15"/>
  <c r="AO49" i="14"/>
  <c r="AH49" i="14"/>
  <c r="T49" i="14"/>
  <c r="AA49" i="14"/>
  <c r="Z83" i="15" l="1"/>
  <c r="AA83" i="15" s="1"/>
  <c r="AB83" i="15" s="1"/>
  <c r="AE83" i="15" s="1"/>
  <c r="Q83" i="15"/>
  <c r="AJ83" i="15"/>
  <c r="AT83" i="15"/>
  <c r="AK83" i="15"/>
  <c r="BH83" i="15" s="1"/>
  <c r="AP83" i="15"/>
  <c r="AS83" i="15" s="1"/>
  <c r="AU83" i="15" s="1"/>
  <c r="AV83" i="15" s="1"/>
  <c r="AL83" i="15" l="1"/>
  <c r="AM83" i="15" s="1"/>
  <c r="R83" i="15"/>
  <c r="AC83" i="15"/>
  <c r="BG83" i="15"/>
  <c r="BI83" i="15" s="1"/>
  <c r="BJ83" i="15" s="1"/>
  <c r="C76" i="29" s="1"/>
  <c r="F76" i="29" s="1"/>
  <c r="AD83" i="15"/>
  <c r="BF83" i="15"/>
  <c r="AW83" i="15"/>
  <c r="BJ107" i="15" l="1"/>
  <c r="BN83" i="15"/>
  <c r="B24" i="7"/>
  <c r="X22" i="5"/>
  <c r="D24" i="7" l="1"/>
  <c r="C24" i="7"/>
  <c r="B52" i="5" l="1"/>
  <c r="F26" i="5" l="1"/>
  <c r="U23" i="5"/>
  <c r="U26" i="5" s="1"/>
  <c r="L84" i="15" l="1"/>
  <c r="C24" i="14"/>
  <c r="B27" i="14"/>
  <c r="O6" i="1" s="1"/>
  <c r="O7" i="1" s="1"/>
  <c r="P24" i="14" l="1"/>
  <c r="C26" i="14"/>
  <c r="D36" i="15"/>
  <c r="S17" i="5"/>
  <c r="G24" i="14"/>
  <c r="M84" i="15"/>
  <c r="V84" i="15" s="1"/>
  <c r="AH84" i="15" s="1"/>
  <c r="R23" i="5" s="1"/>
  <c r="E50" i="14"/>
  <c r="K25" i="7" s="1"/>
  <c r="I24" i="14"/>
  <c r="H24" i="14"/>
  <c r="B26" i="1"/>
  <c r="Q5" i="1" s="1"/>
  <c r="P6" i="1" s="1"/>
  <c r="P7" i="1" s="1"/>
  <c r="D44" i="15" s="1"/>
  <c r="U84" i="15"/>
  <c r="B50" i="14" l="1"/>
  <c r="G27" i="14"/>
  <c r="C50" i="14"/>
  <c r="H27" i="14"/>
  <c r="D50" i="14"/>
  <c r="S110" i="14" s="1"/>
  <c r="I27" i="14"/>
  <c r="P84" i="15"/>
  <c r="Y84" i="15"/>
  <c r="X84" i="15"/>
  <c r="O84" i="15"/>
  <c r="A23" i="5"/>
  <c r="V17" i="5"/>
  <c r="S9" i="5"/>
  <c r="U80" i="14"/>
  <c r="T80" i="14"/>
  <c r="S80" i="14"/>
  <c r="S83" i="14" s="1"/>
  <c r="R80" i="14"/>
  <c r="S23" i="5"/>
  <c r="S16" i="5"/>
  <c r="S8" i="5"/>
  <c r="S15" i="5"/>
  <c r="S7" i="5"/>
  <c r="E43" i="15"/>
  <c r="G43" i="15" s="1"/>
  <c r="E44" i="15"/>
  <c r="G44" i="15" s="1"/>
  <c r="S22" i="5"/>
  <c r="S14" i="5"/>
  <c r="S6" i="5"/>
  <c r="S21" i="5"/>
  <c r="S13" i="5"/>
  <c r="S5" i="5"/>
  <c r="AN78" i="15"/>
  <c r="BL78" i="15" s="1"/>
  <c r="AA50" i="14"/>
  <c r="AH50" i="14"/>
  <c r="T50" i="14"/>
  <c r="AO50" i="14"/>
  <c r="E53" i="14"/>
  <c r="K29" i="7" s="1"/>
  <c r="U110" i="14"/>
  <c r="T110" i="14"/>
  <c r="S20" i="5"/>
  <c r="S12" i="5"/>
  <c r="O9" i="1"/>
  <c r="S19" i="5"/>
  <c r="S11" i="5"/>
  <c r="Z50" i="14"/>
  <c r="AG50" i="14"/>
  <c r="S50" i="14"/>
  <c r="AN50" i="14"/>
  <c r="AG84" i="15"/>
  <c r="S18" i="5"/>
  <c r="S10" i="5"/>
  <c r="E35" i="15"/>
  <c r="E36" i="15"/>
  <c r="R110" i="14" l="1"/>
  <c r="BL102" i="15"/>
  <c r="C18" i="29"/>
  <c r="L19" i="7"/>
  <c r="M19" i="7" s="1"/>
  <c r="Q84" i="15"/>
  <c r="D3" i="15"/>
  <c r="AJ84" i="15"/>
  <c r="AT84" i="15"/>
  <c r="H4" i="15" s="1"/>
  <c r="AK84" i="15"/>
  <c r="G4" i="15" s="1"/>
  <c r="Z84" i="15"/>
  <c r="AA84" i="15" s="1"/>
  <c r="AB84" i="15" s="1"/>
  <c r="AE84" i="15" s="1"/>
  <c r="E3" i="15"/>
  <c r="E4" i="15"/>
  <c r="W17" i="5"/>
  <c r="BK78" i="15" s="1"/>
  <c r="V19" i="5"/>
  <c r="V7" i="5"/>
  <c r="V13" i="5"/>
  <c r="V15" i="5"/>
  <c r="V5" i="5"/>
  <c r="V12" i="5"/>
  <c r="V21" i="5"/>
  <c r="V18" i="5"/>
  <c r="V20" i="5"/>
  <c r="V6" i="5"/>
  <c r="V8" i="5"/>
  <c r="V14" i="5"/>
  <c r="V16" i="5"/>
  <c r="V9" i="5"/>
  <c r="V22" i="5"/>
  <c r="V23" i="5"/>
  <c r="V10" i="5"/>
  <c r="V11" i="5"/>
  <c r="AN73" i="15"/>
  <c r="BL73" i="15" s="1"/>
  <c r="AN69" i="15"/>
  <c r="BL69" i="15" s="1"/>
  <c r="G35" i="15"/>
  <c r="AN81" i="15"/>
  <c r="BL81" i="15" s="1"/>
  <c r="AN66" i="15"/>
  <c r="BL66" i="15" s="1"/>
  <c r="AN67" i="15"/>
  <c r="BL67" i="15" s="1"/>
  <c r="AN77" i="15"/>
  <c r="BL77" i="15" s="1"/>
  <c r="AN71" i="15"/>
  <c r="BL71" i="15" s="1"/>
  <c r="AN74" i="15"/>
  <c r="BL74" i="15" s="1"/>
  <c r="AN75" i="15"/>
  <c r="BL75" i="15" s="1"/>
  <c r="AN79" i="15"/>
  <c r="BL79" i="15" s="1"/>
  <c r="AP84" i="15"/>
  <c r="AS84" i="15" s="1"/>
  <c r="AN82" i="15"/>
  <c r="BL82" i="15" s="1"/>
  <c r="AN83" i="15"/>
  <c r="BL83" i="15" s="1"/>
  <c r="AN68" i="15"/>
  <c r="BL68" i="15" s="1"/>
  <c r="G6" i="15"/>
  <c r="S4" i="5"/>
  <c r="AN76" i="15"/>
  <c r="BL76" i="15" s="1"/>
  <c r="AN72" i="15"/>
  <c r="BL72" i="15" s="1"/>
  <c r="AN80" i="15"/>
  <c r="BL80" i="15" s="1"/>
  <c r="AN70" i="15"/>
  <c r="BL70" i="15" s="1"/>
  <c r="G36" i="15"/>
  <c r="N19" i="7" l="1"/>
  <c r="BL95" i="15"/>
  <c r="C11" i="29"/>
  <c r="BL97" i="15"/>
  <c r="C13" i="29"/>
  <c r="BL107" i="15"/>
  <c r="C23" i="29"/>
  <c r="BL91" i="15"/>
  <c r="C7" i="29"/>
  <c r="BL101" i="15"/>
  <c r="C17" i="29"/>
  <c r="BL106" i="15"/>
  <c r="C22" i="29"/>
  <c r="BL94" i="15"/>
  <c r="C10" i="29"/>
  <c r="BL90" i="15"/>
  <c r="C6" i="29"/>
  <c r="BL104" i="15"/>
  <c r="C20" i="29"/>
  <c r="BL105" i="15"/>
  <c r="C21" i="29"/>
  <c r="BL92" i="15"/>
  <c r="C8" i="29"/>
  <c r="BL103" i="15"/>
  <c r="C19" i="29"/>
  <c r="BL99" i="15"/>
  <c r="C15" i="29"/>
  <c r="BL93" i="15"/>
  <c r="C9" i="29"/>
  <c r="BL96" i="15"/>
  <c r="C12" i="29"/>
  <c r="BL100" i="15"/>
  <c r="C16" i="29"/>
  <c r="BL98" i="15"/>
  <c r="C14" i="29"/>
  <c r="BK102" i="15"/>
  <c r="C44" i="29"/>
  <c r="Y17" i="5"/>
  <c r="L18" i="7"/>
  <c r="N18" i="7" s="1"/>
  <c r="L12" i="7"/>
  <c r="M12" i="7" s="1"/>
  <c r="L24" i="7"/>
  <c r="M24" i="7" s="1"/>
  <c r="L23" i="7"/>
  <c r="L7" i="7"/>
  <c r="M7" i="7" s="1"/>
  <c r="L8" i="7"/>
  <c r="M8" i="7" s="1"/>
  <c r="L22" i="7"/>
  <c r="N22" i="7" s="1"/>
  <c r="L11" i="7"/>
  <c r="N11" i="7" s="1"/>
  <c r="L13" i="7"/>
  <c r="M13" i="7" s="1"/>
  <c r="L20" i="7"/>
  <c r="N20" i="7" s="1"/>
  <c r="L9" i="7"/>
  <c r="L17" i="7"/>
  <c r="N17" i="7" s="1"/>
  <c r="L10" i="7"/>
  <c r="M10" i="7" s="1"/>
  <c r="L14" i="7"/>
  <c r="M14" i="7" s="1"/>
  <c r="L21" i="7"/>
  <c r="L16" i="7"/>
  <c r="N16" i="7" s="1"/>
  <c r="L15" i="7"/>
  <c r="M15" i="7" s="1"/>
  <c r="BH84" i="15"/>
  <c r="E5" i="15"/>
  <c r="E7" i="15" s="1"/>
  <c r="F7" i="15" s="1"/>
  <c r="AU84" i="15"/>
  <c r="AV84" i="15" s="1"/>
  <c r="AW84" i="15" s="1"/>
  <c r="H3" i="15"/>
  <c r="AL84" i="15"/>
  <c r="AM84" i="15" s="1"/>
  <c r="AN84" i="15" s="1"/>
  <c r="G3" i="15"/>
  <c r="R84" i="15"/>
  <c r="AC84" i="15"/>
  <c r="AD84" i="15" s="1"/>
  <c r="BG84" i="15"/>
  <c r="C46" i="5"/>
  <c r="I46" i="5" s="1"/>
  <c r="C97" i="29" s="1"/>
  <c r="W6" i="5"/>
  <c r="BK67" i="15" s="1"/>
  <c r="W13" i="5"/>
  <c r="Y13" i="5" s="1"/>
  <c r="W14" i="5"/>
  <c r="Y14" i="5" s="1"/>
  <c r="W20" i="5"/>
  <c r="W15" i="5"/>
  <c r="BK76" i="15" s="1"/>
  <c r="W12" i="5"/>
  <c r="C41" i="5" s="1"/>
  <c r="I41" i="5" s="1"/>
  <c r="C92" i="29" s="1"/>
  <c r="W7" i="5"/>
  <c r="BK68" i="15" s="1"/>
  <c r="W5" i="5"/>
  <c r="BK66" i="15" s="1"/>
  <c r="W22" i="5"/>
  <c r="Y22" i="5" s="1"/>
  <c r="W8" i="5"/>
  <c r="BK69" i="15" s="1"/>
  <c r="W11" i="5"/>
  <c r="W9" i="5"/>
  <c r="BK70" i="15" s="1"/>
  <c r="W21" i="5"/>
  <c r="C50" i="5" s="1"/>
  <c r="I50" i="5" s="1"/>
  <c r="C101" i="29" s="1"/>
  <c r="W10" i="5"/>
  <c r="C39" i="5" s="1"/>
  <c r="I39" i="5" s="1"/>
  <c r="C90" i="29" s="1"/>
  <c r="W16" i="5"/>
  <c r="C45" i="5" s="1"/>
  <c r="I45" i="5" s="1"/>
  <c r="C96" i="29" s="1"/>
  <c r="W23" i="5"/>
  <c r="W18" i="5"/>
  <c r="C47" i="5" s="1"/>
  <c r="I47" i="5" s="1"/>
  <c r="C98" i="29" s="1"/>
  <c r="W19" i="5"/>
  <c r="S26" i="5"/>
  <c r="V4" i="5"/>
  <c r="W4" i="5" s="1"/>
  <c r="O19" i="7"/>
  <c r="N21" i="7"/>
  <c r="M21" i="7"/>
  <c r="N23" i="7"/>
  <c r="M23" i="7"/>
  <c r="N7" i="7"/>
  <c r="H35" i="15"/>
  <c r="H36" i="15"/>
  <c r="AN65" i="15"/>
  <c r="BL65" i="15" s="1"/>
  <c r="C5" i="29" s="1"/>
  <c r="F5" i="29" s="1"/>
  <c r="F6" i="29" s="1"/>
  <c r="F7" i="29" s="1"/>
  <c r="F8" i="29" s="1"/>
  <c r="F9" i="29" s="1"/>
  <c r="F10" i="29" s="1"/>
  <c r="F11" i="29" s="1"/>
  <c r="F12" i="29" s="1"/>
  <c r="F13" i="29" s="1"/>
  <c r="BF84" i="15"/>
  <c r="N9" i="7" l="1"/>
  <c r="F14" i="29"/>
  <c r="F15" i="29" s="1"/>
  <c r="F16" i="29" s="1"/>
  <c r="F17" i="29" s="1"/>
  <c r="F18" i="29" s="1"/>
  <c r="F19" i="29" s="1"/>
  <c r="F20" i="29" s="1"/>
  <c r="F21" i="29" s="1"/>
  <c r="F22" i="29" s="1"/>
  <c r="F23" i="29" s="1"/>
  <c r="BI84" i="15"/>
  <c r="BJ84" i="15" s="1"/>
  <c r="C77" i="29" s="1"/>
  <c r="M11" i="7"/>
  <c r="M18" i="7"/>
  <c r="M9" i="7"/>
  <c r="N24" i="7"/>
  <c r="O24" i="7" s="1"/>
  <c r="M20" i="7"/>
  <c r="O20" i="7" s="1"/>
  <c r="BK93" i="15"/>
  <c r="C35" i="29"/>
  <c r="BK92" i="15"/>
  <c r="C34" i="29"/>
  <c r="BK100" i="15"/>
  <c r="C42" i="29"/>
  <c r="BK90" i="15"/>
  <c r="C32" i="29"/>
  <c r="BK94" i="15"/>
  <c r="C36" i="29"/>
  <c r="C125" i="29"/>
  <c r="C268" i="29"/>
  <c r="BK91" i="15"/>
  <c r="C33" i="29"/>
  <c r="M17" i="7"/>
  <c r="O17" i="7" s="1"/>
  <c r="N15" i="7"/>
  <c r="O15" i="7" s="1"/>
  <c r="Y15" i="5"/>
  <c r="N13" i="7"/>
  <c r="O13" i="7" s="1"/>
  <c r="BJ108" i="15"/>
  <c r="N14" i="7"/>
  <c r="O14" i="7" s="1"/>
  <c r="Y4" i="5"/>
  <c r="BL89" i="15"/>
  <c r="N10" i="7"/>
  <c r="O10" i="7" s="1"/>
  <c r="N8" i="7"/>
  <c r="O8" i="7" s="1"/>
  <c r="M22" i="7"/>
  <c r="N12" i="7"/>
  <c r="O12" i="7" s="1"/>
  <c r="Y9" i="5"/>
  <c r="Y19" i="5"/>
  <c r="Y7" i="5"/>
  <c r="Y20" i="5"/>
  <c r="E18" i="7"/>
  <c r="G45" i="5"/>
  <c r="H45" i="5" s="1"/>
  <c r="C151" i="29" s="1"/>
  <c r="E12" i="7"/>
  <c r="G39" i="5"/>
  <c r="H39" i="5" s="1"/>
  <c r="C145" i="29" s="1"/>
  <c r="E14" i="7"/>
  <c r="G41" i="5"/>
  <c r="H41" i="5" s="1"/>
  <c r="C147" i="29" s="1"/>
  <c r="E19" i="7"/>
  <c r="G19" i="7" s="1"/>
  <c r="G46" i="5"/>
  <c r="H46" i="5" s="1"/>
  <c r="C152" i="29" s="1"/>
  <c r="Y12" i="5"/>
  <c r="Y18" i="5"/>
  <c r="Y6" i="5"/>
  <c r="Y10" i="5"/>
  <c r="E23" i="7"/>
  <c r="G50" i="5"/>
  <c r="H50" i="5" s="1"/>
  <c r="C156" i="29" s="1"/>
  <c r="Y8" i="5"/>
  <c r="Y11" i="5"/>
  <c r="Y5" i="5"/>
  <c r="Y16" i="5"/>
  <c r="E20" i="7"/>
  <c r="G47" i="5"/>
  <c r="H47" i="5" s="1"/>
  <c r="C153" i="29" s="1"/>
  <c r="Y21" i="5"/>
  <c r="M16" i="7"/>
  <c r="O16" i="7" s="1"/>
  <c r="L6" i="7"/>
  <c r="N6" i="7" s="1"/>
  <c r="BK75" i="15"/>
  <c r="C43" i="5"/>
  <c r="I43" i="5" s="1"/>
  <c r="C94" i="29" s="1"/>
  <c r="C48" i="5"/>
  <c r="I48" i="5" s="1"/>
  <c r="C99" i="29" s="1"/>
  <c r="BK81" i="15"/>
  <c r="C49" i="5"/>
  <c r="I49" i="5" s="1"/>
  <c r="C100" i="29" s="1"/>
  <c r="BK80" i="15"/>
  <c r="BK71" i="15"/>
  <c r="BK74" i="15"/>
  <c r="C35" i="5"/>
  <c r="I35" i="5" s="1"/>
  <c r="C86" i="29" s="1"/>
  <c r="C44" i="5"/>
  <c r="I44" i="5" s="1"/>
  <c r="C95" i="29" s="1"/>
  <c r="C34" i="5"/>
  <c r="I34" i="5" s="1"/>
  <c r="C85" i="29" s="1"/>
  <c r="BK84" i="15"/>
  <c r="C52" i="5"/>
  <c r="I52" i="5" s="1"/>
  <c r="C103" i="29" s="1"/>
  <c r="BK83" i="15"/>
  <c r="C51" i="5"/>
  <c r="I51" i="5" s="1"/>
  <c r="C102" i="29" s="1"/>
  <c r="BK82" i="15"/>
  <c r="BK77" i="15"/>
  <c r="C42" i="5"/>
  <c r="I42" i="5" s="1"/>
  <c r="C93" i="29" s="1"/>
  <c r="C36" i="5"/>
  <c r="I36" i="5" s="1"/>
  <c r="C87" i="29" s="1"/>
  <c r="C40" i="5"/>
  <c r="I40" i="5" s="1"/>
  <c r="C91" i="29" s="1"/>
  <c r="C38" i="5"/>
  <c r="I38" i="5" s="1"/>
  <c r="C89" i="29" s="1"/>
  <c r="BK72" i="15"/>
  <c r="BK73" i="15"/>
  <c r="C37" i="5"/>
  <c r="I37" i="5" s="1"/>
  <c r="C88" i="29" s="1"/>
  <c r="BK79" i="15"/>
  <c r="W26" i="5"/>
  <c r="V26" i="5"/>
  <c r="S27" i="5"/>
  <c r="BL84" i="15"/>
  <c r="C24" i="29" s="1"/>
  <c r="F24" i="29" s="1"/>
  <c r="D27" i="29" s="1"/>
  <c r="O23" i="7"/>
  <c r="H6" i="15"/>
  <c r="O7" i="7"/>
  <c r="O22" i="7"/>
  <c r="O9" i="7"/>
  <c r="O11" i="7"/>
  <c r="O18" i="7"/>
  <c r="C33" i="5"/>
  <c r="I33" i="5" s="1"/>
  <c r="C84" i="29" s="1"/>
  <c r="BK65" i="15"/>
  <c r="C31" i="29" s="1"/>
  <c r="O21" i="7"/>
  <c r="G5" i="15"/>
  <c r="G7" i="15" s="1"/>
  <c r="G9" i="15"/>
  <c r="F77" i="29" l="1"/>
  <c r="D80" i="29" s="1"/>
  <c r="F80" i="29"/>
  <c r="F27" i="29"/>
  <c r="C113" i="29"/>
  <c r="C256" i="29"/>
  <c r="BK99" i="15"/>
  <c r="C41" i="29"/>
  <c r="C257" i="29"/>
  <c r="C114" i="29"/>
  <c r="C266" i="29"/>
  <c r="C123" i="29"/>
  <c r="BK95" i="15"/>
  <c r="C37" i="29"/>
  <c r="BK107" i="15"/>
  <c r="C49" i="29"/>
  <c r="BK104" i="15"/>
  <c r="C46" i="29"/>
  <c r="C258" i="29"/>
  <c r="C115" i="29"/>
  <c r="BK101" i="15"/>
  <c r="C43" i="29"/>
  <c r="BK98" i="15"/>
  <c r="C40" i="29"/>
  <c r="BK96" i="15"/>
  <c r="C38" i="29"/>
  <c r="BK103" i="15"/>
  <c r="C45" i="29"/>
  <c r="BK106" i="15"/>
  <c r="C48" i="29"/>
  <c r="BK97" i="15"/>
  <c r="C39" i="29"/>
  <c r="BK108" i="15"/>
  <c r="C50" i="29"/>
  <c r="BK105" i="15"/>
  <c r="C47" i="29"/>
  <c r="C117" i="29"/>
  <c r="C260" i="29"/>
  <c r="C116" i="29"/>
  <c r="C259" i="29"/>
  <c r="F31" i="29"/>
  <c r="F32" i="29" s="1"/>
  <c r="F33" i="29" s="1"/>
  <c r="F34" i="29" s="1"/>
  <c r="F35" i="29" s="1"/>
  <c r="F36" i="29" s="1"/>
  <c r="F37" i="29" s="1"/>
  <c r="F38" i="29" s="1"/>
  <c r="F39" i="29" s="1"/>
  <c r="F40" i="29" s="1"/>
  <c r="F41" i="29" s="1"/>
  <c r="F42" i="29" s="1"/>
  <c r="F43" i="29" s="1"/>
  <c r="F44" i="29" s="1"/>
  <c r="C255" i="29"/>
  <c r="C112" i="29"/>
  <c r="H19" i="7"/>
  <c r="I19" i="7" s="1"/>
  <c r="F19" i="7"/>
  <c r="S19" i="7" s="1"/>
  <c r="B48" i="7"/>
  <c r="BO65" i="15"/>
  <c r="BP65" i="15" s="1"/>
  <c r="BK89" i="15"/>
  <c r="L25" i="7"/>
  <c r="BL108" i="15"/>
  <c r="E13" i="7"/>
  <c r="G40" i="5"/>
  <c r="H40" i="5" s="1"/>
  <c r="C146" i="29" s="1"/>
  <c r="E24" i="7"/>
  <c r="F24" i="7" s="1"/>
  <c r="S24" i="7" s="1"/>
  <c r="G51" i="5"/>
  <c r="H51" i="5" s="1"/>
  <c r="C157" i="29" s="1"/>
  <c r="E22" i="7"/>
  <c r="F22" i="7" s="1"/>
  <c r="S22" i="7" s="1"/>
  <c r="G49" i="5"/>
  <c r="H49" i="5" s="1"/>
  <c r="C155" i="29" s="1"/>
  <c r="E8" i="7"/>
  <c r="G35" i="5"/>
  <c r="H35" i="5" s="1"/>
  <c r="C141" i="29" s="1"/>
  <c r="E9" i="7"/>
  <c r="G9" i="7" s="1"/>
  <c r="G36" i="5"/>
  <c r="H36" i="5" s="1"/>
  <c r="C142" i="29" s="1"/>
  <c r="E25" i="7"/>
  <c r="G25" i="7" s="1"/>
  <c r="G52" i="5"/>
  <c r="H52" i="5" s="1"/>
  <c r="C158" i="29" s="1"/>
  <c r="D33" i="5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E6" i="7"/>
  <c r="I32" i="5"/>
  <c r="G33" i="5"/>
  <c r="E11" i="7"/>
  <c r="G38" i="5"/>
  <c r="H38" i="5" s="1"/>
  <c r="C144" i="29" s="1"/>
  <c r="E10" i="7"/>
  <c r="B39" i="7" s="1"/>
  <c r="G37" i="5"/>
  <c r="H37" i="5" s="1"/>
  <c r="C143" i="29" s="1"/>
  <c r="E7" i="7"/>
  <c r="G7" i="7" s="1"/>
  <c r="G34" i="5"/>
  <c r="H34" i="5" s="1"/>
  <c r="C140" i="29" s="1"/>
  <c r="E21" i="7"/>
  <c r="B50" i="7" s="1"/>
  <c r="G48" i="5"/>
  <c r="H48" i="5" s="1"/>
  <c r="C154" i="29" s="1"/>
  <c r="E17" i="7"/>
  <c r="F17" i="7" s="1"/>
  <c r="S17" i="7" s="1"/>
  <c r="G44" i="5"/>
  <c r="H44" i="5" s="1"/>
  <c r="C150" i="29" s="1"/>
  <c r="E16" i="7"/>
  <c r="H16" i="7" s="1"/>
  <c r="G43" i="5"/>
  <c r="H43" i="5" s="1"/>
  <c r="C149" i="29" s="1"/>
  <c r="E15" i="7"/>
  <c r="G15" i="7" s="1"/>
  <c r="G42" i="5"/>
  <c r="H42" i="5" s="1"/>
  <c r="C148" i="29" s="1"/>
  <c r="M6" i="7"/>
  <c r="O6" i="7" s="1"/>
  <c r="O5" i="7" s="1"/>
  <c r="BL87" i="15"/>
  <c r="B37" i="7"/>
  <c r="H9" i="15"/>
  <c r="H5" i="15"/>
  <c r="H7" i="15" s="1"/>
  <c r="G22" i="7"/>
  <c r="B47" i="7"/>
  <c r="H18" i="7"/>
  <c r="G18" i="7"/>
  <c r="F18" i="7"/>
  <c r="S18" i="7" s="1"/>
  <c r="R19" i="7"/>
  <c r="G12" i="7"/>
  <c r="B41" i="7"/>
  <c r="F12" i="7"/>
  <c r="S12" i="7" s="1"/>
  <c r="H12" i="7"/>
  <c r="F9" i="7"/>
  <c r="S9" i="7" s="1"/>
  <c r="B38" i="7"/>
  <c r="BO66" i="15"/>
  <c r="B42" i="7"/>
  <c r="H13" i="7"/>
  <c r="G13" i="7"/>
  <c r="F13" i="7"/>
  <c r="S13" i="7" s="1"/>
  <c r="B46" i="7"/>
  <c r="B25" i="7"/>
  <c r="B30" i="7" s="1"/>
  <c r="BN84" i="15"/>
  <c r="X23" i="5"/>
  <c r="Y23" i="5" s="1"/>
  <c r="B49" i="7"/>
  <c r="H20" i="7"/>
  <c r="F20" i="7"/>
  <c r="S20" i="7" s="1"/>
  <c r="G20" i="7"/>
  <c r="G23" i="7"/>
  <c r="F23" i="7"/>
  <c r="S23" i="7" s="1"/>
  <c r="B52" i="7"/>
  <c r="H23" i="7"/>
  <c r="B53" i="7"/>
  <c r="B40" i="7"/>
  <c r="G11" i="7"/>
  <c r="F11" i="7"/>
  <c r="S11" i="7" s="1"/>
  <c r="H11" i="7"/>
  <c r="H14" i="7"/>
  <c r="G14" i="7"/>
  <c r="B43" i="7"/>
  <c r="F14" i="7"/>
  <c r="S14" i="7" s="1"/>
  <c r="J6" i="15"/>
  <c r="F7" i="7"/>
  <c r="S7" i="7" s="1"/>
  <c r="M25" i="7" l="1"/>
  <c r="L30" i="7"/>
  <c r="S30" i="7" s="1"/>
  <c r="D30" i="7"/>
  <c r="F134" i="29"/>
  <c r="G27" i="29"/>
  <c r="G134" i="29" s="1"/>
  <c r="F277" i="29"/>
  <c r="G80" i="29"/>
  <c r="F106" i="29"/>
  <c r="F45" i="29"/>
  <c r="F46" i="29" s="1"/>
  <c r="F47" i="29" s="1"/>
  <c r="F48" i="29" s="1"/>
  <c r="F49" i="29" s="1"/>
  <c r="F50" i="29" s="1"/>
  <c r="D53" i="29" s="1"/>
  <c r="D134" i="29" s="1"/>
  <c r="Q18" i="14"/>
  <c r="H44" i="14" s="1"/>
  <c r="C128" i="29"/>
  <c r="C271" i="29"/>
  <c r="C269" i="29"/>
  <c r="C126" i="29"/>
  <c r="C131" i="29"/>
  <c r="C274" i="29"/>
  <c r="C119" i="29"/>
  <c r="C262" i="29"/>
  <c r="C127" i="29"/>
  <c r="C270" i="29"/>
  <c r="C120" i="29"/>
  <c r="C263" i="29"/>
  <c r="C121" i="29"/>
  <c r="C264" i="29"/>
  <c r="C273" i="29"/>
  <c r="C130" i="29"/>
  <c r="C265" i="29"/>
  <c r="C122" i="29"/>
  <c r="H21" i="7"/>
  <c r="G21" i="7"/>
  <c r="C129" i="29"/>
  <c r="C272" i="29"/>
  <c r="C124" i="29"/>
  <c r="C267" i="29"/>
  <c r="C261" i="29"/>
  <c r="C118" i="29"/>
  <c r="B36" i="7"/>
  <c r="H17" i="7"/>
  <c r="H9" i="7"/>
  <c r="I55" i="5"/>
  <c r="D277" i="29"/>
  <c r="D106" i="29"/>
  <c r="G24" i="7"/>
  <c r="H25" i="7"/>
  <c r="B44" i="7"/>
  <c r="B45" i="7"/>
  <c r="F10" i="7"/>
  <c r="S10" i="7" s="1"/>
  <c r="F25" i="7"/>
  <c r="F16" i="7"/>
  <c r="S16" i="7" s="1"/>
  <c r="G10" i="7"/>
  <c r="H24" i="7"/>
  <c r="B54" i="7"/>
  <c r="G16" i="7"/>
  <c r="H10" i="7"/>
  <c r="N25" i="7"/>
  <c r="O25" i="7" s="1"/>
  <c r="L29" i="7"/>
  <c r="H15" i="7"/>
  <c r="I15" i="7" s="1"/>
  <c r="B51" i="7"/>
  <c r="H7" i="7"/>
  <c r="F15" i="7"/>
  <c r="S15" i="7" s="1"/>
  <c r="H22" i="7"/>
  <c r="I57" i="5"/>
  <c r="F21" i="7"/>
  <c r="S21" i="7" s="1"/>
  <c r="G17" i="7"/>
  <c r="G8" i="7"/>
  <c r="X26" i="5"/>
  <c r="K44" i="14"/>
  <c r="L44" i="14"/>
  <c r="AL38" i="20"/>
  <c r="AL46" i="20"/>
  <c r="AL54" i="20"/>
  <c r="AL62" i="20"/>
  <c r="AL70" i="20"/>
  <c r="AL78" i="20"/>
  <c r="AL86" i="20"/>
  <c r="AL94" i="20"/>
  <c r="AL102" i="20"/>
  <c r="AL110" i="20"/>
  <c r="AL118" i="20"/>
  <c r="AL126" i="20"/>
  <c r="AL134" i="20"/>
  <c r="AL142" i="20"/>
  <c r="AL150" i="20"/>
  <c r="AL158" i="20"/>
  <c r="AL166" i="20"/>
  <c r="AL174" i="20"/>
  <c r="AL182" i="20"/>
  <c r="AL190" i="20"/>
  <c r="AL198" i="20"/>
  <c r="AL206" i="20"/>
  <c r="AL214" i="20"/>
  <c r="AL222" i="20"/>
  <c r="AL230" i="20"/>
  <c r="AL238" i="20"/>
  <c r="AL246" i="20"/>
  <c r="AL254" i="20"/>
  <c r="AL262" i="20"/>
  <c r="AL270" i="20"/>
  <c r="AL278" i="20"/>
  <c r="AL286" i="20"/>
  <c r="AL294" i="20"/>
  <c r="AL302" i="20"/>
  <c r="AL310" i="20"/>
  <c r="AL318" i="20"/>
  <c r="AL326" i="20"/>
  <c r="AL334" i="20"/>
  <c r="AL342" i="20"/>
  <c r="AL350" i="20"/>
  <c r="AL358" i="20"/>
  <c r="AL366" i="20"/>
  <c r="AL374" i="20"/>
  <c r="AL382" i="20"/>
  <c r="AL390" i="20"/>
  <c r="AL398" i="20"/>
  <c r="AL406" i="20"/>
  <c r="AL414" i="20"/>
  <c r="AL422" i="20"/>
  <c r="AL430" i="20"/>
  <c r="AL438" i="20"/>
  <c r="AL446" i="20"/>
  <c r="AL454" i="20"/>
  <c r="AL462" i="20"/>
  <c r="AL470" i="20"/>
  <c r="AL478" i="20"/>
  <c r="AL486" i="20"/>
  <c r="AL494" i="20"/>
  <c r="AL502" i="20"/>
  <c r="AL510" i="20"/>
  <c r="AL518" i="20"/>
  <c r="AL526" i="20"/>
  <c r="AL534" i="20"/>
  <c r="AL542" i="20"/>
  <c r="AL550" i="20"/>
  <c r="AL558" i="20"/>
  <c r="AL566" i="20"/>
  <c r="AL574" i="20"/>
  <c r="AL582" i="20"/>
  <c r="AL590" i="20"/>
  <c r="AL598" i="20"/>
  <c r="AL606" i="20"/>
  <c r="AL614" i="20"/>
  <c r="AL622" i="20"/>
  <c r="AL630" i="20"/>
  <c r="AL638" i="20"/>
  <c r="AL646" i="20"/>
  <c r="AL654" i="20"/>
  <c r="AL662" i="20"/>
  <c r="AL670" i="20"/>
  <c r="AL678" i="20"/>
  <c r="AL686" i="20"/>
  <c r="AL694" i="20"/>
  <c r="AL702" i="20"/>
  <c r="AL710" i="20"/>
  <c r="AL39" i="20"/>
  <c r="AL47" i="20"/>
  <c r="AL55" i="20"/>
  <c r="AL63" i="20"/>
  <c r="AL71" i="20"/>
  <c r="AL79" i="20"/>
  <c r="AL87" i="20"/>
  <c r="AL95" i="20"/>
  <c r="AL103" i="20"/>
  <c r="AL111" i="20"/>
  <c r="AL119" i="20"/>
  <c r="AL127" i="20"/>
  <c r="AL135" i="20"/>
  <c r="AL143" i="20"/>
  <c r="AL151" i="20"/>
  <c r="AL159" i="20"/>
  <c r="AL167" i="20"/>
  <c r="AL175" i="20"/>
  <c r="AL183" i="20"/>
  <c r="AL191" i="20"/>
  <c r="AL199" i="20"/>
  <c r="AL207" i="20"/>
  <c r="AL215" i="20"/>
  <c r="AL223" i="20"/>
  <c r="AL231" i="20"/>
  <c r="AL239" i="20"/>
  <c r="AL247" i="20"/>
  <c r="AL255" i="20"/>
  <c r="AL263" i="20"/>
  <c r="AL271" i="20"/>
  <c r="AL279" i="20"/>
  <c r="AL287" i="20"/>
  <c r="AL295" i="20"/>
  <c r="AL303" i="20"/>
  <c r="AL311" i="20"/>
  <c r="AL319" i="20"/>
  <c r="AL327" i="20"/>
  <c r="AL335" i="20"/>
  <c r="AL343" i="20"/>
  <c r="AL351" i="20"/>
  <c r="AL359" i="20"/>
  <c r="AL367" i="20"/>
  <c r="AL375" i="20"/>
  <c r="AL383" i="20"/>
  <c r="AL391" i="20"/>
  <c r="AL399" i="20"/>
  <c r="AL407" i="20"/>
  <c r="AL415" i="20"/>
  <c r="AL423" i="20"/>
  <c r="AL431" i="20"/>
  <c r="AL439" i="20"/>
  <c r="AL447" i="20"/>
  <c r="AL455" i="20"/>
  <c r="AL463" i="20"/>
  <c r="AL471" i="20"/>
  <c r="AL479" i="20"/>
  <c r="AL487" i="20"/>
  <c r="AL495" i="20"/>
  <c r="AL503" i="20"/>
  <c r="AL511" i="20"/>
  <c r="AL519" i="20"/>
  <c r="AL527" i="20"/>
  <c r="AL535" i="20"/>
  <c r="AL543" i="20"/>
  <c r="AL551" i="20"/>
  <c r="AL559" i="20"/>
  <c r="AL567" i="20"/>
  <c r="AL575" i="20"/>
  <c r="AL583" i="20"/>
  <c r="AL591" i="20"/>
  <c r="AL599" i="20"/>
  <c r="AL607" i="20"/>
  <c r="AL615" i="20"/>
  <c r="AL623" i="20"/>
  <c r="AL631" i="20"/>
  <c r="AL639" i="20"/>
  <c r="AL647" i="20"/>
  <c r="AL655" i="20"/>
  <c r="AL663" i="20"/>
  <c r="AL671" i="20"/>
  <c r="AL679" i="20"/>
  <c r="AL687" i="20"/>
  <c r="AL695" i="20"/>
  <c r="AL703" i="20"/>
  <c r="AL711" i="20"/>
  <c r="AL40" i="20"/>
  <c r="AL48" i="20"/>
  <c r="AL56" i="20"/>
  <c r="AL64" i="20"/>
  <c r="AL72" i="20"/>
  <c r="AL80" i="20"/>
  <c r="AL88" i="20"/>
  <c r="AL96" i="20"/>
  <c r="AL104" i="20"/>
  <c r="AL112" i="20"/>
  <c r="AL120" i="20"/>
  <c r="AL128" i="20"/>
  <c r="AL136" i="20"/>
  <c r="AL144" i="20"/>
  <c r="AL152" i="20"/>
  <c r="AL160" i="20"/>
  <c r="AL168" i="20"/>
  <c r="AL176" i="20"/>
  <c r="AL184" i="20"/>
  <c r="AL192" i="20"/>
  <c r="AL200" i="20"/>
  <c r="AL208" i="20"/>
  <c r="AL216" i="20"/>
  <c r="AL224" i="20"/>
  <c r="AL232" i="20"/>
  <c r="AL240" i="20"/>
  <c r="AL248" i="20"/>
  <c r="AL256" i="20"/>
  <c r="AL264" i="20"/>
  <c r="AL272" i="20"/>
  <c r="AL280" i="20"/>
  <c r="AL288" i="20"/>
  <c r="AL296" i="20"/>
  <c r="AL304" i="20"/>
  <c r="AL312" i="20"/>
  <c r="AL320" i="20"/>
  <c r="AL328" i="20"/>
  <c r="AL336" i="20"/>
  <c r="AL344" i="20"/>
  <c r="AL352" i="20"/>
  <c r="AL360" i="20"/>
  <c r="AL368" i="20"/>
  <c r="AL376" i="20"/>
  <c r="AL384" i="20"/>
  <c r="AL392" i="20"/>
  <c r="AL400" i="20"/>
  <c r="AL408" i="20"/>
  <c r="AL416" i="20"/>
  <c r="AL424" i="20"/>
  <c r="AL432" i="20"/>
  <c r="AL440" i="20"/>
  <c r="AL448" i="20"/>
  <c r="AL456" i="20"/>
  <c r="AL464" i="20"/>
  <c r="AL472" i="20"/>
  <c r="AL480" i="20"/>
  <c r="AL488" i="20"/>
  <c r="AL496" i="20"/>
  <c r="AL504" i="20"/>
  <c r="AL512" i="20"/>
  <c r="AL520" i="20"/>
  <c r="AL528" i="20"/>
  <c r="AL536" i="20"/>
  <c r="AL544" i="20"/>
  <c r="AL552" i="20"/>
  <c r="AL560" i="20"/>
  <c r="AL568" i="20"/>
  <c r="AL576" i="20"/>
  <c r="AL584" i="20"/>
  <c r="AL592" i="20"/>
  <c r="AL600" i="20"/>
  <c r="AL608" i="20"/>
  <c r="AL616" i="20"/>
  <c r="AL624" i="20"/>
  <c r="AL632" i="20"/>
  <c r="AL640" i="20"/>
  <c r="AL648" i="20"/>
  <c r="AL656" i="20"/>
  <c r="AL664" i="20"/>
  <c r="AL672" i="20"/>
  <c r="AL680" i="20"/>
  <c r="AL688" i="20"/>
  <c r="AL696" i="20"/>
  <c r="AL704" i="20"/>
  <c r="AL41" i="20"/>
  <c r="AL49" i="20"/>
  <c r="AL57" i="20"/>
  <c r="AL65" i="20"/>
  <c r="AL73" i="20"/>
  <c r="AL81" i="20"/>
  <c r="AL89" i="20"/>
  <c r="AL97" i="20"/>
  <c r="AL105" i="20"/>
  <c r="AL113" i="20"/>
  <c r="AL121" i="20"/>
  <c r="AL129" i="20"/>
  <c r="AL137" i="20"/>
  <c r="AL145" i="20"/>
  <c r="AL153" i="20"/>
  <c r="AL161" i="20"/>
  <c r="AL169" i="20"/>
  <c r="AL177" i="20"/>
  <c r="AL185" i="20"/>
  <c r="AL193" i="20"/>
  <c r="AL201" i="20"/>
  <c r="AL209" i="20"/>
  <c r="AL217" i="20"/>
  <c r="AL225" i="20"/>
  <c r="AL233" i="20"/>
  <c r="AL241" i="20"/>
  <c r="AL249" i="20"/>
  <c r="AL257" i="20"/>
  <c r="AL265" i="20"/>
  <c r="AL273" i="20"/>
  <c r="AL281" i="20"/>
  <c r="AL289" i="20"/>
  <c r="AL297" i="20"/>
  <c r="AL305" i="20"/>
  <c r="AL313" i="20"/>
  <c r="AL321" i="20"/>
  <c r="AL329" i="20"/>
  <c r="AL337" i="20"/>
  <c r="AL345" i="20"/>
  <c r="AL353" i="20"/>
  <c r="AL361" i="20"/>
  <c r="AL369" i="20"/>
  <c r="AL377" i="20"/>
  <c r="AL385" i="20"/>
  <c r="AL393" i="20"/>
  <c r="AL401" i="20"/>
  <c r="AL409" i="20"/>
  <c r="AL417" i="20"/>
  <c r="AL425" i="20"/>
  <c r="AL433" i="20"/>
  <c r="AL441" i="20"/>
  <c r="AL449" i="20"/>
  <c r="AL457" i="20"/>
  <c r="AL465" i="20"/>
  <c r="AL473" i="20"/>
  <c r="AL481" i="20"/>
  <c r="AL489" i="20"/>
  <c r="AL497" i="20"/>
  <c r="AL505" i="20"/>
  <c r="AL513" i="20"/>
  <c r="AL521" i="20"/>
  <c r="AL529" i="20"/>
  <c r="AL537" i="20"/>
  <c r="AL545" i="20"/>
  <c r="AL553" i="20"/>
  <c r="AL561" i="20"/>
  <c r="AL569" i="20"/>
  <c r="AL577" i="20"/>
  <c r="AL585" i="20"/>
  <c r="AL593" i="20"/>
  <c r="AL601" i="20"/>
  <c r="AL609" i="20"/>
  <c r="AL617" i="20"/>
  <c r="AL625" i="20"/>
  <c r="AL633" i="20"/>
  <c r="AL641" i="20"/>
  <c r="AL649" i="20"/>
  <c r="AL657" i="20"/>
  <c r="AL665" i="20"/>
  <c r="AL673" i="20"/>
  <c r="AL681" i="20"/>
  <c r="AL689" i="20"/>
  <c r="AL697" i="20"/>
  <c r="AL705" i="20"/>
  <c r="AL713" i="20"/>
  <c r="AL42" i="20"/>
  <c r="AL50" i="20"/>
  <c r="AL58" i="20"/>
  <c r="AL66" i="20"/>
  <c r="AL74" i="20"/>
  <c r="AL82" i="20"/>
  <c r="AL90" i="20"/>
  <c r="AL98" i="20"/>
  <c r="AL106" i="20"/>
  <c r="AL114" i="20"/>
  <c r="AL122" i="20"/>
  <c r="AL130" i="20"/>
  <c r="AL138" i="20"/>
  <c r="AL146" i="20"/>
  <c r="AL154" i="20"/>
  <c r="AL162" i="20"/>
  <c r="AL170" i="20"/>
  <c r="AL178" i="20"/>
  <c r="AL186" i="20"/>
  <c r="AL194" i="20"/>
  <c r="AL202" i="20"/>
  <c r="AL210" i="20"/>
  <c r="AL218" i="20"/>
  <c r="AL226" i="20"/>
  <c r="AL234" i="20"/>
  <c r="AL242" i="20"/>
  <c r="AL250" i="20"/>
  <c r="AL258" i="20"/>
  <c r="AL266" i="20"/>
  <c r="AL274" i="20"/>
  <c r="AL282" i="20"/>
  <c r="AL290" i="20"/>
  <c r="AL298" i="20"/>
  <c r="AL306" i="20"/>
  <c r="AL314" i="20"/>
  <c r="AL322" i="20"/>
  <c r="AL330" i="20"/>
  <c r="AL338" i="20"/>
  <c r="AL346" i="20"/>
  <c r="AL354" i="20"/>
  <c r="AL362" i="20"/>
  <c r="AL370" i="20"/>
  <c r="AL378" i="20"/>
  <c r="AL386" i="20"/>
  <c r="AL394" i="20"/>
  <c r="AL402" i="20"/>
  <c r="AL410" i="20"/>
  <c r="AL418" i="20"/>
  <c r="AL426" i="20"/>
  <c r="AL434" i="20"/>
  <c r="AL442" i="20"/>
  <c r="AL450" i="20"/>
  <c r="AL458" i="20"/>
  <c r="AL466" i="20"/>
  <c r="AL474" i="20"/>
  <c r="AL482" i="20"/>
  <c r="AL490" i="20"/>
  <c r="AL498" i="20"/>
  <c r="AL506" i="20"/>
  <c r="AL514" i="20"/>
  <c r="AL522" i="20"/>
  <c r="AL530" i="20"/>
  <c r="AL538" i="20"/>
  <c r="AL546" i="20"/>
  <c r="AL554" i="20"/>
  <c r="AL562" i="20"/>
  <c r="AL570" i="20"/>
  <c r="AL578" i="20"/>
  <c r="AL586" i="20"/>
  <c r="AL594" i="20"/>
  <c r="AL602" i="20"/>
  <c r="AL610" i="20"/>
  <c r="AL618" i="20"/>
  <c r="AL626" i="20"/>
  <c r="AL634" i="20"/>
  <c r="AL642" i="20"/>
  <c r="AL650" i="20"/>
  <c r="AL658" i="20"/>
  <c r="AL666" i="20"/>
  <c r="AL674" i="20"/>
  <c r="AL682" i="20"/>
  <c r="AL690" i="20"/>
  <c r="AL698" i="20"/>
  <c r="AL706" i="20"/>
  <c r="AL43" i="20"/>
  <c r="AL51" i="20"/>
  <c r="AL59" i="20"/>
  <c r="AL67" i="20"/>
  <c r="AL75" i="20"/>
  <c r="AL83" i="20"/>
  <c r="AL91" i="20"/>
  <c r="AL99" i="20"/>
  <c r="AL107" i="20"/>
  <c r="AL115" i="20"/>
  <c r="AL123" i="20"/>
  <c r="AL131" i="20"/>
  <c r="AL139" i="20"/>
  <c r="AL147" i="20"/>
  <c r="AL155" i="20"/>
  <c r="AL163" i="20"/>
  <c r="AL171" i="20"/>
  <c r="AL179" i="20"/>
  <c r="AL187" i="20"/>
  <c r="AL195" i="20"/>
  <c r="AL203" i="20"/>
  <c r="AL211" i="20"/>
  <c r="AL219" i="20"/>
  <c r="AL227" i="20"/>
  <c r="AL235" i="20"/>
  <c r="AL243" i="20"/>
  <c r="AL251" i="20"/>
  <c r="AL259" i="20"/>
  <c r="AL267" i="20"/>
  <c r="AL275" i="20"/>
  <c r="AL283" i="20"/>
  <c r="AL291" i="20"/>
  <c r="AL299" i="20"/>
  <c r="AL307" i="20"/>
  <c r="AL315" i="20"/>
  <c r="AL323" i="20"/>
  <c r="AL331" i="20"/>
  <c r="AL339" i="20"/>
  <c r="AL347" i="20"/>
  <c r="AL355" i="20"/>
  <c r="AL363" i="20"/>
  <c r="AL371" i="20"/>
  <c r="AL379" i="20"/>
  <c r="AL387" i="20"/>
  <c r="AL395" i="20"/>
  <c r="AL403" i="20"/>
  <c r="AL411" i="20"/>
  <c r="AL419" i="20"/>
  <c r="AL427" i="20"/>
  <c r="AL435" i="20"/>
  <c r="AL443" i="20"/>
  <c r="AL451" i="20"/>
  <c r="AL459" i="20"/>
  <c r="AL467" i="20"/>
  <c r="AL475" i="20"/>
  <c r="AL483" i="20"/>
  <c r="AL491" i="20"/>
  <c r="AL499" i="20"/>
  <c r="AL507" i="20"/>
  <c r="AL515" i="20"/>
  <c r="AL523" i="20"/>
  <c r="AL531" i="20"/>
  <c r="AL539" i="20"/>
  <c r="AL547" i="20"/>
  <c r="AL555" i="20"/>
  <c r="AL563" i="20"/>
  <c r="AL571" i="20"/>
  <c r="AL579" i="20"/>
  <c r="AL587" i="20"/>
  <c r="AL595" i="20"/>
  <c r="AL603" i="20"/>
  <c r="AL611" i="20"/>
  <c r="AL619" i="20"/>
  <c r="AL627" i="20"/>
  <c r="AL635" i="20"/>
  <c r="AL643" i="20"/>
  <c r="AL651" i="20"/>
  <c r="AL659" i="20"/>
  <c r="AL667" i="20"/>
  <c r="AL675" i="20"/>
  <c r="AL683" i="20"/>
  <c r="AL691" i="20"/>
  <c r="AL699" i="20"/>
  <c r="AL707" i="20"/>
  <c r="AL715" i="20"/>
  <c r="AL37" i="20"/>
  <c r="AL45" i="20"/>
  <c r="AL53" i="20"/>
  <c r="AL61" i="20"/>
  <c r="AL69" i="20"/>
  <c r="AL77" i="20"/>
  <c r="AL85" i="20"/>
  <c r="AL93" i="20"/>
  <c r="AL101" i="20"/>
  <c r="AL109" i="20"/>
  <c r="AL117" i="20"/>
  <c r="AL125" i="20"/>
  <c r="AL133" i="20"/>
  <c r="AL141" i="20"/>
  <c r="AL149" i="20"/>
  <c r="AL157" i="20"/>
  <c r="AL165" i="20"/>
  <c r="AL173" i="20"/>
  <c r="AL181" i="20"/>
  <c r="AL189" i="20"/>
  <c r="AL197" i="20"/>
  <c r="AL205" i="20"/>
  <c r="AL213" i="20"/>
  <c r="AL221" i="20"/>
  <c r="AL229" i="20"/>
  <c r="AL237" i="20"/>
  <c r="AL245" i="20"/>
  <c r="AL253" i="20"/>
  <c r="AL261" i="20"/>
  <c r="AL269" i="20"/>
  <c r="AL277" i="20"/>
  <c r="AL285" i="20"/>
  <c r="AL293" i="20"/>
  <c r="AL301" i="20"/>
  <c r="AL309" i="20"/>
  <c r="AL317" i="20"/>
  <c r="AL325" i="20"/>
  <c r="AL333" i="20"/>
  <c r="AL341" i="20"/>
  <c r="AL349" i="20"/>
  <c r="AL357" i="20"/>
  <c r="AL365" i="20"/>
  <c r="AL373" i="20"/>
  <c r="AL381" i="20"/>
  <c r="AL389" i="20"/>
  <c r="AL397" i="20"/>
  <c r="AL405" i="20"/>
  <c r="AL413" i="20"/>
  <c r="AL421" i="20"/>
  <c r="AL429" i="20"/>
  <c r="AL437" i="20"/>
  <c r="AL445" i="20"/>
  <c r="AL453" i="20"/>
  <c r="AL461" i="20"/>
  <c r="AL469" i="20"/>
  <c r="AL477" i="20"/>
  <c r="AL485" i="20"/>
  <c r="AL493" i="20"/>
  <c r="AL501" i="20"/>
  <c r="AL509" i="20"/>
  <c r="AL517" i="20"/>
  <c r="AL525" i="20"/>
  <c r="AL533" i="20"/>
  <c r="AL541" i="20"/>
  <c r="AL549" i="20"/>
  <c r="AL557" i="20"/>
  <c r="AL565" i="20"/>
  <c r="AL573" i="20"/>
  <c r="AL581" i="20"/>
  <c r="AL589" i="20"/>
  <c r="AL597" i="20"/>
  <c r="AL605" i="20"/>
  <c r="AL613" i="20"/>
  <c r="AL621" i="20"/>
  <c r="AL629" i="20"/>
  <c r="AL637" i="20"/>
  <c r="AL645" i="20"/>
  <c r="AL653" i="20"/>
  <c r="AL661" i="20"/>
  <c r="AL669" i="20"/>
  <c r="AL677" i="20"/>
  <c r="AL685" i="20"/>
  <c r="AL693" i="20"/>
  <c r="AL701" i="20"/>
  <c r="AL52" i="20"/>
  <c r="AL116" i="20"/>
  <c r="AL180" i="20"/>
  <c r="AL244" i="20"/>
  <c r="AL308" i="20"/>
  <c r="AL372" i="20"/>
  <c r="AL436" i="20"/>
  <c r="AL500" i="20"/>
  <c r="AL564" i="20"/>
  <c r="AL628" i="20"/>
  <c r="AL692" i="20"/>
  <c r="AL718" i="20"/>
  <c r="AL726" i="20"/>
  <c r="AL734" i="20"/>
  <c r="AL742" i="20"/>
  <c r="AL750" i="20"/>
  <c r="AL758" i="20"/>
  <c r="AL766" i="20"/>
  <c r="AL774" i="20"/>
  <c r="AL782" i="20"/>
  <c r="AL790" i="20"/>
  <c r="AL798" i="20"/>
  <c r="AL806" i="20"/>
  <c r="AL814" i="20"/>
  <c r="AL822" i="20"/>
  <c r="AL830" i="20"/>
  <c r="AL838" i="20"/>
  <c r="AL846" i="20"/>
  <c r="AL854" i="20"/>
  <c r="AL862" i="20"/>
  <c r="AL870" i="20"/>
  <c r="AL878" i="20"/>
  <c r="AL886" i="20"/>
  <c r="AL894" i="20"/>
  <c r="AL902" i="20"/>
  <c r="AL910" i="20"/>
  <c r="AL918" i="20"/>
  <c r="AL926" i="20"/>
  <c r="AL934" i="20"/>
  <c r="AL942" i="20"/>
  <c r="AL950" i="20"/>
  <c r="AL958" i="20"/>
  <c r="AL966" i="20"/>
  <c r="AL974" i="20"/>
  <c r="AL982" i="20"/>
  <c r="AL990" i="20"/>
  <c r="AL998" i="20"/>
  <c r="AL1006" i="20"/>
  <c r="AL1014" i="20"/>
  <c r="AL1022" i="20"/>
  <c r="AL1030" i="20"/>
  <c r="AL1031" i="20"/>
  <c r="AL420" i="20"/>
  <c r="AL724" i="20"/>
  <c r="AL772" i="20"/>
  <c r="AL828" i="20"/>
  <c r="AL900" i="20"/>
  <c r="AL956" i="20"/>
  <c r="AL1012" i="20"/>
  <c r="AL60" i="20"/>
  <c r="AL124" i="20"/>
  <c r="AL188" i="20"/>
  <c r="AL252" i="20"/>
  <c r="AL316" i="20"/>
  <c r="AL380" i="20"/>
  <c r="AL444" i="20"/>
  <c r="AL508" i="20"/>
  <c r="AL572" i="20"/>
  <c r="AL636" i="20"/>
  <c r="AL700" i="20"/>
  <c r="AL719" i="20"/>
  <c r="AL727" i="20"/>
  <c r="AL735" i="20"/>
  <c r="AL743" i="20"/>
  <c r="AL751" i="20"/>
  <c r="AL759" i="20"/>
  <c r="AL767" i="20"/>
  <c r="AL775" i="20"/>
  <c r="AL783" i="20"/>
  <c r="AL791" i="20"/>
  <c r="AL799" i="20"/>
  <c r="AL807" i="20"/>
  <c r="AL815" i="20"/>
  <c r="AL823" i="20"/>
  <c r="AL831" i="20"/>
  <c r="AL839" i="20"/>
  <c r="AL847" i="20"/>
  <c r="AL855" i="20"/>
  <c r="AL863" i="20"/>
  <c r="AL871" i="20"/>
  <c r="AL879" i="20"/>
  <c r="AL887" i="20"/>
  <c r="AL895" i="20"/>
  <c r="AL903" i="20"/>
  <c r="AL911" i="20"/>
  <c r="AL919" i="20"/>
  <c r="AL927" i="20"/>
  <c r="AL935" i="20"/>
  <c r="AL943" i="20"/>
  <c r="AL951" i="20"/>
  <c r="AL959" i="20"/>
  <c r="AL967" i="20"/>
  <c r="AL975" i="20"/>
  <c r="AL983" i="20"/>
  <c r="AL991" i="20"/>
  <c r="AL999" i="20"/>
  <c r="AL1007" i="20"/>
  <c r="AL1015" i="20"/>
  <c r="AL1023" i="20"/>
  <c r="AL1032" i="20"/>
  <c r="AL356" i="20"/>
  <c r="AL676" i="20"/>
  <c r="AL764" i="20"/>
  <c r="AL820" i="20"/>
  <c r="AL868" i="20"/>
  <c r="AL932" i="20"/>
  <c r="AL988" i="20"/>
  <c r="AL68" i="20"/>
  <c r="AL132" i="20"/>
  <c r="AL196" i="20"/>
  <c r="AL260" i="20"/>
  <c r="AL324" i="20"/>
  <c r="AL388" i="20"/>
  <c r="AL452" i="20"/>
  <c r="AL516" i="20"/>
  <c r="AL580" i="20"/>
  <c r="AL644" i="20"/>
  <c r="AL708" i="20"/>
  <c r="AL720" i="20"/>
  <c r="AL728" i="20"/>
  <c r="AL736" i="20"/>
  <c r="AL744" i="20"/>
  <c r="AL752" i="20"/>
  <c r="AL760" i="20"/>
  <c r="AL768" i="20"/>
  <c r="AL776" i="20"/>
  <c r="AL784" i="20"/>
  <c r="AL792" i="20"/>
  <c r="AL800" i="20"/>
  <c r="AL808" i="20"/>
  <c r="AL816" i="20"/>
  <c r="AL824" i="20"/>
  <c r="AL832" i="20"/>
  <c r="AL840" i="20"/>
  <c r="AL848" i="20"/>
  <c r="AL856" i="20"/>
  <c r="AL864" i="20"/>
  <c r="AL872" i="20"/>
  <c r="AL880" i="20"/>
  <c r="AL888" i="20"/>
  <c r="AL896" i="20"/>
  <c r="AL904" i="20"/>
  <c r="AL912" i="20"/>
  <c r="AL920" i="20"/>
  <c r="AL928" i="20"/>
  <c r="AL936" i="20"/>
  <c r="AL944" i="20"/>
  <c r="AL952" i="20"/>
  <c r="AL960" i="20"/>
  <c r="AL968" i="20"/>
  <c r="AL976" i="20"/>
  <c r="AL984" i="20"/>
  <c r="AL992" i="20"/>
  <c r="AL1000" i="20"/>
  <c r="AL1008" i="20"/>
  <c r="AL1016" i="20"/>
  <c r="AL1024" i="20"/>
  <c r="AL228" i="20"/>
  <c r="AL548" i="20"/>
  <c r="AL740" i="20"/>
  <c r="AL804" i="20"/>
  <c r="AL860" i="20"/>
  <c r="AL916" i="20"/>
  <c r="AL980" i="20"/>
  <c r="AL76" i="20"/>
  <c r="AL140" i="20"/>
  <c r="AL204" i="20"/>
  <c r="AL268" i="20"/>
  <c r="AL332" i="20"/>
  <c r="AL396" i="20"/>
  <c r="AL460" i="20"/>
  <c r="AL524" i="20"/>
  <c r="AL588" i="20"/>
  <c r="AL652" i="20"/>
  <c r="AL709" i="20"/>
  <c r="AL721" i="20"/>
  <c r="AL729" i="20"/>
  <c r="AL737" i="20"/>
  <c r="AL745" i="20"/>
  <c r="AL753" i="20"/>
  <c r="AL761" i="20"/>
  <c r="AL769" i="20"/>
  <c r="AL777" i="20"/>
  <c r="AL785" i="20"/>
  <c r="AL793" i="20"/>
  <c r="AL801" i="20"/>
  <c r="AL809" i="20"/>
  <c r="AL817" i="20"/>
  <c r="AL825" i="20"/>
  <c r="AL833" i="20"/>
  <c r="AL841" i="20"/>
  <c r="AL849" i="20"/>
  <c r="AL857" i="20"/>
  <c r="AL865" i="20"/>
  <c r="AL873" i="20"/>
  <c r="AL881" i="20"/>
  <c r="AL889" i="20"/>
  <c r="AL897" i="20"/>
  <c r="AL905" i="20"/>
  <c r="AL913" i="20"/>
  <c r="AL921" i="20"/>
  <c r="AL929" i="20"/>
  <c r="AL937" i="20"/>
  <c r="AL945" i="20"/>
  <c r="AL953" i="20"/>
  <c r="AL961" i="20"/>
  <c r="AL969" i="20"/>
  <c r="AL977" i="20"/>
  <c r="AL985" i="20"/>
  <c r="AL993" i="20"/>
  <c r="AL1001" i="20"/>
  <c r="AL1009" i="20"/>
  <c r="AL1017" i="20"/>
  <c r="AL1025" i="20"/>
  <c r="AL1033" i="20"/>
  <c r="AL1026" i="20"/>
  <c r="AL292" i="20"/>
  <c r="AL732" i="20"/>
  <c r="AL780" i="20"/>
  <c r="AL836" i="20"/>
  <c r="AL892" i="20"/>
  <c r="AL948" i="20"/>
  <c r="AL996" i="20"/>
  <c r="AL84" i="20"/>
  <c r="AL148" i="20"/>
  <c r="AL212" i="20"/>
  <c r="AL276" i="20"/>
  <c r="AL340" i="20"/>
  <c r="AL404" i="20"/>
  <c r="AL468" i="20"/>
  <c r="AL532" i="20"/>
  <c r="AL596" i="20"/>
  <c r="AL660" i="20"/>
  <c r="AL712" i="20"/>
  <c r="AL722" i="20"/>
  <c r="AL730" i="20"/>
  <c r="AL738" i="20"/>
  <c r="AL746" i="20"/>
  <c r="AL754" i="20"/>
  <c r="AL762" i="20"/>
  <c r="AL770" i="20"/>
  <c r="AL778" i="20"/>
  <c r="AL786" i="20"/>
  <c r="AL794" i="20"/>
  <c r="AL802" i="20"/>
  <c r="AL810" i="20"/>
  <c r="AL818" i="20"/>
  <c r="AL826" i="20"/>
  <c r="AL834" i="20"/>
  <c r="AL842" i="20"/>
  <c r="AL850" i="20"/>
  <c r="AL858" i="20"/>
  <c r="AL866" i="20"/>
  <c r="AL874" i="20"/>
  <c r="AL882" i="20"/>
  <c r="AL890" i="20"/>
  <c r="AL898" i="20"/>
  <c r="AL906" i="20"/>
  <c r="AL914" i="20"/>
  <c r="AL922" i="20"/>
  <c r="AL930" i="20"/>
  <c r="AL938" i="20"/>
  <c r="AL946" i="20"/>
  <c r="AL954" i="20"/>
  <c r="AL962" i="20"/>
  <c r="AL970" i="20"/>
  <c r="AL978" i="20"/>
  <c r="AL986" i="20"/>
  <c r="AL994" i="20"/>
  <c r="AL1002" i="20"/>
  <c r="AL1010" i="20"/>
  <c r="AL1018" i="20"/>
  <c r="AL1034" i="20"/>
  <c r="AL164" i="20"/>
  <c r="AL612" i="20"/>
  <c r="AL756" i="20"/>
  <c r="AL812" i="20"/>
  <c r="AL876" i="20"/>
  <c r="AL940" i="20"/>
  <c r="AL1004" i="20"/>
  <c r="AL92" i="20"/>
  <c r="AL156" i="20"/>
  <c r="AL220" i="20"/>
  <c r="AL284" i="20"/>
  <c r="AL348" i="20"/>
  <c r="AL412" i="20"/>
  <c r="AL476" i="20"/>
  <c r="AL540" i="20"/>
  <c r="AL604" i="20"/>
  <c r="AL668" i="20"/>
  <c r="AL714" i="20"/>
  <c r="AL723" i="20"/>
  <c r="AL731" i="20"/>
  <c r="AL739" i="20"/>
  <c r="AL747" i="20"/>
  <c r="AL755" i="20"/>
  <c r="AL763" i="20"/>
  <c r="AL771" i="20"/>
  <c r="AL779" i="20"/>
  <c r="AL787" i="20"/>
  <c r="AL795" i="20"/>
  <c r="AL803" i="20"/>
  <c r="AL811" i="20"/>
  <c r="AL819" i="20"/>
  <c r="AL827" i="20"/>
  <c r="AL835" i="20"/>
  <c r="AL843" i="20"/>
  <c r="AL851" i="20"/>
  <c r="AL859" i="20"/>
  <c r="AL867" i="20"/>
  <c r="AL875" i="20"/>
  <c r="AL883" i="20"/>
  <c r="AL891" i="20"/>
  <c r="AL899" i="20"/>
  <c r="AL907" i="20"/>
  <c r="AL915" i="20"/>
  <c r="AL923" i="20"/>
  <c r="AL931" i="20"/>
  <c r="AL939" i="20"/>
  <c r="AL947" i="20"/>
  <c r="AL955" i="20"/>
  <c r="AL963" i="20"/>
  <c r="AL971" i="20"/>
  <c r="AL979" i="20"/>
  <c r="AL987" i="20"/>
  <c r="AL995" i="20"/>
  <c r="AL1003" i="20"/>
  <c r="AL1011" i="20"/>
  <c r="AL1019" i="20"/>
  <c r="AL1027" i="20"/>
  <c r="AL35" i="20"/>
  <c r="AL100" i="20"/>
  <c r="AL716" i="20"/>
  <c r="AL788" i="20"/>
  <c r="AL844" i="20"/>
  <c r="AL884" i="20"/>
  <c r="AL924" i="20"/>
  <c r="AL972" i="20"/>
  <c r="AL1020" i="20"/>
  <c r="AL44" i="20"/>
  <c r="AL108" i="20"/>
  <c r="AL172" i="20"/>
  <c r="AL236" i="20"/>
  <c r="AL300" i="20"/>
  <c r="AL364" i="20"/>
  <c r="AL428" i="20"/>
  <c r="AL492" i="20"/>
  <c r="AL556" i="20"/>
  <c r="AL620" i="20"/>
  <c r="AL684" i="20"/>
  <c r="AL717" i="20"/>
  <c r="AL725" i="20"/>
  <c r="AL733" i="20"/>
  <c r="AL741" i="20"/>
  <c r="AL749" i="20"/>
  <c r="AL757" i="20"/>
  <c r="AL765" i="20"/>
  <c r="AL773" i="20"/>
  <c r="AL781" i="20"/>
  <c r="AL789" i="20"/>
  <c r="AL797" i="20"/>
  <c r="AL805" i="20"/>
  <c r="AL813" i="20"/>
  <c r="AL821" i="20"/>
  <c r="AL829" i="20"/>
  <c r="AL837" i="20"/>
  <c r="AL845" i="20"/>
  <c r="AL853" i="20"/>
  <c r="AL861" i="20"/>
  <c r="AL869" i="20"/>
  <c r="AL877" i="20"/>
  <c r="AL885" i="20"/>
  <c r="AL893" i="20"/>
  <c r="AL901" i="20"/>
  <c r="AL909" i="20"/>
  <c r="AL917" i="20"/>
  <c r="AL925" i="20"/>
  <c r="AL933" i="20"/>
  <c r="AL941" i="20"/>
  <c r="AL949" i="20"/>
  <c r="AL957" i="20"/>
  <c r="AL965" i="20"/>
  <c r="AL973" i="20"/>
  <c r="AL981" i="20"/>
  <c r="AL989" i="20"/>
  <c r="AL997" i="20"/>
  <c r="AL1005" i="20"/>
  <c r="AL1013" i="20"/>
  <c r="AL1021" i="20"/>
  <c r="AL1029" i="20"/>
  <c r="AL36" i="20"/>
  <c r="AL484" i="20"/>
  <c r="AL748" i="20"/>
  <c r="AL796" i="20"/>
  <c r="AL852" i="20"/>
  <c r="AL908" i="20"/>
  <c r="AL964" i="20"/>
  <c r="AL1028" i="20"/>
  <c r="F8" i="7"/>
  <c r="H8" i="7"/>
  <c r="Q7" i="14" s="1"/>
  <c r="H33" i="14" s="1"/>
  <c r="J44" i="14"/>
  <c r="F74" i="14"/>
  <c r="R25" i="7"/>
  <c r="R17" i="7"/>
  <c r="R11" i="7"/>
  <c r="R20" i="7"/>
  <c r="R10" i="7"/>
  <c r="I22" i="7"/>
  <c r="Q21" i="14"/>
  <c r="H47" i="14" s="1"/>
  <c r="I25" i="7"/>
  <c r="Q24" i="14"/>
  <c r="H50" i="14" s="1"/>
  <c r="Q22" i="14"/>
  <c r="H48" i="14" s="1"/>
  <c r="I23" i="7"/>
  <c r="I20" i="7"/>
  <c r="Q19" i="14"/>
  <c r="H45" i="14" s="1"/>
  <c r="I17" i="7"/>
  <c r="Q16" i="14"/>
  <c r="H42" i="14" s="1"/>
  <c r="I16" i="7"/>
  <c r="Q15" i="14"/>
  <c r="H41" i="14" s="1"/>
  <c r="I18" i="7"/>
  <c r="Q17" i="14"/>
  <c r="H43" i="14" s="1"/>
  <c r="I24" i="7"/>
  <c r="Q23" i="14"/>
  <c r="H49" i="14" s="1"/>
  <c r="R16" i="7"/>
  <c r="R13" i="7"/>
  <c r="I10" i="7"/>
  <c r="Q9" i="14"/>
  <c r="H35" i="14" s="1"/>
  <c r="R15" i="7"/>
  <c r="R14" i="7"/>
  <c r="I13" i="7"/>
  <c r="Q12" i="14"/>
  <c r="H38" i="14" s="1"/>
  <c r="Q20" i="14"/>
  <c r="H46" i="14" s="1"/>
  <c r="I21" i="7"/>
  <c r="I9" i="7"/>
  <c r="Q8" i="14"/>
  <c r="H34" i="14" s="1"/>
  <c r="Q11" i="14"/>
  <c r="H37" i="14" s="1"/>
  <c r="I12" i="7"/>
  <c r="P19" i="7"/>
  <c r="J19" i="7"/>
  <c r="H6" i="7"/>
  <c r="G6" i="7"/>
  <c r="F6" i="7"/>
  <c r="S6" i="7" s="1"/>
  <c r="B35" i="7"/>
  <c r="E29" i="7"/>
  <c r="Q10" i="14"/>
  <c r="H36" i="14" s="1"/>
  <c r="I11" i="7"/>
  <c r="BO67" i="15"/>
  <c r="BP66" i="15"/>
  <c r="AK44" i="14"/>
  <c r="AM44" i="14" s="1"/>
  <c r="AD44" i="14"/>
  <c r="W44" i="14"/>
  <c r="Y44" i="14" s="1"/>
  <c r="AR44" i="14"/>
  <c r="AT44" i="14" s="1"/>
  <c r="R7" i="7"/>
  <c r="R24" i="7"/>
  <c r="C25" i="7"/>
  <c r="D25" i="7"/>
  <c r="B29" i="7"/>
  <c r="S29" i="7" s="1"/>
  <c r="R21" i="7"/>
  <c r="R12" i="7"/>
  <c r="J7" i="15"/>
  <c r="H8" i="15" s="1"/>
  <c r="R22" i="7"/>
  <c r="R23" i="7"/>
  <c r="I7" i="7"/>
  <c r="Q6" i="14"/>
  <c r="H32" i="14" s="1"/>
  <c r="I14" i="7"/>
  <c r="Q13" i="14"/>
  <c r="H39" i="14" s="1"/>
  <c r="R9" i="7"/>
  <c r="R18" i="7"/>
  <c r="G106" i="29" l="1"/>
  <c r="G277" i="29"/>
  <c r="M30" i="7"/>
  <c r="N30" i="7"/>
  <c r="R30" i="7"/>
  <c r="N29" i="7"/>
  <c r="R29" i="7"/>
  <c r="S25" i="7"/>
  <c r="M29" i="7"/>
  <c r="Q19" i="7"/>
  <c r="C178" i="29"/>
  <c r="Q14" i="14"/>
  <c r="H40" i="14" s="1"/>
  <c r="L40" i="14" s="1"/>
  <c r="R8" i="7"/>
  <c r="S8" i="7"/>
  <c r="Y26" i="5"/>
  <c r="B50" i="22"/>
  <c r="C50" i="22"/>
  <c r="D50" i="22"/>
  <c r="K33" i="14"/>
  <c r="L33" i="14"/>
  <c r="AK35" i="20"/>
  <c r="L43" i="14"/>
  <c r="K43" i="14"/>
  <c r="K41" i="14"/>
  <c r="L41" i="14"/>
  <c r="K38" i="14"/>
  <c r="L38" i="14"/>
  <c r="K50" i="14"/>
  <c r="L50" i="14"/>
  <c r="K35" i="14"/>
  <c r="L35" i="14"/>
  <c r="L46" i="14"/>
  <c r="K46" i="14"/>
  <c r="L36" i="14"/>
  <c r="K36" i="14"/>
  <c r="K42" i="14"/>
  <c r="L42" i="14"/>
  <c r="I8" i="7"/>
  <c r="K37" i="14"/>
  <c r="L37" i="14"/>
  <c r="L39" i="14"/>
  <c r="K39" i="14"/>
  <c r="L32" i="14"/>
  <c r="K32" i="14"/>
  <c r="L48" i="14"/>
  <c r="K48" i="14"/>
  <c r="L47" i="14"/>
  <c r="K47" i="14"/>
  <c r="K34" i="14"/>
  <c r="L34" i="14"/>
  <c r="K49" i="14"/>
  <c r="L49" i="14"/>
  <c r="K45" i="14"/>
  <c r="L45" i="14"/>
  <c r="K40" i="14"/>
  <c r="AR38" i="20"/>
  <c r="AR46" i="20"/>
  <c r="AR54" i="20"/>
  <c r="AR62" i="20"/>
  <c r="AR70" i="20"/>
  <c r="AR78" i="20"/>
  <c r="AR86" i="20"/>
  <c r="AR94" i="20"/>
  <c r="AR102" i="20"/>
  <c r="AR110" i="20"/>
  <c r="AR118" i="20"/>
  <c r="AR126" i="20"/>
  <c r="AR134" i="20"/>
  <c r="AR142" i="20"/>
  <c r="AR150" i="20"/>
  <c r="AR158" i="20"/>
  <c r="AR166" i="20"/>
  <c r="AR174" i="20"/>
  <c r="AR182" i="20"/>
  <c r="AR190" i="20"/>
  <c r="AR198" i="20"/>
  <c r="AR206" i="20"/>
  <c r="AR214" i="20"/>
  <c r="AR222" i="20"/>
  <c r="AR230" i="20"/>
  <c r="AR238" i="20"/>
  <c r="AR246" i="20"/>
  <c r="AR254" i="20"/>
  <c r="AR262" i="20"/>
  <c r="AR270" i="20"/>
  <c r="AR278" i="20"/>
  <c r="AR286" i="20"/>
  <c r="AR294" i="20"/>
  <c r="AR302" i="20"/>
  <c r="AR310" i="20"/>
  <c r="AR318" i="20"/>
  <c r="AR326" i="20"/>
  <c r="AR334" i="20"/>
  <c r="AR342" i="20"/>
  <c r="AR350" i="20"/>
  <c r="AR358" i="20"/>
  <c r="AR366" i="20"/>
  <c r="AR374" i="20"/>
  <c r="AR382" i="20"/>
  <c r="AR390" i="20"/>
  <c r="AR398" i="20"/>
  <c r="AR406" i="20"/>
  <c r="AR414" i="20"/>
  <c r="AR422" i="20"/>
  <c r="AR430" i="20"/>
  <c r="AR438" i="20"/>
  <c r="AR446" i="20"/>
  <c r="AR454" i="20"/>
  <c r="AR462" i="20"/>
  <c r="AR470" i="20"/>
  <c r="AR478" i="20"/>
  <c r="AR486" i="20"/>
  <c r="AR494" i="20"/>
  <c r="AR502" i="20"/>
  <c r="AR510" i="20"/>
  <c r="AR518" i="20"/>
  <c r="AR526" i="20"/>
  <c r="AR534" i="20"/>
  <c r="AR542" i="20"/>
  <c r="AR550" i="20"/>
  <c r="AR558" i="20"/>
  <c r="AR566" i="20"/>
  <c r="AR574" i="20"/>
  <c r="AR582" i="20"/>
  <c r="AR590" i="20"/>
  <c r="AR598" i="20"/>
  <c r="AR606" i="20"/>
  <c r="AR614" i="20"/>
  <c r="AR622" i="20"/>
  <c r="AR630" i="20"/>
  <c r="AR638" i="20"/>
  <c r="AR646" i="20"/>
  <c r="AR654" i="20"/>
  <c r="AR662" i="20"/>
  <c r="AR670" i="20"/>
  <c r="AR678" i="20"/>
  <c r="AR686" i="20"/>
  <c r="AR694" i="20"/>
  <c r="AR702" i="20"/>
  <c r="AR710" i="20"/>
  <c r="AR39" i="20"/>
  <c r="AR47" i="20"/>
  <c r="AR55" i="20"/>
  <c r="AR63" i="20"/>
  <c r="AR71" i="20"/>
  <c r="AR79" i="20"/>
  <c r="AR87" i="20"/>
  <c r="AR95" i="20"/>
  <c r="AR103" i="20"/>
  <c r="AR111" i="20"/>
  <c r="AR119" i="20"/>
  <c r="AR127" i="20"/>
  <c r="AR135" i="20"/>
  <c r="AR143" i="20"/>
  <c r="AR151" i="20"/>
  <c r="AR159" i="20"/>
  <c r="AR167" i="20"/>
  <c r="AR175" i="20"/>
  <c r="AR183" i="20"/>
  <c r="AR191" i="20"/>
  <c r="AR199" i="20"/>
  <c r="AR207" i="20"/>
  <c r="AR215" i="20"/>
  <c r="AR223" i="20"/>
  <c r="AR231" i="20"/>
  <c r="AR239" i="20"/>
  <c r="AR247" i="20"/>
  <c r="AR255" i="20"/>
  <c r="AR263" i="20"/>
  <c r="AR271" i="20"/>
  <c r="AR279" i="20"/>
  <c r="AR287" i="20"/>
  <c r="AR295" i="20"/>
  <c r="AR303" i="20"/>
  <c r="AR311" i="20"/>
  <c r="AR319" i="20"/>
  <c r="AR327" i="20"/>
  <c r="AR335" i="20"/>
  <c r="AR343" i="20"/>
  <c r="AR351" i="20"/>
  <c r="AR359" i="20"/>
  <c r="AR367" i="20"/>
  <c r="AR375" i="20"/>
  <c r="AR383" i="20"/>
  <c r="AR391" i="20"/>
  <c r="AR399" i="20"/>
  <c r="AR407" i="20"/>
  <c r="AR415" i="20"/>
  <c r="AR423" i="20"/>
  <c r="AR431" i="20"/>
  <c r="AR439" i="20"/>
  <c r="AR447" i="20"/>
  <c r="AR455" i="20"/>
  <c r="AR463" i="20"/>
  <c r="AR471" i="20"/>
  <c r="AR479" i="20"/>
  <c r="AR487" i="20"/>
  <c r="AR495" i="20"/>
  <c r="AR503" i="20"/>
  <c r="AR511" i="20"/>
  <c r="AR519" i="20"/>
  <c r="AR527" i="20"/>
  <c r="AR535" i="20"/>
  <c r="AR543" i="20"/>
  <c r="AR551" i="20"/>
  <c r="AR559" i="20"/>
  <c r="AR567" i="20"/>
  <c r="AR575" i="20"/>
  <c r="AR583" i="20"/>
  <c r="AR591" i="20"/>
  <c r="AR599" i="20"/>
  <c r="AR607" i="20"/>
  <c r="AR615" i="20"/>
  <c r="AR623" i="20"/>
  <c r="AR631" i="20"/>
  <c r="AR639" i="20"/>
  <c r="AR647" i="20"/>
  <c r="AR655" i="20"/>
  <c r="AR663" i="20"/>
  <c r="AR671" i="20"/>
  <c r="AR679" i="20"/>
  <c r="AR687" i="20"/>
  <c r="AR695" i="20"/>
  <c r="AR703" i="20"/>
  <c r="AR711" i="20"/>
  <c r="AR40" i="20"/>
  <c r="AR48" i="20"/>
  <c r="AR56" i="20"/>
  <c r="AR64" i="20"/>
  <c r="AR72" i="20"/>
  <c r="AR80" i="20"/>
  <c r="AR88" i="20"/>
  <c r="AR96" i="20"/>
  <c r="AR104" i="20"/>
  <c r="AR112" i="20"/>
  <c r="AR120" i="20"/>
  <c r="AR128" i="20"/>
  <c r="AR136" i="20"/>
  <c r="AR144" i="20"/>
  <c r="AR152" i="20"/>
  <c r="AR160" i="20"/>
  <c r="AR168" i="20"/>
  <c r="AR176" i="20"/>
  <c r="AR184" i="20"/>
  <c r="AR192" i="20"/>
  <c r="AR200" i="20"/>
  <c r="AR208" i="20"/>
  <c r="AR216" i="20"/>
  <c r="AR224" i="20"/>
  <c r="AR232" i="20"/>
  <c r="AR240" i="20"/>
  <c r="AR248" i="20"/>
  <c r="AR256" i="20"/>
  <c r="AR264" i="20"/>
  <c r="AR272" i="20"/>
  <c r="AR280" i="20"/>
  <c r="AR288" i="20"/>
  <c r="AR296" i="20"/>
  <c r="AR304" i="20"/>
  <c r="AR312" i="20"/>
  <c r="AR320" i="20"/>
  <c r="AR328" i="20"/>
  <c r="AR336" i="20"/>
  <c r="AR344" i="20"/>
  <c r="AR352" i="20"/>
  <c r="AR360" i="20"/>
  <c r="AR368" i="20"/>
  <c r="AR376" i="20"/>
  <c r="AR384" i="20"/>
  <c r="AR392" i="20"/>
  <c r="AR400" i="20"/>
  <c r="AR408" i="20"/>
  <c r="AR416" i="20"/>
  <c r="AR424" i="20"/>
  <c r="AR432" i="20"/>
  <c r="AR440" i="20"/>
  <c r="AR448" i="20"/>
  <c r="AR456" i="20"/>
  <c r="AR464" i="20"/>
  <c r="AR472" i="20"/>
  <c r="AR480" i="20"/>
  <c r="AR488" i="20"/>
  <c r="AR496" i="20"/>
  <c r="AR504" i="20"/>
  <c r="AR512" i="20"/>
  <c r="AR520" i="20"/>
  <c r="AR528" i="20"/>
  <c r="AR536" i="20"/>
  <c r="AR544" i="20"/>
  <c r="AR552" i="20"/>
  <c r="AR560" i="20"/>
  <c r="AR568" i="20"/>
  <c r="AR576" i="20"/>
  <c r="AR584" i="20"/>
  <c r="AR592" i="20"/>
  <c r="AR600" i="20"/>
  <c r="AR608" i="20"/>
  <c r="AR616" i="20"/>
  <c r="AR624" i="20"/>
  <c r="AR632" i="20"/>
  <c r="AR640" i="20"/>
  <c r="AR648" i="20"/>
  <c r="AR656" i="20"/>
  <c r="AR664" i="20"/>
  <c r="AR672" i="20"/>
  <c r="AR680" i="20"/>
  <c r="AR688" i="20"/>
  <c r="AR696" i="20"/>
  <c r="AR704" i="20"/>
  <c r="AR712" i="20"/>
  <c r="AR41" i="20"/>
  <c r="AR49" i="20"/>
  <c r="AR57" i="20"/>
  <c r="AR65" i="20"/>
  <c r="AR73" i="20"/>
  <c r="AR81" i="20"/>
  <c r="AR89" i="20"/>
  <c r="AR97" i="20"/>
  <c r="AR105" i="20"/>
  <c r="AR113" i="20"/>
  <c r="AR121" i="20"/>
  <c r="AR129" i="20"/>
  <c r="AR137" i="20"/>
  <c r="AR145" i="20"/>
  <c r="AR153" i="20"/>
  <c r="AR161" i="20"/>
  <c r="AR169" i="20"/>
  <c r="AR177" i="20"/>
  <c r="AR185" i="20"/>
  <c r="AR193" i="20"/>
  <c r="AR201" i="20"/>
  <c r="AR209" i="20"/>
  <c r="AR217" i="20"/>
  <c r="AR225" i="20"/>
  <c r="AR233" i="20"/>
  <c r="AR241" i="20"/>
  <c r="AR249" i="20"/>
  <c r="AR257" i="20"/>
  <c r="AR265" i="20"/>
  <c r="AR273" i="20"/>
  <c r="AR281" i="20"/>
  <c r="AR289" i="20"/>
  <c r="AR297" i="20"/>
  <c r="AR305" i="20"/>
  <c r="AR313" i="20"/>
  <c r="AR321" i="20"/>
  <c r="AR329" i="20"/>
  <c r="AR337" i="20"/>
  <c r="AR345" i="20"/>
  <c r="AR353" i="20"/>
  <c r="AR361" i="20"/>
  <c r="AR369" i="20"/>
  <c r="AR377" i="20"/>
  <c r="AR385" i="20"/>
  <c r="AR393" i="20"/>
  <c r="AR401" i="20"/>
  <c r="AR409" i="20"/>
  <c r="AR417" i="20"/>
  <c r="AR425" i="20"/>
  <c r="AR433" i="20"/>
  <c r="AR441" i="20"/>
  <c r="AR449" i="20"/>
  <c r="AR457" i="20"/>
  <c r="AR465" i="20"/>
  <c r="AR473" i="20"/>
  <c r="AR481" i="20"/>
  <c r="AR489" i="20"/>
  <c r="AR497" i="20"/>
  <c r="AR505" i="20"/>
  <c r="AR513" i="20"/>
  <c r="AR521" i="20"/>
  <c r="AR529" i="20"/>
  <c r="AR537" i="20"/>
  <c r="AR545" i="20"/>
  <c r="AR553" i="20"/>
  <c r="AR561" i="20"/>
  <c r="AR569" i="20"/>
  <c r="AR577" i="20"/>
  <c r="AR585" i="20"/>
  <c r="AR593" i="20"/>
  <c r="AR601" i="20"/>
  <c r="AR609" i="20"/>
  <c r="AR617" i="20"/>
  <c r="AR625" i="20"/>
  <c r="AR633" i="20"/>
  <c r="AR641" i="20"/>
  <c r="AR649" i="20"/>
  <c r="AR657" i="20"/>
  <c r="AR665" i="20"/>
  <c r="AR673" i="20"/>
  <c r="AR681" i="20"/>
  <c r="AR689" i="20"/>
  <c r="AR697" i="20"/>
  <c r="AR705" i="20"/>
  <c r="AR42" i="20"/>
  <c r="AR50" i="20"/>
  <c r="AR58" i="20"/>
  <c r="AR66" i="20"/>
  <c r="AR74" i="20"/>
  <c r="AR82" i="20"/>
  <c r="AR90" i="20"/>
  <c r="AR98" i="20"/>
  <c r="AR106" i="20"/>
  <c r="AR114" i="20"/>
  <c r="AR122" i="20"/>
  <c r="AR130" i="20"/>
  <c r="AR138" i="20"/>
  <c r="AR146" i="20"/>
  <c r="AR154" i="20"/>
  <c r="AR162" i="20"/>
  <c r="AR170" i="20"/>
  <c r="AR178" i="20"/>
  <c r="AR186" i="20"/>
  <c r="AR194" i="20"/>
  <c r="AR202" i="20"/>
  <c r="AR210" i="20"/>
  <c r="AR218" i="20"/>
  <c r="AR226" i="20"/>
  <c r="AR234" i="20"/>
  <c r="AR242" i="20"/>
  <c r="AR250" i="20"/>
  <c r="AR258" i="20"/>
  <c r="AR266" i="20"/>
  <c r="AR274" i="20"/>
  <c r="AR282" i="20"/>
  <c r="AR290" i="20"/>
  <c r="AR298" i="20"/>
  <c r="AR306" i="20"/>
  <c r="AR314" i="20"/>
  <c r="AR322" i="20"/>
  <c r="AR330" i="20"/>
  <c r="AR338" i="20"/>
  <c r="AR346" i="20"/>
  <c r="AR354" i="20"/>
  <c r="AR362" i="20"/>
  <c r="AR370" i="20"/>
  <c r="AR378" i="20"/>
  <c r="AR386" i="20"/>
  <c r="AR394" i="20"/>
  <c r="AR402" i="20"/>
  <c r="AR410" i="20"/>
  <c r="AR418" i="20"/>
  <c r="AR426" i="20"/>
  <c r="AR434" i="20"/>
  <c r="AR442" i="20"/>
  <c r="AR450" i="20"/>
  <c r="AR458" i="20"/>
  <c r="AR466" i="20"/>
  <c r="AR474" i="20"/>
  <c r="AR482" i="20"/>
  <c r="AR490" i="20"/>
  <c r="AR498" i="20"/>
  <c r="AR506" i="20"/>
  <c r="AR514" i="20"/>
  <c r="AR522" i="20"/>
  <c r="AR530" i="20"/>
  <c r="AR538" i="20"/>
  <c r="AR546" i="20"/>
  <c r="AR554" i="20"/>
  <c r="AR562" i="20"/>
  <c r="AR570" i="20"/>
  <c r="AR578" i="20"/>
  <c r="AR586" i="20"/>
  <c r="AR594" i="20"/>
  <c r="AR602" i="20"/>
  <c r="AR610" i="20"/>
  <c r="AR618" i="20"/>
  <c r="AR626" i="20"/>
  <c r="AR634" i="20"/>
  <c r="AR642" i="20"/>
  <c r="AR650" i="20"/>
  <c r="AR658" i="20"/>
  <c r="AR666" i="20"/>
  <c r="AR674" i="20"/>
  <c r="AR682" i="20"/>
  <c r="AR690" i="20"/>
  <c r="AR698" i="20"/>
  <c r="AR706" i="20"/>
  <c r="AR43" i="20"/>
  <c r="AR51" i="20"/>
  <c r="AR59" i="20"/>
  <c r="AR67" i="20"/>
  <c r="AR75" i="20"/>
  <c r="AR83" i="20"/>
  <c r="AR91" i="20"/>
  <c r="AR99" i="20"/>
  <c r="AR107" i="20"/>
  <c r="AR115" i="20"/>
  <c r="AR123" i="20"/>
  <c r="AR131" i="20"/>
  <c r="AR139" i="20"/>
  <c r="AR147" i="20"/>
  <c r="AR155" i="20"/>
  <c r="AR163" i="20"/>
  <c r="AR171" i="20"/>
  <c r="AR179" i="20"/>
  <c r="AR187" i="20"/>
  <c r="AR195" i="20"/>
  <c r="AR203" i="20"/>
  <c r="AR211" i="20"/>
  <c r="AR219" i="20"/>
  <c r="AR227" i="20"/>
  <c r="AR235" i="20"/>
  <c r="AR243" i="20"/>
  <c r="AR251" i="20"/>
  <c r="AR259" i="20"/>
  <c r="AR267" i="20"/>
  <c r="AR275" i="20"/>
  <c r="AR283" i="20"/>
  <c r="AR291" i="20"/>
  <c r="AR299" i="20"/>
  <c r="AR307" i="20"/>
  <c r="AR315" i="20"/>
  <c r="AR323" i="20"/>
  <c r="AR331" i="20"/>
  <c r="AR339" i="20"/>
  <c r="AR347" i="20"/>
  <c r="AR355" i="20"/>
  <c r="AR363" i="20"/>
  <c r="AR371" i="20"/>
  <c r="AR379" i="20"/>
  <c r="AR387" i="20"/>
  <c r="AR395" i="20"/>
  <c r="AR403" i="20"/>
  <c r="AR411" i="20"/>
  <c r="AR419" i="20"/>
  <c r="AR427" i="20"/>
  <c r="AR435" i="20"/>
  <c r="AR443" i="20"/>
  <c r="AR451" i="20"/>
  <c r="AR459" i="20"/>
  <c r="AR467" i="20"/>
  <c r="AR475" i="20"/>
  <c r="AR483" i="20"/>
  <c r="AR491" i="20"/>
  <c r="AR499" i="20"/>
  <c r="AR507" i="20"/>
  <c r="AR515" i="20"/>
  <c r="AR523" i="20"/>
  <c r="AR531" i="20"/>
  <c r="AR539" i="20"/>
  <c r="AR547" i="20"/>
  <c r="AR555" i="20"/>
  <c r="AR563" i="20"/>
  <c r="AR571" i="20"/>
  <c r="AR579" i="20"/>
  <c r="AR587" i="20"/>
  <c r="AR595" i="20"/>
  <c r="AR603" i="20"/>
  <c r="AR611" i="20"/>
  <c r="AR619" i="20"/>
  <c r="AR627" i="20"/>
  <c r="AR635" i="20"/>
  <c r="AR643" i="20"/>
  <c r="AR651" i="20"/>
  <c r="AR659" i="20"/>
  <c r="AR667" i="20"/>
  <c r="AR675" i="20"/>
  <c r="AR683" i="20"/>
  <c r="AR691" i="20"/>
  <c r="AR699" i="20"/>
  <c r="AR707" i="20"/>
  <c r="AR715" i="20"/>
  <c r="AR36" i="20"/>
  <c r="AR44" i="20"/>
  <c r="AR52" i="20"/>
  <c r="AR60" i="20"/>
  <c r="AR68" i="20"/>
  <c r="AR76" i="20"/>
  <c r="AR84" i="20"/>
  <c r="AR92" i="20"/>
  <c r="AR100" i="20"/>
  <c r="AR108" i="20"/>
  <c r="AR116" i="20"/>
  <c r="AR124" i="20"/>
  <c r="AR132" i="20"/>
  <c r="AR140" i="20"/>
  <c r="AR148" i="20"/>
  <c r="AR156" i="20"/>
  <c r="AR164" i="20"/>
  <c r="AR172" i="20"/>
  <c r="AR180" i="20"/>
  <c r="AR188" i="20"/>
  <c r="AR196" i="20"/>
  <c r="AR204" i="20"/>
  <c r="AR212" i="20"/>
  <c r="AR220" i="20"/>
  <c r="AR228" i="20"/>
  <c r="AR236" i="20"/>
  <c r="AR244" i="20"/>
  <c r="AR252" i="20"/>
  <c r="AR260" i="20"/>
  <c r="AR268" i="20"/>
  <c r="AR276" i="20"/>
  <c r="AR284" i="20"/>
  <c r="AR292" i="20"/>
  <c r="AR300" i="20"/>
  <c r="AR308" i="20"/>
  <c r="AR316" i="20"/>
  <c r="AR324" i="20"/>
  <c r="AR332" i="20"/>
  <c r="AR340" i="20"/>
  <c r="AR348" i="20"/>
  <c r="AR356" i="20"/>
  <c r="AR364" i="20"/>
  <c r="AR372" i="20"/>
  <c r="AR380" i="20"/>
  <c r="AR388" i="20"/>
  <c r="AR396" i="20"/>
  <c r="AR404" i="20"/>
  <c r="AR412" i="20"/>
  <c r="AR420" i="20"/>
  <c r="AR428" i="20"/>
  <c r="AR436" i="20"/>
  <c r="AR444" i="20"/>
  <c r="AR452" i="20"/>
  <c r="AR460" i="20"/>
  <c r="AR468" i="20"/>
  <c r="AR476" i="20"/>
  <c r="AR484" i="20"/>
  <c r="AR492" i="20"/>
  <c r="AR500" i="20"/>
  <c r="AR508" i="20"/>
  <c r="AR516" i="20"/>
  <c r="AR524" i="20"/>
  <c r="AR532" i="20"/>
  <c r="AR540" i="20"/>
  <c r="AR548" i="20"/>
  <c r="AR556" i="20"/>
  <c r="AR564" i="20"/>
  <c r="AR572" i="20"/>
  <c r="AR580" i="20"/>
  <c r="AR588" i="20"/>
  <c r="AR596" i="20"/>
  <c r="AR604" i="20"/>
  <c r="AR612" i="20"/>
  <c r="AR620" i="20"/>
  <c r="AR628" i="20"/>
  <c r="AR636" i="20"/>
  <c r="AR644" i="20"/>
  <c r="AR652" i="20"/>
  <c r="AR660" i="20"/>
  <c r="AR668" i="20"/>
  <c r="AR676" i="20"/>
  <c r="AR684" i="20"/>
  <c r="AR692" i="20"/>
  <c r="AR700" i="20"/>
  <c r="AR708" i="20"/>
  <c r="AR37" i="20"/>
  <c r="AR45" i="20"/>
  <c r="AR53" i="20"/>
  <c r="AR61" i="20"/>
  <c r="AR69" i="20"/>
  <c r="AR77" i="20"/>
  <c r="AR85" i="20"/>
  <c r="AR93" i="20"/>
  <c r="AR101" i="20"/>
  <c r="AR109" i="20"/>
  <c r="AR117" i="20"/>
  <c r="AR125" i="20"/>
  <c r="AR133" i="20"/>
  <c r="AR141" i="20"/>
  <c r="AR149" i="20"/>
  <c r="AR157" i="20"/>
  <c r="AR165" i="20"/>
  <c r="AR173" i="20"/>
  <c r="AR181" i="20"/>
  <c r="AR189" i="20"/>
  <c r="AR197" i="20"/>
  <c r="AR205" i="20"/>
  <c r="AR213" i="20"/>
  <c r="AR221" i="20"/>
  <c r="AR229" i="20"/>
  <c r="AR237" i="20"/>
  <c r="AR245" i="20"/>
  <c r="AR253" i="20"/>
  <c r="AR261" i="20"/>
  <c r="AR269" i="20"/>
  <c r="AR277" i="20"/>
  <c r="AR285" i="20"/>
  <c r="AR293" i="20"/>
  <c r="AR301" i="20"/>
  <c r="AR309" i="20"/>
  <c r="AR317" i="20"/>
  <c r="AR325" i="20"/>
  <c r="AR333" i="20"/>
  <c r="AR341" i="20"/>
  <c r="AR349" i="20"/>
  <c r="AR357" i="20"/>
  <c r="AR365" i="20"/>
  <c r="AR373" i="20"/>
  <c r="AR381" i="20"/>
  <c r="AR389" i="20"/>
  <c r="AR397" i="20"/>
  <c r="AR405" i="20"/>
  <c r="AR413" i="20"/>
  <c r="AR421" i="20"/>
  <c r="AR429" i="20"/>
  <c r="AR437" i="20"/>
  <c r="AR445" i="20"/>
  <c r="AR453" i="20"/>
  <c r="AR461" i="20"/>
  <c r="AR469" i="20"/>
  <c r="AR477" i="20"/>
  <c r="AR485" i="20"/>
  <c r="AR493" i="20"/>
  <c r="AR501" i="20"/>
  <c r="AR509" i="20"/>
  <c r="AR517" i="20"/>
  <c r="AR525" i="20"/>
  <c r="AR533" i="20"/>
  <c r="AR541" i="20"/>
  <c r="AR549" i="20"/>
  <c r="AR557" i="20"/>
  <c r="AR565" i="20"/>
  <c r="AR573" i="20"/>
  <c r="AR581" i="20"/>
  <c r="AR589" i="20"/>
  <c r="AR597" i="20"/>
  <c r="AR605" i="20"/>
  <c r="AR613" i="20"/>
  <c r="AR621" i="20"/>
  <c r="AR629" i="20"/>
  <c r="AR637" i="20"/>
  <c r="AR645" i="20"/>
  <c r="AR653" i="20"/>
  <c r="AR661" i="20"/>
  <c r="AR669" i="20"/>
  <c r="AR677" i="20"/>
  <c r="AR685" i="20"/>
  <c r="AR693" i="20"/>
  <c r="AR701" i="20"/>
  <c r="AR709" i="20"/>
  <c r="AR716" i="20"/>
  <c r="AR724" i="20"/>
  <c r="AR732" i="20"/>
  <c r="AR740" i="20"/>
  <c r="AR748" i="20"/>
  <c r="AR756" i="20"/>
  <c r="AR764" i="20"/>
  <c r="AR772" i="20"/>
  <c r="AR780" i="20"/>
  <c r="AR788" i="20"/>
  <c r="AR796" i="20"/>
  <c r="AR804" i="20"/>
  <c r="AR812" i="20"/>
  <c r="AR820" i="20"/>
  <c r="AR828" i="20"/>
  <c r="AR836" i="20"/>
  <c r="AR844" i="20"/>
  <c r="AR852" i="20"/>
  <c r="AR860" i="20"/>
  <c r="AR868" i="20"/>
  <c r="AR876" i="20"/>
  <c r="AR884" i="20"/>
  <c r="AR892" i="20"/>
  <c r="AR900" i="20"/>
  <c r="AR908" i="20"/>
  <c r="AR916" i="20"/>
  <c r="AR924" i="20"/>
  <c r="AR932" i="20"/>
  <c r="AR940" i="20"/>
  <c r="AR948" i="20"/>
  <c r="AR956" i="20"/>
  <c r="AR964" i="20"/>
  <c r="AR972" i="20"/>
  <c r="AR980" i="20"/>
  <c r="AR988" i="20"/>
  <c r="AR996" i="20"/>
  <c r="AR1004" i="20"/>
  <c r="AR1012" i="20"/>
  <c r="AR1020" i="20"/>
  <c r="AR1028" i="20"/>
  <c r="AR1018" i="20"/>
  <c r="AR35" i="20"/>
  <c r="AR717" i="20"/>
  <c r="AR725" i="20"/>
  <c r="AR733" i="20"/>
  <c r="AR741" i="20"/>
  <c r="AR749" i="20"/>
  <c r="AR757" i="20"/>
  <c r="AR765" i="20"/>
  <c r="AR773" i="20"/>
  <c r="AR781" i="20"/>
  <c r="AR789" i="20"/>
  <c r="AR797" i="20"/>
  <c r="AR805" i="20"/>
  <c r="AR813" i="20"/>
  <c r="AR821" i="20"/>
  <c r="AR829" i="20"/>
  <c r="AR837" i="20"/>
  <c r="AR845" i="20"/>
  <c r="AR853" i="20"/>
  <c r="AR861" i="20"/>
  <c r="AR869" i="20"/>
  <c r="AR877" i="20"/>
  <c r="AR885" i="20"/>
  <c r="AR893" i="20"/>
  <c r="AR901" i="20"/>
  <c r="AR909" i="20"/>
  <c r="AR917" i="20"/>
  <c r="AR925" i="20"/>
  <c r="AR933" i="20"/>
  <c r="AR941" i="20"/>
  <c r="AR949" i="20"/>
  <c r="AR957" i="20"/>
  <c r="AR965" i="20"/>
  <c r="AR973" i="20"/>
  <c r="AR981" i="20"/>
  <c r="AR989" i="20"/>
  <c r="AR997" i="20"/>
  <c r="AR1005" i="20"/>
  <c r="AR1013" i="20"/>
  <c r="AR1021" i="20"/>
  <c r="AR1029" i="20"/>
  <c r="AR1032" i="20"/>
  <c r="AR718" i="20"/>
  <c r="AR726" i="20"/>
  <c r="AR734" i="20"/>
  <c r="AR742" i="20"/>
  <c r="AR750" i="20"/>
  <c r="AR758" i="20"/>
  <c r="AR766" i="20"/>
  <c r="AR774" i="20"/>
  <c r="AR782" i="20"/>
  <c r="AR790" i="20"/>
  <c r="AR798" i="20"/>
  <c r="AR806" i="20"/>
  <c r="AR814" i="20"/>
  <c r="AR822" i="20"/>
  <c r="AR830" i="20"/>
  <c r="AR838" i="20"/>
  <c r="AR846" i="20"/>
  <c r="AR854" i="20"/>
  <c r="AR862" i="20"/>
  <c r="AR870" i="20"/>
  <c r="AR878" i="20"/>
  <c r="AR886" i="20"/>
  <c r="AR894" i="20"/>
  <c r="AR902" i="20"/>
  <c r="AR910" i="20"/>
  <c r="AR918" i="20"/>
  <c r="AR926" i="20"/>
  <c r="AR934" i="20"/>
  <c r="AR942" i="20"/>
  <c r="AR950" i="20"/>
  <c r="AR958" i="20"/>
  <c r="AR966" i="20"/>
  <c r="AR974" i="20"/>
  <c r="AR982" i="20"/>
  <c r="AR990" i="20"/>
  <c r="AR998" i="20"/>
  <c r="AR1006" i="20"/>
  <c r="AR1014" i="20"/>
  <c r="AR1022" i="20"/>
  <c r="AR1030" i="20"/>
  <c r="AR1026" i="20"/>
  <c r="AR719" i="20"/>
  <c r="AR727" i="20"/>
  <c r="AR735" i="20"/>
  <c r="AR743" i="20"/>
  <c r="AR751" i="20"/>
  <c r="AR759" i="20"/>
  <c r="AR767" i="20"/>
  <c r="AR775" i="20"/>
  <c r="AR783" i="20"/>
  <c r="AR791" i="20"/>
  <c r="AR799" i="20"/>
  <c r="AR807" i="20"/>
  <c r="AR815" i="20"/>
  <c r="AR823" i="20"/>
  <c r="AR831" i="20"/>
  <c r="AR839" i="20"/>
  <c r="AR847" i="20"/>
  <c r="AR855" i="20"/>
  <c r="AR863" i="20"/>
  <c r="AR871" i="20"/>
  <c r="AR879" i="20"/>
  <c r="AR887" i="20"/>
  <c r="AR895" i="20"/>
  <c r="AR903" i="20"/>
  <c r="AR911" i="20"/>
  <c r="AR919" i="20"/>
  <c r="AR927" i="20"/>
  <c r="AR935" i="20"/>
  <c r="AR943" i="20"/>
  <c r="AR951" i="20"/>
  <c r="AR959" i="20"/>
  <c r="AR967" i="20"/>
  <c r="AR975" i="20"/>
  <c r="AR983" i="20"/>
  <c r="AR991" i="20"/>
  <c r="AR999" i="20"/>
  <c r="AR1007" i="20"/>
  <c r="AR1015" i="20"/>
  <c r="AR1023" i="20"/>
  <c r="AR1031" i="20"/>
  <c r="AR1003" i="20"/>
  <c r="AR720" i="20"/>
  <c r="AR728" i="20"/>
  <c r="AR736" i="20"/>
  <c r="AR744" i="20"/>
  <c r="AR752" i="20"/>
  <c r="AR760" i="20"/>
  <c r="AR768" i="20"/>
  <c r="AR776" i="20"/>
  <c r="AR784" i="20"/>
  <c r="AR792" i="20"/>
  <c r="AR800" i="20"/>
  <c r="AR808" i="20"/>
  <c r="AR816" i="20"/>
  <c r="AR824" i="20"/>
  <c r="AR832" i="20"/>
  <c r="AR840" i="20"/>
  <c r="AR848" i="20"/>
  <c r="AR856" i="20"/>
  <c r="AR864" i="20"/>
  <c r="AR872" i="20"/>
  <c r="AR880" i="20"/>
  <c r="AR888" i="20"/>
  <c r="AR896" i="20"/>
  <c r="AR904" i="20"/>
  <c r="AR912" i="20"/>
  <c r="AR920" i="20"/>
  <c r="AR928" i="20"/>
  <c r="AR936" i="20"/>
  <c r="AR944" i="20"/>
  <c r="AR952" i="20"/>
  <c r="AR960" i="20"/>
  <c r="AR968" i="20"/>
  <c r="AR976" i="20"/>
  <c r="AR984" i="20"/>
  <c r="AR992" i="20"/>
  <c r="AR1000" i="20"/>
  <c r="AR1008" i="20"/>
  <c r="AR1016" i="20"/>
  <c r="AR1024" i="20"/>
  <c r="AR1011" i="20"/>
  <c r="AR721" i="20"/>
  <c r="AR729" i="20"/>
  <c r="AR737" i="20"/>
  <c r="AR745" i="20"/>
  <c r="AR753" i="20"/>
  <c r="AR761" i="20"/>
  <c r="AR769" i="20"/>
  <c r="AR777" i="20"/>
  <c r="AR785" i="20"/>
  <c r="AR793" i="20"/>
  <c r="AR801" i="20"/>
  <c r="AR809" i="20"/>
  <c r="AR817" i="20"/>
  <c r="AR825" i="20"/>
  <c r="AR833" i="20"/>
  <c r="AR841" i="20"/>
  <c r="AR849" i="20"/>
  <c r="AR857" i="20"/>
  <c r="AR865" i="20"/>
  <c r="AR873" i="20"/>
  <c r="AR881" i="20"/>
  <c r="AR889" i="20"/>
  <c r="AR897" i="20"/>
  <c r="AR905" i="20"/>
  <c r="AR913" i="20"/>
  <c r="AR921" i="20"/>
  <c r="AR929" i="20"/>
  <c r="AR937" i="20"/>
  <c r="AR945" i="20"/>
  <c r="AR953" i="20"/>
  <c r="AR961" i="20"/>
  <c r="AR969" i="20"/>
  <c r="AR977" i="20"/>
  <c r="AR985" i="20"/>
  <c r="AR993" i="20"/>
  <c r="AR1001" i="20"/>
  <c r="AR1009" i="20"/>
  <c r="AR1017" i="20"/>
  <c r="AR1025" i="20"/>
  <c r="AR1033" i="20"/>
  <c r="AR1034" i="20"/>
  <c r="AR713" i="20"/>
  <c r="AR722" i="20"/>
  <c r="AR730" i="20"/>
  <c r="AR738" i="20"/>
  <c r="AR746" i="20"/>
  <c r="AR754" i="20"/>
  <c r="AR762" i="20"/>
  <c r="AR770" i="20"/>
  <c r="AR778" i="20"/>
  <c r="AR786" i="20"/>
  <c r="AR794" i="20"/>
  <c r="AR802" i="20"/>
  <c r="AR810" i="20"/>
  <c r="AR818" i="20"/>
  <c r="AR826" i="20"/>
  <c r="AR834" i="20"/>
  <c r="AR842" i="20"/>
  <c r="AR850" i="20"/>
  <c r="AR858" i="20"/>
  <c r="AR866" i="20"/>
  <c r="AR874" i="20"/>
  <c r="AR882" i="20"/>
  <c r="AR890" i="20"/>
  <c r="AR898" i="20"/>
  <c r="AR906" i="20"/>
  <c r="AR914" i="20"/>
  <c r="AR922" i="20"/>
  <c r="AR930" i="20"/>
  <c r="AR938" i="20"/>
  <c r="AR946" i="20"/>
  <c r="AR954" i="20"/>
  <c r="AR962" i="20"/>
  <c r="AR970" i="20"/>
  <c r="AR978" i="20"/>
  <c r="AR986" i="20"/>
  <c r="AR994" i="20"/>
  <c r="AR1002" i="20"/>
  <c r="AR1010" i="20"/>
  <c r="AR1027" i="20"/>
  <c r="AR714" i="20"/>
  <c r="AR723" i="20"/>
  <c r="AR731" i="20"/>
  <c r="AR739" i="20"/>
  <c r="AR747" i="20"/>
  <c r="AR755" i="20"/>
  <c r="AR763" i="20"/>
  <c r="AR771" i="20"/>
  <c r="AR779" i="20"/>
  <c r="AR787" i="20"/>
  <c r="AR795" i="20"/>
  <c r="AR803" i="20"/>
  <c r="AR811" i="20"/>
  <c r="AR819" i="20"/>
  <c r="AR827" i="20"/>
  <c r="AR835" i="20"/>
  <c r="AR843" i="20"/>
  <c r="AR851" i="20"/>
  <c r="AR859" i="20"/>
  <c r="AR867" i="20"/>
  <c r="AR875" i="20"/>
  <c r="AR883" i="20"/>
  <c r="AR891" i="20"/>
  <c r="AR899" i="20"/>
  <c r="AR907" i="20"/>
  <c r="AR915" i="20"/>
  <c r="AR923" i="20"/>
  <c r="AR931" i="20"/>
  <c r="AR939" i="20"/>
  <c r="AR947" i="20"/>
  <c r="AR955" i="20"/>
  <c r="AR963" i="20"/>
  <c r="AR971" i="20"/>
  <c r="AR979" i="20"/>
  <c r="AR987" i="20"/>
  <c r="AR995" i="20"/>
  <c r="AR1019" i="20"/>
  <c r="AQ38" i="20"/>
  <c r="AQ46" i="20"/>
  <c r="AQ54" i="20"/>
  <c r="AQ62" i="20"/>
  <c r="AQ70" i="20"/>
  <c r="AQ78" i="20"/>
  <c r="AQ86" i="20"/>
  <c r="AQ94" i="20"/>
  <c r="AQ102" i="20"/>
  <c r="AQ110" i="20"/>
  <c r="AQ118" i="20"/>
  <c r="AQ126" i="20"/>
  <c r="AQ134" i="20"/>
  <c r="AQ142" i="20"/>
  <c r="AQ150" i="20"/>
  <c r="AQ158" i="20"/>
  <c r="AQ166" i="20"/>
  <c r="AQ174" i="20"/>
  <c r="AQ182" i="20"/>
  <c r="AQ190" i="20"/>
  <c r="AQ198" i="20"/>
  <c r="AQ206" i="20"/>
  <c r="AQ214" i="20"/>
  <c r="AQ222" i="20"/>
  <c r="AQ230" i="20"/>
  <c r="AQ238" i="20"/>
  <c r="AQ246" i="20"/>
  <c r="AQ254" i="20"/>
  <c r="AQ262" i="20"/>
  <c r="AQ270" i="20"/>
  <c r="AQ278" i="20"/>
  <c r="AQ286" i="20"/>
  <c r="AQ294" i="20"/>
  <c r="AQ302" i="20"/>
  <c r="AQ310" i="20"/>
  <c r="AQ318" i="20"/>
  <c r="AQ326" i="20"/>
  <c r="AQ334" i="20"/>
  <c r="AQ342" i="20"/>
  <c r="AQ350" i="20"/>
  <c r="AQ358" i="20"/>
  <c r="AQ366" i="20"/>
  <c r="AQ374" i="20"/>
  <c r="AQ382" i="20"/>
  <c r="AQ390" i="20"/>
  <c r="AQ398" i="20"/>
  <c r="AQ406" i="20"/>
  <c r="AQ414" i="20"/>
  <c r="AQ422" i="20"/>
  <c r="AQ430" i="20"/>
  <c r="AQ438" i="20"/>
  <c r="AQ446" i="20"/>
  <c r="AQ454" i="20"/>
  <c r="AQ462" i="20"/>
  <c r="AQ470" i="20"/>
  <c r="AQ478" i="20"/>
  <c r="AQ486" i="20"/>
  <c r="AQ494" i="20"/>
  <c r="AQ502" i="20"/>
  <c r="AQ510" i="20"/>
  <c r="AQ518" i="20"/>
  <c r="AQ526" i="20"/>
  <c r="AQ534" i="20"/>
  <c r="AQ542" i="20"/>
  <c r="AQ550" i="20"/>
  <c r="AQ558" i="20"/>
  <c r="AQ566" i="20"/>
  <c r="AQ574" i="20"/>
  <c r="AQ582" i="20"/>
  <c r="AQ590" i="20"/>
  <c r="AQ598" i="20"/>
  <c r="AQ606" i="20"/>
  <c r="AQ614" i="20"/>
  <c r="AQ622" i="20"/>
  <c r="AQ630" i="20"/>
  <c r="AQ638" i="20"/>
  <c r="AQ646" i="20"/>
  <c r="AQ654" i="20"/>
  <c r="AQ662" i="20"/>
  <c r="AQ670" i="20"/>
  <c r="AQ678" i="20"/>
  <c r="AQ686" i="20"/>
  <c r="AQ694" i="20"/>
  <c r="AQ702" i="20"/>
  <c r="AQ710" i="20"/>
  <c r="AQ39" i="20"/>
  <c r="AQ47" i="20"/>
  <c r="AQ55" i="20"/>
  <c r="AQ63" i="20"/>
  <c r="AQ71" i="20"/>
  <c r="AQ79" i="20"/>
  <c r="AQ87" i="20"/>
  <c r="AQ95" i="20"/>
  <c r="AQ103" i="20"/>
  <c r="AQ111" i="20"/>
  <c r="AQ119" i="20"/>
  <c r="AQ127" i="20"/>
  <c r="AQ135" i="20"/>
  <c r="AQ143" i="20"/>
  <c r="AQ151" i="20"/>
  <c r="AQ159" i="20"/>
  <c r="AQ167" i="20"/>
  <c r="AQ175" i="20"/>
  <c r="AQ183" i="20"/>
  <c r="AQ191" i="20"/>
  <c r="AQ199" i="20"/>
  <c r="AQ207" i="20"/>
  <c r="AQ215" i="20"/>
  <c r="AQ223" i="20"/>
  <c r="AQ231" i="20"/>
  <c r="AQ239" i="20"/>
  <c r="AQ247" i="20"/>
  <c r="AQ255" i="20"/>
  <c r="AQ263" i="20"/>
  <c r="AQ271" i="20"/>
  <c r="AQ279" i="20"/>
  <c r="AQ287" i="20"/>
  <c r="AQ295" i="20"/>
  <c r="AQ303" i="20"/>
  <c r="AQ311" i="20"/>
  <c r="AQ319" i="20"/>
  <c r="AQ327" i="20"/>
  <c r="AQ335" i="20"/>
  <c r="AQ343" i="20"/>
  <c r="AQ351" i="20"/>
  <c r="AQ359" i="20"/>
  <c r="AQ367" i="20"/>
  <c r="AQ375" i="20"/>
  <c r="AQ383" i="20"/>
  <c r="AQ391" i="20"/>
  <c r="AQ399" i="20"/>
  <c r="AQ407" i="20"/>
  <c r="AQ415" i="20"/>
  <c r="AQ423" i="20"/>
  <c r="AQ431" i="20"/>
  <c r="AQ439" i="20"/>
  <c r="AQ447" i="20"/>
  <c r="AQ455" i="20"/>
  <c r="AQ463" i="20"/>
  <c r="AQ471" i="20"/>
  <c r="AQ479" i="20"/>
  <c r="AQ487" i="20"/>
  <c r="AQ495" i="20"/>
  <c r="AQ503" i="20"/>
  <c r="AQ511" i="20"/>
  <c r="AQ519" i="20"/>
  <c r="AQ527" i="20"/>
  <c r="AQ535" i="20"/>
  <c r="AQ543" i="20"/>
  <c r="AQ551" i="20"/>
  <c r="AQ559" i="20"/>
  <c r="AQ567" i="20"/>
  <c r="AQ575" i="20"/>
  <c r="AQ583" i="20"/>
  <c r="AQ591" i="20"/>
  <c r="AQ599" i="20"/>
  <c r="AQ607" i="20"/>
  <c r="AQ615" i="20"/>
  <c r="AQ623" i="20"/>
  <c r="AQ631" i="20"/>
  <c r="AQ639" i="20"/>
  <c r="AQ647" i="20"/>
  <c r="AQ655" i="20"/>
  <c r="AQ663" i="20"/>
  <c r="AQ671" i="20"/>
  <c r="AQ679" i="20"/>
  <c r="AQ687" i="20"/>
  <c r="AQ695" i="20"/>
  <c r="AQ703" i="20"/>
  <c r="AQ711" i="20"/>
  <c r="AQ40" i="20"/>
  <c r="AQ48" i="20"/>
  <c r="AQ56" i="20"/>
  <c r="AQ64" i="20"/>
  <c r="AQ72" i="20"/>
  <c r="AQ80" i="20"/>
  <c r="AQ88" i="20"/>
  <c r="AQ96" i="20"/>
  <c r="AQ104" i="20"/>
  <c r="AQ112" i="20"/>
  <c r="AQ120" i="20"/>
  <c r="AQ128" i="20"/>
  <c r="AQ136" i="20"/>
  <c r="AQ144" i="20"/>
  <c r="AQ152" i="20"/>
  <c r="AQ160" i="20"/>
  <c r="AQ168" i="20"/>
  <c r="AQ176" i="20"/>
  <c r="AQ184" i="20"/>
  <c r="AQ192" i="20"/>
  <c r="AQ200" i="20"/>
  <c r="AQ208" i="20"/>
  <c r="AQ216" i="20"/>
  <c r="AQ224" i="20"/>
  <c r="AQ232" i="20"/>
  <c r="AQ240" i="20"/>
  <c r="AQ248" i="20"/>
  <c r="AQ256" i="20"/>
  <c r="AQ264" i="20"/>
  <c r="AQ272" i="20"/>
  <c r="AQ280" i="20"/>
  <c r="AQ288" i="20"/>
  <c r="AQ296" i="20"/>
  <c r="AQ304" i="20"/>
  <c r="AQ312" i="20"/>
  <c r="AQ320" i="20"/>
  <c r="AQ328" i="20"/>
  <c r="AQ336" i="20"/>
  <c r="AQ344" i="20"/>
  <c r="AQ352" i="20"/>
  <c r="AQ360" i="20"/>
  <c r="AQ368" i="20"/>
  <c r="AQ376" i="20"/>
  <c r="AQ384" i="20"/>
  <c r="AQ392" i="20"/>
  <c r="AQ400" i="20"/>
  <c r="AQ408" i="20"/>
  <c r="AQ416" i="20"/>
  <c r="AQ424" i="20"/>
  <c r="AQ432" i="20"/>
  <c r="AQ440" i="20"/>
  <c r="AQ448" i="20"/>
  <c r="AQ456" i="20"/>
  <c r="AQ464" i="20"/>
  <c r="AQ472" i="20"/>
  <c r="AQ480" i="20"/>
  <c r="AQ488" i="20"/>
  <c r="AQ496" i="20"/>
  <c r="AQ504" i="20"/>
  <c r="AQ512" i="20"/>
  <c r="AQ520" i="20"/>
  <c r="AQ528" i="20"/>
  <c r="AQ536" i="20"/>
  <c r="AQ544" i="20"/>
  <c r="AQ552" i="20"/>
  <c r="AQ560" i="20"/>
  <c r="AQ568" i="20"/>
  <c r="AQ576" i="20"/>
  <c r="AQ584" i="20"/>
  <c r="AQ592" i="20"/>
  <c r="AQ600" i="20"/>
  <c r="AQ608" i="20"/>
  <c r="AQ616" i="20"/>
  <c r="AQ624" i="20"/>
  <c r="AQ632" i="20"/>
  <c r="AQ640" i="20"/>
  <c r="AQ648" i="20"/>
  <c r="AQ656" i="20"/>
  <c r="AQ664" i="20"/>
  <c r="AQ672" i="20"/>
  <c r="AQ680" i="20"/>
  <c r="AQ688" i="20"/>
  <c r="AQ696" i="20"/>
  <c r="AQ704" i="20"/>
  <c r="AQ712" i="20"/>
  <c r="AQ41" i="20"/>
  <c r="AQ49" i="20"/>
  <c r="AQ57" i="20"/>
  <c r="AQ65" i="20"/>
  <c r="AQ73" i="20"/>
  <c r="AQ81" i="20"/>
  <c r="AQ89" i="20"/>
  <c r="AQ97" i="20"/>
  <c r="AQ105" i="20"/>
  <c r="AQ113" i="20"/>
  <c r="AQ121" i="20"/>
  <c r="AQ129" i="20"/>
  <c r="AQ137" i="20"/>
  <c r="AQ145" i="20"/>
  <c r="AQ153" i="20"/>
  <c r="AQ161" i="20"/>
  <c r="AQ169" i="20"/>
  <c r="AQ177" i="20"/>
  <c r="AQ185" i="20"/>
  <c r="AQ193" i="20"/>
  <c r="AQ201" i="20"/>
  <c r="AQ209" i="20"/>
  <c r="AQ217" i="20"/>
  <c r="AQ225" i="20"/>
  <c r="AQ233" i="20"/>
  <c r="AQ241" i="20"/>
  <c r="AQ249" i="20"/>
  <c r="AQ257" i="20"/>
  <c r="AQ265" i="20"/>
  <c r="AQ273" i="20"/>
  <c r="AQ281" i="20"/>
  <c r="AQ289" i="20"/>
  <c r="AQ297" i="20"/>
  <c r="AQ305" i="20"/>
  <c r="AQ313" i="20"/>
  <c r="AQ321" i="20"/>
  <c r="AQ329" i="20"/>
  <c r="AQ337" i="20"/>
  <c r="AQ345" i="20"/>
  <c r="AQ353" i="20"/>
  <c r="AQ361" i="20"/>
  <c r="AQ369" i="20"/>
  <c r="AQ377" i="20"/>
  <c r="AQ385" i="20"/>
  <c r="AQ393" i="20"/>
  <c r="AQ401" i="20"/>
  <c r="AQ409" i="20"/>
  <c r="AQ417" i="20"/>
  <c r="AQ425" i="20"/>
  <c r="AQ433" i="20"/>
  <c r="AQ441" i="20"/>
  <c r="AQ449" i="20"/>
  <c r="AQ457" i="20"/>
  <c r="AQ465" i="20"/>
  <c r="AQ473" i="20"/>
  <c r="AQ481" i="20"/>
  <c r="AQ489" i="20"/>
  <c r="AQ497" i="20"/>
  <c r="AQ505" i="20"/>
  <c r="AQ513" i="20"/>
  <c r="AQ521" i="20"/>
  <c r="AQ529" i="20"/>
  <c r="AQ537" i="20"/>
  <c r="AQ545" i="20"/>
  <c r="AQ553" i="20"/>
  <c r="AQ561" i="20"/>
  <c r="AQ569" i="20"/>
  <c r="AQ577" i="20"/>
  <c r="AQ585" i="20"/>
  <c r="AQ593" i="20"/>
  <c r="AQ601" i="20"/>
  <c r="AQ609" i="20"/>
  <c r="AQ617" i="20"/>
  <c r="AQ625" i="20"/>
  <c r="AQ633" i="20"/>
  <c r="AQ641" i="20"/>
  <c r="AQ649" i="20"/>
  <c r="AQ657" i="20"/>
  <c r="AQ665" i="20"/>
  <c r="AQ673" i="20"/>
  <c r="AQ681" i="20"/>
  <c r="AQ689" i="20"/>
  <c r="AQ697" i="20"/>
  <c r="AQ705" i="20"/>
  <c r="AQ42" i="20"/>
  <c r="AQ50" i="20"/>
  <c r="AQ58" i="20"/>
  <c r="AQ66" i="20"/>
  <c r="AQ74" i="20"/>
  <c r="AQ82" i="20"/>
  <c r="AQ90" i="20"/>
  <c r="AQ98" i="20"/>
  <c r="AQ106" i="20"/>
  <c r="AQ114" i="20"/>
  <c r="AQ122" i="20"/>
  <c r="AQ130" i="20"/>
  <c r="AQ138" i="20"/>
  <c r="AQ146" i="20"/>
  <c r="AQ154" i="20"/>
  <c r="AQ162" i="20"/>
  <c r="AQ170" i="20"/>
  <c r="AQ178" i="20"/>
  <c r="AQ186" i="20"/>
  <c r="AQ194" i="20"/>
  <c r="AQ202" i="20"/>
  <c r="AQ210" i="20"/>
  <c r="AQ218" i="20"/>
  <c r="AQ226" i="20"/>
  <c r="AQ234" i="20"/>
  <c r="AQ242" i="20"/>
  <c r="AQ250" i="20"/>
  <c r="AQ258" i="20"/>
  <c r="AQ266" i="20"/>
  <c r="AQ274" i="20"/>
  <c r="AQ282" i="20"/>
  <c r="AQ290" i="20"/>
  <c r="AQ298" i="20"/>
  <c r="AQ306" i="20"/>
  <c r="AQ314" i="20"/>
  <c r="AQ322" i="20"/>
  <c r="AQ330" i="20"/>
  <c r="AQ338" i="20"/>
  <c r="AQ346" i="20"/>
  <c r="AQ354" i="20"/>
  <c r="AQ362" i="20"/>
  <c r="AQ370" i="20"/>
  <c r="AQ378" i="20"/>
  <c r="AQ386" i="20"/>
  <c r="AQ394" i="20"/>
  <c r="AQ402" i="20"/>
  <c r="AQ410" i="20"/>
  <c r="AQ418" i="20"/>
  <c r="AQ426" i="20"/>
  <c r="AQ434" i="20"/>
  <c r="AQ442" i="20"/>
  <c r="AQ450" i="20"/>
  <c r="AQ458" i="20"/>
  <c r="AQ466" i="20"/>
  <c r="AQ474" i="20"/>
  <c r="AQ482" i="20"/>
  <c r="AQ490" i="20"/>
  <c r="AQ498" i="20"/>
  <c r="AQ506" i="20"/>
  <c r="AQ514" i="20"/>
  <c r="AQ522" i="20"/>
  <c r="AQ530" i="20"/>
  <c r="AQ538" i="20"/>
  <c r="AQ546" i="20"/>
  <c r="AQ554" i="20"/>
  <c r="AQ562" i="20"/>
  <c r="AQ570" i="20"/>
  <c r="AQ578" i="20"/>
  <c r="AQ586" i="20"/>
  <c r="AQ594" i="20"/>
  <c r="AQ602" i="20"/>
  <c r="AQ610" i="20"/>
  <c r="AQ618" i="20"/>
  <c r="AQ626" i="20"/>
  <c r="AQ634" i="20"/>
  <c r="AQ642" i="20"/>
  <c r="AQ650" i="20"/>
  <c r="AQ658" i="20"/>
  <c r="AQ666" i="20"/>
  <c r="AQ674" i="20"/>
  <c r="AQ682" i="20"/>
  <c r="AQ690" i="20"/>
  <c r="AQ698" i="20"/>
  <c r="AQ706" i="20"/>
  <c r="AQ43" i="20"/>
  <c r="AQ51" i="20"/>
  <c r="AQ59" i="20"/>
  <c r="AQ67" i="20"/>
  <c r="AQ75" i="20"/>
  <c r="AQ83" i="20"/>
  <c r="AQ91" i="20"/>
  <c r="AQ99" i="20"/>
  <c r="AQ107" i="20"/>
  <c r="AQ115" i="20"/>
  <c r="AQ123" i="20"/>
  <c r="AQ131" i="20"/>
  <c r="AQ139" i="20"/>
  <c r="AQ147" i="20"/>
  <c r="AQ155" i="20"/>
  <c r="AQ163" i="20"/>
  <c r="AQ171" i="20"/>
  <c r="AQ179" i="20"/>
  <c r="AQ187" i="20"/>
  <c r="AQ195" i="20"/>
  <c r="AQ203" i="20"/>
  <c r="AQ211" i="20"/>
  <c r="AQ219" i="20"/>
  <c r="AQ227" i="20"/>
  <c r="AQ235" i="20"/>
  <c r="AQ243" i="20"/>
  <c r="AQ251" i="20"/>
  <c r="AQ259" i="20"/>
  <c r="AQ267" i="20"/>
  <c r="AQ275" i="20"/>
  <c r="AQ283" i="20"/>
  <c r="AQ291" i="20"/>
  <c r="AQ299" i="20"/>
  <c r="AQ307" i="20"/>
  <c r="AQ315" i="20"/>
  <c r="AQ323" i="20"/>
  <c r="AQ331" i="20"/>
  <c r="AQ339" i="20"/>
  <c r="AQ347" i="20"/>
  <c r="AQ355" i="20"/>
  <c r="AQ363" i="20"/>
  <c r="AQ371" i="20"/>
  <c r="AQ379" i="20"/>
  <c r="AQ387" i="20"/>
  <c r="AQ395" i="20"/>
  <c r="AQ403" i="20"/>
  <c r="AQ411" i="20"/>
  <c r="AQ419" i="20"/>
  <c r="AQ427" i="20"/>
  <c r="AQ435" i="20"/>
  <c r="AQ443" i="20"/>
  <c r="AQ451" i="20"/>
  <c r="AQ459" i="20"/>
  <c r="AQ467" i="20"/>
  <c r="AQ475" i="20"/>
  <c r="AQ483" i="20"/>
  <c r="AQ491" i="20"/>
  <c r="AQ499" i="20"/>
  <c r="AQ507" i="20"/>
  <c r="AQ515" i="20"/>
  <c r="AQ523" i="20"/>
  <c r="AQ531" i="20"/>
  <c r="AQ539" i="20"/>
  <c r="AQ547" i="20"/>
  <c r="AQ555" i="20"/>
  <c r="AQ563" i="20"/>
  <c r="AQ571" i="20"/>
  <c r="AQ579" i="20"/>
  <c r="AQ587" i="20"/>
  <c r="AQ595" i="20"/>
  <c r="AQ603" i="20"/>
  <c r="AQ611" i="20"/>
  <c r="AQ619" i="20"/>
  <c r="AQ627" i="20"/>
  <c r="AQ635" i="20"/>
  <c r="AQ643" i="20"/>
  <c r="AQ651" i="20"/>
  <c r="AQ659" i="20"/>
  <c r="AQ667" i="20"/>
  <c r="AQ675" i="20"/>
  <c r="AQ683" i="20"/>
  <c r="AQ691" i="20"/>
  <c r="AQ699" i="20"/>
  <c r="AQ707" i="20"/>
  <c r="AQ715" i="20"/>
  <c r="AQ36" i="20"/>
  <c r="AQ44" i="20"/>
  <c r="AQ52" i="20"/>
  <c r="AQ60" i="20"/>
  <c r="AQ68" i="20"/>
  <c r="AQ76" i="20"/>
  <c r="AQ84" i="20"/>
  <c r="AQ92" i="20"/>
  <c r="AQ100" i="20"/>
  <c r="AQ108" i="20"/>
  <c r="AQ116" i="20"/>
  <c r="AQ124" i="20"/>
  <c r="AQ132" i="20"/>
  <c r="AQ140" i="20"/>
  <c r="AQ148" i="20"/>
  <c r="AQ156" i="20"/>
  <c r="AQ164" i="20"/>
  <c r="AQ172" i="20"/>
  <c r="AQ180" i="20"/>
  <c r="AQ188" i="20"/>
  <c r="AQ196" i="20"/>
  <c r="AQ204" i="20"/>
  <c r="AQ212" i="20"/>
  <c r="AQ220" i="20"/>
  <c r="AQ228" i="20"/>
  <c r="AQ236" i="20"/>
  <c r="AQ244" i="20"/>
  <c r="AQ252" i="20"/>
  <c r="AQ260" i="20"/>
  <c r="AQ268" i="20"/>
  <c r="AQ276" i="20"/>
  <c r="AQ284" i="20"/>
  <c r="AQ292" i="20"/>
  <c r="AQ300" i="20"/>
  <c r="AQ308" i="20"/>
  <c r="AQ316" i="20"/>
  <c r="AQ324" i="20"/>
  <c r="AQ332" i="20"/>
  <c r="AQ340" i="20"/>
  <c r="AQ348" i="20"/>
  <c r="AQ356" i="20"/>
  <c r="AQ364" i="20"/>
  <c r="AQ372" i="20"/>
  <c r="AQ380" i="20"/>
  <c r="AQ388" i="20"/>
  <c r="AQ396" i="20"/>
  <c r="AQ404" i="20"/>
  <c r="AQ412" i="20"/>
  <c r="AQ420" i="20"/>
  <c r="AQ428" i="20"/>
  <c r="AQ436" i="20"/>
  <c r="AQ444" i="20"/>
  <c r="AQ452" i="20"/>
  <c r="AQ460" i="20"/>
  <c r="AQ468" i="20"/>
  <c r="AQ476" i="20"/>
  <c r="AQ484" i="20"/>
  <c r="AQ492" i="20"/>
  <c r="AQ500" i="20"/>
  <c r="AQ508" i="20"/>
  <c r="AQ516" i="20"/>
  <c r="AQ524" i="20"/>
  <c r="AQ532" i="20"/>
  <c r="AQ540" i="20"/>
  <c r="AQ548" i="20"/>
  <c r="AQ556" i="20"/>
  <c r="AQ564" i="20"/>
  <c r="AQ572" i="20"/>
  <c r="AQ580" i="20"/>
  <c r="AQ588" i="20"/>
  <c r="AQ596" i="20"/>
  <c r="AQ604" i="20"/>
  <c r="AQ612" i="20"/>
  <c r="AQ620" i="20"/>
  <c r="AQ628" i="20"/>
  <c r="AQ636" i="20"/>
  <c r="AQ644" i="20"/>
  <c r="AQ652" i="20"/>
  <c r="AQ660" i="20"/>
  <c r="AQ668" i="20"/>
  <c r="AQ676" i="20"/>
  <c r="AQ684" i="20"/>
  <c r="AQ692" i="20"/>
  <c r="AQ700" i="20"/>
  <c r="AQ708" i="20"/>
  <c r="AQ37" i="20"/>
  <c r="AQ45" i="20"/>
  <c r="AQ53" i="20"/>
  <c r="AQ61" i="20"/>
  <c r="AQ69" i="20"/>
  <c r="AQ77" i="20"/>
  <c r="AQ85" i="20"/>
  <c r="AQ93" i="20"/>
  <c r="AQ101" i="20"/>
  <c r="AQ109" i="20"/>
  <c r="AQ117" i="20"/>
  <c r="AQ125" i="20"/>
  <c r="AQ133" i="20"/>
  <c r="AQ141" i="20"/>
  <c r="AQ149" i="20"/>
  <c r="AQ157" i="20"/>
  <c r="AQ165" i="20"/>
  <c r="AQ173" i="20"/>
  <c r="AQ181" i="20"/>
  <c r="AQ189" i="20"/>
  <c r="AQ197" i="20"/>
  <c r="AQ205" i="20"/>
  <c r="AQ213" i="20"/>
  <c r="AQ221" i="20"/>
  <c r="AQ229" i="20"/>
  <c r="AQ237" i="20"/>
  <c r="AQ245" i="20"/>
  <c r="AQ253" i="20"/>
  <c r="AQ261" i="20"/>
  <c r="AQ269" i="20"/>
  <c r="AQ277" i="20"/>
  <c r="AQ285" i="20"/>
  <c r="AQ293" i="20"/>
  <c r="AQ301" i="20"/>
  <c r="AQ309" i="20"/>
  <c r="AQ317" i="20"/>
  <c r="AQ325" i="20"/>
  <c r="AQ333" i="20"/>
  <c r="AQ341" i="20"/>
  <c r="AQ349" i="20"/>
  <c r="AQ357" i="20"/>
  <c r="AQ365" i="20"/>
  <c r="AQ373" i="20"/>
  <c r="AQ381" i="20"/>
  <c r="AQ389" i="20"/>
  <c r="AQ397" i="20"/>
  <c r="AQ405" i="20"/>
  <c r="AQ413" i="20"/>
  <c r="AQ421" i="20"/>
  <c r="AQ429" i="20"/>
  <c r="AQ437" i="20"/>
  <c r="AQ445" i="20"/>
  <c r="AQ453" i="20"/>
  <c r="AQ461" i="20"/>
  <c r="AQ469" i="20"/>
  <c r="AQ477" i="20"/>
  <c r="AQ485" i="20"/>
  <c r="AQ493" i="20"/>
  <c r="AQ501" i="20"/>
  <c r="AQ509" i="20"/>
  <c r="AQ517" i="20"/>
  <c r="AQ525" i="20"/>
  <c r="AQ533" i="20"/>
  <c r="AQ541" i="20"/>
  <c r="AQ549" i="20"/>
  <c r="AQ557" i="20"/>
  <c r="AQ565" i="20"/>
  <c r="AQ573" i="20"/>
  <c r="AQ581" i="20"/>
  <c r="AQ589" i="20"/>
  <c r="AQ597" i="20"/>
  <c r="AQ605" i="20"/>
  <c r="AQ613" i="20"/>
  <c r="AQ621" i="20"/>
  <c r="AQ629" i="20"/>
  <c r="AQ637" i="20"/>
  <c r="AQ645" i="20"/>
  <c r="AQ653" i="20"/>
  <c r="AQ661" i="20"/>
  <c r="AQ669" i="20"/>
  <c r="AQ677" i="20"/>
  <c r="AQ685" i="20"/>
  <c r="AQ693" i="20"/>
  <c r="AQ701" i="20"/>
  <c r="AQ709" i="20"/>
  <c r="AQ716" i="20"/>
  <c r="AQ724" i="20"/>
  <c r="AQ732" i="20"/>
  <c r="AQ740" i="20"/>
  <c r="AQ748" i="20"/>
  <c r="AQ756" i="20"/>
  <c r="AQ764" i="20"/>
  <c r="AQ772" i="20"/>
  <c r="AQ780" i="20"/>
  <c r="AQ788" i="20"/>
  <c r="AQ796" i="20"/>
  <c r="AQ804" i="20"/>
  <c r="AQ812" i="20"/>
  <c r="AQ820" i="20"/>
  <c r="AQ828" i="20"/>
  <c r="AQ836" i="20"/>
  <c r="AQ844" i="20"/>
  <c r="AQ852" i="20"/>
  <c r="AQ860" i="20"/>
  <c r="AQ868" i="20"/>
  <c r="AQ876" i="20"/>
  <c r="AQ884" i="20"/>
  <c r="AQ892" i="20"/>
  <c r="AQ900" i="20"/>
  <c r="AQ908" i="20"/>
  <c r="AQ916" i="20"/>
  <c r="AQ924" i="20"/>
  <c r="AQ932" i="20"/>
  <c r="AQ940" i="20"/>
  <c r="AQ948" i="20"/>
  <c r="AQ956" i="20"/>
  <c r="AQ964" i="20"/>
  <c r="AQ972" i="20"/>
  <c r="AQ980" i="20"/>
  <c r="AQ988" i="20"/>
  <c r="AQ996" i="20"/>
  <c r="AQ1004" i="20"/>
  <c r="AQ1012" i="20"/>
  <c r="AQ1020" i="20"/>
  <c r="AQ1028" i="20"/>
  <c r="AQ1026" i="20"/>
  <c r="AQ717" i="20"/>
  <c r="AQ725" i="20"/>
  <c r="AQ733" i="20"/>
  <c r="AQ741" i="20"/>
  <c r="AQ749" i="20"/>
  <c r="AQ757" i="20"/>
  <c r="AQ765" i="20"/>
  <c r="AQ773" i="20"/>
  <c r="AQ781" i="20"/>
  <c r="AQ789" i="20"/>
  <c r="AQ797" i="20"/>
  <c r="AQ805" i="20"/>
  <c r="AQ813" i="20"/>
  <c r="AQ821" i="20"/>
  <c r="AQ829" i="20"/>
  <c r="AQ837" i="20"/>
  <c r="AQ845" i="20"/>
  <c r="AQ853" i="20"/>
  <c r="AQ861" i="20"/>
  <c r="AQ869" i="20"/>
  <c r="AQ877" i="20"/>
  <c r="AQ885" i="20"/>
  <c r="AQ893" i="20"/>
  <c r="AQ901" i="20"/>
  <c r="AQ909" i="20"/>
  <c r="AQ917" i="20"/>
  <c r="AQ925" i="20"/>
  <c r="AQ933" i="20"/>
  <c r="AQ941" i="20"/>
  <c r="AQ949" i="20"/>
  <c r="AQ957" i="20"/>
  <c r="AQ965" i="20"/>
  <c r="AQ973" i="20"/>
  <c r="AQ981" i="20"/>
  <c r="AQ989" i="20"/>
  <c r="AQ997" i="20"/>
  <c r="AQ1005" i="20"/>
  <c r="AQ1013" i="20"/>
  <c r="AQ1021" i="20"/>
  <c r="AQ1029" i="20"/>
  <c r="AQ1034" i="20"/>
  <c r="AQ718" i="20"/>
  <c r="AQ726" i="20"/>
  <c r="AQ734" i="20"/>
  <c r="AQ742" i="20"/>
  <c r="AQ750" i="20"/>
  <c r="AQ758" i="20"/>
  <c r="AQ766" i="20"/>
  <c r="AQ774" i="20"/>
  <c r="AQ782" i="20"/>
  <c r="AQ790" i="20"/>
  <c r="AQ798" i="20"/>
  <c r="AQ806" i="20"/>
  <c r="AQ814" i="20"/>
  <c r="AQ822" i="20"/>
  <c r="AQ830" i="20"/>
  <c r="AQ838" i="20"/>
  <c r="AQ846" i="20"/>
  <c r="AQ854" i="20"/>
  <c r="AQ862" i="20"/>
  <c r="AQ870" i="20"/>
  <c r="AQ878" i="20"/>
  <c r="AQ886" i="20"/>
  <c r="AQ894" i="20"/>
  <c r="AQ902" i="20"/>
  <c r="AQ910" i="20"/>
  <c r="AQ918" i="20"/>
  <c r="AQ926" i="20"/>
  <c r="AQ934" i="20"/>
  <c r="AQ942" i="20"/>
  <c r="AQ950" i="20"/>
  <c r="AQ958" i="20"/>
  <c r="AQ966" i="20"/>
  <c r="AQ974" i="20"/>
  <c r="AQ982" i="20"/>
  <c r="AQ990" i="20"/>
  <c r="AQ998" i="20"/>
  <c r="AQ1006" i="20"/>
  <c r="AQ1014" i="20"/>
  <c r="AQ1022" i="20"/>
  <c r="AQ1030" i="20"/>
  <c r="AQ1032" i="20"/>
  <c r="AQ719" i="20"/>
  <c r="AQ727" i="20"/>
  <c r="AQ735" i="20"/>
  <c r="AQ743" i="20"/>
  <c r="AQ751" i="20"/>
  <c r="AQ759" i="20"/>
  <c r="AQ767" i="20"/>
  <c r="AQ775" i="20"/>
  <c r="AQ783" i="20"/>
  <c r="AQ791" i="20"/>
  <c r="AQ799" i="20"/>
  <c r="AQ807" i="20"/>
  <c r="AQ815" i="20"/>
  <c r="AQ823" i="20"/>
  <c r="AQ831" i="20"/>
  <c r="AQ839" i="20"/>
  <c r="AQ847" i="20"/>
  <c r="AQ855" i="20"/>
  <c r="AQ863" i="20"/>
  <c r="AQ871" i="20"/>
  <c r="AQ879" i="20"/>
  <c r="AQ887" i="20"/>
  <c r="AQ895" i="20"/>
  <c r="AQ903" i="20"/>
  <c r="AQ911" i="20"/>
  <c r="AQ919" i="20"/>
  <c r="AQ927" i="20"/>
  <c r="AQ935" i="20"/>
  <c r="AQ943" i="20"/>
  <c r="AQ951" i="20"/>
  <c r="AQ959" i="20"/>
  <c r="AQ967" i="20"/>
  <c r="AQ975" i="20"/>
  <c r="AQ983" i="20"/>
  <c r="AQ991" i="20"/>
  <c r="AQ999" i="20"/>
  <c r="AQ1007" i="20"/>
  <c r="AQ1015" i="20"/>
  <c r="AQ1023" i="20"/>
  <c r="AQ1031" i="20"/>
  <c r="AQ1027" i="20"/>
  <c r="AQ720" i="20"/>
  <c r="AQ728" i="20"/>
  <c r="AQ736" i="20"/>
  <c r="AQ744" i="20"/>
  <c r="AQ752" i="20"/>
  <c r="AQ760" i="20"/>
  <c r="AQ768" i="20"/>
  <c r="AQ776" i="20"/>
  <c r="AQ784" i="20"/>
  <c r="AQ792" i="20"/>
  <c r="AQ800" i="20"/>
  <c r="AQ808" i="20"/>
  <c r="AQ816" i="20"/>
  <c r="AQ824" i="20"/>
  <c r="AQ832" i="20"/>
  <c r="AQ840" i="20"/>
  <c r="AQ848" i="20"/>
  <c r="AQ856" i="20"/>
  <c r="AQ864" i="20"/>
  <c r="AQ872" i="20"/>
  <c r="AQ880" i="20"/>
  <c r="AQ888" i="20"/>
  <c r="AQ896" i="20"/>
  <c r="AQ904" i="20"/>
  <c r="AQ912" i="20"/>
  <c r="AQ920" i="20"/>
  <c r="AQ928" i="20"/>
  <c r="AQ936" i="20"/>
  <c r="AQ944" i="20"/>
  <c r="AQ952" i="20"/>
  <c r="AQ960" i="20"/>
  <c r="AQ968" i="20"/>
  <c r="AQ976" i="20"/>
  <c r="AQ984" i="20"/>
  <c r="AQ992" i="20"/>
  <c r="AQ1000" i="20"/>
  <c r="AQ1008" i="20"/>
  <c r="AQ1016" i="20"/>
  <c r="AQ1024" i="20"/>
  <c r="AQ1019" i="20"/>
  <c r="AQ721" i="20"/>
  <c r="AQ729" i="20"/>
  <c r="AQ737" i="20"/>
  <c r="AQ745" i="20"/>
  <c r="AQ753" i="20"/>
  <c r="AQ761" i="20"/>
  <c r="AQ769" i="20"/>
  <c r="AQ777" i="20"/>
  <c r="AQ785" i="20"/>
  <c r="AQ793" i="20"/>
  <c r="AQ801" i="20"/>
  <c r="AQ809" i="20"/>
  <c r="AQ817" i="20"/>
  <c r="AQ825" i="20"/>
  <c r="AQ833" i="20"/>
  <c r="AQ841" i="20"/>
  <c r="AQ849" i="20"/>
  <c r="AQ857" i="20"/>
  <c r="AQ865" i="20"/>
  <c r="AQ873" i="20"/>
  <c r="AQ881" i="20"/>
  <c r="AQ889" i="20"/>
  <c r="AQ897" i="20"/>
  <c r="AQ905" i="20"/>
  <c r="AQ913" i="20"/>
  <c r="AQ921" i="20"/>
  <c r="AQ929" i="20"/>
  <c r="AQ937" i="20"/>
  <c r="AQ945" i="20"/>
  <c r="AQ953" i="20"/>
  <c r="AQ961" i="20"/>
  <c r="AQ969" i="20"/>
  <c r="AQ977" i="20"/>
  <c r="AQ985" i="20"/>
  <c r="AQ993" i="20"/>
  <c r="AQ1001" i="20"/>
  <c r="AQ1009" i="20"/>
  <c r="AQ1017" i="20"/>
  <c r="AQ1025" i="20"/>
  <c r="AQ1033" i="20"/>
  <c r="AQ713" i="20"/>
  <c r="AQ722" i="20"/>
  <c r="AQ730" i="20"/>
  <c r="AQ738" i="20"/>
  <c r="AQ746" i="20"/>
  <c r="AQ754" i="20"/>
  <c r="AQ762" i="20"/>
  <c r="AQ770" i="20"/>
  <c r="AQ778" i="20"/>
  <c r="AQ786" i="20"/>
  <c r="AQ794" i="20"/>
  <c r="AQ802" i="20"/>
  <c r="AQ810" i="20"/>
  <c r="AQ818" i="20"/>
  <c r="AQ826" i="20"/>
  <c r="AQ834" i="20"/>
  <c r="AQ842" i="20"/>
  <c r="AQ850" i="20"/>
  <c r="AQ858" i="20"/>
  <c r="AQ866" i="20"/>
  <c r="AQ874" i="20"/>
  <c r="AQ882" i="20"/>
  <c r="AQ890" i="20"/>
  <c r="AQ898" i="20"/>
  <c r="AQ906" i="20"/>
  <c r="AQ914" i="20"/>
  <c r="AQ922" i="20"/>
  <c r="AQ930" i="20"/>
  <c r="AQ938" i="20"/>
  <c r="AQ946" i="20"/>
  <c r="AQ954" i="20"/>
  <c r="AQ962" i="20"/>
  <c r="AQ970" i="20"/>
  <c r="AQ978" i="20"/>
  <c r="AQ986" i="20"/>
  <c r="AQ994" i="20"/>
  <c r="AQ1002" i="20"/>
  <c r="AQ1010" i="20"/>
  <c r="AQ1018" i="20"/>
  <c r="AQ714" i="20"/>
  <c r="AQ723" i="20"/>
  <c r="AQ731" i="20"/>
  <c r="AQ739" i="20"/>
  <c r="AQ747" i="20"/>
  <c r="AQ755" i="20"/>
  <c r="AQ763" i="20"/>
  <c r="AQ771" i="20"/>
  <c r="AQ779" i="20"/>
  <c r="AQ787" i="20"/>
  <c r="AQ795" i="20"/>
  <c r="AQ803" i="20"/>
  <c r="AQ811" i="20"/>
  <c r="AQ819" i="20"/>
  <c r="AQ827" i="20"/>
  <c r="AQ835" i="20"/>
  <c r="AQ843" i="20"/>
  <c r="AQ851" i="20"/>
  <c r="AQ859" i="20"/>
  <c r="AQ867" i="20"/>
  <c r="AQ875" i="20"/>
  <c r="AQ883" i="20"/>
  <c r="AQ891" i="20"/>
  <c r="AQ899" i="20"/>
  <c r="AQ907" i="20"/>
  <c r="AQ915" i="20"/>
  <c r="AQ923" i="20"/>
  <c r="AQ931" i="20"/>
  <c r="AQ939" i="20"/>
  <c r="AQ947" i="20"/>
  <c r="AQ955" i="20"/>
  <c r="AQ963" i="20"/>
  <c r="AQ971" i="20"/>
  <c r="AQ979" i="20"/>
  <c r="AQ987" i="20"/>
  <c r="AQ995" i="20"/>
  <c r="AQ1003" i="20"/>
  <c r="AQ1011" i="20"/>
  <c r="AQ35" i="20"/>
  <c r="AP38" i="20"/>
  <c r="AP46" i="20"/>
  <c r="AP54" i="20"/>
  <c r="AP62" i="20"/>
  <c r="AP70" i="20"/>
  <c r="AP78" i="20"/>
  <c r="AP86" i="20"/>
  <c r="AP94" i="20"/>
  <c r="AP102" i="20"/>
  <c r="AP110" i="20"/>
  <c r="AP118" i="20"/>
  <c r="AP126" i="20"/>
  <c r="AP134" i="20"/>
  <c r="AP142" i="20"/>
  <c r="AP150" i="20"/>
  <c r="AP158" i="20"/>
  <c r="AP166" i="20"/>
  <c r="AP174" i="20"/>
  <c r="AP182" i="20"/>
  <c r="AP190" i="20"/>
  <c r="AP198" i="20"/>
  <c r="AP206" i="20"/>
  <c r="AP214" i="20"/>
  <c r="AP222" i="20"/>
  <c r="AP230" i="20"/>
  <c r="AP238" i="20"/>
  <c r="AP246" i="20"/>
  <c r="AP254" i="20"/>
  <c r="AP262" i="20"/>
  <c r="AP270" i="20"/>
  <c r="AP278" i="20"/>
  <c r="AP286" i="20"/>
  <c r="AP294" i="20"/>
  <c r="AP302" i="20"/>
  <c r="AP310" i="20"/>
  <c r="AP318" i="20"/>
  <c r="AP326" i="20"/>
  <c r="AP334" i="20"/>
  <c r="AP342" i="20"/>
  <c r="AP350" i="20"/>
  <c r="AP358" i="20"/>
  <c r="AP366" i="20"/>
  <c r="AP374" i="20"/>
  <c r="AP382" i="20"/>
  <c r="AP390" i="20"/>
  <c r="AP398" i="20"/>
  <c r="AP406" i="20"/>
  <c r="AP414" i="20"/>
  <c r="AP422" i="20"/>
  <c r="AP430" i="20"/>
  <c r="AP438" i="20"/>
  <c r="AP446" i="20"/>
  <c r="AP454" i="20"/>
  <c r="AP462" i="20"/>
  <c r="AP470" i="20"/>
  <c r="AP478" i="20"/>
  <c r="AP486" i="20"/>
  <c r="AP494" i="20"/>
  <c r="AP502" i="20"/>
  <c r="AP510" i="20"/>
  <c r="AP518" i="20"/>
  <c r="AP526" i="20"/>
  <c r="AP534" i="20"/>
  <c r="AP542" i="20"/>
  <c r="AP550" i="20"/>
  <c r="AP558" i="20"/>
  <c r="AP566" i="20"/>
  <c r="AP574" i="20"/>
  <c r="AP582" i="20"/>
  <c r="AP590" i="20"/>
  <c r="AP598" i="20"/>
  <c r="AP606" i="20"/>
  <c r="AP614" i="20"/>
  <c r="AP622" i="20"/>
  <c r="AP630" i="20"/>
  <c r="AP638" i="20"/>
  <c r="AP646" i="20"/>
  <c r="AP654" i="20"/>
  <c r="AP662" i="20"/>
  <c r="AP670" i="20"/>
  <c r="AP678" i="20"/>
  <c r="AP686" i="20"/>
  <c r="AP694" i="20"/>
  <c r="AP702" i="20"/>
  <c r="AP710" i="20"/>
  <c r="AP39" i="20"/>
  <c r="AP47" i="20"/>
  <c r="AP55" i="20"/>
  <c r="AP63" i="20"/>
  <c r="AP71" i="20"/>
  <c r="AP79" i="20"/>
  <c r="AP87" i="20"/>
  <c r="AP95" i="20"/>
  <c r="AP103" i="20"/>
  <c r="AP111" i="20"/>
  <c r="AP119" i="20"/>
  <c r="AP127" i="20"/>
  <c r="AP135" i="20"/>
  <c r="AP143" i="20"/>
  <c r="AP151" i="20"/>
  <c r="AP159" i="20"/>
  <c r="AP167" i="20"/>
  <c r="AP175" i="20"/>
  <c r="AP183" i="20"/>
  <c r="AP191" i="20"/>
  <c r="AP199" i="20"/>
  <c r="AP207" i="20"/>
  <c r="AP215" i="20"/>
  <c r="AP223" i="20"/>
  <c r="AP231" i="20"/>
  <c r="AP239" i="20"/>
  <c r="AP247" i="20"/>
  <c r="AP255" i="20"/>
  <c r="AP263" i="20"/>
  <c r="AP271" i="20"/>
  <c r="AP279" i="20"/>
  <c r="AP287" i="20"/>
  <c r="AP295" i="20"/>
  <c r="AP303" i="20"/>
  <c r="AP311" i="20"/>
  <c r="AP319" i="20"/>
  <c r="AP327" i="20"/>
  <c r="AP335" i="20"/>
  <c r="AP343" i="20"/>
  <c r="AP351" i="20"/>
  <c r="AP359" i="20"/>
  <c r="AP367" i="20"/>
  <c r="AP375" i="20"/>
  <c r="AP383" i="20"/>
  <c r="AP391" i="20"/>
  <c r="AP399" i="20"/>
  <c r="AP407" i="20"/>
  <c r="AP415" i="20"/>
  <c r="AP423" i="20"/>
  <c r="AP431" i="20"/>
  <c r="AP439" i="20"/>
  <c r="AP447" i="20"/>
  <c r="AP455" i="20"/>
  <c r="AP463" i="20"/>
  <c r="AP471" i="20"/>
  <c r="AP479" i="20"/>
  <c r="AP487" i="20"/>
  <c r="AP495" i="20"/>
  <c r="AP503" i="20"/>
  <c r="AP511" i="20"/>
  <c r="AP519" i="20"/>
  <c r="AP527" i="20"/>
  <c r="AP535" i="20"/>
  <c r="AP543" i="20"/>
  <c r="AP551" i="20"/>
  <c r="AP559" i="20"/>
  <c r="AP567" i="20"/>
  <c r="AP575" i="20"/>
  <c r="AP583" i="20"/>
  <c r="AP591" i="20"/>
  <c r="AP599" i="20"/>
  <c r="AP607" i="20"/>
  <c r="AP615" i="20"/>
  <c r="AP623" i="20"/>
  <c r="AP631" i="20"/>
  <c r="AP639" i="20"/>
  <c r="AP647" i="20"/>
  <c r="AP655" i="20"/>
  <c r="AP663" i="20"/>
  <c r="AP671" i="20"/>
  <c r="AP679" i="20"/>
  <c r="AP687" i="20"/>
  <c r="AP695" i="20"/>
  <c r="AP703" i="20"/>
  <c r="AP711" i="20"/>
  <c r="AP40" i="20"/>
  <c r="AP48" i="20"/>
  <c r="AP56" i="20"/>
  <c r="AP64" i="20"/>
  <c r="AP72" i="20"/>
  <c r="AP80" i="20"/>
  <c r="AP88" i="20"/>
  <c r="AP96" i="20"/>
  <c r="AP104" i="20"/>
  <c r="AP112" i="20"/>
  <c r="AP120" i="20"/>
  <c r="AP128" i="20"/>
  <c r="AP136" i="20"/>
  <c r="AP144" i="20"/>
  <c r="AP152" i="20"/>
  <c r="AP160" i="20"/>
  <c r="AP168" i="20"/>
  <c r="AP176" i="20"/>
  <c r="AP184" i="20"/>
  <c r="AP192" i="20"/>
  <c r="AP200" i="20"/>
  <c r="AP208" i="20"/>
  <c r="AP216" i="20"/>
  <c r="AP224" i="20"/>
  <c r="AP232" i="20"/>
  <c r="AP240" i="20"/>
  <c r="AP248" i="20"/>
  <c r="AP256" i="20"/>
  <c r="AP264" i="20"/>
  <c r="AP272" i="20"/>
  <c r="AP280" i="20"/>
  <c r="AP288" i="20"/>
  <c r="AP296" i="20"/>
  <c r="AP304" i="20"/>
  <c r="AP312" i="20"/>
  <c r="AP320" i="20"/>
  <c r="AP328" i="20"/>
  <c r="AP336" i="20"/>
  <c r="AP344" i="20"/>
  <c r="AP352" i="20"/>
  <c r="AP360" i="20"/>
  <c r="AP368" i="20"/>
  <c r="AP376" i="20"/>
  <c r="AP384" i="20"/>
  <c r="AP392" i="20"/>
  <c r="AP400" i="20"/>
  <c r="AP408" i="20"/>
  <c r="AP416" i="20"/>
  <c r="AP424" i="20"/>
  <c r="AP432" i="20"/>
  <c r="AP440" i="20"/>
  <c r="AP448" i="20"/>
  <c r="AP456" i="20"/>
  <c r="AP464" i="20"/>
  <c r="AP472" i="20"/>
  <c r="AP480" i="20"/>
  <c r="AP488" i="20"/>
  <c r="AP496" i="20"/>
  <c r="AP504" i="20"/>
  <c r="AP512" i="20"/>
  <c r="AP520" i="20"/>
  <c r="AP528" i="20"/>
  <c r="AP536" i="20"/>
  <c r="AP544" i="20"/>
  <c r="AP552" i="20"/>
  <c r="AP560" i="20"/>
  <c r="AP568" i="20"/>
  <c r="AP576" i="20"/>
  <c r="AP584" i="20"/>
  <c r="AP592" i="20"/>
  <c r="AP600" i="20"/>
  <c r="AP608" i="20"/>
  <c r="AP616" i="20"/>
  <c r="AP624" i="20"/>
  <c r="AP632" i="20"/>
  <c r="AP640" i="20"/>
  <c r="AP648" i="20"/>
  <c r="AP656" i="20"/>
  <c r="AP664" i="20"/>
  <c r="AP672" i="20"/>
  <c r="AP680" i="20"/>
  <c r="AP688" i="20"/>
  <c r="AP696" i="20"/>
  <c r="AP704" i="20"/>
  <c r="AP712" i="20"/>
  <c r="AP41" i="20"/>
  <c r="AP49" i="20"/>
  <c r="AP57" i="20"/>
  <c r="AP65" i="20"/>
  <c r="AP73" i="20"/>
  <c r="AP81" i="20"/>
  <c r="AP89" i="20"/>
  <c r="AP97" i="20"/>
  <c r="AP105" i="20"/>
  <c r="AP113" i="20"/>
  <c r="AP121" i="20"/>
  <c r="AP129" i="20"/>
  <c r="AP137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81" i="20"/>
  <c r="AP289" i="20"/>
  <c r="AP297" i="20"/>
  <c r="AP305" i="20"/>
  <c r="AP313" i="20"/>
  <c r="AP321" i="20"/>
  <c r="AP329" i="20"/>
  <c r="AP337" i="20"/>
  <c r="AP345" i="20"/>
  <c r="AP353" i="20"/>
  <c r="AP361" i="20"/>
  <c r="AP369" i="20"/>
  <c r="AP377" i="20"/>
  <c r="AP385" i="20"/>
  <c r="AP393" i="20"/>
  <c r="AP401" i="20"/>
  <c r="AP409" i="20"/>
  <c r="AP417" i="20"/>
  <c r="AP425" i="20"/>
  <c r="AP433" i="20"/>
  <c r="AP441" i="20"/>
  <c r="AP449" i="20"/>
  <c r="AP457" i="20"/>
  <c r="AP465" i="20"/>
  <c r="AP473" i="20"/>
  <c r="AP481" i="20"/>
  <c r="AP489" i="20"/>
  <c r="AP497" i="20"/>
  <c r="AP505" i="20"/>
  <c r="AP513" i="20"/>
  <c r="AP521" i="20"/>
  <c r="AP529" i="20"/>
  <c r="AP537" i="20"/>
  <c r="AP545" i="20"/>
  <c r="AP553" i="20"/>
  <c r="AP561" i="20"/>
  <c r="AP569" i="20"/>
  <c r="AP577" i="20"/>
  <c r="AP585" i="20"/>
  <c r="AP593" i="20"/>
  <c r="AP601" i="20"/>
  <c r="AP609" i="20"/>
  <c r="AP617" i="20"/>
  <c r="AP625" i="20"/>
  <c r="AP633" i="20"/>
  <c r="AP641" i="20"/>
  <c r="AP649" i="20"/>
  <c r="AP657" i="20"/>
  <c r="AP665" i="20"/>
  <c r="AP673" i="20"/>
  <c r="AP681" i="20"/>
  <c r="AP689" i="20"/>
  <c r="AP697" i="20"/>
  <c r="AP705" i="20"/>
  <c r="AP713" i="20"/>
  <c r="AP42" i="20"/>
  <c r="AP50" i="20"/>
  <c r="AP58" i="20"/>
  <c r="AP66" i="20"/>
  <c r="AP74" i="20"/>
  <c r="AP82" i="20"/>
  <c r="AP90" i="20"/>
  <c r="AP98" i="20"/>
  <c r="AP106" i="20"/>
  <c r="AP114" i="20"/>
  <c r="AP122" i="20"/>
  <c r="AP130" i="20"/>
  <c r="AP138" i="20"/>
  <c r="AP146" i="20"/>
  <c r="AP154" i="20"/>
  <c r="AP162" i="20"/>
  <c r="AP170" i="20"/>
  <c r="AP178" i="20"/>
  <c r="AP186" i="20"/>
  <c r="AP194" i="20"/>
  <c r="AP202" i="20"/>
  <c r="AP210" i="20"/>
  <c r="AP218" i="20"/>
  <c r="AP226" i="20"/>
  <c r="AP234" i="20"/>
  <c r="AP242" i="20"/>
  <c r="AP250" i="20"/>
  <c r="AP258" i="20"/>
  <c r="AP266" i="20"/>
  <c r="AP274" i="20"/>
  <c r="AP282" i="20"/>
  <c r="AP290" i="20"/>
  <c r="AP298" i="20"/>
  <c r="AP306" i="20"/>
  <c r="AP314" i="20"/>
  <c r="AP322" i="20"/>
  <c r="AP330" i="20"/>
  <c r="AP338" i="20"/>
  <c r="AP346" i="20"/>
  <c r="AP354" i="20"/>
  <c r="AP362" i="20"/>
  <c r="AP370" i="20"/>
  <c r="AP378" i="20"/>
  <c r="AP386" i="20"/>
  <c r="AP394" i="20"/>
  <c r="AP402" i="20"/>
  <c r="AP410" i="20"/>
  <c r="AP418" i="20"/>
  <c r="AP426" i="20"/>
  <c r="AP434" i="20"/>
  <c r="AP442" i="20"/>
  <c r="AP450" i="20"/>
  <c r="AP458" i="20"/>
  <c r="AP466" i="20"/>
  <c r="AP474" i="20"/>
  <c r="AP482" i="20"/>
  <c r="AP490" i="20"/>
  <c r="AP498" i="20"/>
  <c r="AP506" i="20"/>
  <c r="AP514" i="20"/>
  <c r="AP522" i="20"/>
  <c r="AP530" i="20"/>
  <c r="AP538" i="20"/>
  <c r="AP546" i="20"/>
  <c r="AP554" i="20"/>
  <c r="AP562" i="20"/>
  <c r="AP570" i="20"/>
  <c r="AP578" i="20"/>
  <c r="AP586" i="20"/>
  <c r="AP594" i="20"/>
  <c r="AP602" i="20"/>
  <c r="AP610" i="20"/>
  <c r="AP618" i="20"/>
  <c r="AP626" i="20"/>
  <c r="AP634" i="20"/>
  <c r="AP642" i="20"/>
  <c r="AP650" i="20"/>
  <c r="AP658" i="20"/>
  <c r="AP666" i="20"/>
  <c r="AP674" i="20"/>
  <c r="AP682" i="20"/>
  <c r="AP690" i="20"/>
  <c r="AP698" i="20"/>
  <c r="AP706" i="20"/>
  <c r="AP714" i="20"/>
  <c r="AP43" i="20"/>
  <c r="AP51" i="20"/>
  <c r="AP59" i="20"/>
  <c r="AP67" i="20"/>
  <c r="AP75" i="20"/>
  <c r="AP83" i="20"/>
  <c r="AP91" i="20"/>
  <c r="AP99" i="20"/>
  <c r="AP107" i="20"/>
  <c r="AP115" i="20"/>
  <c r="AP123" i="20"/>
  <c r="AP131" i="20"/>
  <c r="AP139" i="20"/>
  <c r="AP147" i="20"/>
  <c r="AP155" i="20"/>
  <c r="AP163" i="20"/>
  <c r="AP171" i="20"/>
  <c r="AP179" i="20"/>
  <c r="AP187" i="20"/>
  <c r="AP195" i="20"/>
  <c r="AP203" i="20"/>
  <c r="AP211" i="20"/>
  <c r="AP219" i="20"/>
  <c r="AP227" i="20"/>
  <c r="AP235" i="20"/>
  <c r="AP243" i="20"/>
  <c r="AP251" i="20"/>
  <c r="AP259" i="20"/>
  <c r="AP267" i="20"/>
  <c r="AP275" i="20"/>
  <c r="AP283" i="20"/>
  <c r="AP291" i="20"/>
  <c r="AP299" i="20"/>
  <c r="AP307" i="20"/>
  <c r="AP315" i="20"/>
  <c r="AP323" i="20"/>
  <c r="AP331" i="20"/>
  <c r="AP339" i="20"/>
  <c r="AP347" i="20"/>
  <c r="AP355" i="20"/>
  <c r="AP363" i="20"/>
  <c r="AP371" i="20"/>
  <c r="AP379" i="20"/>
  <c r="AP387" i="20"/>
  <c r="AP395" i="20"/>
  <c r="AP403" i="20"/>
  <c r="AP411" i="20"/>
  <c r="AP419" i="20"/>
  <c r="AP427" i="20"/>
  <c r="AP435" i="20"/>
  <c r="AP443" i="20"/>
  <c r="AP451" i="20"/>
  <c r="AP459" i="20"/>
  <c r="AP467" i="20"/>
  <c r="AP475" i="20"/>
  <c r="AP483" i="20"/>
  <c r="AP491" i="20"/>
  <c r="AP499" i="20"/>
  <c r="AP507" i="20"/>
  <c r="AP515" i="20"/>
  <c r="AP523" i="20"/>
  <c r="AP531" i="20"/>
  <c r="AP539" i="20"/>
  <c r="AP547" i="20"/>
  <c r="AP555" i="20"/>
  <c r="AP563" i="20"/>
  <c r="AP571" i="20"/>
  <c r="AP579" i="20"/>
  <c r="AP587" i="20"/>
  <c r="AP595" i="20"/>
  <c r="AP603" i="20"/>
  <c r="AP611" i="20"/>
  <c r="AP619" i="20"/>
  <c r="AP627" i="20"/>
  <c r="AP635" i="20"/>
  <c r="AP643" i="20"/>
  <c r="AP651" i="20"/>
  <c r="AP659" i="20"/>
  <c r="AP667" i="20"/>
  <c r="AP675" i="20"/>
  <c r="AP683" i="20"/>
  <c r="AP691" i="20"/>
  <c r="AP699" i="20"/>
  <c r="AP707" i="20"/>
  <c r="AP715" i="20"/>
  <c r="AP36" i="20"/>
  <c r="AP44" i="20"/>
  <c r="AP52" i="20"/>
  <c r="AP60" i="20"/>
  <c r="AP68" i="20"/>
  <c r="AP76" i="20"/>
  <c r="AP84" i="20"/>
  <c r="AP92" i="20"/>
  <c r="AP100" i="20"/>
  <c r="AP108" i="20"/>
  <c r="AP116" i="20"/>
  <c r="AP124" i="20"/>
  <c r="AP132" i="20"/>
  <c r="AP140" i="20"/>
  <c r="AP148" i="20"/>
  <c r="AP156" i="20"/>
  <c r="AP164" i="20"/>
  <c r="AP172" i="20"/>
  <c r="AP180" i="20"/>
  <c r="AP188" i="20"/>
  <c r="AP196" i="20"/>
  <c r="AP204" i="20"/>
  <c r="AP212" i="20"/>
  <c r="AP220" i="20"/>
  <c r="AP228" i="20"/>
  <c r="AP236" i="20"/>
  <c r="AP244" i="20"/>
  <c r="AP252" i="20"/>
  <c r="AP260" i="20"/>
  <c r="AP268" i="20"/>
  <c r="AP276" i="20"/>
  <c r="AP284" i="20"/>
  <c r="AP292" i="20"/>
  <c r="AP300" i="20"/>
  <c r="AP308" i="20"/>
  <c r="AP316" i="20"/>
  <c r="AP324" i="20"/>
  <c r="AP332" i="20"/>
  <c r="AP340" i="20"/>
  <c r="AP348" i="20"/>
  <c r="AP356" i="20"/>
  <c r="AP364" i="20"/>
  <c r="AP372" i="20"/>
  <c r="AP380" i="20"/>
  <c r="AP388" i="20"/>
  <c r="AP396" i="20"/>
  <c r="AP404" i="20"/>
  <c r="AP412" i="20"/>
  <c r="AP420" i="20"/>
  <c r="AP428" i="20"/>
  <c r="AP436" i="20"/>
  <c r="AP444" i="20"/>
  <c r="AP452" i="20"/>
  <c r="AP460" i="20"/>
  <c r="AP468" i="20"/>
  <c r="AP476" i="20"/>
  <c r="AP484" i="20"/>
  <c r="AP492" i="20"/>
  <c r="AP500" i="20"/>
  <c r="AP508" i="20"/>
  <c r="AP516" i="20"/>
  <c r="AP524" i="20"/>
  <c r="AP532" i="20"/>
  <c r="AP540" i="20"/>
  <c r="AP548" i="20"/>
  <c r="AP556" i="20"/>
  <c r="AP564" i="20"/>
  <c r="AP572" i="20"/>
  <c r="AP580" i="20"/>
  <c r="AP588" i="20"/>
  <c r="AP596" i="20"/>
  <c r="AP604" i="20"/>
  <c r="AP612" i="20"/>
  <c r="AP620" i="20"/>
  <c r="AP628" i="20"/>
  <c r="AP636" i="20"/>
  <c r="AP644" i="20"/>
  <c r="AP652" i="20"/>
  <c r="AP660" i="20"/>
  <c r="AP668" i="20"/>
  <c r="AP676" i="20"/>
  <c r="AP684" i="20"/>
  <c r="AP692" i="20"/>
  <c r="AP700" i="20"/>
  <c r="AP708" i="20"/>
  <c r="AP37" i="20"/>
  <c r="AP45" i="20"/>
  <c r="AP53" i="20"/>
  <c r="AP61" i="20"/>
  <c r="AP69" i="20"/>
  <c r="AP77" i="20"/>
  <c r="AP85" i="20"/>
  <c r="AP93" i="20"/>
  <c r="AP101" i="20"/>
  <c r="AP109" i="20"/>
  <c r="AP117" i="20"/>
  <c r="AP125" i="20"/>
  <c r="AP133" i="20"/>
  <c r="AP141" i="20"/>
  <c r="AP149" i="20"/>
  <c r="AP157" i="20"/>
  <c r="AP165" i="20"/>
  <c r="AP173" i="20"/>
  <c r="AP181" i="20"/>
  <c r="AP189" i="20"/>
  <c r="AP197" i="20"/>
  <c r="AP205" i="20"/>
  <c r="AP213" i="20"/>
  <c r="AP221" i="20"/>
  <c r="AP229" i="20"/>
  <c r="AP237" i="20"/>
  <c r="AP245" i="20"/>
  <c r="AP253" i="20"/>
  <c r="AP261" i="20"/>
  <c r="AP269" i="20"/>
  <c r="AP277" i="20"/>
  <c r="AP285" i="20"/>
  <c r="AP293" i="20"/>
  <c r="AP301" i="20"/>
  <c r="AP309" i="20"/>
  <c r="AP317" i="20"/>
  <c r="AP325" i="20"/>
  <c r="AP333" i="20"/>
  <c r="AP341" i="20"/>
  <c r="AP349" i="20"/>
  <c r="AP357" i="20"/>
  <c r="AP365" i="20"/>
  <c r="AP373" i="20"/>
  <c r="AP381" i="20"/>
  <c r="AP389" i="20"/>
  <c r="AP397" i="20"/>
  <c r="AP405" i="20"/>
  <c r="AP413" i="20"/>
  <c r="AP421" i="20"/>
  <c r="AP429" i="20"/>
  <c r="AP437" i="20"/>
  <c r="AP445" i="20"/>
  <c r="AP453" i="20"/>
  <c r="AP461" i="20"/>
  <c r="AP469" i="20"/>
  <c r="AP477" i="20"/>
  <c r="AP485" i="20"/>
  <c r="AP493" i="20"/>
  <c r="AP501" i="20"/>
  <c r="AP509" i="20"/>
  <c r="AP517" i="20"/>
  <c r="AP525" i="20"/>
  <c r="AP533" i="20"/>
  <c r="AP541" i="20"/>
  <c r="AP549" i="20"/>
  <c r="AP557" i="20"/>
  <c r="AP565" i="20"/>
  <c r="AP573" i="20"/>
  <c r="AP581" i="20"/>
  <c r="AP589" i="20"/>
  <c r="AP597" i="20"/>
  <c r="AP605" i="20"/>
  <c r="AP613" i="20"/>
  <c r="AP621" i="20"/>
  <c r="AP629" i="20"/>
  <c r="AP637" i="20"/>
  <c r="AP645" i="20"/>
  <c r="AP653" i="20"/>
  <c r="AP661" i="20"/>
  <c r="AP669" i="20"/>
  <c r="AP677" i="20"/>
  <c r="AP685" i="20"/>
  <c r="AP693" i="20"/>
  <c r="AP701" i="20"/>
  <c r="AP709" i="20"/>
  <c r="AP718" i="20"/>
  <c r="AP726" i="20"/>
  <c r="AP734" i="20"/>
  <c r="AP742" i="20"/>
  <c r="AP750" i="20"/>
  <c r="AP758" i="20"/>
  <c r="AP766" i="20"/>
  <c r="AP774" i="20"/>
  <c r="AP782" i="20"/>
  <c r="AP790" i="20"/>
  <c r="AP798" i="20"/>
  <c r="AP806" i="20"/>
  <c r="AP814" i="20"/>
  <c r="AP822" i="20"/>
  <c r="AP830" i="20"/>
  <c r="AP838" i="20"/>
  <c r="AP846" i="20"/>
  <c r="AP854" i="20"/>
  <c r="AP862" i="20"/>
  <c r="AP870" i="20"/>
  <c r="AP878" i="20"/>
  <c r="AP886" i="20"/>
  <c r="AP894" i="20"/>
  <c r="AP902" i="20"/>
  <c r="AP910" i="20"/>
  <c r="AP918" i="20"/>
  <c r="AP926" i="20"/>
  <c r="AP934" i="20"/>
  <c r="AP942" i="20"/>
  <c r="AP950" i="20"/>
  <c r="AP958" i="20"/>
  <c r="AP966" i="20"/>
  <c r="AP974" i="20"/>
  <c r="AP982" i="20"/>
  <c r="AP990" i="20"/>
  <c r="AP998" i="20"/>
  <c r="AP1006" i="20"/>
  <c r="AP1014" i="20"/>
  <c r="AP1022" i="20"/>
  <c r="AP1030" i="20"/>
  <c r="AP1026" i="20"/>
  <c r="AP719" i="20"/>
  <c r="AP727" i="20"/>
  <c r="AP735" i="20"/>
  <c r="AP743" i="20"/>
  <c r="AP751" i="20"/>
  <c r="AP759" i="20"/>
  <c r="AP767" i="20"/>
  <c r="AP775" i="20"/>
  <c r="AP783" i="20"/>
  <c r="AP791" i="20"/>
  <c r="AP799" i="20"/>
  <c r="AP807" i="20"/>
  <c r="AP815" i="20"/>
  <c r="AP823" i="20"/>
  <c r="AP831" i="20"/>
  <c r="AP839" i="20"/>
  <c r="AP847" i="20"/>
  <c r="AP855" i="20"/>
  <c r="AP863" i="20"/>
  <c r="AP871" i="20"/>
  <c r="AP879" i="20"/>
  <c r="AP887" i="20"/>
  <c r="AP895" i="20"/>
  <c r="AP903" i="20"/>
  <c r="AP911" i="20"/>
  <c r="AP919" i="20"/>
  <c r="AP927" i="20"/>
  <c r="AP935" i="20"/>
  <c r="AP943" i="20"/>
  <c r="AP951" i="20"/>
  <c r="AP959" i="20"/>
  <c r="AP967" i="20"/>
  <c r="AP975" i="20"/>
  <c r="AP983" i="20"/>
  <c r="AP991" i="20"/>
  <c r="AP999" i="20"/>
  <c r="AP1007" i="20"/>
  <c r="AP1015" i="20"/>
  <c r="AP1023" i="20"/>
  <c r="AP1031" i="20"/>
  <c r="AP1034" i="20"/>
  <c r="AP1029" i="20"/>
  <c r="AP720" i="20"/>
  <c r="AP728" i="20"/>
  <c r="AP736" i="20"/>
  <c r="AP744" i="20"/>
  <c r="AP752" i="20"/>
  <c r="AP760" i="20"/>
  <c r="AP768" i="20"/>
  <c r="AP776" i="20"/>
  <c r="AP784" i="20"/>
  <c r="AP792" i="20"/>
  <c r="AP800" i="20"/>
  <c r="AP808" i="20"/>
  <c r="AP816" i="20"/>
  <c r="AP824" i="20"/>
  <c r="AP832" i="20"/>
  <c r="AP840" i="20"/>
  <c r="AP848" i="20"/>
  <c r="AP856" i="20"/>
  <c r="AP864" i="20"/>
  <c r="AP872" i="20"/>
  <c r="AP880" i="20"/>
  <c r="AP888" i="20"/>
  <c r="AP896" i="20"/>
  <c r="AP904" i="20"/>
  <c r="AP912" i="20"/>
  <c r="AP920" i="20"/>
  <c r="AP928" i="20"/>
  <c r="AP936" i="20"/>
  <c r="AP944" i="20"/>
  <c r="AP952" i="20"/>
  <c r="AP960" i="20"/>
  <c r="AP968" i="20"/>
  <c r="AP976" i="20"/>
  <c r="AP984" i="20"/>
  <c r="AP992" i="20"/>
  <c r="AP1000" i="20"/>
  <c r="AP1008" i="20"/>
  <c r="AP1016" i="20"/>
  <c r="AP1024" i="20"/>
  <c r="AP1032" i="20"/>
  <c r="AP1033" i="20"/>
  <c r="AP721" i="20"/>
  <c r="AP729" i="20"/>
  <c r="AP737" i="20"/>
  <c r="AP745" i="20"/>
  <c r="AP753" i="20"/>
  <c r="AP761" i="20"/>
  <c r="AP769" i="20"/>
  <c r="AP777" i="20"/>
  <c r="AP785" i="20"/>
  <c r="AP793" i="20"/>
  <c r="AP801" i="20"/>
  <c r="AP809" i="20"/>
  <c r="AP817" i="20"/>
  <c r="AP825" i="20"/>
  <c r="AP833" i="20"/>
  <c r="AP841" i="20"/>
  <c r="AP849" i="20"/>
  <c r="AP857" i="20"/>
  <c r="AP865" i="20"/>
  <c r="AP873" i="20"/>
  <c r="AP881" i="20"/>
  <c r="AP889" i="20"/>
  <c r="AP897" i="20"/>
  <c r="AP905" i="20"/>
  <c r="AP913" i="20"/>
  <c r="AP921" i="20"/>
  <c r="AP929" i="20"/>
  <c r="AP937" i="20"/>
  <c r="AP945" i="20"/>
  <c r="AP953" i="20"/>
  <c r="AP961" i="20"/>
  <c r="AP969" i="20"/>
  <c r="AP977" i="20"/>
  <c r="AP985" i="20"/>
  <c r="AP993" i="20"/>
  <c r="AP1001" i="20"/>
  <c r="AP1009" i="20"/>
  <c r="AP1017" i="20"/>
  <c r="AP1025" i="20"/>
  <c r="AP1021" i="20"/>
  <c r="AP722" i="20"/>
  <c r="AP730" i="20"/>
  <c r="AP738" i="20"/>
  <c r="AP746" i="20"/>
  <c r="AP754" i="20"/>
  <c r="AP762" i="20"/>
  <c r="AP770" i="20"/>
  <c r="AP778" i="20"/>
  <c r="AP786" i="20"/>
  <c r="AP794" i="20"/>
  <c r="AP802" i="20"/>
  <c r="AP810" i="20"/>
  <c r="AP818" i="20"/>
  <c r="AP826" i="20"/>
  <c r="AP834" i="20"/>
  <c r="AP842" i="20"/>
  <c r="AP850" i="20"/>
  <c r="AP858" i="20"/>
  <c r="AP866" i="20"/>
  <c r="AP874" i="20"/>
  <c r="AP882" i="20"/>
  <c r="AP890" i="20"/>
  <c r="AP898" i="20"/>
  <c r="AP906" i="20"/>
  <c r="AP914" i="20"/>
  <c r="AP922" i="20"/>
  <c r="AP930" i="20"/>
  <c r="AP938" i="20"/>
  <c r="AP946" i="20"/>
  <c r="AP954" i="20"/>
  <c r="AP962" i="20"/>
  <c r="AP970" i="20"/>
  <c r="AP978" i="20"/>
  <c r="AP986" i="20"/>
  <c r="AP994" i="20"/>
  <c r="AP1002" i="20"/>
  <c r="AP1010" i="20"/>
  <c r="AP1018" i="20"/>
  <c r="AP1013" i="20"/>
  <c r="AP723" i="20"/>
  <c r="AP731" i="20"/>
  <c r="AP739" i="20"/>
  <c r="AP747" i="20"/>
  <c r="AP755" i="20"/>
  <c r="AP763" i="20"/>
  <c r="AP771" i="20"/>
  <c r="AP779" i="20"/>
  <c r="AP787" i="20"/>
  <c r="AP795" i="20"/>
  <c r="AP803" i="20"/>
  <c r="AP811" i="20"/>
  <c r="AP819" i="20"/>
  <c r="AP827" i="20"/>
  <c r="AP835" i="20"/>
  <c r="AP843" i="20"/>
  <c r="AP851" i="20"/>
  <c r="AP859" i="20"/>
  <c r="AP867" i="20"/>
  <c r="AP875" i="20"/>
  <c r="AP883" i="20"/>
  <c r="AP891" i="20"/>
  <c r="AP899" i="20"/>
  <c r="AP907" i="20"/>
  <c r="AP915" i="20"/>
  <c r="AP923" i="20"/>
  <c r="AP931" i="20"/>
  <c r="AP939" i="20"/>
  <c r="AP947" i="20"/>
  <c r="AP955" i="20"/>
  <c r="AP963" i="20"/>
  <c r="AP971" i="20"/>
  <c r="AP979" i="20"/>
  <c r="AP987" i="20"/>
  <c r="AP995" i="20"/>
  <c r="AP1003" i="20"/>
  <c r="AP1011" i="20"/>
  <c r="AP1019" i="20"/>
  <c r="AP1027" i="20"/>
  <c r="AP35" i="20"/>
  <c r="AP1028" i="20"/>
  <c r="AP716" i="20"/>
  <c r="AP724" i="20"/>
  <c r="AP732" i="20"/>
  <c r="AP740" i="20"/>
  <c r="AP748" i="20"/>
  <c r="AP756" i="20"/>
  <c r="AP764" i="20"/>
  <c r="AP772" i="20"/>
  <c r="AP780" i="20"/>
  <c r="AP788" i="20"/>
  <c r="AP796" i="20"/>
  <c r="AP804" i="20"/>
  <c r="AP812" i="20"/>
  <c r="AP820" i="20"/>
  <c r="AP828" i="20"/>
  <c r="AP836" i="20"/>
  <c r="AP844" i="20"/>
  <c r="AP852" i="20"/>
  <c r="AP860" i="20"/>
  <c r="AP868" i="20"/>
  <c r="AP876" i="20"/>
  <c r="AP884" i="20"/>
  <c r="AP892" i="20"/>
  <c r="AP900" i="20"/>
  <c r="AP908" i="20"/>
  <c r="AP916" i="20"/>
  <c r="AP924" i="20"/>
  <c r="AP932" i="20"/>
  <c r="AP940" i="20"/>
  <c r="AP948" i="20"/>
  <c r="AP956" i="20"/>
  <c r="AP964" i="20"/>
  <c r="AP972" i="20"/>
  <c r="AP980" i="20"/>
  <c r="AP988" i="20"/>
  <c r="AP996" i="20"/>
  <c r="AP1004" i="20"/>
  <c r="AP1012" i="20"/>
  <c r="AP1020" i="20"/>
  <c r="AP717" i="20"/>
  <c r="AP725" i="20"/>
  <c r="AP733" i="20"/>
  <c r="AP741" i="20"/>
  <c r="AP749" i="20"/>
  <c r="AP757" i="20"/>
  <c r="AP765" i="20"/>
  <c r="AP773" i="20"/>
  <c r="AP781" i="20"/>
  <c r="AP789" i="20"/>
  <c r="AP797" i="20"/>
  <c r="AP805" i="20"/>
  <c r="AP813" i="20"/>
  <c r="AP821" i="20"/>
  <c r="AP829" i="20"/>
  <c r="AP837" i="20"/>
  <c r="AP845" i="20"/>
  <c r="AP853" i="20"/>
  <c r="AP861" i="20"/>
  <c r="AP869" i="20"/>
  <c r="AP877" i="20"/>
  <c r="AP885" i="20"/>
  <c r="AP893" i="20"/>
  <c r="AP901" i="20"/>
  <c r="AP909" i="20"/>
  <c r="AP917" i="20"/>
  <c r="AP925" i="20"/>
  <c r="AP933" i="20"/>
  <c r="AP941" i="20"/>
  <c r="AP949" i="20"/>
  <c r="AP957" i="20"/>
  <c r="AP965" i="20"/>
  <c r="AP973" i="20"/>
  <c r="AP981" i="20"/>
  <c r="AP989" i="20"/>
  <c r="AP997" i="20"/>
  <c r="AP1005" i="20"/>
  <c r="AO38" i="20"/>
  <c r="AO46" i="20"/>
  <c r="AO54" i="20"/>
  <c r="AO62" i="20"/>
  <c r="AO70" i="20"/>
  <c r="AO78" i="20"/>
  <c r="AO86" i="20"/>
  <c r="AO94" i="20"/>
  <c r="AO102" i="20"/>
  <c r="AO110" i="20"/>
  <c r="AO118" i="20"/>
  <c r="AO126" i="20"/>
  <c r="AO134" i="20"/>
  <c r="AO142" i="20"/>
  <c r="AO150" i="20"/>
  <c r="AO158" i="20"/>
  <c r="AO166" i="20"/>
  <c r="AO174" i="20"/>
  <c r="AO182" i="20"/>
  <c r="AO190" i="20"/>
  <c r="AO198" i="20"/>
  <c r="AO206" i="20"/>
  <c r="AO214" i="20"/>
  <c r="AO222" i="20"/>
  <c r="AO230" i="20"/>
  <c r="AO238" i="20"/>
  <c r="AO246" i="20"/>
  <c r="AO254" i="20"/>
  <c r="AO262" i="20"/>
  <c r="AO270" i="20"/>
  <c r="AO278" i="20"/>
  <c r="AO286" i="20"/>
  <c r="AO294" i="20"/>
  <c r="AO302" i="20"/>
  <c r="AO310" i="20"/>
  <c r="AO318" i="20"/>
  <c r="AO326" i="20"/>
  <c r="AO334" i="20"/>
  <c r="AO342" i="20"/>
  <c r="AO350" i="20"/>
  <c r="AO358" i="20"/>
  <c r="AO366" i="20"/>
  <c r="AO374" i="20"/>
  <c r="AO382" i="20"/>
  <c r="AO390" i="20"/>
  <c r="AO398" i="20"/>
  <c r="AO406" i="20"/>
  <c r="AO414" i="20"/>
  <c r="AO422" i="20"/>
  <c r="AO430" i="20"/>
  <c r="AO438" i="20"/>
  <c r="AO446" i="20"/>
  <c r="AO454" i="20"/>
  <c r="AO462" i="20"/>
  <c r="AO470" i="20"/>
  <c r="AO478" i="20"/>
  <c r="AO486" i="20"/>
  <c r="AO494" i="20"/>
  <c r="AO502" i="20"/>
  <c r="AO510" i="20"/>
  <c r="AO518" i="20"/>
  <c r="AO526" i="20"/>
  <c r="AO534" i="20"/>
  <c r="AO542" i="20"/>
  <c r="AO550" i="20"/>
  <c r="AO558" i="20"/>
  <c r="AO566" i="20"/>
  <c r="AO574" i="20"/>
  <c r="AO582" i="20"/>
  <c r="AO590" i="20"/>
  <c r="AO598" i="20"/>
  <c r="AO606" i="20"/>
  <c r="AO614" i="20"/>
  <c r="AO622" i="20"/>
  <c r="AO630" i="20"/>
  <c r="AO638" i="20"/>
  <c r="AO646" i="20"/>
  <c r="AO654" i="20"/>
  <c r="AO662" i="20"/>
  <c r="AO670" i="20"/>
  <c r="AO678" i="20"/>
  <c r="AO686" i="20"/>
  <c r="AO694" i="20"/>
  <c r="AO702" i="20"/>
  <c r="AO710" i="20"/>
  <c r="AO39" i="20"/>
  <c r="AO47" i="20"/>
  <c r="AO55" i="20"/>
  <c r="AO63" i="20"/>
  <c r="AO71" i="20"/>
  <c r="AO79" i="20"/>
  <c r="AO87" i="20"/>
  <c r="AO95" i="20"/>
  <c r="AO103" i="20"/>
  <c r="AO111" i="20"/>
  <c r="AO119" i="20"/>
  <c r="AO127" i="20"/>
  <c r="AO135" i="20"/>
  <c r="AO143" i="20"/>
  <c r="AO151" i="20"/>
  <c r="AO159" i="20"/>
  <c r="AO167" i="20"/>
  <c r="AO175" i="20"/>
  <c r="AO183" i="20"/>
  <c r="AO191" i="20"/>
  <c r="AO199" i="20"/>
  <c r="AO207" i="20"/>
  <c r="AO215" i="20"/>
  <c r="AO223" i="20"/>
  <c r="AO231" i="20"/>
  <c r="AO239" i="20"/>
  <c r="AO247" i="20"/>
  <c r="AO255" i="20"/>
  <c r="AO263" i="20"/>
  <c r="AO271" i="20"/>
  <c r="AO279" i="20"/>
  <c r="AO287" i="20"/>
  <c r="AO295" i="20"/>
  <c r="AO303" i="20"/>
  <c r="AO311" i="20"/>
  <c r="AO319" i="20"/>
  <c r="AO327" i="20"/>
  <c r="AO335" i="20"/>
  <c r="AO343" i="20"/>
  <c r="AO351" i="20"/>
  <c r="AO359" i="20"/>
  <c r="AO367" i="20"/>
  <c r="AO375" i="20"/>
  <c r="AO383" i="20"/>
  <c r="AO391" i="20"/>
  <c r="AO399" i="20"/>
  <c r="AO407" i="20"/>
  <c r="AO415" i="20"/>
  <c r="AO423" i="20"/>
  <c r="AO431" i="20"/>
  <c r="AO439" i="20"/>
  <c r="AO447" i="20"/>
  <c r="AO455" i="20"/>
  <c r="AO463" i="20"/>
  <c r="AO471" i="20"/>
  <c r="AO479" i="20"/>
  <c r="AO487" i="20"/>
  <c r="AO495" i="20"/>
  <c r="AO503" i="20"/>
  <c r="AO511" i="20"/>
  <c r="AO519" i="20"/>
  <c r="AO527" i="20"/>
  <c r="AO535" i="20"/>
  <c r="AO543" i="20"/>
  <c r="AO551" i="20"/>
  <c r="AO559" i="20"/>
  <c r="AO567" i="20"/>
  <c r="AO575" i="20"/>
  <c r="AO583" i="20"/>
  <c r="AO591" i="20"/>
  <c r="AO599" i="20"/>
  <c r="AO607" i="20"/>
  <c r="AO615" i="20"/>
  <c r="AO623" i="20"/>
  <c r="AO631" i="20"/>
  <c r="AO639" i="20"/>
  <c r="AO647" i="20"/>
  <c r="AO655" i="20"/>
  <c r="AO663" i="20"/>
  <c r="AO671" i="20"/>
  <c r="AO679" i="20"/>
  <c r="AO687" i="20"/>
  <c r="AO695" i="20"/>
  <c r="AO703" i="20"/>
  <c r="AO711" i="20"/>
  <c r="AO40" i="20"/>
  <c r="AO48" i="20"/>
  <c r="AO56" i="20"/>
  <c r="AO64" i="20"/>
  <c r="AO72" i="20"/>
  <c r="AO80" i="20"/>
  <c r="AO88" i="20"/>
  <c r="AO96" i="20"/>
  <c r="AO104" i="20"/>
  <c r="AO112" i="20"/>
  <c r="AO120" i="20"/>
  <c r="AO128" i="20"/>
  <c r="AO136" i="20"/>
  <c r="AO144" i="20"/>
  <c r="AO152" i="20"/>
  <c r="AO160" i="20"/>
  <c r="AO168" i="20"/>
  <c r="AO176" i="20"/>
  <c r="AO184" i="20"/>
  <c r="AO192" i="20"/>
  <c r="AO200" i="20"/>
  <c r="AO208" i="20"/>
  <c r="AO216" i="20"/>
  <c r="AO224" i="20"/>
  <c r="AO232" i="20"/>
  <c r="AO240" i="20"/>
  <c r="AO248" i="20"/>
  <c r="AO256" i="20"/>
  <c r="AO264" i="20"/>
  <c r="AO272" i="20"/>
  <c r="AO280" i="20"/>
  <c r="AO288" i="20"/>
  <c r="AO296" i="20"/>
  <c r="AO304" i="20"/>
  <c r="AO312" i="20"/>
  <c r="AO320" i="20"/>
  <c r="AO328" i="20"/>
  <c r="AO336" i="20"/>
  <c r="AO344" i="20"/>
  <c r="AO352" i="20"/>
  <c r="AO360" i="20"/>
  <c r="AO368" i="20"/>
  <c r="AO376" i="20"/>
  <c r="AO384" i="20"/>
  <c r="AO392" i="20"/>
  <c r="AO400" i="20"/>
  <c r="AO408" i="20"/>
  <c r="AO416" i="20"/>
  <c r="AO424" i="20"/>
  <c r="AO432" i="20"/>
  <c r="AO440" i="20"/>
  <c r="AO448" i="20"/>
  <c r="AO456" i="20"/>
  <c r="AO464" i="20"/>
  <c r="AO472" i="20"/>
  <c r="AO480" i="20"/>
  <c r="AO488" i="20"/>
  <c r="AO496" i="20"/>
  <c r="AO504" i="20"/>
  <c r="AO512" i="20"/>
  <c r="AO520" i="20"/>
  <c r="AO528" i="20"/>
  <c r="AO536" i="20"/>
  <c r="AO544" i="20"/>
  <c r="AO552" i="20"/>
  <c r="AO560" i="20"/>
  <c r="AO568" i="20"/>
  <c r="AO576" i="20"/>
  <c r="AO584" i="20"/>
  <c r="AO592" i="20"/>
  <c r="AO600" i="20"/>
  <c r="AO608" i="20"/>
  <c r="AO616" i="20"/>
  <c r="AO624" i="20"/>
  <c r="AO632" i="20"/>
  <c r="AO640" i="20"/>
  <c r="AO648" i="20"/>
  <c r="AO656" i="20"/>
  <c r="AO664" i="20"/>
  <c r="AO672" i="20"/>
  <c r="AO680" i="20"/>
  <c r="AO688" i="20"/>
  <c r="AO696" i="20"/>
  <c r="AO704" i="20"/>
  <c r="AO712" i="20"/>
  <c r="AO41" i="20"/>
  <c r="AO49" i="20"/>
  <c r="AO57" i="20"/>
  <c r="AO65" i="20"/>
  <c r="AO73" i="20"/>
  <c r="AO81" i="20"/>
  <c r="AO89" i="20"/>
  <c r="AO97" i="20"/>
  <c r="AO105" i="20"/>
  <c r="AO113" i="20"/>
  <c r="AO121" i="20"/>
  <c r="AO129" i="20"/>
  <c r="AO137" i="20"/>
  <c r="AO145" i="20"/>
  <c r="AO153" i="20"/>
  <c r="AO161" i="20"/>
  <c r="AO169" i="20"/>
  <c r="AO177" i="20"/>
  <c r="AO185" i="20"/>
  <c r="AO193" i="20"/>
  <c r="AO201" i="20"/>
  <c r="AO209" i="20"/>
  <c r="AO217" i="20"/>
  <c r="AO225" i="20"/>
  <c r="AO233" i="20"/>
  <c r="AO241" i="20"/>
  <c r="AO249" i="20"/>
  <c r="AO257" i="20"/>
  <c r="AO265" i="20"/>
  <c r="AO273" i="20"/>
  <c r="AO281" i="20"/>
  <c r="AO289" i="20"/>
  <c r="AO297" i="20"/>
  <c r="AO305" i="20"/>
  <c r="AO313" i="20"/>
  <c r="AO321" i="20"/>
  <c r="AO329" i="20"/>
  <c r="AO337" i="20"/>
  <c r="AO345" i="20"/>
  <c r="AO353" i="20"/>
  <c r="AO361" i="20"/>
  <c r="AO369" i="20"/>
  <c r="AO377" i="20"/>
  <c r="AO385" i="20"/>
  <c r="AO393" i="20"/>
  <c r="AO401" i="20"/>
  <c r="AO409" i="20"/>
  <c r="AO417" i="20"/>
  <c r="AO425" i="20"/>
  <c r="AO433" i="20"/>
  <c r="AO441" i="20"/>
  <c r="AO449" i="20"/>
  <c r="AO457" i="20"/>
  <c r="AO465" i="20"/>
  <c r="AO473" i="20"/>
  <c r="AO481" i="20"/>
  <c r="AO489" i="20"/>
  <c r="AO497" i="20"/>
  <c r="AO505" i="20"/>
  <c r="AO513" i="20"/>
  <c r="AO521" i="20"/>
  <c r="AO529" i="20"/>
  <c r="AO537" i="20"/>
  <c r="AO545" i="20"/>
  <c r="AO553" i="20"/>
  <c r="AO561" i="20"/>
  <c r="AO569" i="20"/>
  <c r="AO577" i="20"/>
  <c r="AO585" i="20"/>
  <c r="AO593" i="20"/>
  <c r="AO601" i="20"/>
  <c r="AO609" i="20"/>
  <c r="AO617" i="20"/>
  <c r="AO625" i="20"/>
  <c r="AO633" i="20"/>
  <c r="AO641" i="20"/>
  <c r="AO649" i="20"/>
  <c r="AO657" i="20"/>
  <c r="AO665" i="20"/>
  <c r="AO673" i="20"/>
  <c r="AO681" i="20"/>
  <c r="AO689" i="20"/>
  <c r="AO697" i="20"/>
  <c r="AO705" i="20"/>
  <c r="AO42" i="20"/>
  <c r="AO50" i="20"/>
  <c r="AO58" i="20"/>
  <c r="AO66" i="20"/>
  <c r="AO74" i="20"/>
  <c r="AO82" i="20"/>
  <c r="AO90" i="20"/>
  <c r="AO98" i="20"/>
  <c r="AO106" i="20"/>
  <c r="AO114" i="20"/>
  <c r="AO122" i="20"/>
  <c r="AO130" i="20"/>
  <c r="AO138" i="20"/>
  <c r="AO146" i="20"/>
  <c r="AO154" i="20"/>
  <c r="AO162" i="20"/>
  <c r="AO170" i="20"/>
  <c r="AO178" i="20"/>
  <c r="AO186" i="20"/>
  <c r="AO194" i="20"/>
  <c r="AO202" i="20"/>
  <c r="AO210" i="20"/>
  <c r="AO218" i="20"/>
  <c r="AO226" i="20"/>
  <c r="AO234" i="20"/>
  <c r="AO242" i="20"/>
  <c r="AO250" i="20"/>
  <c r="AO258" i="20"/>
  <c r="AO266" i="20"/>
  <c r="AO274" i="20"/>
  <c r="AO282" i="20"/>
  <c r="AO290" i="20"/>
  <c r="AO298" i="20"/>
  <c r="AO306" i="20"/>
  <c r="AO314" i="20"/>
  <c r="AO322" i="20"/>
  <c r="AO330" i="20"/>
  <c r="AO338" i="20"/>
  <c r="AO346" i="20"/>
  <c r="AO354" i="20"/>
  <c r="AO362" i="20"/>
  <c r="AO370" i="20"/>
  <c r="AO378" i="20"/>
  <c r="AO386" i="20"/>
  <c r="AO394" i="20"/>
  <c r="AO402" i="20"/>
  <c r="AO410" i="20"/>
  <c r="AO418" i="20"/>
  <c r="AO426" i="20"/>
  <c r="AO434" i="20"/>
  <c r="AO442" i="20"/>
  <c r="AO450" i="20"/>
  <c r="AO458" i="20"/>
  <c r="AO466" i="20"/>
  <c r="AO474" i="20"/>
  <c r="AO482" i="20"/>
  <c r="AO490" i="20"/>
  <c r="AO498" i="20"/>
  <c r="AO506" i="20"/>
  <c r="AO514" i="20"/>
  <c r="AO522" i="20"/>
  <c r="AO530" i="20"/>
  <c r="AO538" i="20"/>
  <c r="AO546" i="20"/>
  <c r="AO554" i="20"/>
  <c r="AO562" i="20"/>
  <c r="AO570" i="20"/>
  <c r="AO578" i="20"/>
  <c r="AO586" i="20"/>
  <c r="AO594" i="20"/>
  <c r="AO602" i="20"/>
  <c r="AO610" i="20"/>
  <c r="AO618" i="20"/>
  <c r="AO626" i="20"/>
  <c r="AO634" i="20"/>
  <c r="AO642" i="20"/>
  <c r="AO650" i="20"/>
  <c r="AO658" i="20"/>
  <c r="AO666" i="20"/>
  <c r="AO674" i="20"/>
  <c r="AO682" i="20"/>
  <c r="AO690" i="20"/>
  <c r="AO698" i="20"/>
  <c r="AO706" i="20"/>
  <c r="AO43" i="20"/>
  <c r="AO51" i="20"/>
  <c r="AO59" i="20"/>
  <c r="AO67" i="20"/>
  <c r="AO75" i="20"/>
  <c r="AO83" i="20"/>
  <c r="AO91" i="20"/>
  <c r="AO99" i="20"/>
  <c r="AO107" i="20"/>
  <c r="AO115" i="20"/>
  <c r="AO123" i="20"/>
  <c r="AO131" i="20"/>
  <c r="AO139" i="20"/>
  <c r="AO147" i="20"/>
  <c r="AO155" i="20"/>
  <c r="AO163" i="20"/>
  <c r="AO171" i="20"/>
  <c r="AO179" i="20"/>
  <c r="AO187" i="20"/>
  <c r="AO195" i="20"/>
  <c r="AO203" i="20"/>
  <c r="AO211" i="20"/>
  <c r="AO219" i="20"/>
  <c r="AO227" i="20"/>
  <c r="AO235" i="20"/>
  <c r="AO243" i="20"/>
  <c r="AO251" i="20"/>
  <c r="AO259" i="20"/>
  <c r="AO267" i="20"/>
  <c r="AO275" i="20"/>
  <c r="AO283" i="20"/>
  <c r="AO291" i="20"/>
  <c r="AO299" i="20"/>
  <c r="AO307" i="20"/>
  <c r="AO315" i="20"/>
  <c r="AO323" i="20"/>
  <c r="AO331" i="20"/>
  <c r="AO339" i="20"/>
  <c r="AO347" i="20"/>
  <c r="AO355" i="20"/>
  <c r="AO363" i="20"/>
  <c r="AO371" i="20"/>
  <c r="AO379" i="20"/>
  <c r="AO387" i="20"/>
  <c r="AO395" i="20"/>
  <c r="AO403" i="20"/>
  <c r="AO411" i="20"/>
  <c r="AO419" i="20"/>
  <c r="AO427" i="20"/>
  <c r="AO435" i="20"/>
  <c r="AO443" i="20"/>
  <c r="AO451" i="20"/>
  <c r="AO459" i="20"/>
  <c r="AO467" i="20"/>
  <c r="AO475" i="20"/>
  <c r="AO483" i="20"/>
  <c r="AO491" i="20"/>
  <c r="AO499" i="20"/>
  <c r="AO507" i="20"/>
  <c r="AO515" i="20"/>
  <c r="AO523" i="20"/>
  <c r="AO531" i="20"/>
  <c r="AO539" i="20"/>
  <c r="AO547" i="20"/>
  <c r="AO555" i="20"/>
  <c r="AO563" i="20"/>
  <c r="AO571" i="20"/>
  <c r="AO579" i="20"/>
  <c r="AO587" i="20"/>
  <c r="AO595" i="20"/>
  <c r="AO603" i="20"/>
  <c r="AO611" i="20"/>
  <c r="AO619" i="20"/>
  <c r="AO627" i="20"/>
  <c r="AO635" i="20"/>
  <c r="AO643" i="20"/>
  <c r="AO651" i="20"/>
  <c r="AO659" i="20"/>
  <c r="AO667" i="20"/>
  <c r="AO675" i="20"/>
  <c r="AO683" i="20"/>
  <c r="AO691" i="20"/>
  <c r="AO699" i="20"/>
  <c r="AO707" i="20"/>
  <c r="AO715" i="20"/>
  <c r="AO36" i="20"/>
  <c r="AO44" i="20"/>
  <c r="AO52" i="20"/>
  <c r="AO60" i="20"/>
  <c r="AO68" i="20"/>
  <c r="AO76" i="20"/>
  <c r="AO84" i="20"/>
  <c r="AO92" i="20"/>
  <c r="AO100" i="20"/>
  <c r="AO108" i="20"/>
  <c r="AO116" i="20"/>
  <c r="AO124" i="20"/>
  <c r="AO132" i="20"/>
  <c r="AO140" i="20"/>
  <c r="AO148" i="20"/>
  <c r="AO156" i="20"/>
  <c r="AO164" i="20"/>
  <c r="AO172" i="20"/>
  <c r="AO180" i="20"/>
  <c r="AO188" i="20"/>
  <c r="AO196" i="20"/>
  <c r="AO204" i="20"/>
  <c r="AO212" i="20"/>
  <c r="AO220" i="20"/>
  <c r="AO228" i="20"/>
  <c r="AO236" i="20"/>
  <c r="AO244" i="20"/>
  <c r="AO252" i="20"/>
  <c r="AO260" i="20"/>
  <c r="AO268" i="20"/>
  <c r="AO276" i="20"/>
  <c r="AO284" i="20"/>
  <c r="AO292" i="20"/>
  <c r="AO300" i="20"/>
  <c r="AO308" i="20"/>
  <c r="AO316" i="20"/>
  <c r="AO324" i="20"/>
  <c r="AO332" i="20"/>
  <c r="AO340" i="20"/>
  <c r="AO348" i="20"/>
  <c r="AO356" i="20"/>
  <c r="AO364" i="20"/>
  <c r="AO372" i="20"/>
  <c r="AO380" i="20"/>
  <c r="AO388" i="20"/>
  <c r="AO396" i="20"/>
  <c r="AO404" i="20"/>
  <c r="AO412" i="20"/>
  <c r="AO420" i="20"/>
  <c r="AO428" i="20"/>
  <c r="AO436" i="20"/>
  <c r="AO444" i="20"/>
  <c r="AO452" i="20"/>
  <c r="AO460" i="20"/>
  <c r="AO468" i="20"/>
  <c r="AO476" i="20"/>
  <c r="AO484" i="20"/>
  <c r="AO492" i="20"/>
  <c r="AO500" i="20"/>
  <c r="AO508" i="20"/>
  <c r="AO516" i="20"/>
  <c r="AO524" i="20"/>
  <c r="AO532" i="20"/>
  <c r="AO540" i="20"/>
  <c r="AO548" i="20"/>
  <c r="AO556" i="20"/>
  <c r="AO564" i="20"/>
  <c r="AO572" i="20"/>
  <c r="AO580" i="20"/>
  <c r="AO588" i="20"/>
  <c r="AO596" i="20"/>
  <c r="AO604" i="20"/>
  <c r="AO612" i="20"/>
  <c r="AO620" i="20"/>
  <c r="AO628" i="20"/>
  <c r="AO636" i="20"/>
  <c r="AO644" i="20"/>
  <c r="AO652" i="20"/>
  <c r="AO660" i="20"/>
  <c r="AO668" i="20"/>
  <c r="AO676" i="20"/>
  <c r="AO684" i="20"/>
  <c r="AO692" i="20"/>
  <c r="AO700" i="20"/>
  <c r="AO708" i="20"/>
  <c r="AO37" i="20"/>
  <c r="AO45" i="20"/>
  <c r="AO53" i="20"/>
  <c r="AO61" i="20"/>
  <c r="AO69" i="20"/>
  <c r="AO77" i="20"/>
  <c r="AO85" i="20"/>
  <c r="AO93" i="20"/>
  <c r="AO101" i="20"/>
  <c r="AO109" i="20"/>
  <c r="AO117" i="20"/>
  <c r="AO125" i="20"/>
  <c r="AO133" i="20"/>
  <c r="AO141" i="20"/>
  <c r="AO149" i="20"/>
  <c r="AO157" i="20"/>
  <c r="AO165" i="20"/>
  <c r="AO173" i="20"/>
  <c r="AO181" i="20"/>
  <c r="AO189" i="20"/>
  <c r="AO197" i="20"/>
  <c r="AO205" i="20"/>
  <c r="AO213" i="20"/>
  <c r="AO221" i="20"/>
  <c r="AO229" i="20"/>
  <c r="AO237" i="20"/>
  <c r="AO245" i="20"/>
  <c r="AO253" i="20"/>
  <c r="AO261" i="20"/>
  <c r="AO269" i="20"/>
  <c r="AO277" i="20"/>
  <c r="AO285" i="20"/>
  <c r="AO293" i="20"/>
  <c r="AO301" i="20"/>
  <c r="AO309" i="20"/>
  <c r="AO317" i="20"/>
  <c r="AO325" i="20"/>
  <c r="AO333" i="20"/>
  <c r="AO341" i="20"/>
  <c r="AO349" i="20"/>
  <c r="AO357" i="20"/>
  <c r="AO365" i="20"/>
  <c r="AO373" i="20"/>
  <c r="AO381" i="20"/>
  <c r="AO389" i="20"/>
  <c r="AO397" i="20"/>
  <c r="AO405" i="20"/>
  <c r="AO413" i="20"/>
  <c r="AO421" i="20"/>
  <c r="AO429" i="20"/>
  <c r="AO437" i="20"/>
  <c r="AO445" i="20"/>
  <c r="AO453" i="20"/>
  <c r="AO461" i="20"/>
  <c r="AO469" i="20"/>
  <c r="AO477" i="20"/>
  <c r="AO485" i="20"/>
  <c r="AO493" i="20"/>
  <c r="AO501" i="20"/>
  <c r="AO509" i="20"/>
  <c r="AO517" i="20"/>
  <c r="AO525" i="20"/>
  <c r="AO533" i="20"/>
  <c r="AO541" i="20"/>
  <c r="AO549" i="20"/>
  <c r="AO557" i="20"/>
  <c r="AO565" i="20"/>
  <c r="AO573" i="20"/>
  <c r="AO581" i="20"/>
  <c r="AO589" i="20"/>
  <c r="AO597" i="20"/>
  <c r="AO605" i="20"/>
  <c r="AO613" i="20"/>
  <c r="AO621" i="20"/>
  <c r="AO629" i="20"/>
  <c r="AO637" i="20"/>
  <c r="AO645" i="20"/>
  <c r="AO653" i="20"/>
  <c r="AO661" i="20"/>
  <c r="AO669" i="20"/>
  <c r="AO677" i="20"/>
  <c r="AO685" i="20"/>
  <c r="AO693" i="20"/>
  <c r="AO701" i="20"/>
  <c r="AO709" i="20"/>
  <c r="AO716" i="20"/>
  <c r="AO724" i="20"/>
  <c r="AO732" i="20"/>
  <c r="AO740" i="20"/>
  <c r="AO748" i="20"/>
  <c r="AO756" i="20"/>
  <c r="AO764" i="20"/>
  <c r="AO772" i="20"/>
  <c r="AO780" i="20"/>
  <c r="AO788" i="20"/>
  <c r="AO796" i="20"/>
  <c r="AO804" i="20"/>
  <c r="AO812" i="20"/>
  <c r="AO820" i="20"/>
  <c r="AO828" i="20"/>
  <c r="AO836" i="20"/>
  <c r="AO844" i="20"/>
  <c r="AO852" i="20"/>
  <c r="AO860" i="20"/>
  <c r="AO868" i="20"/>
  <c r="AO876" i="20"/>
  <c r="AO884" i="20"/>
  <c r="AO892" i="20"/>
  <c r="AO900" i="20"/>
  <c r="AO908" i="20"/>
  <c r="AO916" i="20"/>
  <c r="AO924" i="20"/>
  <c r="AO932" i="20"/>
  <c r="AO940" i="20"/>
  <c r="AO948" i="20"/>
  <c r="AO956" i="20"/>
  <c r="AO964" i="20"/>
  <c r="AO972" i="20"/>
  <c r="AO980" i="20"/>
  <c r="AO988" i="20"/>
  <c r="AO996" i="20"/>
  <c r="AO1004" i="20"/>
  <c r="AO1012" i="20"/>
  <c r="AO1020" i="20"/>
  <c r="AO1028" i="20"/>
  <c r="AO1032" i="20"/>
  <c r="AO717" i="20"/>
  <c r="AO725" i="20"/>
  <c r="AO733" i="20"/>
  <c r="AO741" i="20"/>
  <c r="AO749" i="20"/>
  <c r="AO757" i="20"/>
  <c r="AO765" i="20"/>
  <c r="AO773" i="20"/>
  <c r="AO781" i="20"/>
  <c r="AO789" i="20"/>
  <c r="AO797" i="20"/>
  <c r="AO805" i="20"/>
  <c r="AO813" i="20"/>
  <c r="AO821" i="20"/>
  <c r="AO829" i="20"/>
  <c r="AO837" i="20"/>
  <c r="AO845" i="20"/>
  <c r="AO853" i="20"/>
  <c r="AO861" i="20"/>
  <c r="AO869" i="20"/>
  <c r="AO877" i="20"/>
  <c r="AO885" i="20"/>
  <c r="AO893" i="20"/>
  <c r="AO901" i="20"/>
  <c r="AO909" i="20"/>
  <c r="AO917" i="20"/>
  <c r="AO925" i="20"/>
  <c r="AO933" i="20"/>
  <c r="AO941" i="20"/>
  <c r="AO949" i="20"/>
  <c r="AO957" i="20"/>
  <c r="AO965" i="20"/>
  <c r="AO973" i="20"/>
  <c r="AO981" i="20"/>
  <c r="AO989" i="20"/>
  <c r="AO997" i="20"/>
  <c r="AO1005" i="20"/>
  <c r="AO1013" i="20"/>
  <c r="AO1021" i="20"/>
  <c r="AO1029" i="20"/>
  <c r="AO1026" i="20"/>
  <c r="AO718" i="20"/>
  <c r="AO726" i="20"/>
  <c r="AO734" i="20"/>
  <c r="AO742" i="20"/>
  <c r="AO750" i="20"/>
  <c r="AO758" i="20"/>
  <c r="AO766" i="20"/>
  <c r="AO774" i="20"/>
  <c r="AO782" i="20"/>
  <c r="AO790" i="20"/>
  <c r="AO798" i="20"/>
  <c r="AO806" i="20"/>
  <c r="AO814" i="20"/>
  <c r="AO822" i="20"/>
  <c r="AO830" i="20"/>
  <c r="AO838" i="20"/>
  <c r="AO846" i="20"/>
  <c r="AO854" i="20"/>
  <c r="AO862" i="20"/>
  <c r="AO870" i="20"/>
  <c r="AO878" i="20"/>
  <c r="AO886" i="20"/>
  <c r="AO894" i="20"/>
  <c r="AO902" i="20"/>
  <c r="AO910" i="20"/>
  <c r="AO918" i="20"/>
  <c r="AO926" i="20"/>
  <c r="AO934" i="20"/>
  <c r="AO942" i="20"/>
  <c r="AO950" i="20"/>
  <c r="AO958" i="20"/>
  <c r="AO966" i="20"/>
  <c r="AO974" i="20"/>
  <c r="AO982" i="20"/>
  <c r="AO990" i="20"/>
  <c r="AO998" i="20"/>
  <c r="AO1006" i="20"/>
  <c r="AO1014" i="20"/>
  <c r="AO1022" i="20"/>
  <c r="AO1030" i="20"/>
  <c r="AO1031" i="20"/>
  <c r="AO719" i="20"/>
  <c r="AO727" i="20"/>
  <c r="AO735" i="20"/>
  <c r="AO743" i="20"/>
  <c r="AO751" i="20"/>
  <c r="AO759" i="20"/>
  <c r="AO767" i="20"/>
  <c r="AO775" i="20"/>
  <c r="AO783" i="20"/>
  <c r="AO791" i="20"/>
  <c r="AO799" i="20"/>
  <c r="AO807" i="20"/>
  <c r="AO815" i="20"/>
  <c r="AO823" i="20"/>
  <c r="AO831" i="20"/>
  <c r="AO839" i="20"/>
  <c r="AO847" i="20"/>
  <c r="AO855" i="20"/>
  <c r="AO863" i="20"/>
  <c r="AO871" i="20"/>
  <c r="AO879" i="20"/>
  <c r="AO887" i="20"/>
  <c r="AO895" i="20"/>
  <c r="AO903" i="20"/>
  <c r="AO911" i="20"/>
  <c r="AO919" i="20"/>
  <c r="AO927" i="20"/>
  <c r="AO935" i="20"/>
  <c r="AO943" i="20"/>
  <c r="AO951" i="20"/>
  <c r="AO959" i="20"/>
  <c r="AO967" i="20"/>
  <c r="AO975" i="20"/>
  <c r="AO983" i="20"/>
  <c r="AO991" i="20"/>
  <c r="AO999" i="20"/>
  <c r="AO1007" i="20"/>
  <c r="AO1015" i="20"/>
  <c r="AO1023" i="20"/>
  <c r="AO720" i="20"/>
  <c r="AO728" i="20"/>
  <c r="AO736" i="20"/>
  <c r="AO744" i="20"/>
  <c r="AO752" i="20"/>
  <c r="AO760" i="20"/>
  <c r="AO768" i="20"/>
  <c r="AO776" i="20"/>
  <c r="AO784" i="20"/>
  <c r="AO792" i="20"/>
  <c r="AO800" i="20"/>
  <c r="AO808" i="20"/>
  <c r="AO816" i="20"/>
  <c r="AO824" i="20"/>
  <c r="AO832" i="20"/>
  <c r="AO840" i="20"/>
  <c r="AO848" i="20"/>
  <c r="AO856" i="20"/>
  <c r="AO864" i="20"/>
  <c r="AO872" i="20"/>
  <c r="AO880" i="20"/>
  <c r="AO888" i="20"/>
  <c r="AO896" i="20"/>
  <c r="AO904" i="20"/>
  <c r="AO912" i="20"/>
  <c r="AO920" i="20"/>
  <c r="AO928" i="20"/>
  <c r="AO936" i="20"/>
  <c r="AO944" i="20"/>
  <c r="AO952" i="20"/>
  <c r="AO960" i="20"/>
  <c r="AO968" i="20"/>
  <c r="AO976" i="20"/>
  <c r="AO984" i="20"/>
  <c r="AO992" i="20"/>
  <c r="AO1000" i="20"/>
  <c r="AO1008" i="20"/>
  <c r="AO1016" i="20"/>
  <c r="AO1024" i="20"/>
  <c r="AO1034" i="20"/>
  <c r="AO721" i="20"/>
  <c r="AO729" i="20"/>
  <c r="AO737" i="20"/>
  <c r="AO745" i="20"/>
  <c r="AO753" i="20"/>
  <c r="AO761" i="20"/>
  <c r="AO769" i="20"/>
  <c r="AO777" i="20"/>
  <c r="AO785" i="20"/>
  <c r="AO793" i="20"/>
  <c r="AO801" i="20"/>
  <c r="AO809" i="20"/>
  <c r="AO817" i="20"/>
  <c r="AO825" i="20"/>
  <c r="AO833" i="20"/>
  <c r="AO841" i="20"/>
  <c r="AO849" i="20"/>
  <c r="AO857" i="20"/>
  <c r="AO865" i="20"/>
  <c r="AO873" i="20"/>
  <c r="AO881" i="20"/>
  <c r="AO889" i="20"/>
  <c r="AO897" i="20"/>
  <c r="AO905" i="20"/>
  <c r="AO913" i="20"/>
  <c r="AO921" i="20"/>
  <c r="AO929" i="20"/>
  <c r="AO937" i="20"/>
  <c r="AO945" i="20"/>
  <c r="AO953" i="20"/>
  <c r="AO961" i="20"/>
  <c r="AO969" i="20"/>
  <c r="AO977" i="20"/>
  <c r="AO985" i="20"/>
  <c r="AO993" i="20"/>
  <c r="AO1001" i="20"/>
  <c r="AO1009" i="20"/>
  <c r="AO1017" i="20"/>
  <c r="AO1025" i="20"/>
  <c r="AO1033" i="20"/>
  <c r="AO1027" i="20"/>
  <c r="AO713" i="20"/>
  <c r="AO722" i="20"/>
  <c r="AO730" i="20"/>
  <c r="AO738" i="20"/>
  <c r="AO746" i="20"/>
  <c r="AO754" i="20"/>
  <c r="AO762" i="20"/>
  <c r="AO770" i="20"/>
  <c r="AO778" i="20"/>
  <c r="AO786" i="20"/>
  <c r="AO794" i="20"/>
  <c r="AO802" i="20"/>
  <c r="AO810" i="20"/>
  <c r="AO818" i="20"/>
  <c r="AO826" i="20"/>
  <c r="AO834" i="20"/>
  <c r="AO842" i="20"/>
  <c r="AO850" i="20"/>
  <c r="AO858" i="20"/>
  <c r="AO866" i="20"/>
  <c r="AO874" i="20"/>
  <c r="AO882" i="20"/>
  <c r="AO890" i="20"/>
  <c r="AO898" i="20"/>
  <c r="AO906" i="20"/>
  <c r="AO914" i="20"/>
  <c r="AO922" i="20"/>
  <c r="AO930" i="20"/>
  <c r="AO938" i="20"/>
  <c r="AO946" i="20"/>
  <c r="AO954" i="20"/>
  <c r="AO962" i="20"/>
  <c r="AO970" i="20"/>
  <c r="AO978" i="20"/>
  <c r="AO986" i="20"/>
  <c r="AO994" i="20"/>
  <c r="AO1002" i="20"/>
  <c r="AO1010" i="20"/>
  <c r="AO1018" i="20"/>
  <c r="AO35" i="20"/>
  <c r="AO714" i="20"/>
  <c r="AO723" i="20"/>
  <c r="AO731" i="20"/>
  <c r="AO739" i="20"/>
  <c r="AO747" i="20"/>
  <c r="AO755" i="20"/>
  <c r="AO763" i="20"/>
  <c r="AO771" i="20"/>
  <c r="AO779" i="20"/>
  <c r="AO787" i="20"/>
  <c r="AO795" i="20"/>
  <c r="AO803" i="20"/>
  <c r="AO811" i="20"/>
  <c r="AO819" i="20"/>
  <c r="AO827" i="20"/>
  <c r="AO835" i="20"/>
  <c r="AO843" i="20"/>
  <c r="AO851" i="20"/>
  <c r="AO859" i="20"/>
  <c r="AO867" i="20"/>
  <c r="AO875" i="20"/>
  <c r="AO883" i="20"/>
  <c r="AO891" i="20"/>
  <c r="AO899" i="20"/>
  <c r="AO907" i="20"/>
  <c r="AO915" i="20"/>
  <c r="AO923" i="20"/>
  <c r="AO931" i="20"/>
  <c r="AO939" i="20"/>
  <c r="AO947" i="20"/>
  <c r="AO955" i="20"/>
  <c r="AO963" i="20"/>
  <c r="AO971" i="20"/>
  <c r="AO979" i="20"/>
  <c r="AO987" i="20"/>
  <c r="AO995" i="20"/>
  <c r="AO1003" i="20"/>
  <c r="AO1011" i="20"/>
  <c r="AO1019" i="20"/>
  <c r="AN38" i="20"/>
  <c r="AN46" i="20"/>
  <c r="AN54" i="20"/>
  <c r="AN62" i="20"/>
  <c r="AN70" i="20"/>
  <c r="AN78" i="20"/>
  <c r="AN86" i="20"/>
  <c r="AN94" i="20"/>
  <c r="AN102" i="20"/>
  <c r="AN110" i="20"/>
  <c r="AN118" i="20"/>
  <c r="AN126" i="20"/>
  <c r="AN134" i="20"/>
  <c r="AN142" i="20"/>
  <c r="AN150" i="20"/>
  <c r="AN158" i="20"/>
  <c r="AN166" i="20"/>
  <c r="AN174" i="20"/>
  <c r="AN182" i="20"/>
  <c r="AN190" i="20"/>
  <c r="AN198" i="20"/>
  <c r="AN206" i="20"/>
  <c r="AN214" i="20"/>
  <c r="AN222" i="20"/>
  <c r="AN230" i="20"/>
  <c r="AN238" i="20"/>
  <c r="AN246" i="20"/>
  <c r="AN254" i="20"/>
  <c r="AN262" i="20"/>
  <c r="AN270" i="20"/>
  <c r="AN278" i="20"/>
  <c r="AN286" i="20"/>
  <c r="AN294" i="20"/>
  <c r="AN302" i="20"/>
  <c r="AN310" i="20"/>
  <c r="AN318" i="20"/>
  <c r="AN326" i="20"/>
  <c r="AN334" i="20"/>
  <c r="AN342" i="20"/>
  <c r="AN350" i="20"/>
  <c r="AN358" i="20"/>
  <c r="AN366" i="20"/>
  <c r="AN374" i="20"/>
  <c r="AN382" i="20"/>
  <c r="AN390" i="20"/>
  <c r="AN398" i="20"/>
  <c r="AN406" i="20"/>
  <c r="AN414" i="20"/>
  <c r="AN422" i="20"/>
  <c r="AN430" i="20"/>
  <c r="AN438" i="20"/>
  <c r="AN446" i="20"/>
  <c r="AN454" i="20"/>
  <c r="AN462" i="20"/>
  <c r="AN470" i="20"/>
  <c r="AN478" i="20"/>
  <c r="AN486" i="20"/>
  <c r="AN494" i="20"/>
  <c r="AN502" i="20"/>
  <c r="AN510" i="20"/>
  <c r="AN518" i="20"/>
  <c r="AN526" i="20"/>
  <c r="AN534" i="20"/>
  <c r="AN542" i="20"/>
  <c r="AN550" i="20"/>
  <c r="AN558" i="20"/>
  <c r="AN566" i="20"/>
  <c r="AN574" i="20"/>
  <c r="AN582" i="20"/>
  <c r="AN590" i="20"/>
  <c r="AN598" i="20"/>
  <c r="AN606" i="20"/>
  <c r="AN614" i="20"/>
  <c r="AN622" i="20"/>
  <c r="AN630" i="20"/>
  <c r="AN638" i="20"/>
  <c r="AN646" i="20"/>
  <c r="AN654" i="20"/>
  <c r="AN662" i="20"/>
  <c r="AN670" i="20"/>
  <c r="AN678" i="20"/>
  <c r="AN686" i="20"/>
  <c r="AN694" i="20"/>
  <c r="AN702" i="20"/>
  <c r="AN710" i="20"/>
  <c r="AN39" i="20"/>
  <c r="AN47" i="20"/>
  <c r="AN55" i="20"/>
  <c r="AN63" i="20"/>
  <c r="AN71" i="20"/>
  <c r="AN79" i="20"/>
  <c r="AN87" i="20"/>
  <c r="AN95" i="20"/>
  <c r="AN103" i="20"/>
  <c r="AN111" i="20"/>
  <c r="AN119" i="20"/>
  <c r="AN127" i="20"/>
  <c r="AN135" i="20"/>
  <c r="AN143" i="20"/>
  <c r="AN151" i="20"/>
  <c r="AN159" i="20"/>
  <c r="AN167" i="20"/>
  <c r="AN175" i="20"/>
  <c r="AN183" i="20"/>
  <c r="AN191" i="20"/>
  <c r="AN199" i="20"/>
  <c r="AN207" i="20"/>
  <c r="AN215" i="20"/>
  <c r="AN223" i="20"/>
  <c r="AN231" i="20"/>
  <c r="AN239" i="20"/>
  <c r="AN247" i="20"/>
  <c r="AN255" i="20"/>
  <c r="AN263" i="20"/>
  <c r="AN271" i="20"/>
  <c r="AN279" i="20"/>
  <c r="AN287" i="20"/>
  <c r="AN295" i="20"/>
  <c r="AN303" i="20"/>
  <c r="AN311" i="20"/>
  <c r="AN319" i="20"/>
  <c r="AN327" i="20"/>
  <c r="AN335" i="20"/>
  <c r="AN343" i="20"/>
  <c r="AN351" i="20"/>
  <c r="AN359" i="20"/>
  <c r="AN367" i="20"/>
  <c r="AN375" i="20"/>
  <c r="AN383" i="20"/>
  <c r="AN391" i="20"/>
  <c r="AN399" i="20"/>
  <c r="AN407" i="20"/>
  <c r="AN415" i="20"/>
  <c r="AN423" i="20"/>
  <c r="AN431" i="20"/>
  <c r="AN439" i="20"/>
  <c r="AN447" i="20"/>
  <c r="AN455" i="20"/>
  <c r="AN463" i="20"/>
  <c r="AN471" i="20"/>
  <c r="AN479" i="20"/>
  <c r="AN487" i="20"/>
  <c r="AN495" i="20"/>
  <c r="AN503" i="20"/>
  <c r="AN511" i="20"/>
  <c r="AN519" i="20"/>
  <c r="AN527" i="20"/>
  <c r="AN535" i="20"/>
  <c r="AN543" i="20"/>
  <c r="AN551" i="20"/>
  <c r="AN559" i="20"/>
  <c r="AN567" i="20"/>
  <c r="AN575" i="20"/>
  <c r="AN583" i="20"/>
  <c r="AN591" i="20"/>
  <c r="AN599" i="20"/>
  <c r="AN607" i="20"/>
  <c r="AN615" i="20"/>
  <c r="AN623" i="20"/>
  <c r="AN631" i="20"/>
  <c r="AN639" i="20"/>
  <c r="AN647" i="20"/>
  <c r="AN655" i="20"/>
  <c r="AN663" i="20"/>
  <c r="AN671" i="20"/>
  <c r="AN679" i="20"/>
  <c r="AN687" i="20"/>
  <c r="AN695" i="20"/>
  <c r="AN703" i="20"/>
  <c r="AN711" i="20"/>
  <c r="AN40" i="20"/>
  <c r="AN48" i="20"/>
  <c r="AN56" i="20"/>
  <c r="AN64" i="20"/>
  <c r="AN72" i="20"/>
  <c r="AN80" i="20"/>
  <c r="AN88" i="20"/>
  <c r="AN96" i="20"/>
  <c r="AN104" i="20"/>
  <c r="AN112" i="20"/>
  <c r="AN120" i="20"/>
  <c r="AN128" i="20"/>
  <c r="AN136" i="20"/>
  <c r="AN144" i="20"/>
  <c r="AN152" i="20"/>
  <c r="AN160" i="20"/>
  <c r="AN168" i="20"/>
  <c r="AN176" i="20"/>
  <c r="AN184" i="20"/>
  <c r="AN192" i="20"/>
  <c r="AN200" i="20"/>
  <c r="AN208" i="20"/>
  <c r="AN216" i="20"/>
  <c r="AN224" i="20"/>
  <c r="AN232" i="20"/>
  <c r="AN240" i="20"/>
  <c r="AN248" i="20"/>
  <c r="AN256" i="20"/>
  <c r="AN264" i="20"/>
  <c r="AN272" i="20"/>
  <c r="AN280" i="20"/>
  <c r="AN288" i="20"/>
  <c r="AN296" i="20"/>
  <c r="AN304" i="20"/>
  <c r="AN312" i="20"/>
  <c r="AN320" i="20"/>
  <c r="AN328" i="20"/>
  <c r="AN336" i="20"/>
  <c r="AN344" i="20"/>
  <c r="AN352" i="20"/>
  <c r="AN360" i="20"/>
  <c r="AN368" i="20"/>
  <c r="AN376" i="20"/>
  <c r="AN384" i="20"/>
  <c r="AN392" i="20"/>
  <c r="AN400" i="20"/>
  <c r="AN408" i="20"/>
  <c r="AN416" i="20"/>
  <c r="AN424" i="20"/>
  <c r="AN432" i="20"/>
  <c r="AN440" i="20"/>
  <c r="AN448" i="20"/>
  <c r="AN456" i="20"/>
  <c r="AN464" i="20"/>
  <c r="AN472" i="20"/>
  <c r="AN480" i="20"/>
  <c r="AN488" i="20"/>
  <c r="AN496" i="20"/>
  <c r="AN504" i="20"/>
  <c r="AN512" i="20"/>
  <c r="AN520" i="20"/>
  <c r="AN528" i="20"/>
  <c r="AN536" i="20"/>
  <c r="AN544" i="20"/>
  <c r="AN552" i="20"/>
  <c r="AN560" i="20"/>
  <c r="AN568" i="20"/>
  <c r="AN576" i="20"/>
  <c r="AN584" i="20"/>
  <c r="AN592" i="20"/>
  <c r="AN600" i="20"/>
  <c r="AN608" i="20"/>
  <c r="AN616" i="20"/>
  <c r="AN624" i="20"/>
  <c r="AN632" i="20"/>
  <c r="AN640" i="20"/>
  <c r="AN648" i="20"/>
  <c r="AN656" i="20"/>
  <c r="AN664" i="20"/>
  <c r="AN672" i="20"/>
  <c r="AN680" i="20"/>
  <c r="AN688" i="20"/>
  <c r="AN696" i="20"/>
  <c r="AN704" i="20"/>
  <c r="AN712" i="20"/>
  <c r="AN41" i="20"/>
  <c r="AN49" i="20"/>
  <c r="AN57" i="20"/>
  <c r="AN65" i="20"/>
  <c r="AN73" i="20"/>
  <c r="AN81" i="20"/>
  <c r="AN89" i="20"/>
  <c r="AN97" i="20"/>
  <c r="AN105" i="20"/>
  <c r="AN113" i="20"/>
  <c r="AN121" i="20"/>
  <c r="AN129" i="20"/>
  <c r="AN137" i="20"/>
  <c r="AN145" i="20"/>
  <c r="AN153" i="20"/>
  <c r="AN161" i="20"/>
  <c r="AN169" i="20"/>
  <c r="AN177" i="20"/>
  <c r="AN185" i="20"/>
  <c r="AN193" i="20"/>
  <c r="AN201" i="20"/>
  <c r="AN209" i="20"/>
  <c r="AN217" i="20"/>
  <c r="AN225" i="20"/>
  <c r="AN233" i="20"/>
  <c r="AN241" i="20"/>
  <c r="AN249" i="20"/>
  <c r="AN257" i="20"/>
  <c r="AN265" i="20"/>
  <c r="AN273" i="20"/>
  <c r="AN281" i="20"/>
  <c r="AN289" i="20"/>
  <c r="AN297" i="20"/>
  <c r="AN305" i="20"/>
  <c r="AN313" i="20"/>
  <c r="AN321" i="20"/>
  <c r="AN329" i="20"/>
  <c r="AN337" i="20"/>
  <c r="AN345" i="20"/>
  <c r="AN353" i="20"/>
  <c r="AN361" i="20"/>
  <c r="AN369" i="20"/>
  <c r="AN377" i="20"/>
  <c r="AN385" i="20"/>
  <c r="AN393" i="20"/>
  <c r="AN401" i="20"/>
  <c r="AN409" i="20"/>
  <c r="AN417" i="20"/>
  <c r="AN425" i="20"/>
  <c r="AN433" i="20"/>
  <c r="AN441" i="20"/>
  <c r="AN449" i="20"/>
  <c r="AN457" i="20"/>
  <c r="AN465" i="20"/>
  <c r="AN473" i="20"/>
  <c r="AN481" i="20"/>
  <c r="AN489" i="20"/>
  <c r="AN497" i="20"/>
  <c r="AN505" i="20"/>
  <c r="AN513" i="20"/>
  <c r="AN521" i="20"/>
  <c r="AN529" i="20"/>
  <c r="AN537" i="20"/>
  <c r="AN545" i="20"/>
  <c r="AN553" i="20"/>
  <c r="AN561" i="20"/>
  <c r="AN569" i="20"/>
  <c r="AN577" i="20"/>
  <c r="AN585" i="20"/>
  <c r="AN593" i="20"/>
  <c r="AN601" i="20"/>
  <c r="AN609" i="20"/>
  <c r="AN617" i="20"/>
  <c r="AN625" i="20"/>
  <c r="AN633" i="20"/>
  <c r="AN641" i="20"/>
  <c r="AN649" i="20"/>
  <c r="AN657" i="20"/>
  <c r="AN665" i="20"/>
  <c r="AN673" i="20"/>
  <c r="AN681" i="20"/>
  <c r="AN689" i="20"/>
  <c r="AN697" i="20"/>
  <c r="AN705" i="20"/>
  <c r="AN42" i="20"/>
  <c r="AN50" i="20"/>
  <c r="AN58" i="20"/>
  <c r="AN66" i="20"/>
  <c r="AN74" i="20"/>
  <c r="AN82" i="20"/>
  <c r="AN90" i="20"/>
  <c r="AN98" i="20"/>
  <c r="AN106" i="20"/>
  <c r="AN114" i="20"/>
  <c r="AN122" i="20"/>
  <c r="AN130" i="20"/>
  <c r="AN138" i="20"/>
  <c r="AN146" i="20"/>
  <c r="AN154" i="20"/>
  <c r="AN162" i="20"/>
  <c r="AN170" i="20"/>
  <c r="AN178" i="20"/>
  <c r="AN186" i="20"/>
  <c r="AN194" i="20"/>
  <c r="AN202" i="20"/>
  <c r="AN210" i="20"/>
  <c r="AN218" i="20"/>
  <c r="AN226" i="20"/>
  <c r="AN234" i="20"/>
  <c r="AN242" i="20"/>
  <c r="AN250" i="20"/>
  <c r="AN258" i="20"/>
  <c r="AN266" i="20"/>
  <c r="AN274" i="20"/>
  <c r="AN282" i="20"/>
  <c r="AN290" i="20"/>
  <c r="AN298" i="20"/>
  <c r="AN306" i="20"/>
  <c r="AN314" i="20"/>
  <c r="AN322" i="20"/>
  <c r="AN330" i="20"/>
  <c r="AN338" i="20"/>
  <c r="AN346" i="20"/>
  <c r="AN354" i="20"/>
  <c r="AN362" i="20"/>
  <c r="AN370" i="20"/>
  <c r="AN378" i="20"/>
  <c r="AN386" i="20"/>
  <c r="AN394" i="20"/>
  <c r="AN402" i="20"/>
  <c r="AN410" i="20"/>
  <c r="AN418" i="20"/>
  <c r="AN426" i="20"/>
  <c r="AN434" i="20"/>
  <c r="AN442" i="20"/>
  <c r="AN450" i="20"/>
  <c r="AN458" i="20"/>
  <c r="AN466" i="20"/>
  <c r="AN474" i="20"/>
  <c r="AN482" i="20"/>
  <c r="AN490" i="20"/>
  <c r="AN498" i="20"/>
  <c r="AN506" i="20"/>
  <c r="AN514" i="20"/>
  <c r="AN522" i="20"/>
  <c r="AN530" i="20"/>
  <c r="AN538" i="20"/>
  <c r="AN546" i="20"/>
  <c r="AN554" i="20"/>
  <c r="AN562" i="20"/>
  <c r="AN570" i="20"/>
  <c r="AN578" i="20"/>
  <c r="AN586" i="20"/>
  <c r="AN594" i="20"/>
  <c r="AN602" i="20"/>
  <c r="AN610" i="20"/>
  <c r="AN618" i="20"/>
  <c r="AN626" i="20"/>
  <c r="AN634" i="20"/>
  <c r="AN642" i="20"/>
  <c r="AN650" i="20"/>
  <c r="AN658" i="20"/>
  <c r="AN666" i="20"/>
  <c r="AN674" i="20"/>
  <c r="AN682" i="20"/>
  <c r="AN690" i="20"/>
  <c r="AN698" i="20"/>
  <c r="AN706" i="20"/>
  <c r="AN43" i="20"/>
  <c r="AN51" i="20"/>
  <c r="AN59" i="20"/>
  <c r="AN67" i="20"/>
  <c r="AN75" i="20"/>
  <c r="AN83" i="20"/>
  <c r="AN91" i="20"/>
  <c r="AN99" i="20"/>
  <c r="AN107" i="20"/>
  <c r="AN115" i="20"/>
  <c r="AN123" i="20"/>
  <c r="AN131" i="20"/>
  <c r="AN139" i="20"/>
  <c r="AN147" i="20"/>
  <c r="AN155" i="20"/>
  <c r="AN163" i="20"/>
  <c r="AN171" i="20"/>
  <c r="AN179" i="20"/>
  <c r="AN187" i="20"/>
  <c r="AN195" i="20"/>
  <c r="AN203" i="20"/>
  <c r="AN211" i="20"/>
  <c r="AN219" i="20"/>
  <c r="AN227" i="20"/>
  <c r="AN235" i="20"/>
  <c r="AN243" i="20"/>
  <c r="AN251" i="20"/>
  <c r="AN259" i="20"/>
  <c r="AN267" i="20"/>
  <c r="AN275" i="20"/>
  <c r="AN283" i="20"/>
  <c r="AN291" i="20"/>
  <c r="AN299" i="20"/>
  <c r="AN307" i="20"/>
  <c r="AN315" i="20"/>
  <c r="AN323" i="20"/>
  <c r="AN331" i="20"/>
  <c r="AN339" i="20"/>
  <c r="AN347" i="20"/>
  <c r="AN355" i="20"/>
  <c r="AN363" i="20"/>
  <c r="AN371" i="20"/>
  <c r="AN379" i="20"/>
  <c r="AN387" i="20"/>
  <c r="AN395" i="20"/>
  <c r="AN403" i="20"/>
  <c r="AN411" i="20"/>
  <c r="AN419" i="20"/>
  <c r="AN427" i="20"/>
  <c r="AN435" i="20"/>
  <c r="AN443" i="20"/>
  <c r="AN451" i="20"/>
  <c r="AN459" i="20"/>
  <c r="AN467" i="20"/>
  <c r="AN475" i="20"/>
  <c r="AN483" i="20"/>
  <c r="AN491" i="20"/>
  <c r="AN499" i="20"/>
  <c r="AN507" i="20"/>
  <c r="AN515" i="20"/>
  <c r="AN523" i="20"/>
  <c r="AN531" i="20"/>
  <c r="AN539" i="20"/>
  <c r="AN547" i="20"/>
  <c r="AN555" i="20"/>
  <c r="AN563" i="20"/>
  <c r="AN571" i="20"/>
  <c r="AN579" i="20"/>
  <c r="AN587" i="20"/>
  <c r="AN595" i="20"/>
  <c r="AN603" i="20"/>
  <c r="AN611" i="20"/>
  <c r="AN619" i="20"/>
  <c r="AN627" i="20"/>
  <c r="AN635" i="20"/>
  <c r="AN643" i="20"/>
  <c r="AN651" i="20"/>
  <c r="AN659" i="20"/>
  <c r="AN667" i="20"/>
  <c r="AN675" i="20"/>
  <c r="AN683" i="20"/>
  <c r="AN691" i="20"/>
  <c r="AN699" i="20"/>
  <c r="AN707" i="20"/>
  <c r="AN715" i="20"/>
  <c r="AN36" i="20"/>
  <c r="AN44" i="20"/>
  <c r="AN52" i="20"/>
  <c r="AN60" i="20"/>
  <c r="AN68" i="20"/>
  <c r="AN76" i="20"/>
  <c r="AN84" i="20"/>
  <c r="AN92" i="20"/>
  <c r="AN100" i="20"/>
  <c r="AN108" i="20"/>
  <c r="AN116" i="20"/>
  <c r="AN124" i="20"/>
  <c r="AN132" i="20"/>
  <c r="AN140" i="20"/>
  <c r="AN148" i="20"/>
  <c r="AN156" i="20"/>
  <c r="AN164" i="20"/>
  <c r="AN172" i="20"/>
  <c r="AN180" i="20"/>
  <c r="AN188" i="20"/>
  <c r="AN196" i="20"/>
  <c r="AN204" i="20"/>
  <c r="AN212" i="20"/>
  <c r="AN220" i="20"/>
  <c r="AN228" i="20"/>
  <c r="AN236" i="20"/>
  <c r="AN244" i="20"/>
  <c r="AN252" i="20"/>
  <c r="AN260" i="20"/>
  <c r="AN268" i="20"/>
  <c r="AN276" i="20"/>
  <c r="AN284" i="20"/>
  <c r="AN292" i="20"/>
  <c r="AN300" i="20"/>
  <c r="AN308" i="20"/>
  <c r="AN316" i="20"/>
  <c r="AN324" i="20"/>
  <c r="AN332" i="20"/>
  <c r="AN340" i="20"/>
  <c r="AN348" i="20"/>
  <c r="AN356" i="20"/>
  <c r="AN364" i="20"/>
  <c r="AN372" i="20"/>
  <c r="AN380" i="20"/>
  <c r="AN388" i="20"/>
  <c r="AN396" i="20"/>
  <c r="AN404" i="20"/>
  <c r="AN412" i="20"/>
  <c r="AN420" i="20"/>
  <c r="AN428" i="20"/>
  <c r="AN436" i="20"/>
  <c r="AN444" i="20"/>
  <c r="AN452" i="20"/>
  <c r="AN460" i="20"/>
  <c r="AN468" i="20"/>
  <c r="AN476" i="20"/>
  <c r="AN484" i="20"/>
  <c r="AN492" i="20"/>
  <c r="AN500" i="20"/>
  <c r="AN508" i="20"/>
  <c r="AN516" i="20"/>
  <c r="AN524" i="20"/>
  <c r="AN532" i="20"/>
  <c r="AN540" i="20"/>
  <c r="AN548" i="20"/>
  <c r="AN556" i="20"/>
  <c r="AN564" i="20"/>
  <c r="AN572" i="20"/>
  <c r="AN580" i="20"/>
  <c r="AN588" i="20"/>
  <c r="AN596" i="20"/>
  <c r="AN604" i="20"/>
  <c r="AN612" i="20"/>
  <c r="AN620" i="20"/>
  <c r="AN628" i="20"/>
  <c r="AN636" i="20"/>
  <c r="AN644" i="20"/>
  <c r="AN652" i="20"/>
  <c r="AN660" i="20"/>
  <c r="AN668" i="20"/>
  <c r="AN676" i="20"/>
  <c r="AN684" i="20"/>
  <c r="AN692" i="20"/>
  <c r="AN700" i="20"/>
  <c r="AN708" i="20"/>
  <c r="AN37" i="20"/>
  <c r="AN45" i="20"/>
  <c r="AN53" i="20"/>
  <c r="AN61" i="20"/>
  <c r="AN69" i="20"/>
  <c r="AN77" i="20"/>
  <c r="AN85" i="20"/>
  <c r="AN93" i="20"/>
  <c r="AN101" i="20"/>
  <c r="AN109" i="20"/>
  <c r="AN117" i="20"/>
  <c r="AN125" i="20"/>
  <c r="AN133" i="20"/>
  <c r="AN141" i="20"/>
  <c r="AN149" i="20"/>
  <c r="AN157" i="20"/>
  <c r="AN165" i="20"/>
  <c r="AN173" i="20"/>
  <c r="AN181" i="20"/>
  <c r="AN189" i="20"/>
  <c r="AN197" i="20"/>
  <c r="AN205" i="20"/>
  <c r="AN213" i="20"/>
  <c r="AN221" i="20"/>
  <c r="AN229" i="20"/>
  <c r="AN237" i="20"/>
  <c r="AN245" i="20"/>
  <c r="AN253" i="20"/>
  <c r="AN261" i="20"/>
  <c r="AN269" i="20"/>
  <c r="AN277" i="20"/>
  <c r="AN285" i="20"/>
  <c r="AN293" i="20"/>
  <c r="AN301" i="20"/>
  <c r="AN309" i="20"/>
  <c r="AN317" i="20"/>
  <c r="AN325" i="20"/>
  <c r="AN333" i="20"/>
  <c r="AN341" i="20"/>
  <c r="AN349" i="20"/>
  <c r="AN357" i="20"/>
  <c r="AN365" i="20"/>
  <c r="AN373" i="20"/>
  <c r="AN381" i="20"/>
  <c r="AN389" i="20"/>
  <c r="AN397" i="20"/>
  <c r="AN405" i="20"/>
  <c r="AN413" i="20"/>
  <c r="AN421" i="20"/>
  <c r="AN429" i="20"/>
  <c r="AN437" i="20"/>
  <c r="AN445" i="20"/>
  <c r="AN453" i="20"/>
  <c r="AN461" i="20"/>
  <c r="AN469" i="20"/>
  <c r="AN477" i="20"/>
  <c r="AN485" i="20"/>
  <c r="AN493" i="20"/>
  <c r="AN501" i="20"/>
  <c r="AN509" i="20"/>
  <c r="AN517" i="20"/>
  <c r="AN525" i="20"/>
  <c r="AN533" i="20"/>
  <c r="AN541" i="20"/>
  <c r="AN549" i="20"/>
  <c r="AN557" i="20"/>
  <c r="AN565" i="20"/>
  <c r="AN573" i="20"/>
  <c r="AN581" i="20"/>
  <c r="AN589" i="20"/>
  <c r="AN597" i="20"/>
  <c r="AN605" i="20"/>
  <c r="AN613" i="20"/>
  <c r="AN621" i="20"/>
  <c r="AN629" i="20"/>
  <c r="AN637" i="20"/>
  <c r="AN645" i="20"/>
  <c r="AN653" i="20"/>
  <c r="AN661" i="20"/>
  <c r="AN669" i="20"/>
  <c r="AN677" i="20"/>
  <c r="AN685" i="20"/>
  <c r="AN693" i="20"/>
  <c r="AN701" i="20"/>
  <c r="AN709" i="20"/>
  <c r="AN716" i="20"/>
  <c r="AN724" i="20"/>
  <c r="AN732" i="20"/>
  <c r="AN740" i="20"/>
  <c r="AN748" i="20"/>
  <c r="AN756" i="20"/>
  <c r="AN764" i="20"/>
  <c r="AN772" i="20"/>
  <c r="AN780" i="20"/>
  <c r="AN788" i="20"/>
  <c r="AN796" i="20"/>
  <c r="AN804" i="20"/>
  <c r="AN812" i="20"/>
  <c r="AN820" i="20"/>
  <c r="AN828" i="20"/>
  <c r="AN836" i="20"/>
  <c r="AN844" i="20"/>
  <c r="AN852" i="20"/>
  <c r="AN860" i="20"/>
  <c r="AN868" i="20"/>
  <c r="AN876" i="20"/>
  <c r="AN884" i="20"/>
  <c r="AN892" i="20"/>
  <c r="AN900" i="20"/>
  <c r="AN908" i="20"/>
  <c r="AN916" i="20"/>
  <c r="AN924" i="20"/>
  <c r="AN932" i="20"/>
  <c r="AN940" i="20"/>
  <c r="AN948" i="20"/>
  <c r="AN956" i="20"/>
  <c r="AN964" i="20"/>
  <c r="AN972" i="20"/>
  <c r="AN980" i="20"/>
  <c r="AN988" i="20"/>
  <c r="AN996" i="20"/>
  <c r="AN1004" i="20"/>
  <c r="AN1012" i="20"/>
  <c r="AN1020" i="20"/>
  <c r="AN1028" i="20"/>
  <c r="AN1011" i="20"/>
  <c r="AN717" i="20"/>
  <c r="AN725" i="20"/>
  <c r="AN733" i="20"/>
  <c r="AN741" i="20"/>
  <c r="AN749" i="20"/>
  <c r="AN757" i="20"/>
  <c r="AN765" i="20"/>
  <c r="AN773" i="20"/>
  <c r="AN781" i="20"/>
  <c r="AN789" i="20"/>
  <c r="AN797" i="20"/>
  <c r="AN805" i="20"/>
  <c r="AN813" i="20"/>
  <c r="AN821" i="20"/>
  <c r="AN829" i="20"/>
  <c r="AN837" i="20"/>
  <c r="AN845" i="20"/>
  <c r="AN853" i="20"/>
  <c r="AN861" i="20"/>
  <c r="AN869" i="20"/>
  <c r="AN877" i="20"/>
  <c r="AN885" i="20"/>
  <c r="AN893" i="20"/>
  <c r="AN901" i="20"/>
  <c r="AN909" i="20"/>
  <c r="AN917" i="20"/>
  <c r="AN925" i="20"/>
  <c r="AN933" i="20"/>
  <c r="AN941" i="20"/>
  <c r="AN949" i="20"/>
  <c r="AN957" i="20"/>
  <c r="AN965" i="20"/>
  <c r="AN973" i="20"/>
  <c r="AN981" i="20"/>
  <c r="AN989" i="20"/>
  <c r="AN997" i="20"/>
  <c r="AN1005" i="20"/>
  <c r="AN1013" i="20"/>
  <c r="AN1021" i="20"/>
  <c r="AN1029" i="20"/>
  <c r="AN1034" i="20"/>
  <c r="AN718" i="20"/>
  <c r="AN726" i="20"/>
  <c r="AN734" i="20"/>
  <c r="AN742" i="20"/>
  <c r="AN750" i="20"/>
  <c r="AN758" i="20"/>
  <c r="AN766" i="20"/>
  <c r="AN774" i="20"/>
  <c r="AN782" i="20"/>
  <c r="AN790" i="20"/>
  <c r="AN798" i="20"/>
  <c r="AN806" i="20"/>
  <c r="AN814" i="20"/>
  <c r="AN822" i="20"/>
  <c r="AN830" i="20"/>
  <c r="AN838" i="20"/>
  <c r="AN846" i="20"/>
  <c r="AN854" i="20"/>
  <c r="AN862" i="20"/>
  <c r="AN870" i="20"/>
  <c r="AN878" i="20"/>
  <c r="AN886" i="20"/>
  <c r="AN894" i="20"/>
  <c r="AN902" i="20"/>
  <c r="AN910" i="20"/>
  <c r="AN918" i="20"/>
  <c r="AN926" i="20"/>
  <c r="AN934" i="20"/>
  <c r="AN942" i="20"/>
  <c r="AN950" i="20"/>
  <c r="AN958" i="20"/>
  <c r="AN966" i="20"/>
  <c r="AN974" i="20"/>
  <c r="AN982" i="20"/>
  <c r="AN990" i="20"/>
  <c r="AN998" i="20"/>
  <c r="AN1006" i="20"/>
  <c r="AN1014" i="20"/>
  <c r="AN1022" i="20"/>
  <c r="AN1030" i="20"/>
  <c r="AN1023" i="20"/>
  <c r="AN719" i="20"/>
  <c r="AN727" i="20"/>
  <c r="AN735" i="20"/>
  <c r="AN743" i="20"/>
  <c r="AN751" i="20"/>
  <c r="AN759" i="20"/>
  <c r="AN767" i="20"/>
  <c r="AN775" i="20"/>
  <c r="AN783" i="20"/>
  <c r="AN791" i="20"/>
  <c r="AN799" i="20"/>
  <c r="AN807" i="20"/>
  <c r="AN815" i="20"/>
  <c r="AN823" i="20"/>
  <c r="AN831" i="20"/>
  <c r="AN839" i="20"/>
  <c r="AN847" i="20"/>
  <c r="AN855" i="20"/>
  <c r="AN863" i="20"/>
  <c r="AN871" i="20"/>
  <c r="AN879" i="20"/>
  <c r="AN887" i="20"/>
  <c r="AN895" i="20"/>
  <c r="AN903" i="20"/>
  <c r="AN911" i="20"/>
  <c r="AN919" i="20"/>
  <c r="AN927" i="20"/>
  <c r="AN935" i="20"/>
  <c r="AN943" i="20"/>
  <c r="AN951" i="20"/>
  <c r="AN959" i="20"/>
  <c r="AN967" i="20"/>
  <c r="AN975" i="20"/>
  <c r="AN983" i="20"/>
  <c r="AN991" i="20"/>
  <c r="AN999" i="20"/>
  <c r="AN1007" i="20"/>
  <c r="AN1015" i="20"/>
  <c r="AN1031" i="20"/>
  <c r="AN720" i="20"/>
  <c r="AN728" i="20"/>
  <c r="AN736" i="20"/>
  <c r="AN744" i="20"/>
  <c r="AN752" i="20"/>
  <c r="AN760" i="20"/>
  <c r="AN768" i="20"/>
  <c r="AN776" i="20"/>
  <c r="AN784" i="20"/>
  <c r="AN792" i="20"/>
  <c r="AN800" i="20"/>
  <c r="AN808" i="20"/>
  <c r="AN816" i="20"/>
  <c r="AN824" i="20"/>
  <c r="AN832" i="20"/>
  <c r="AN840" i="20"/>
  <c r="AN848" i="20"/>
  <c r="AN856" i="20"/>
  <c r="AN864" i="20"/>
  <c r="AN872" i="20"/>
  <c r="AN880" i="20"/>
  <c r="AN888" i="20"/>
  <c r="AN896" i="20"/>
  <c r="AN904" i="20"/>
  <c r="AN912" i="20"/>
  <c r="AN920" i="20"/>
  <c r="AN928" i="20"/>
  <c r="AN936" i="20"/>
  <c r="AN944" i="20"/>
  <c r="AN952" i="20"/>
  <c r="AN960" i="20"/>
  <c r="AN968" i="20"/>
  <c r="AN976" i="20"/>
  <c r="AN984" i="20"/>
  <c r="AN992" i="20"/>
  <c r="AN1000" i="20"/>
  <c r="AN1008" i="20"/>
  <c r="AN1016" i="20"/>
  <c r="AN1024" i="20"/>
  <c r="AN1032" i="20"/>
  <c r="AN1026" i="20"/>
  <c r="AN721" i="20"/>
  <c r="AN729" i="20"/>
  <c r="AN737" i="20"/>
  <c r="AN745" i="20"/>
  <c r="AN753" i="20"/>
  <c r="AN761" i="20"/>
  <c r="AN769" i="20"/>
  <c r="AN777" i="20"/>
  <c r="AN785" i="20"/>
  <c r="AN793" i="20"/>
  <c r="AN801" i="20"/>
  <c r="AN809" i="20"/>
  <c r="AN817" i="20"/>
  <c r="AN825" i="20"/>
  <c r="AN833" i="20"/>
  <c r="AN841" i="20"/>
  <c r="AN849" i="20"/>
  <c r="AN857" i="20"/>
  <c r="AN865" i="20"/>
  <c r="AN873" i="20"/>
  <c r="AN881" i="20"/>
  <c r="AN889" i="20"/>
  <c r="AN897" i="20"/>
  <c r="AN905" i="20"/>
  <c r="AN913" i="20"/>
  <c r="AN921" i="20"/>
  <c r="AN929" i="20"/>
  <c r="AN937" i="20"/>
  <c r="AN945" i="20"/>
  <c r="AN953" i="20"/>
  <c r="AN961" i="20"/>
  <c r="AN969" i="20"/>
  <c r="AN977" i="20"/>
  <c r="AN985" i="20"/>
  <c r="AN993" i="20"/>
  <c r="AN1001" i="20"/>
  <c r="AN1009" i="20"/>
  <c r="AN1017" i="20"/>
  <c r="AN1025" i="20"/>
  <c r="AN1033" i="20"/>
  <c r="AN1027" i="20"/>
  <c r="AN713" i="20"/>
  <c r="AN722" i="20"/>
  <c r="AN730" i="20"/>
  <c r="AN738" i="20"/>
  <c r="AN746" i="20"/>
  <c r="AN754" i="20"/>
  <c r="AN762" i="20"/>
  <c r="AN770" i="20"/>
  <c r="AN778" i="20"/>
  <c r="AN786" i="20"/>
  <c r="AN794" i="20"/>
  <c r="AN802" i="20"/>
  <c r="AN810" i="20"/>
  <c r="AN818" i="20"/>
  <c r="AN826" i="20"/>
  <c r="AN834" i="20"/>
  <c r="AN842" i="20"/>
  <c r="AN850" i="20"/>
  <c r="AN858" i="20"/>
  <c r="AN866" i="20"/>
  <c r="AN874" i="20"/>
  <c r="AN882" i="20"/>
  <c r="AN890" i="20"/>
  <c r="AN898" i="20"/>
  <c r="AN906" i="20"/>
  <c r="AN914" i="20"/>
  <c r="AN922" i="20"/>
  <c r="AN930" i="20"/>
  <c r="AN938" i="20"/>
  <c r="AN946" i="20"/>
  <c r="AN954" i="20"/>
  <c r="AN962" i="20"/>
  <c r="AN970" i="20"/>
  <c r="AN978" i="20"/>
  <c r="AN986" i="20"/>
  <c r="AN994" i="20"/>
  <c r="AN1002" i="20"/>
  <c r="AN1010" i="20"/>
  <c r="AN1018" i="20"/>
  <c r="AN35" i="20"/>
  <c r="AN714" i="20"/>
  <c r="AN723" i="20"/>
  <c r="AN731" i="20"/>
  <c r="AN739" i="20"/>
  <c r="AN747" i="20"/>
  <c r="AN755" i="20"/>
  <c r="AN763" i="20"/>
  <c r="AN771" i="20"/>
  <c r="AN779" i="20"/>
  <c r="AN787" i="20"/>
  <c r="AN795" i="20"/>
  <c r="AN803" i="20"/>
  <c r="AN811" i="20"/>
  <c r="AN819" i="20"/>
  <c r="AN827" i="20"/>
  <c r="AN835" i="20"/>
  <c r="AN843" i="20"/>
  <c r="AN851" i="20"/>
  <c r="AN859" i="20"/>
  <c r="AN867" i="20"/>
  <c r="AN875" i="20"/>
  <c r="AN883" i="20"/>
  <c r="AN891" i="20"/>
  <c r="AN899" i="20"/>
  <c r="AN907" i="20"/>
  <c r="AN915" i="20"/>
  <c r="AN923" i="20"/>
  <c r="AN931" i="20"/>
  <c r="AN939" i="20"/>
  <c r="AN947" i="20"/>
  <c r="AN955" i="20"/>
  <c r="AN963" i="20"/>
  <c r="AN971" i="20"/>
  <c r="AN979" i="20"/>
  <c r="AN987" i="20"/>
  <c r="AN995" i="20"/>
  <c r="AN1003" i="20"/>
  <c r="AN1019" i="20"/>
  <c r="AM38" i="20"/>
  <c r="AM46" i="20"/>
  <c r="AM54" i="20"/>
  <c r="AM62" i="20"/>
  <c r="AM70" i="20"/>
  <c r="AM78" i="20"/>
  <c r="AM86" i="20"/>
  <c r="AM94" i="20"/>
  <c r="AM102" i="20"/>
  <c r="AM110" i="20"/>
  <c r="AM118" i="20"/>
  <c r="AM126" i="20"/>
  <c r="AM134" i="20"/>
  <c r="AM142" i="20"/>
  <c r="AM150" i="20"/>
  <c r="AM158" i="20"/>
  <c r="AM166" i="20"/>
  <c r="AM174" i="20"/>
  <c r="AM182" i="20"/>
  <c r="AM190" i="20"/>
  <c r="AM198" i="20"/>
  <c r="AM206" i="20"/>
  <c r="AM214" i="20"/>
  <c r="AM222" i="20"/>
  <c r="AM230" i="20"/>
  <c r="AM238" i="20"/>
  <c r="AM246" i="20"/>
  <c r="AM254" i="20"/>
  <c r="AM262" i="20"/>
  <c r="AM270" i="20"/>
  <c r="AM278" i="20"/>
  <c r="AM286" i="20"/>
  <c r="AM294" i="20"/>
  <c r="AM302" i="20"/>
  <c r="AM310" i="20"/>
  <c r="AM318" i="20"/>
  <c r="AM326" i="20"/>
  <c r="AM334" i="20"/>
  <c r="AM342" i="20"/>
  <c r="AM350" i="20"/>
  <c r="AM358" i="20"/>
  <c r="AM366" i="20"/>
  <c r="AM374" i="20"/>
  <c r="AM382" i="20"/>
  <c r="AM390" i="20"/>
  <c r="AM398" i="20"/>
  <c r="AM406" i="20"/>
  <c r="AM414" i="20"/>
  <c r="AM422" i="20"/>
  <c r="AM430" i="20"/>
  <c r="AM438" i="20"/>
  <c r="AM446" i="20"/>
  <c r="AM454" i="20"/>
  <c r="AM462" i="20"/>
  <c r="AM470" i="20"/>
  <c r="AM478" i="20"/>
  <c r="AM486" i="20"/>
  <c r="AM494" i="20"/>
  <c r="AM502" i="20"/>
  <c r="AM510" i="20"/>
  <c r="AM518" i="20"/>
  <c r="AM526" i="20"/>
  <c r="AM534" i="20"/>
  <c r="AM542" i="20"/>
  <c r="AM550" i="20"/>
  <c r="AM558" i="20"/>
  <c r="AM566" i="20"/>
  <c r="AM574" i="20"/>
  <c r="AM582" i="20"/>
  <c r="AM590" i="20"/>
  <c r="AM598" i="20"/>
  <c r="AM606" i="20"/>
  <c r="AM614" i="20"/>
  <c r="AM622" i="20"/>
  <c r="AM630" i="20"/>
  <c r="AM638" i="20"/>
  <c r="AM646" i="20"/>
  <c r="AM654" i="20"/>
  <c r="AM662" i="20"/>
  <c r="AM670" i="20"/>
  <c r="AM678" i="20"/>
  <c r="AM686" i="20"/>
  <c r="AM694" i="20"/>
  <c r="AM702" i="20"/>
  <c r="AM710" i="20"/>
  <c r="AM39" i="20"/>
  <c r="AM47" i="20"/>
  <c r="AM55" i="20"/>
  <c r="AM63" i="20"/>
  <c r="AM71" i="20"/>
  <c r="AM79" i="20"/>
  <c r="AM87" i="20"/>
  <c r="AM95" i="20"/>
  <c r="AM103" i="20"/>
  <c r="AM111" i="20"/>
  <c r="AM119" i="20"/>
  <c r="AM127" i="20"/>
  <c r="AM135" i="20"/>
  <c r="AM143" i="20"/>
  <c r="AM151" i="20"/>
  <c r="AM159" i="20"/>
  <c r="AM167" i="20"/>
  <c r="AM175" i="20"/>
  <c r="AM183" i="20"/>
  <c r="AM191" i="20"/>
  <c r="AM199" i="20"/>
  <c r="AM207" i="20"/>
  <c r="AM215" i="20"/>
  <c r="AM223" i="20"/>
  <c r="AM231" i="20"/>
  <c r="AM239" i="20"/>
  <c r="AM247" i="20"/>
  <c r="AM255" i="20"/>
  <c r="AM263" i="20"/>
  <c r="AM271" i="20"/>
  <c r="AM279" i="20"/>
  <c r="AM287" i="20"/>
  <c r="AM295" i="20"/>
  <c r="AM303" i="20"/>
  <c r="AM311" i="20"/>
  <c r="AM319" i="20"/>
  <c r="AM327" i="20"/>
  <c r="AM335" i="20"/>
  <c r="AM343" i="20"/>
  <c r="AM351" i="20"/>
  <c r="AM359" i="20"/>
  <c r="AM367" i="20"/>
  <c r="AM375" i="20"/>
  <c r="AM383" i="20"/>
  <c r="AM391" i="20"/>
  <c r="AM399" i="20"/>
  <c r="AM407" i="20"/>
  <c r="AM415" i="20"/>
  <c r="AM423" i="20"/>
  <c r="AM431" i="20"/>
  <c r="AM439" i="20"/>
  <c r="AM447" i="20"/>
  <c r="AM455" i="20"/>
  <c r="AM463" i="20"/>
  <c r="AM471" i="20"/>
  <c r="AM479" i="20"/>
  <c r="AM487" i="20"/>
  <c r="AM495" i="20"/>
  <c r="AM503" i="20"/>
  <c r="AM511" i="20"/>
  <c r="AM519" i="20"/>
  <c r="AM527" i="20"/>
  <c r="AM535" i="20"/>
  <c r="AM543" i="20"/>
  <c r="AM551" i="20"/>
  <c r="AM559" i="20"/>
  <c r="AM567" i="20"/>
  <c r="AM575" i="20"/>
  <c r="AM583" i="20"/>
  <c r="AM591" i="20"/>
  <c r="AM599" i="20"/>
  <c r="AM607" i="20"/>
  <c r="AM615" i="20"/>
  <c r="AM623" i="20"/>
  <c r="AM631" i="20"/>
  <c r="AM639" i="20"/>
  <c r="AM647" i="20"/>
  <c r="AM655" i="20"/>
  <c r="AM663" i="20"/>
  <c r="AM671" i="20"/>
  <c r="AM679" i="20"/>
  <c r="AM687" i="20"/>
  <c r="AM695" i="20"/>
  <c r="AM703" i="20"/>
  <c r="AM711" i="20"/>
  <c r="AM40" i="20"/>
  <c r="AM48" i="20"/>
  <c r="AM56" i="20"/>
  <c r="AM64" i="20"/>
  <c r="AM72" i="20"/>
  <c r="AM80" i="20"/>
  <c r="AM88" i="20"/>
  <c r="AM96" i="20"/>
  <c r="AM104" i="20"/>
  <c r="AM112" i="20"/>
  <c r="AM120" i="20"/>
  <c r="AM128" i="20"/>
  <c r="AM136" i="20"/>
  <c r="AM144" i="20"/>
  <c r="AM152" i="20"/>
  <c r="AM160" i="20"/>
  <c r="AM168" i="20"/>
  <c r="AM176" i="20"/>
  <c r="AM184" i="20"/>
  <c r="AM192" i="20"/>
  <c r="AM200" i="20"/>
  <c r="AM208" i="20"/>
  <c r="AM216" i="20"/>
  <c r="AM224" i="20"/>
  <c r="AM232" i="20"/>
  <c r="AM240" i="20"/>
  <c r="AM248" i="20"/>
  <c r="AM256" i="20"/>
  <c r="AM264" i="20"/>
  <c r="AM272" i="20"/>
  <c r="AM280" i="20"/>
  <c r="AM288" i="20"/>
  <c r="AM296" i="20"/>
  <c r="AM304" i="20"/>
  <c r="AM312" i="20"/>
  <c r="AM320" i="20"/>
  <c r="AM328" i="20"/>
  <c r="AM336" i="20"/>
  <c r="AM344" i="20"/>
  <c r="AM352" i="20"/>
  <c r="AM360" i="20"/>
  <c r="AM368" i="20"/>
  <c r="AM376" i="20"/>
  <c r="AM384" i="20"/>
  <c r="AM392" i="20"/>
  <c r="AM400" i="20"/>
  <c r="AM408" i="20"/>
  <c r="AM416" i="20"/>
  <c r="AM424" i="20"/>
  <c r="AM432" i="20"/>
  <c r="AM440" i="20"/>
  <c r="AM448" i="20"/>
  <c r="AM456" i="20"/>
  <c r="AM464" i="20"/>
  <c r="AM472" i="20"/>
  <c r="AM480" i="20"/>
  <c r="AM488" i="20"/>
  <c r="AM496" i="20"/>
  <c r="AM504" i="20"/>
  <c r="AM512" i="20"/>
  <c r="AM520" i="20"/>
  <c r="AM528" i="20"/>
  <c r="AM536" i="20"/>
  <c r="AM544" i="20"/>
  <c r="AM552" i="20"/>
  <c r="AM560" i="20"/>
  <c r="AM568" i="20"/>
  <c r="AM576" i="20"/>
  <c r="AM584" i="20"/>
  <c r="AM592" i="20"/>
  <c r="AM600" i="20"/>
  <c r="AM608" i="20"/>
  <c r="AM616" i="20"/>
  <c r="AM624" i="20"/>
  <c r="AM632" i="20"/>
  <c r="AM640" i="20"/>
  <c r="AM648" i="20"/>
  <c r="AM656" i="20"/>
  <c r="AM664" i="20"/>
  <c r="AM672" i="20"/>
  <c r="AM680" i="20"/>
  <c r="AM688" i="20"/>
  <c r="AM696" i="20"/>
  <c r="AM704" i="20"/>
  <c r="AM712" i="20"/>
  <c r="AM41" i="20"/>
  <c r="AM49" i="20"/>
  <c r="AM57" i="20"/>
  <c r="AM65" i="20"/>
  <c r="AM73" i="20"/>
  <c r="AM81" i="20"/>
  <c r="AM89" i="20"/>
  <c r="AM97" i="20"/>
  <c r="AM105" i="20"/>
  <c r="AM113" i="20"/>
  <c r="AM121" i="20"/>
  <c r="AM129" i="20"/>
  <c r="AM137" i="20"/>
  <c r="AM145" i="20"/>
  <c r="AM153" i="20"/>
  <c r="AM161" i="20"/>
  <c r="AM169" i="20"/>
  <c r="AM177" i="20"/>
  <c r="AM185" i="20"/>
  <c r="AM193" i="20"/>
  <c r="AM201" i="20"/>
  <c r="AM209" i="20"/>
  <c r="AM217" i="20"/>
  <c r="AM225" i="20"/>
  <c r="AM233" i="20"/>
  <c r="AM241" i="20"/>
  <c r="AM249" i="20"/>
  <c r="AM257" i="20"/>
  <c r="AM265" i="20"/>
  <c r="AM273" i="20"/>
  <c r="AM281" i="20"/>
  <c r="AM289" i="20"/>
  <c r="AM297" i="20"/>
  <c r="AM305" i="20"/>
  <c r="AM313" i="20"/>
  <c r="AM321" i="20"/>
  <c r="AM329" i="20"/>
  <c r="AM337" i="20"/>
  <c r="AM345" i="20"/>
  <c r="AM353" i="20"/>
  <c r="AM361" i="20"/>
  <c r="AM369" i="20"/>
  <c r="AM377" i="20"/>
  <c r="AM385" i="20"/>
  <c r="AM393" i="20"/>
  <c r="AM401" i="20"/>
  <c r="AM409" i="20"/>
  <c r="AM417" i="20"/>
  <c r="AM425" i="20"/>
  <c r="AM433" i="20"/>
  <c r="AM441" i="20"/>
  <c r="AM449" i="20"/>
  <c r="AM457" i="20"/>
  <c r="AM465" i="20"/>
  <c r="AM473" i="20"/>
  <c r="AM481" i="20"/>
  <c r="AM489" i="20"/>
  <c r="AM497" i="20"/>
  <c r="AM505" i="20"/>
  <c r="AM513" i="20"/>
  <c r="AM521" i="20"/>
  <c r="AM529" i="20"/>
  <c r="AM537" i="20"/>
  <c r="AM545" i="20"/>
  <c r="AM553" i="20"/>
  <c r="AM561" i="20"/>
  <c r="AM569" i="20"/>
  <c r="AM577" i="20"/>
  <c r="AM585" i="20"/>
  <c r="AM593" i="20"/>
  <c r="AM601" i="20"/>
  <c r="AM609" i="20"/>
  <c r="AM617" i="20"/>
  <c r="AM625" i="20"/>
  <c r="AM633" i="20"/>
  <c r="AM641" i="20"/>
  <c r="AM649" i="20"/>
  <c r="AM657" i="20"/>
  <c r="AM665" i="20"/>
  <c r="AM673" i="20"/>
  <c r="AM681" i="20"/>
  <c r="AM689" i="20"/>
  <c r="AM697" i="20"/>
  <c r="AM705" i="20"/>
  <c r="AM713" i="20"/>
  <c r="AM42" i="20"/>
  <c r="AM50" i="20"/>
  <c r="AM58" i="20"/>
  <c r="AM66" i="20"/>
  <c r="AM74" i="20"/>
  <c r="AM82" i="20"/>
  <c r="AM90" i="20"/>
  <c r="AM98" i="20"/>
  <c r="AM106" i="20"/>
  <c r="AM114" i="20"/>
  <c r="AM122" i="20"/>
  <c r="AM130" i="20"/>
  <c r="AM138" i="20"/>
  <c r="AM146" i="20"/>
  <c r="AM154" i="20"/>
  <c r="AM162" i="20"/>
  <c r="AM170" i="20"/>
  <c r="AM178" i="20"/>
  <c r="AM186" i="20"/>
  <c r="AM194" i="20"/>
  <c r="AM202" i="20"/>
  <c r="AM210" i="20"/>
  <c r="AM218" i="20"/>
  <c r="AM226" i="20"/>
  <c r="AM234" i="20"/>
  <c r="AM242" i="20"/>
  <c r="AM250" i="20"/>
  <c r="AM258" i="20"/>
  <c r="AM266" i="20"/>
  <c r="AM274" i="20"/>
  <c r="AM282" i="20"/>
  <c r="AM290" i="20"/>
  <c r="AM298" i="20"/>
  <c r="AM306" i="20"/>
  <c r="AM314" i="20"/>
  <c r="AM322" i="20"/>
  <c r="AM330" i="20"/>
  <c r="AM338" i="20"/>
  <c r="AM346" i="20"/>
  <c r="AM354" i="20"/>
  <c r="AM362" i="20"/>
  <c r="AM370" i="20"/>
  <c r="AM378" i="20"/>
  <c r="AM386" i="20"/>
  <c r="AM394" i="20"/>
  <c r="AM402" i="20"/>
  <c r="AM410" i="20"/>
  <c r="AM418" i="20"/>
  <c r="AM426" i="20"/>
  <c r="AM434" i="20"/>
  <c r="AM442" i="20"/>
  <c r="AM450" i="20"/>
  <c r="AM458" i="20"/>
  <c r="AM466" i="20"/>
  <c r="AM474" i="20"/>
  <c r="AM482" i="20"/>
  <c r="AM490" i="20"/>
  <c r="AM498" i="20"/>
  <c r="AM506" i="20"/>
  <c r="AM514" i="20"/>
  <c r="AM522" i="20"/>
  <c r="AM530" i="20"/>
  <c r="AM538" i="20"/>
  <c r="AM546" i="20"/>
  <c r="AM554" i="20"/>
  <c r="AM562" i="20"/>
  <c r="AM570" i="20"/>
  <c r="AM578" i="20"/>
  <c r="AM586" i="20"/>
  <c r="AM594" i="20"/>
  <c r="AM602" i="20"/>
  <c r="AM610" i="20"/>
  <c r="AM618" i="20"/>
  <c r="AM626" i="20"/>
  <c r="AM634" i="20"/>
  <c r="AM642" i="20"/>
  <c r="AM650" i="20"/>
  <c r="AM658" i="20"/>
  <c r="AM666" i="20"/>
  <c r="AM674" i="20"/>
  <c r="AM682" i="20"/>
  <c r="AM690" i="20"/>
  <c r="AM698" i="20"/>
  <c r="AM706" i="20"/>
  <c r="AM714" i="20"/>
  <c r="AM43" i="20"/>
  <c r="AM51" i="20"/>
  <c r="AM59" i="20"/>
  <c r="AM67" i="20"/>
  <c r="AM75" i="20"/>
  <c r="AM83" i="20"/>
  <c r="AM91" i="20"/>
  <c r="AM99" i="20"/>
  <c r="AM107" i="20"/>
  <c r="AM115" i="20"/>
  <c r="AM123" i="20"/>
  <c r="AM131" i="20"/>
  <c r="AM139" i="20"/>
  <c r="AM147" i="20"/>
  <c r="AM155" i="20"/>
  <c r="AM163" i="20"/>
  <c r="AM171" i="20"/>
  <c r="AM179" i="20"/>
  <c r="AM187" i="20"/>
  <c r="AM195" i="20"/>
  <c r="AM203" i="20"/>
  <c r="AM211" i="20"/>
  <c r="AM219" i="20"/>
  <c r="AM227" i="20"/>
  <c r="AM235" i="20"/>
  <c r="AM243" i="20"/>
  <c r="AM251" i="20"/>
  <c r="AM259" i="20"/>
  <c r="AM267" i="20"/>
  <c r="AM275" i="20"/>
  <c r="AM283" i="20"/>
  <c r="AM291" i="20"/>
  <c r="AM299" i="20"/>
  <c r="AM307" i="20"/>
  <c r="AM315" i="20"/>
  <c r="AM323" i="20"/>
  <c r="AM331" i="20"/>
  <c r="AM339" i="20"/>
  <c r="AM347" i="20"/>
  <c r="AM355" i="20"/>
  <c r="AM363" i="20"/>
  <c r="AM371" i="20"/>
  <c r="AM379" i="20"/>
  <c r="AM387" i="20"/>
  <c r="AM395" i="20"/>
  <c r="AM403" i="20"/>
  <c r="AM411" i="20"/>
  <c r="AM419" i="20"/>
  <c r="AM427" i="20"/>
  <c r="AM435" i="20"/>
  <c r="AM443" i="20"/>
  <c r="AM451" i="20"/>
  <c r="AM459" i="20"/>
  <c r="AM467" i="20"/>
  <c r="AM475" i="20"/>
  <c r="AM483" i="20"/>
  <c r="AM491" i="20"/>
  <c r="AM499" i="20"/>
  <c r="AM507" i="20"/>
  <c r="AM515" i="20"/>
  <c r="AM523" i="20"/>
  <c r="AM531" i="20"/>
  <c r="AM539" i="20"/>
  <c r="AM547" i="20"/>
  <c r="AM555" i="20"/>
  <c r="AM563" i="20"/>
  <c r="AM571" i="20"/>
  <c r="AM579" i="20"/>
  <c r="AM587" i="20"/>
  <c r="AM595" i="20"/>
  <c r="AM603" i="20"/>
  <c r="AM611" i="20"/>
  <c r="AM619" i="20"/>
  <c r="AM627" i="20"/>
  <c r="AM635" i="20"/>
  <c r="AM643" i="20"/>
  <c r="AM651" i="20"/>
  <c r="AM659" i="20"/>
  <c r="AM667" i="20"/>
  <c r="AM675" i="20"/>
  <c r="AM683" i="20"/>
  <c r="AM691" i="20"/>
  <c r="AM699" i="20"/>
  <c r="AM707" i="20"/>
  <c r="AM715" i="20"/>
  <c r="AM36" i="20"/>
  <c r="AM44" i="20"/>
  <c r="AM52" i="20"/>
  <c r="AM60" i="20"/>
  <c r="AM68" i="20"/>
  <c r="AM76" i="20"/>
  <c r="AM84" i="20"/>
  <c r="AM92" i="20"/>
  <c r="AM100" i="20"/>
  <c r="AM108" i="20"/>
  <c r="AM116" i="20"/>
  <c r="AM124" i="20"/>
  <c r="AM132" i="20"/>
  <c r="AM140" i="20"/>
  <c r="AM148" i="20"/>
  <c r="AM156" i="20"/>
  <c r="AM164" i="20"/>
  <c r="AM172" i="20"/>
  <c r="AM180" i="20"/>
  <c r="AM188" i="20"/>
  <c r="AM196" i="20"/>
  <c r="AM204" i="20"/>
  <c r="AM212" i="20"/>
  <c r="AM220" i="20"/>
  <c r="AM228" i="20"/>
  <c r="AM236" i="20"/>
  <c r="AM244" i="20"/>
  <c r="AM252" i="20"/>
  <c r="AM260" i="20"/>
  <c r="AM268" i="20"/>
  <c r="AM276" i="20"/>
  <c r="AM284" i="20"/>
  <c r="AM292" i="20"/>
  <c r="AM300" i="20"/>
  <c r="AM308" i="20"/>
  <c r="AM316" i="20"/>
  <c r="AM324" i="20"/>
  <c r="AM332" i="20"/>
  <c r="AM340" i="20"/>
  <c r="AM348" i="20"/>
  <c r="AM356" i="20"/>
  <c r="AM364" i="20"/>
  <c r="AM372" i="20"/>
  <c r="AM380" i="20"/>
  <c r="AM388" i="20"/>
  <c r="AM396" i="20"/>
  <c r="AM404" i="20"/>
  <c r="AM412" i="20"/>
  <c r="AM420" i="20"/>
  <c r="AM428" i="20"/>
  <c r="AM436" i="20"/>
  <c r="AM444" i="20"/>
  <c r="AM452" i="20"/>
  <c r="AM460" i="20"/>
  <c r="AM468" i="20"/>
  <c r="AM476" i="20"/>
  <c r="AM484" i="20"/>
  <c r="AM492" i="20"/>
  <c r="AM500" i="20"/>
  <c r="AM508" i="20"/>
  <c r="AM516" i="20"/>
  <c r="AM524" i="20"/>
  <c r="AM532" i="20"/>
  <c r="AM540" i="20"/>
  <c r="AM548" i="20"/>
  <c r="AM556" i="20"/>
  <c r="AM564" i="20"/>
  <c r="AM572" i="20"/>
  <c r="AM580" i="20"/>
  <c r="AM588" i="20"/>
  <c r="AM596" i="20"/>
  <c r="AM604" i="20"/>
  <c r="AM612" i="20"/>
  <c r="AM620" i="20"/>
  <c r="AM628" i="20"/>
  <c r="AM636" i="20"/>
  <c r="AM644" i="20"/>
  <c r="AM652" i="20"/>
  <c r="AM660" i="20"/>
  <c r="AM668" i="20"/>
  <c r="AM676" i="20"/>
  <c r="AM684" i="20"/>
  <c r="AM692" i="20"/>
  <c r="AM700" i="20"/>
  <c r="AM708" i="20"/>
  <c r="AM37" i="20"/>
  <c r="AM45" i="20"/>
  <c r="AM53" i="20"/>
  <c r="AM61" i="20"/>
  <c r="AM69" i="20"/>
  <c r="AM77" i="20"/>
  <c r="AM85" i="20"/>
  <c r="AM93" i="20"/>
  <c r="AM101" i="20"/>
  <c r="AM109" i="20"/>
  <c r="AM117" i="20"/>
  <c r="AM125" i="20"/>
  <c r="AM133" i="20"/>
  <c r="AM141" i="20"/>
  <c r="AM149" i="20"/>
  <c r="AM157" i="20"/>
  <c r="AM165" i="20"/>
  <c r="AM173" i="20"/>
  <c r="AM181" i="20"/>
  <c r="AM189" i="20"/>
  <c r="AM197" i="20"/>
  <c r="AM205" i="20"/>
  <c r="AM213" i="20"/>
  <c r="AM221" i="20"/>
  <c r="AM229" i="20"/>
  <c r="AM237" i="20"/>
  <c r="AM245" i="20"/>
  <c r="AM253" i="20"/>
  <c r="AM261" i="20"/>
  <c r="AM269" i="20"/>
  <c r="AM277" i="20"/>
  <c r="AM285" i="20"/>
  <c r="AM293" i="20"/>
  <c r="AM301" i="20"/>
  <c r="AM309" i="20"/>
  <c r="AM317" i="20"/>
  <c r="AM325" i="20"/>
  <c r="AM333" i="20"/>
  <c r="AM341" i="20"/>
  <c r="AM349" i="20"/>
  <c r="AM357" i="20"/>
  <c r="AM365" i="20"/>
  <c r="AM373" i="20"/>
  <c r="AM381" i="20"/>
  <c r="AM389" i="20"/>
  <c r="AM397" i="20"/>
  <c r="AM405" i="20"/>
  <c r="AM413" i="20"/>
  <c r="AM421" i="20"/>
  <c r="AM429" i="20"/>
  <c r="AM437" i="20"/>
  <c r="AM445" i="20"/>
  <c r="AM453" i="20"/>
  <c r="AM461" i="20"/>
  <c r="AM469" i="20"/>
  <c r="AM477" i="20"/>
  <c r="AM485" i="20"/>
  <c r="AM493" i="20"/>
  <c r="AM501" i="20"/>
  <c r="AM509" i="20"/>
  <c r="AM517" i="20"/>
  <c r="AM525" i="20"/>
  <c r="AM533" i="20"/>
  <c r="AM541" i="20"/>
  <c r="AM549" i="20"/>
  <c r="AM557" i="20"/>
  <c r="AM565" i="20"/>
  <c r="AM573" i="20"/>
  <c r="AM581" i="20"/>
  <c r="AM589" i="20"/>
  <c r="AM597" i="20"/>
  <c r="AM605" i="20"/>
  <c r="AM613" i="20"/>
  <c r="AM621" i="20"/>
  <c r="AM629" i="20"/>
  <c r="AM637" i="20"/>
  <c r="AM645" i="20"/>
  <c r="AM653" i="20"/>
  <c r="AM661" i="20"/>
  <c r="AM669" i="20"/>
  <c r="AM677" i="20"/>
  <c r="AM685" i="20"/>
  <c r="AM693" i="20"/>
  <c r="AM701" i="20"/>
  <c r="AM709" i="20"/>
  <c r="AM718" i="20"/>
  <c r="AM726" i="20"/>
  <c r="AM734" i="20"/>
  <c r="AM742" i="20"/>
  <c r="AM750" i="20"/>
  <c r="AM758" i="20"/>
  <c r="AM766" i="20"/>
  <c r="AM774" i="20"/>
  <c r="AM782" i="20"/>
  <c r="AM790" i="20"/>
  <c r="AM798" i="20"/>
  <c r="AM806" i="20"/>
  <c r="AM814" i="20"/>
  <c r="AM822" i="20"/>
  <c r="AM830" i="20"/>
  <c r="AM838" i="20"/>
  <c r="AM846" i="20"/>
  <c r="AM854" i="20"/>
  <c r="AM862" i="20"/>
  <c r="AM870" i="20"/>
  <c r="AM878" i="20"/>
  <c r="AM886" i="20"/>
  <c r="AM894" i="20"/>
  <c r="AM902" i="20"/>
  <c r="AM910" i="20"/>
  <c r="AM918" i="20"/>
  <c r="AM926" i="20"/>
  <c r="AM934" i="20"/>
  <c r="AM942" i="20"/>
  <c r="AM950" i="20"/>
  <c r="AM958" i="20"/>
  <c r="AM966" i="20"/>
  <c r="AM974" i="20"/>
  <c r="AM982" i="20"/>
  <c r="AM990" i="20"/>
  <c r="AM998" i="20"/>
  <c r="AM1006" i="20"/>
  <c r="AM1014" i="20"/>
  <c r="AM1022" i="20"/>
  <c r="AM1030" i="20"/>
  <c r="AM880" i="20"/>
  <c r="AM912" i="20"/>
  <c r="AM944" i="20"/>
  <c r="AM976" i="20"/>
  <c r="AM1008" i="20"/>
  <c r="AM1032" i="20"/>
  <c r="AM719" i="20"/>
  <c r="AM727" i="20"/>
  <c r="AM735" i="20"/>
  <c r="AM743" i="20"/>
  <c r="AM751" i="20"/>
  <c r="AM759" i="20"/>
  <c r="AM767" i="20"/>
  <c r="AM775" i="20"/>
  <c r="AM783" i="20"/>
  <c r="AM791" i="20"/>
  <c r="AM799" i="20"/>
  <c r="AM807" i="20"/>
  <c r="AM815" i="20"/>
  <c r="AM823" i="20"/>
  <c r="AM831" i="20"/>
  <c r="AM839" i="20"/>
  <c r="AM847" i="20"/>
  <c r="AM855" i="20"/>
  <c r="AM863" i="20"/>
  <c r="AM871" i="20"/>
  <c r="AM879" i="20"/>
  <c r="AM887" i="20"/>
  <c r="AM895" i="20"/>
  <c r="AM903" i="20"/>
  <c r="AM911" i="20"/>
  <c r="AM919" i="20"/>
  <c r="AM927" i="20"/>
  <c r="AM935" i="20"/>
  <c r="AM943" i="20"/>
  <c r="AM951" i="20"/>
  <c r="AM959" i="20"/>
  <c r="AM967" i="20"/>
  <c r="AM975" i="20"/>
  <c r="AM983" i="20"/>
  <c r="AM991" i="20"/>
  <c r="AM999" i="20"/>
  <c r="AM1007" i="20"/>
  <c r="AM1015" i="20"/>
  <c r="AM1023" i="20"/>
  <c r="AM1031" i="20"/>
  <c r="AM872" i="20"/>
  <c r="AM920" i="20"/>
  <c r="AM952" i="20"/>
  <c r="AM984" i="20"/>
  <c r="AM1016" i="20"/>
  <c r="AM720" i="20"/>
  <c r="AM728" i="20"/>
  <c r="AM736" i="20"/>
  <c r="AM744" i="20"/>
  <c r="AM752" i="20"/>
  <c r="AM760" i="20"/>
  <c r="AM768" i="20"/>
  <c r="AM776" i="20"/>
  <c r="AM784" i="20"/>
  <c r="AM792" i="20"/>
  <c r="AM800" i="20"/>
  <c r="AM808" i="20"/>
  <c r="AM816" i="20"/>
  <c r="AM824" i="20"/>
  <c r="AM832" i="20"/>
  <c r="AM840" i="20"/>
  <c r="AM848" i="20"/>
  <c r="AM856" i="20"/>
  <c r="AM864" i="20"/>
  <c r="AM888" i="20"/>
  <c r="AM904" i="20"/>
  <c r="AM936" i="20"/>
  <c r="AM968" i="20"/>
  <c r="AM1000" i="20"/>
  <c r="AM721" i="20"/>
  <c r="AM729" i="20"/>
  <c r="AM737" i="20"/>
  <c r="AM745" i="20"/>
  <c r="AM753" i="20"/>
  <c r="AM761" i="20"/>
  <c r="AM769" i="20"/>
  <c r="AM777" i="20"/>
  <c r="AM785" i="20"/>
  <c r="AM793" i="20"/>
  <c r="AM801" i="20"/>
  <c r="AM809" i="20"/>
  <c r="AM817" i="20"/>
  <c r="AM825" i="20"/>
  <c r="AM833" i="20"/>
  <c r="AM841" i="20"/>
  <c r="AM849" i="20"/>
  <c r="AM857" i="20"/>
  <c r="AM865" i="20"/>
  <c r="AM873" i="20"/>
  <c r="AM881" i="20"/>
  <c r="AM889" i="20"/>
  <c r="AM897" i="20"/>
  <c r="AM905" i="20"/>
  <c r="AM913" i="20"/>
  <c r="AM921" i="20"/>
  <c r="AM929" i="20"/>
  <c r="AM937" i="20"/>
  <c r="AM945" i="20"/>
  <c r="AM953" i="20"/>
  <c r="AM961" i="20"/>
  <c r="AM969" i="20"/>
  <c r="AM977" i="20"/>
  <c r="AM985" i="20"/>
  <c r="AM993" i="20"/>
  <c r="AM1001" i="20"/>
  <c r="AM1009" i="20"/>
  <c r="AM1017" i="20"/>
  <c r="AM1025" i="20"/>
  <c r="AM1033" i="20"/>
  <c r="AM884" i="20"/>
  <c r="AM932" i="20"/>
  <c r="AM956" i="20"/>
  <c r="AM988" i="20"/>
  <c r="AM1020" i="20"/>
  <c r="AM722" i="20"/>
  <c r="AM730" i="20"/>
  <c r="AM738" i="20"/>
  <c r="AM746" i="20"/>
  <c r="AM754" i="20"/>
  <c r="AM762" i="20"/>
  <c r="AM770" i="20"/>
  <c r="AM778" i="20"/>
  <c r="AM786" i="20"/>
  <c r="AM794" i="20"/>
  <c r="AM802" i="20"/>
  <c r="AM810" i="20"/>
  <c r="AM818" i="20"/>
  <c r="AM826" i="20"/>
  <c r="AM834" i="20"/>
  <c r="AM842" i="20"/>
  <c r="AM850" i="20"/>
  <c r="AM858" i="20"/>
  <c r="AM866" i="20"/>
  <c r="AM874" i="20"/>
  <c r="AM882" i="20"/>
  <c r="AM890" i="20"/>
  <c r="AM898" i="20"/>
  <c r="AM906" i="20"/>
  <c r="AM914" i="20"/>
  <c r="AM922" i="20"/>
  <c r="AM930" i="20"/>
  <c r="AM938" i="20"/>
  <c r="AM946" i="20"/>
  <c r="AM954" i="20"/>
  <c r="AM962" i="20"/>
  <c r="AM970" i="20"/>
  <c r="AM978" i="20"/>
  <c r="AM986" i="20"/>
  <c r="AM994" i="20"/>
  <c r="AM1002" i="20"/>
  <c r="AM1010" i="20"/>
  <c r="AM1018" i="20"/>
  <c r="AM1026" i="20"/>
  <c r="AM1034" i="20"/>
  <c r="AM876" i="20"/>
  <c r="AM908" i="20"/>
  <c r="AM948" i="20"/>
  <c r="AM980" i="20"/>
  <c r="AM1012" i="20"/>
  <c r="AM723" i="20"/>
  <c r="AM731" i="20"/>
  <c r="AM739" i="20"/>
  <c r="AM747" i="20"/>
  <c r="AM755" i="20"/>
  <c r="AM763" i="20"/>
  <c r="AM771" i="20"/>
  <c r="AM779" i="20"/>
  <c r="AM787" i="20"/>
  <c r="AM795" i="20"/>
  <c r="AM803" i="20"/>
  <c r="AM811" i="20"/>
  <c r="AM819" i="20"/>
  <c r="AM827" i="20"/>
  <c r="AM835" i="20"/>
  <c r="AM843" i="20"/>
  <c r="AM851" i="20"/>
  <c r="AM859" i="20"/>
  <c r="AM867" i="20"/>
  <c r="AM875" i="20"/>
  <c r="AM883" i="20"/>
  <c r="AM891" i="20"/>
  <c r="AM899" i="20"/>
  <c r="AM907" i="20"/>
  <c r="AM915" i="20"/>
  <c r="AM923" i="20"/>
  <c r="AM931" i="20"/>
  <c r="AM939" i="20"/>
  <c r="AM947" i="20"/>
  <c r="AM955" i="20"/>
  <c r="AM963" i="20"/>
  <c r="AM971" i="20"/>
  <c r="AM979" i="20"/>
  <c r="AM987" i="20"/>
  <c r="AM995" i="20"/>
  <c r="AM1003" i="20"/>
  <c r="AM1011" i="20"/>
  <c r="AM1019" i="20"/>
  <c r="AM1027" i="20"/>
  <c r="AM35" i="20"/>
  <c r="AM892" i="20"/>
  <c r="AM916" i="20"/>
  <c r="AM940" i="20"/>
  <c r="AM972" i="20"/>
  <c r="AM1004" i="20"/>
  <c r="AM716" i="20"/>
  <c r="AM724" i="20"/>
  <c r="AM732" i="20"/>
  <c r="AM740" i="20"/>
  <c r="AM748" i="20"/>
  <c r="AM756" i="20"/>
  <c r="AM764" i="20"/>
  <c r="AM772" i="20"/>
  <c r="AM780" i="20"/>
  <c r="AM788" i="20"/>
  <c r="AM796" i="20"/>
  <c r="AM804" i="20"/>
  <c r="AM812" i="20"/>
  <c r="AM820" i="20"/>
  <c r="AM828" i="20"/>
  <c r="AM836" i="20"/>
  <c r="AM844" i="20"/>
  <c r="AM852" i="20"/>
  <c r="AM860" i="20"/>
  <c r="AM868" i="20"/>
  <c r="AM900" i="20"/>
  <c r="AM924" i="20"/>
  <c r="AM964" i="20"/>
  <c r="AM996" i="20"/>
  <c r="AM1028" i="20"/>
  <c r="AM717" i="20"/>
  <c r="AM725" i="20"/>
  <c r="AM733" i="20"/>
  <c r="AM741" i="20"/>
  <c r="AM749" i="20"/>
  <c r="AM757" i="20"/>
  <c r="AM765" i="20"/>
  <c r="AM773" i="20"/>
  <c r="AM781" i="20"/>
  <c r="AM789" i="20"/>
  <c r="AM797" i="20"/>
  <c r="AM805" i="20"/>
  <c r="AM813" i="20"/>
  <c r="AM821" i="20"/>
  <c r="AM829" i="20"/>
  <c r="AM837" i="20"/>
  <c r="AM845" i="20"/>
  <c r="AM853" i="20"/>
  <c r="AM861" i="20"/>
  <c r="AM869" i="20"/>
  <c r="AM877" i="20"/>
  <c r="AM885" i="20"/>
  <c r="AM893" i="20"/>
  <c r="AM901" i="20"/>
  <c r="AM909" i="20"/>
  <c r="AM917" i="20"/>
  <c r="AM925" i="20"/>
  <c r="AM933" i="20"/>
  <c r="AM941" i="20"/>
  <c r="AM949" i="20"/>
  <c r="AM957" i="20"/>
  <c r="AM965" i="20"/>
  <c r="AM973" i="20"/>
  <c r="AM981" i="20"/>
  <c r="AM989" i="20"/>
  <c r="AM997" i="20"/>
  <c r="AM1005" i="20"/>
  <c r="AM1013" i="20"/>
  <c r="AM1021" i="20"/>
  <c r="AM1029" i="20"/>
  <c r="AM896" i="20"/>
  <c r="AM928" i="20"/>
  <c r="AM960" i="20"/>
  <c r="AM992" i="20"/>
  <c r="AM1024" i="20"/>
  <c r="AJ37" i="20"/>
  <c r="AJ45" i="20"/>
  <c r="AJ53" i="20"/>
  <c r="AJ61" i="20"/>
  <c r="AJ69" i="20"/>
  <c r="AJ77" i="20"/>
  <c r="AJ85" i="20"/>
  <c r="AJ93" i="20"/>
  <c r="AJ101" i="20"/>
  <c r="AJ109" i="20"/>
  <c r="AJ117" i="20"/>
  <c r="AJ125" i="20"/>
  <c r="AJ133" i="20"/>
  <c r="AJ141" i="20"/>
  <c r="AJ149" i="20"/>
  <c r="AJ157" i="20"/>
  <c r="AJ165" i="20"/>
  <c r="AJ173" i="20"/>
  <c r="AJ181" i="20"/>
  <c r="AJ189" i="20"/>
  <c r="AJ197" i="20"/>
  <c r="AJ205" i="20"/>
  <c r="AJ213" i="20"/>
  <c r="AJ221" i="20"/>
  <c r="AJ229" i="20"/>
  <c r="AJ237" i="20"/>
  <c r="AJ245" i="20"/>
  <c r="AJ253" i="20"/>
  <c r="AJ261" i="20"/>
  <c r="AJ269" i="20"/>
  <c r="AJ277" i="20"/>
  <c r="AJ285" i="20"/>
  <c r="AJ293" i="20"/>
  <c r="AJ301" i="20"/>
  <c r="AJ309" i="20"/>
  <c r="AJ317" i="20"/>
  <c r="AJ325" i="20"/>
  <c r="AJ333" i="20"/>
  <c r="AJ341" i="20"/>
  <c r="AJ349" i="20"/>
  <c r="AJ357" i="20"/>
  <c r="AJ365" i="20"/>
  <c r="AJ373" i="20"/>
  <c r="AJ381" i="20"/>
  <c r="AJ389" i="20"/>
  <c r="AJ397" i="20"/>
  <c r="AJ405" i="20"/>
  <c r="AJ413" i="20"/>
  <c r="AJ421" i="20"/>
  <c r="AJ429" i="20"/>
  <c r="AJ437" i="20"/>
  <c r="AJ445" i="20"/>
  <c r="AJ453" i="20"/>
  <c r="AJ461" i="20"/>
  <c r="AJ469" i="20"/>
  <c r="AJ477" i="20"/>
  <c r="AJ485" i="20"/>
  <c r="AJ493" i="20"/>
  <c r="AJ501" i="20"/>
  <c r="AJ509" i="20"/>
  <c r="AJ517" i="20"/>
  <c r="AJ525" i="20"/>
  <c r="AJ533" i="20"/>
  <c r="AJ541" i="20"/>
  <c r="AJ549" i="20"/>
  <c r="AJ557" i="20"/>
  <c r="AJ565" i="20"/>
  <c r="AJ573" i="20"/>
  <c r="AJ581" i="20"/>
  <c r="AJ589" i="20"/>
  <c r="AJ597" i="20"/>
  <c r="AJ605" i="20"/>
  <c r="AJ613" i="20"/>
  <c r="AJ621" i="20"/>
  <c r="AJ629" i="20"/>
  <c r="AJ637" i="20"/>
  <c r="AJ645" i="20"/>
  <c r="AJ653" i="20"/>
  <c r="AJ661" i="20"/>
  <c r="AJ669" i="20"/>
  <c r="AJ677" i="20"/>
  <c r="AJ685" i="20"/>
  <c r="AJ693" i="20"/>
  <c r="AJ701" i="20"/>
  <c r="AJ709" i="20"/>
  <c r="AJ38" i="20"/>
  <c r="AJ46" i="20"/>
  <c r="AJ54" i="20"/>
  <c r="AJ62" i="20"/>
  <c r="AJ70" i="20"/>
  <c r="AJ78" i="20"/>
  <c r="AJ86" i="20"/>
  <c r="AJ94" i="20"/>
  <c r="AJ102" i="20"/>
  <c r="AJ110" i="20"/>
  <c r="AJ118" i="20"/>
  <c r="AJ126" i="20"/>
  <c r="AJ134" i="20"/>
  <c r="AJ142" i="20"/>
  <c r="AJ150" i="20"/>
  <c r="AJ158" i="20"/>
  <c r="AJ166" i="20"/>
  <c r="AJ174" i="20"/>
  <c r="AJ182" i="20"/>
  <c r="AJ190" i="20"/>
  <c r="AJ198" i="20"/>
  <c r="AJ206" i="20"/>
  <c r="AJ214" i="20"/>
  <c r="AJ222" i="20"/>
  <c r="AJ230" i="20"/>
  <c r="AJ238" i="20"/>
  <c r="AJ246" i="20"/>
  <c r="AJ254" i="20"/>
  <c r="AJ262" i="20"/>
  <c r="AJ270" i="20"/>
  <c r="AJ278" i="20"/>
  <c r="AJ286" i="20"/>
  <c r="AJ294" i="20"/>
  <c r="AJ302" i="20"/>
  <c r="AJ310" i="20"/>
  <c r="AJ318" i="20"/>
  <c r="AJ326" i="20"/>
  <c r="AJ334" i="20"/>
  <c r="AJ342" i="20"/>
  <c r="AJ350" i="20"/>
  <c r="AJ358" i="20"/>
  <c r="AJ366" i="20"/>
  <c r="AJ374" i="20"/>
  <c r="AJ382" i="20"/>
  <c r="AJ390" i="20"/>
  <c r="AJ398" i="20"/>
  <c r="AJ406" i="20"/>
  <c r="AJ414" i="20"/>
  <c r="AJ422" i="20"/>
  <c r="AJ430" i="20"/>
  <c r="AJ438" i="20"/>
  <c r="AJ446" i="20"/>
  <c r="AJ454" i="20"/>
  <c r="AJ462" i="20"/>
  <c r="AJ470" i="20"/>
  <c r="AJ478" i="20"/>
  <c r="AJ486" i="20"/>
  <c r="AJ494" i="20"/>
  <c r="AJ502" i="20"/>
  <c r="AJ510" i="20"/>
  <c r="AJ518" i="20"/>
  <c r="AJ526" i="20"/>
  <c r="AJ534" i="20"/>
  <c r="AJ542" i="20"/>
  <c r="AJ550" i="20"/>
  <c r="AJ558" i="20"/>
  <c r="AJ566" i="20"/>
  <c r="AJ574" i="20"/>
  <c r="AJ582" i="20"/>
  <c r="AJ590" i="20"/>
  <c r="AJ598" i="20"/>
  <c r="AJ606" i="20"/>
  <c r="AJ614" i="20"/>
  <c r="AJ622" i="20"/>
  <c r="AJ630" i="20"/>
  <c r="AJ638" i="20"/>
  <c r="AJ646" i="20"/>
  <c r="AJ654" i="20"/>
  <c r="AJ662" i="20"/>
  <c r="AJ670" i="20"/>
  <c r="AJ678" i="20"/>
  <c r="AJ686" i="20"/>
  <c r="AJ694" i="20"/>
  <c r="AJ702" i="20"/>
  <c r="AJ710" i="20"/>
  <c r="AJ39" i="20"/>
  <c r="AJ47" i="20"/>
  <c r="AJ55" i="20"/>
  <c r="AJ63" i="20"/>
  <c r="AJ71" i="20"/>
  <c r="AJ79" i="20"/>
  <c r="AJ87" i="20"/>
  <c r="AJ95" i="20"/>
  <c r="AJ103" i="20"/>
  <c r="AJ111" i="20"/>
  <c r="AJ119" i="20"/>
  <c r="AJ127" i="20"/>
  <c r="AJ135" i="20"/>
  <c r="AJ143" i="20"/>
  <c r="AJ151" i="20"/>
  <c r="AJ159" i="20"/>
  <c r="AJ167" i="20"/>
  <c r="AJ175" i="20"/>
  <c r="AJ183" i="20"/>
  <c r="AJ191" i="20"/>
  <c r="AJ199" i="20"/>
  <c r="AJ207" i="20"/>
  <c r="AJ215" i="20"/>
  <c r="AJ223" i="20"/>
  <c r="AJ231" i="20"/>
  <c r="AJ239" i="20"/>
  <c r="AJ247" i="20"/>
  <c r="AJ255" i="20"/>
  <c r="AJ263" i="20"/>
  <c r="AJ271" i="20"/>
  <c r="AJ279" i="20"/>
  <c r="AJ287" i="20"/>
  <c r="AJ295" i="20"/>
  <c r="AJ303" i="20"/>
  <c r="AJ311" i="20"/>
  <c r="AJ319" i="20"/>
  <c r="AJ327" i="20"/>
  <c r="AJ335" i="20"/>
  <c r="AJ343" i="20"/>
  <c r="AJ351" i="20"/>
  <c r="AJ359" i="20"/>
  <c r="AJ367" i="20"/>
  <c r="AJ375" i="20"/>
  <c r="AJ383" i="20"/>
  <c r="AJ391" i="20"/>
  <c r="AJ399" i="20"/>
  <c r="AJ407" i="20"/>
  <c r="AJ415" i="20"/>
  <c r="AJ423" i="20"/>
  <c r="AJ431" i="20"/>
  <c r="AJ439" i="20"/>
  <c r="AJ447" i="20"/>
  <c r="AJ455" i="20"/>
  <c r="AJ463" i="20"/>
  <c r="AJ471" i="20"/>
  <c r="AJ479" i="20"/>
  <c r="AJ487" i="20"/>
  <c r="AJ495" i="20"/>
  <c r="AJ503" i="20"/>
  <c r="AJ511" i="20"/>
  <c r="AJ519" i="20"/>
  <c r="AJ527" i="20"/>
  <c r="AJ535" i="20"/>
  <c r="AJ543" i="20"/>
  <c r="AJ551" i="20"/>
  <c r="AJ559" i="20"/>
  <c r="AJ567" i="20"/>
  <c r="AJ575" i="20"/>
  <c r="AJ583" i="20"/>
  <c r="AJ591" i="20"/>
  <c r="AJ599" i="20"/>
  <c r="AJ607" i="20"/>
  <c r="AJ615" i="20"/>
  <c r="AJ623" i="20"/>
  <c r="AJ631" i="20"/>
  <c r="AJ639" i="20"/>
  <c r="AJ647" i="20"/>
  <c r="AJ655" i="20"/>
  <c r="AJ663" i="20"/>
  <c r="AJ671" i="20"/>
  <c r="AJ679" i="20"/>
  <c r="AJ687" i="20"/>
  <c r="AJ695" i="20"/>
  <c r="AJ703" i="20"/>
  <c r="AJ711" i="20"/>
  <c r="AJ40" i="20"/>
  <c r="AJ48" i="20"/>
  <c r="AJ56" i="20"/>
  <c r="AJ64" i="20"/>
  <c r="AJ72" i="20"/>
  <c r="AJ80" i="20"/>
  <c r="AJ88" i="20"/>
  <c r="AJ96" i="20"/>
  <c r="AJ104" i="20"/>
  <c r="AJ112" i="20"/>
  <c r="AJ120" i="20"/>
  <c r="AJ128" i="20"/>
  <c r="AJ136" i="20"/>
  <c r="AJ144" i="20"/>
  <c r="AJ152" i="20"/>
  <c r="AJ160" i="20"/>
  <c r="AJ168" i="20"/>
  <c r="AJ176" i="20"/>
  <c r="AJ184" i="20"/>
  <c r="AJ192" i="20"/>
  <c r="AJ200" i="20"/>
  <c r="AJ208" i="20"/>
  <c r="AJ216" i="20"/>
  <c r="AJ224" i="20"/>
  <c r="AJ232" i="20"/>
  <c r="AJ240" i="20"/>
  <c r="AJ248" i="20"/>
  <c r="AJ256" i="20"/>
  <c r="AJ264" i="20"/>
  <c r="AJ272" i="20"/>
  <c r="AJ280" i="20"/>
  <c r="AJ288" i="20"/>
  <c r="AJ296" i="20"/>
  <c r="AJ304" i="20"/>
  <c r="AJ312" i="20"/>
  <c r="AJ320" i="20"/>
  <c r="AJ328" i="20"/>
  <c r="AJ336" i="20"/>
  <c r="AJ344" i="20"/>
  <c r="AJ352" i="20"/>
  <c r="AJ360" i="20"/>
  <c r="AJ368" i="20"/>
  <c r="AJ376" i="20"/>
  <c r="AJ384" i="20"/>
  <c r="AJ392" i="20"/>
  <c r="AJ400" i="20"/>
  <c r="AJ408" i="20"/>
  <c r="AJ416" i="20"/>
  <c r="AJ424" i="20"/>
  <c r="AJ432" i="20"/>
  <c r="AJ440" i="20"/>
  <c r="AJ448" i="20"/>
  <c r="AJ456" i="20"/>
  <c r="AJ464" i="20"/>
  <c r="AJ472" i="20"/>
  <c r="AJ480" i="20"/>
  <c r="AJ488" i="20"/>
  <c r="AJ496" i="20"/>
  <c r="AJ504" i="20"/>
  <c r="AJ512" i="20"/>
  <c r="AJ520" i="20"/>
  <c r="AJ528" i="20"/>
  <c r="AJ536" i="20"/>
  <c r="AJ544" i="20"/>
  <c r="AJ552" i="20"/>
  <c r="AJ560" i="20"/>
  <c r="AJ568" i="20"/>
  <c r="AJ576" i="20"/>
  <c r="AJ584" i="20"/>
  <c r="AJ592" i="20"/>
  <c r="AJ600" i="20"/>
  <c r="AJ608" i="20"/>
  <c r="AJ616" i="20"/>
  <c r="AJ624" i="20"/>
  <c r="AJ632" i="20"/>
  <c r="AJ640" i="20"/>
  <c r="AJ648" i="20"/>
  <c r="AJ656" i="20"/>
  <c r="AJ664" i="20"/>
  <c r="AJ672" i="20"/>
  <c r="AJ680" i="20"/>
  <c r="AJ688" i="20"/>
  <c r="AJ696" i="20"/>
  <c r="AJ704" i="20"/>
  <c r="AJ712" i="20"/>
  <c r="AJ41" i="20"/>
  <c r="AJ49" i="20"/>
  <c r="AJ57" i="20"/>
  <c r="AJ65" i="20"/>
  <c r="AJ73" i="20"/>
  <c r="AJ81" i="20"/>
  <c r="AJ89" i="20"/>
  <c r="AJ97" i="20"/>
  <c r="AJ105" i="20"/>
  <c r="AJ113" i="20"/>
  <c r="AJ121" i="20"/>
  <c r="AJ129" i="20"/>
  <c r="AJ137" i="20"/>
  <c r="AJ145" i="20"/>
  <c r="AJ153" i="20"/>
  <c r="AJ161" i="20"/>
  <c r="AJ169" i="20"/>
  <c r="AJ177" i="20"/>
  <c r="AJ185" i="20"/>
  <c r="AJ193" i="20"/>
  <c r="AJ201" i="20"/>
  <c r="AJ209" i="20"/>
  <c r="AJ217" i="20"/>
  <c r="AJ225" i="20"/>
  <c r="AJ233" i="20"/>
  <c r="AJ241" i="20"/>
  <c r="AJ249" i="20"/>
  <c r="AJ257" i="20"/>
  <c r="AJ265" i="20"/>
  <c r="AJ273" i="20"/>
  <c r="AJ281" i="20"/>
  <c r="AJ289" i="20"/>
  <c r="AJ297" i="20"/>
  <c r="AJ305" i="20"/>
  <c r="AJ313" i="20"/>
  <c r="AJ321" i="20"/>
  <c r="AJ329" i="20"/>
  <c r="AJ337" i="20"/>
  <c r="AJ345" i="20"/>
  <c r="AJ353" i="20"/>
  <c r="AJ361" i="20"/>
  <c r="AJ369" i="20"/>
  <c r="AJ377" i="20"/>
  <c r="AJ385" i="20"/>
  <c r="AJ393" i="20"/>
  <c r="AJ401" i="20"/>
  <c r="AJ409" i="20"/>
  <c r="AJ417" i="20"/>
  <c r="AJ425" i="20"/>
  <c r="AJ433" i="20"/>
  <c r="AJ441" i="20"/>
  <c r="AJ449" i="20"/>
  <c r="AJ457" i="20"/>
  <c r="AJ465" i="20"/>
  <c r="AJ473" i="20"/>
  <c r="AJ481" i="20"/>
  <c r="AJ489" i="20"/>
  <c r="AJ497" i="20"/>
  <c r="AJ505" i="20"/>
  <c r="AJ513" i="20"/>
  <c r="AJ521" i="20"/>
  <c r="AJ529" i="20"/>
  <c r="AJ537" i="20"/>
  <c r="AJ545" i="20"/>
  <c r="AJ553" i="20"/>
  <c r="AJ561" i="20"/>
  <c r="AJ569" i="20"/>
  <c r="AJ577" i="20"/>
  <c r="AJ585" i="20"/>
  <c r="AJ593" i="20"/>
  <c r="AJ601" i="20"/>
  <c r="AJ609" i="20"/>
  <c r="AJ617" i="20"/>
  <c r="AJ625" i="20"/>
  <c r="AJ633" i="20"/>
  <c r="AJ641" i="20"/>
  <c r="AJ649" i="20"/>
  <c r="AJ657" i="20"/>
  <c r="AJ665" i="20"/>
  <c r="AJ673" i="20"/>
  <c r="AJ681" i="20"/>
  <c r="AJ689" i="20"/>
  <c r="AJ697" i="20"/>
  <c r="AJ705" i="20"/>
  <c r="AJ42" i="20"/>
  <c r="AJ50" i="20"/>
  <c r="AJ58" i="20"/>
  <c r="AJ66" i="20"/>
  <c r="AJ74" i="20"/>
  <c r="AJ82" i="20"/>
  <c r="AJ90" i="20"/>
  <c r="AJ98" i="20"/>
  <c r="AJ106" i="20"/>
  <c r="AJ114" i="20"/>
  <c r="AJ122" i="20"/>
  <c r="AJ130" i="20"/>
  <c r="AJ138" i="20"/>
  <c r="AJ146" i="20"/>
  <c r="AJ154" i="20"/>
  <c r="AJ162" i="20"/>
  <c r="AJ170" i="20"/>
  <c r="AJ178" i="20"/>
  <c r="AJ186" i="20"/>
  <c r="AJ194" i="20"/>
  <c r="AJ202" i="20"/>
  <c r="AJ210" i="20"/>
  <c r="AJ218" i="20"/>
  <c r="AJ226" i="20"/>
  <c r="AJ234" i="20"/>
  <c r="AJ242" i="20"/>
  <c r="AJ250" i="20"/>
  <c r="AJ258" i="20"/>
  <c r="AJ266" i="20"/>
  <c r="AJ274" i="20"/>
  <c r="AJ282" i="20"/>
  <c r="AJ290" i="20"/>
  <c r="AJ298" i="20"/>
  <c r="AJ306" i="20"/>
  <c r="AJ314" i="20"/>
  <c r="AJ322" i="20"/>
  <c r="AJ330" i="20"/>
  <c r="AJ338" i="20"/>
  <c r="AJ346" i="20"/>
  <c r="AJ354" i="20"/>
  <c r="AJ362" i="20"/>
  <c r="AJ370" i="20"/>
  <c r="AJ378" i="20"/>
  <c r="AJ386" i="20"/>
  <c r="AJ394" i="20"/>
  <c r="AJ402" i="20"/>
  <c r="AJ410" i="20"/>
  <c r="AJ418" i="20"/>
  <c r="AJ426" i="20"/>
  <c r="AJ434" i="20"/>
  <c r="AJ442" i="20"/>
  <c r="AJ450" i="20"/>
  <c r="AJ458" i="20"/>
  <c r="AJ466" i="20"/>
  <c r="AJ474" i="20"/>
  <c r="AJ482" i="20"/>
  <c r="AJ490" i="20"/>
  <c r="AJ498" i="20"/>
  <c r="AJ506" i="20"/>
  <c r="AJ514" i="20"/>
  <c r="AJ522" i="20"/>
  <c r="AJ530" i="20"/>
  <c r="AJ538" i="20"/>
  <c r="AJ546" i="20"/>
  <c r="AJ554" i="20"/>
  <c r="AJ562" i="20"/>
  <c r="AJ570" i="20"/>
  <c r="AJ578" i="20"/>
  <c r="AJ586" i="20"/>
  <c r="AJ594" i="20"/>
  <c r="AJ602" i="20"/>
  <c r="AJ610" i="20"/>
  <c r="AJ618" i="20"/>
  <c r="AJ626" i="20"/>
  <c r="AJ634" i="20"/>
  <c r="AJ642" i="20"/>
  <c r="AJ650" i="20"/>
  <c r="AJ658" i="20"/>
  <c r="AJ666" i="20"/>
  <c r="AJ674" i="20"/>
  <c r="AJ682" i="20"/>
  <c r="AJ690" i="20"/>
  <c r="AJ698" i="20"/>
  <c r="AJ706" i="20"/>
  <c r="AJ714" i="20"/>
  <c r="AJ43" i="20"/>
  <c r="AJ51" i="20"/>
  <c r="AJ59" i="20"/>
  <c r="AJ67" i="20"/>
  <c r="AJ75" i="20"/>
  <c r="AJ83" i="20"/>
  <c r="AJ91" i="20"/>
  <c r="AJ99" i="20"/>
  <c r="AJ107" i="20"/>
  <c r="AJ115" i="20"/>
  <c r="AJ123" i="20"/>
  <c r="AJ131" i="20"/>
  <c r="AJ139" i="20"/>
  <c r="AJ147" i="20"/>
  <c r="AJ155" i="20"/>
  <c r="AJ163" i="20"/>
  <c r="AJ171" i="20"/>
  <c r="AJ179" i="20"/>
  <c r="AJ187" i="20"/>
  <c r="AJ195" i="20"/>
  <c r="AJ203" i="20"/>
  <c r="AJ211" i="20"/>
  <c r="AJ219" i="20"/>
  <c r="AJ227" i="20"/>
  <c r="AJ235" i="20"/>
  <c r="AJ243" i="20"/>
  <c r="AJ251" i="20"/>
  <c r="AJ259" i="20"/>
  <c r="AJ267" i="20"/>
  <c r="AJ275" i="20"/>
  <c r="AJ283" i="20"/>
  <c r="AJ291" i="20"/>
  <c r="AJ299" i="20"/>
  <c r="AJ307" i="20"/>
  <c r="AJ315" i="20"/>
  <c r="AJ323" i="20"/>
  <c r="AJ331" i="20"/>
  <c r="AJ339" i="20"/>
  <c r="AJ347" i="20"/>
  <c r="AJ355" i="20"/>
  <c r="AJ363" i="20"/>
  <c r="AJ371" i="20"/>
  <c r="AJ379" i="20"/>
  <c r="AJ387" i="20"/>
  <c r="AJ395" i="20"/>
  <c r="AJ403" i="20"/>
  <c r="AJ411" i="20"/>
  <c r="AJ419" i="20"/>
  <c r="AJ427" i="20"/>
  <c r="AJ435" i="20"/>
  <c r="AJ443" i="20"/>
  <c r="AJ451" i="20"/>
  <c r="AJ459" i="20"/>
  <c r="AJ467" i="20"/>
  <c r="AJ475" i="20"/>
  <c r="AJ483" i="20"/>
  <c r="AJ491" i="20"/>
  <c r="AJ499" i="20"/>
  <c r="AJ507" i="20"/>
  <c r="AJ515" i="20"/>
  <c r="AJ523" i="20"/>
  <c r="AJ531" i="20"/>
  <c r="AJ539" i="20"/>
  <c r="AJ547" i="20"/>
  <c r="AJ555" i="20"/>
  <c r="AJ563" i="20"/>
  <c r="AJ571" i="20"/>
  <c r="AJ579" i="20"/>
  <c r="AJ587" i="20"/>
  <c r="AJ595" i="20"/>
  <c r="AJ603" i="20"/>
  <c r="AJ611" i="20"/>
  <c r="AJ619" i="20"/>
  <c r="AJ627" i="20"/>
  <c r="AJ635" i="20"/>
  <c r="AJ643" i="20"/>
  <c r="AJ651" i="20"/>
  <c r="AJ659" i="20"/>
  <c r="AJ667" i="20"/>
  <c r="AJ675" i="20"/>
  <c r="AJ683" i="20"/>
  <c r="AJ691" i="20"/>
  <c r="AJ699" i="20"/>
  <c r="AJ707" i="20"/>
  <c r="AJ715" i="20"/>
  <c r="AJ36" i="20"/>
  <c r="AJ44" i="20"/>
  <c r="AJ52" i="20"/>
  <c r="AJ60" i="20"/>
  <c r="AJ68" i="20"/>
  <c r="AJ76" i="20"/>
  <c r="AJ84" i="20"/>
  <c r="AJ92" i="20"/>
  <c r="AJ100" i="20"/>
  <c r="AJ108" i="20"/>
  <c r="AJ116" i="20"/>
  <c r="AJ124" i="20"/>
  <c r="AJ132" i="20"/>
  <c r="AJ140" i="20"/>
  <c r="AJ148" i="20"/>
  <c r="AJ156" i="20"/>
  <c r="AJ164" i="20"/>
  <c r="AJ172" i="20"/>
  <c r="AJ180" i="20"/>
  <c r="AJ188" i="20"/>
  <c r="AJ196" i="20"/>
  <c r="AJ204" i="20"/>
  <c r="AJ212" i="20"/>
  <c r="AJ220" i="20"/>
  <c r="AJ228" i="20"/>
  <c r="AJ236" i="20"/>
  <c r="AJ244" i="20"/>
  <c r="AJ252" i="20"/>
  <c r="AJ260" i="20"/>
  <c r="AJ268" i="20"/>
  <c r="AJ276" i="20"/>
  <c r="AJ284" i="20"/>
  <c r="AJ292" i="20"/>
  <c r="AJ300" i="20"/>
  <c r="AJ308" i="20"/>
  <c r="AJ316" i="20"/>
  <c r="AJ324" i="20"/>
  <c r="AJ332" i="20"/>
  <c r="AJ340" i="20"/>
  <c r="AJ348" i="20"/>
  <c r="AJ356" i="20"/>
  <c r="AJ364" i="20"/>
  <c r="AJ372" i="20"/>
  <c r="AJ380" i="20"/>
  <c r="AJ388" i="20"/>
  <c r="AJ396" i="20"/>
  <c r="AJ404" i="20"/>
  <c r="AJ412" i="20"/>
  <c r="AJ420" i="20"/>
  <c r="AJ428" i="20"/>
  <c r="AJ436" i="20"/>
  <c r="AJ444" i="20"/>
  <c r="AJ452" i="20"/>
  <c r="AJ460" i="20"/>
  <c r="AJ468" i="20"/>
  <c r="AJ476" i="20"/>
  <c r="AJ484" i="20"/>
  <c r="AJ492" i="20"/>
  <c r="AJ500" i="20"/>
  <c r="AJ508" i="20"/>
  <c r="AJ516" i="20"/>
  <c r="AJ524" i="20"/>
  <c r="AJ532" i="20"/>
  <c r="AJ540" i="20"/>
  <c r="AJ548" i="20"/>
  <c r="AJ556" i="20"/>
  <c r="AJ564" i="20"/>
  <c r="AJ572" i="20"/>
  <c r="AJ580" i="20"/>
  <c r="AJ588" i="20"/>
  <c r="AJ596" i="20"/>
  <c r="AJ604" i="20"/>
  <c r="AJ612" i="20"/>
  <c r="AJ620" i="20"/>
  <c r="AJ628" i="20"/>
  <c r="AJ636" i="20"/>
  <c r="AJ644" i="20"/>
  <c r="AJ652" i="20"/>
  <c r="AJ660" i="20"/>
  <c r="AJ668" i="20"/>
  <c r="AJ676" i="20"/>
  <c r="AJ684" i="20"/>
  <c r="AJ692" i="20"/>
  <c r="AJ700" i="20"/>
  <c r="AJ708" i="20"/>
  <c r="AJ716" i="20"/>
  <c r="AJ724" i="20"/>
  <c r="AJ732" i="20"/>
  <c r="AJ740" i="20"/>
  <c r="AJ748" i="20"/>
  <c r="AJ756" i="20"/>
  <c r="AJ764" i="20"/>
  <c r="AJ772" i="20"/>
  <c r="AJ780" i="20"/>
  <c r="AJ788" i="20"/>
  <c r="AJ796" i="20"/>
  <c r="AJ804" i="20"/>
  <c r="AJ812" i="20"/>
  <c r="AJ820" i="20"/>
  <c r="AJ828" i="20"/>
  <c r="AJ836" i="20"/>
  <c r="AJ844" i="20"/>
  <c r="AJ852" i="20"/>
  <c r="AJ860" i="20"/>
  <c r="AJ868" i="20"/>
  <c r="AJ876" i="20"/>
  <c r="AJ884" i="20"/>
  <c r="AJ892" i="20"/>
  <c r="AJ900" i="20"/>
  <c r="AJ908" i="20"/>
  <c r="AJ916" i="20"/>
  <c r="AJ924" i="20"/>
  <c r="AJ932" i="20"/>
  <c r="AJ940" i="20"/>
  <c r="AJ948" i="20"/>
  <c r="AJ956" i="20"/>
  <c r="AJ964" i="20"/>
  <c r="AJ972" i="20"/>
  <c r="AJ980" i="20"/>
  <c r="AJ988" i="20"/>
  <c r="AJ996" i="20"/>
  <c r="AJ1004" i="20"/>
  <c r="AJ1012" i="20"/>
  <c r="AJ1020" i="20"/>
  <c r="AJ1028" i="20"/>
  <c r="AJ1031" i="20"/>
  <c r="AJ717" i="20"/>
  <c r="AJ725" i="20"/>
  <c r="AJ733" i="20"/>
  <c r="AJ741" i="20"/>
  <c r="AJ749" i="20"/>
  <c r="AJ757" i="20"/>
  <c r="AJ765" i="20"/>
  <c r="AJ773" i="20"/>
  <c r="AJ781" i="20"/>
  <c r="AJ789" i="20"/>
  <c r="AJ797" i="20"/>
  <c r="AJ805" i="20"/>
  <c r="AJ813" i="20"/>
  <c r="AJ821" i="20"/>
  <c r="AJ829" i="20"/>
  <c r="AJ837" i="20"/>
  <c r="AJ845" i="20"/>
  <c r="AJ853" i="20"/>
  <c r="AJ861" i="20"/>
  <c r="AJ869" i="20"/>
  <c r="AJ877" i="20"/>
  <c r="AJ885" i="20"/>
  <c r="AJ893" i="20"/>
  <c r="AJ901" i="20"/>
  <c r="AJ909" i="20"/>
  <c r="AJ917" i="20"/>
  <c r="AJ925" i="20"/>
  <c r="AJ933" i="20"/>
  <c r="AJ941" i="20"/>
  <c r="AJ949" i="20"/>
  <c r="AJ957" i="20"/>
  <c r="AJ965" i="20"/>
  <c r="AJ973" i="20"/>
  <c r="AJ981" i="20"/>
  <c r="AJ989" i="20"/>
  <c r="AJ997" i="20"/>
  <c r="AJ1005" i="20"/>
  <c r="AJ1013" i="20"/>
  <c r="AJ1021" i="20"/>
  <c r="AJ1029" i="20"/>
  <c r="AJ1027" i="20"/>
  <c r="AJ718" i="20"/>
  <c r="AJ726" i="20"/>
  <c r="AJ734" i="20"/>
  <c r="AJ742" i="20"/>
  <c r="AJ750" i="20"/>
  <c r="AJ758" i="20"/>
  <c r="AJ766" i="20"/>
  <c r="AJ774" i="20"/>
  <c r="AJ782" i="20"/>
  <c r="AJ790" i="20"/>
  <c r="AJ798" i="20"/>
  <c r="AJ806" i="20"/>
  <c r="AJ814" i="20"/>
  <c r="AJ822" i="20"/>
  <c r="AJ830" i="20"/>
  <c r="AJ838" i="20"/>
  <c r="AJ846" i="20"/>
  <c r="AJ854" i="20"/>
  <c r="AJ862" i="20"/>
  <c r="AJ870" i="20"/>
  <c r="AJ878" i="20"/>
  <c r="AJ886" i="20"/>
  <c r="AJ894" i="20"/>
  <c r="AJ902" i="20"/>
  <c r="AJ910" i="20"/>
  <c r="AJ918" i="20"/>
  <c r="AJ926" i="20"/>
  <c r="AJ934" i="20"/>
  <c r="AJ942" i="20"/>
  <c r="AJ950" i="20"/>
  <c r="AJ958" i="20"/>
  <c r="AJ966" i="20"/>
  <c r="AJ974" i="20"/>
  <c r="AJ982" i="20"/>
  <c r="AJ990" i="20"/>
  <c r="AJ998" i="20"/>
  <c r="AJ1006" i="20"/>
  <c r="AJ1014" i="20"/>
  <c r="AJ1022" i="20"/>
  <c r="AJ1030" i="20"/>
  <c r="AJ1023" i="20"/>
  <c r="AJ719" i="20"/>
  <c r="AJ727" i="20"/>
  <c r="AJ735" i="20"/>
  <c r="AJ743" i="20"/>
  <c r="AJ751" i="20"/>
  <c r="AJ759" i="20"/>
  <c r="AJ767" i="20"/>
  <c r="AJ775" i="20"/>
  <c r="AJ783" i="20"/>
  <c r="AJ791" i="20"/>
  <c r="AJ799" i="20"/>
  <c r="AJ807" i="20"/>
  <c r="AJ815" i="20"/>
  <c r="AJ823" i="20"/>
  <c r="AJ831" i="20"/>
  <c r="AJ839" i="20"/>
  <c r="AJ847" i="20"/>
  <c r="AJ855" i="20"/>
  <c r="AJ863" i="20"/>
  <c r="AJ871" i="20"/>
  <c r="AJ879" i="20"/>
  <c r="AJ887" i="20"/>
  <c r="AJ895" i="20"/>
  <c r="AJ903" i="20"/>
  <c r="AJ911" i="20"/>
  <c r="AJ919" i="20"/>
  <c r="AJ927" i="20"/>
  <c r="AJ935" i="20"/>
  <c r="AJ943" i="20"/>
  <c r="AJ951" i="20"/>
  <c r="AJ959" i="20"/>
  <c r="AJ967" i="20"/>
  <c r="AJ975" i="20"/>
  <c r="AJ983" i="20"/>
  <c r="AJ991" i="20"/>
  <c r="AJ999" i="20"/>
  <c r="AJ1007" i="20"/>
  <c r="AJ1015" i="20"/>
  <c r="AJ720" i="20"/>
  <c r="AJ728" i="20"/>
  <c r="AJ736" i="20"/>
  <c r="AJ744" i="20"/>
  <c r="AJ752" i="20"/>
  <c r="AJ760" i="20"/>
  <c r="AJ768" i="20"/>
  <c r="AJ776" i="20"/>
  <c r="AJ784" i="20"/>
  <c r="AJ792" i="20"/>
  <c r="AJ800" i="20"/>
  <c r="AJ808" i="20"/>
  <c r="AJ816" i="20"/>
  <c r="AJ824" i="20"/>
  <c r="AJ832" i="20"/>
  <c r="AJ840" i="20"/>
  <c r="AJ848" i="20"/>
  <c r="AJ856" i="20"/>
  <c r="AJ864" i="20"/>
  <c r="AJ872" i="20"/>
  <c r="AJ880" i="20"/>
  <c r="AJ888" i="20"/>
  <c r="AJ896" i="20"/>
  <c r="AJ904" i="20"/>
  <c r="AJ912" i="20"/>
  <c r="AJ920" i="20"/>
  <c r="AJ928" i="20"/>
  <c r="AJ936" i="20"/>
  <c r="AJ944" i="20"/>
  <c r="AJ952" i="20"/>
  <c r="AJ960" i="20"/>
  <c r="AJ968" i="20"/>
  <c r="AJ976" i="20"/>
  <c r="AJ984" i="20"/>
  <c r="AJ992" i="20"/>
  <c r="AJ1000" i="20"/>
  <c r="AJ1008" i="20"/>
  <c r="AJ1016" i="20"/>
  <c r="AJ1024" i="20"/>
  <c r="AJ1032" i="20"/>
  <c r="AJ1034" i="20"/>
  <c r="AJ721" i="20"/>
  <c r="AJ729" i="20"/>
  <c r="AJ737" i="20"/>
  <c r="AJ745" i="20"/>
  <c r="AJ753" i="20"/>
  <c r="AJ761" i="20"/>
  <c r="AJ769" i="20"/>
  <c r="AJ777" i="20"/>
  <c r="AJ785" i="20"/>
  <c r="AJ793" i="20"/>
  <c r="AJ801" i="20"/>
  <c r="AJ809" i="20"/>
  <c r="AJ817" i="20"/>
  <c r="AJ825" i="20"/>
  <c r="AJ833" i="20"/>
  <c r="AJ841" i="20"/>
  <c r="AJ849" i="20"/>
  <c r="AJ857" i="20"/>
  <c r="AJ865" i="20"/>
  <c r="AJ873" i="20"/>
  <c r="AJ881" i="20"/>
  <c r="AJ889" i="20"/>
  <c r="AJ897" i="20"/>
  <c r="AJ905" i="20"/>
  <c r="AJ913" i="20"/>
  <c r="AJ921" i="20"/>
  <c r="AJ929" i="20"/>
  <c r="AJ937" i="20"/>
  <c r="AJ945" i="20"/>
  <c r="AJ953" i="20"/>
  <c r="AJ961" i="20"/>
  <c r="AJ969" i="20"/>
  <c r="AJ977" i="20"/>
  <c r="AJ985" i="20"/>
  <c r="AJ993" i="20"/>
  <c r="AJ1001" i="20"/>
  <c r="AJ1009" i="20"/>
  <c r="AJ1017" i="20"/>
  <c r="AJ1025" i="20"/>
  <c r="AJ1033" i="20"/>
  <c r="AJ35" i="20"/>
  <c r="AJ722" i="20"/>
  <c r="AJ730" i="20"/>
  <c r="AJ738" i="20"/>
  <c r="AJ746" i="20"/>
  <c r="AJ754" i="20"/>
  <c r="AJ762" i="20"/>
  <c r="AJ770" i="20"/>
  <c r="AJ778" i="20"/>
  <c r="AJ786" i="20"/>
  <c r="AJ794" i="20"/>
  <c r="AJ802" i="20"/>
  <c r="AJ810" i="20"/>
  <c r="AJ818" i="20"/>
  <c r="AJ826" i="20"/>
  <c r="AJ834" i="20"/>
  <c r="AJ842" i="20"/>
  <c r="AJ850" i="20"/>
  <c r="AJ858" i="20"/>
  <c r="AJ866" i="20"/>
  <c r="AJ874" i="20"/>
  <c r="AJ882" i="20"/>
  <c r="AJ890" i="20"/>
  <c r="AJ898" i="20"/>
  <c r="AJ906" i="20"/>
  <c r="AJ914" i="20"/>
  <c r="AJ922" i="20"/>
  <c r="AJ930" i="20"/>
  <c r="AJ938" i="20"/>
  <c r="AJ946" i="20"/>
  <c r="AJ954" i="20"/>
  <c r="AJ962" i="20"/>
  <c r="AJ970" i="20"/>
  <c r="AJ978" i="20"/>
  <c r="AJ986" i="20"/>
  <c r="AJ994" i="20"/>
  <c r="AJ1002" i="20"/>
  <c r="AJ1010" i="20"/>
  <c r="AJ1018" i="20"/>
  <c r="AJ1026" i="20"/>
  <c r="AJ713" i="20"/>
  <c r="AJ723" i="20"/>
  <c r="AJ731" i="20"/>
  <c r="AJ739" i="20"/>
  <c r="AJ747" i="20"/>
  <c r="AJ755" i="20"/>
  <c r="AJ763" i="20"/>
  <c r="AJ771" i="20"/>
  <c r="AJ779" i="20"/>
  <c r="AJ787" i="20"/>
  <c r="AJ795" i="20"/>
  <c r="AJ803" i="20"/>
  <c r="AJ811" i="20"/>
  <c r="AJ819" i="20"/>
  <c r="AJ827" i="20"/>
  <c r="AJ835" i="20"/>
  <c r="AJ843" i="20"/>
  <c r="AJ851" i="20"/>
  <c r="AJ859" i="20"/>
  <c r="AJ867" i="20"/>
  <c r="AJ875" i="20"/>
  <c r="AJ883" i="20"/>
  <c r="AJ891" i="20"/>
  <c r="AJ899" i="20"/>
  <c r="AJ907" i="20"/>
  <c r="AJ915" i="20"/>
  <c r="AJ923" i="20"/>
  <c r="AJ931" i="20"/>
  <c r="AJ939" i="20"/>
  <c r="AJ947" i="20"/>
  <c r="AJ955" i="20"/>
  <c r="AJ963" i="20"/>
  <c r="AJ971" i="20"/>
  <c r="AJ979" i="20"/>
  <c r="AJ987" i="20"/>
  <c r="AJ995" i="20"/>
  <c r="AJ1003" i="20"/>
  <c r="AJ1011" i="20"/>
  <c r="AJ1019" i="20"/>
  <c r="AI37" i="20"/>
  <c r="AI45" i="20"/>
  <c r="AI53" i="20"/>
  <c r="AI61" i="20"/>
  <c r="AI69" i="20"/>
  <c r="AI77" i="20"/>
  <c r="AI85" i="20"/>
  <c r="AI93" i="20"/>
  <c r="AI101" i="20"/>
  <c r="AI109" i="20"/>
  <c r="AI117" i="20"/>
  <c r="AI125" i="20"/>
  <c r="AI133" i="20"/>
  <c r="AI141" i="20"/>
  <c r="AI149" i="20"/>
  <c r="AI157" i="20"/>
  <c r="AI165" i="20"/>
  <c r="AI173" i="20"/>
  <c r="AI181" i="20"/>
  <c r="AI189" i="20"/>
  <c r="AI197" i="20"/>
  <c r="AI205" i="20"/>
  <c r="AI213" i="20"/>
  <c r="AI221" i="20"/>
  <c r="AI229" i="20"/>
  <c r="AI237" i="20"/>
  <c r="AI245" i="20"/>
  <c r="AI253" i="20"/>
  <c r="AI261" i="20"/>
  <c r="AI269" i="20"/>
  <c r="AI277" i="20"/>
  <c r="AI285" i="20"/>
  <c r="AI293" i="20"/>
  <c r="AI301" i="20"/>
  <c r="AI309" i="20"/>
  <c r="AI317" i="20"/>
  <c r="AI325" i="20"/>
  <c r="AI333" i="20"/>
  <c r="AI341" i="20"/>
  <c r="AI349" i="20"/>
  <c r="AI357" i="20"/>
  <c r="AI365" i="20"/>
  <c r="AI373" i="20"/>
  <c r="AI381" i="20"/>
  <c r="AI389" i="20"/>
  <c r="AI397" i="20"/>
  <c r="AI405" i="20"/>
  <c r="AI413" i="20"/>
  <c r="AI421" i="20"/>
  <c r="AI429" i="20"/>
  <c r="AI437" i="20"/>
  <c r="AI445" i="20"/>
  <c r="AI453" i="20"/>
  <c r="AI461" i="20"/>
  <c r="AI469" i="20"/>
  <c r="AI477" i="20"/>
  <c r="AI485" i="20"/>
  <c r="AI493" i="20"/>
  <c r="AI501" i="20"/>
  <c r="AI509" i="20"/>
  <c r="AI517" i="20"/>
  <c r="AI525" i="20"/>
  <c r="AI533" i="20"/>
  <c r="AI541" i="20"/>
  <c r="AI549" i="20"/>
  <c r="AI557" i="20"/>
  <c r="AI565" i="20"/>
  <c r="AI573" i="20"/>
  <c r="AI581" i="20"/>
  <c r="AI589" i="20"/>
  <c r="AI597" i="20"/>
  <c r="AI605" i="20"/>
  <c r="AI613" i="20"/>
  <c r="AI621" i="20"/>
  <c r="AI629" i="20"/>
  <c r="AI637" i="20"/>
  <c r="AI645" i="20"/>
  <c r="AI653" i="20"/>
  <c r="AI661" i="20"/>
  <c r="AI669" i="20"/>
  <c r="AI677" i="20"/>
  <c r="AI685" i="20"/>
  <c r="AI693" i="20"/>
  <c r="AI701" i="20"/>
  <c r="AI709" i="20"/>
  <c r="AI38" i="20"/>
  <c r="AI46" i="20"/>
  <c r="AI54" i="20"/>
  <c r="AI62" i="20"/>
  <c r="AI70" i="20"/>
  <c r="AI78" i="20"/>
  <c r="AI86" i="20"/>
  <c r="AI94" i="20"/>
  <c r="AI102" i="20"/>
  <c r="AI110" i="20"/>
  <c r="AI118" i="20"/>
  <c r="AI126" i="20"/>
  <c r="AI134" i="20"/>
  <c r="AI142" i="20"/>
  <c r="AI150" i="20"/>
  <c r="AI158" i="20"/>
  <c r="AI166" i="20"/>
  <c r="AI174" i="20"/>
  <c r="AI182" i="20"/>
  <c r="AI190" i="20"/>
  <c r="AI198" i="20"/>
  <c r="AI206" i="20"/>
  <c r="AI214" i="20"/>
  <c r="AI222" i="20"/>
  <c r="AI230" i="20"/>
  <c r="AI238" i="20"/>
  <c r="AI246" i="20"/>
  <c r="AI254" i="20"/>
  <c r="AI262" i="20"/>
  <c r="AI270" i="20"/>
  <c r="AI278" i="20"/>
  <c r="AI286" i="20"/>
  <c r="AI294" i="20"/>
  <c r="AI302" i="20"/>
  <c r="AI310" i="20"/>
  <c r="AI318" i="20"/>
  <c r="AI326" i="20"/>
  <c r="AI334" i="20"/>
  <c r="AI342" i="20"/>
  <c r="AI350" i="20"/>
  <c r="AI358" i="20"/>
  <c r="AI366" i="20"/>
  <c r="AI374" i="20"/>
  <c r="AI382" i="20"/>
  <c r="AI390" i="20"/>
  <c r="AI398" i="20"/>
  <c r="AI406" i="20"/>
  <c r="AI414" i="20"/>
  <c r="AI422" i="20"/>
  <c r="AI430" i="20"/>
  <c r="AI438" i="20"/>
  <c r="AI446" i="20"/>
  <c r="AI454" i="20"/>
  <c r="AI462" i="20"/>
  <c r="AI470" i="20"/>
  <c r="AI478" i="20"/>
  <c r="AI486" i="20"/>
  <c r="AI494" i="20"/>
  <c r="AI502" i="20"/>
  <c r="AI510" i="20"/>
  <c r="AI518" i="20"/>
  <c r="AI526" i="20"/>
  <c r="AI534" i="20"/>
  <c r="AI542" i="20"/>
  <c r="AI550" i="20"/>
  <c r="AI558" i="20"/>
  <c r="AI566" i="20"/>
  <c r="AI574" i="20"/>
  <c r="AI582" i="20"/>
  <c r="AI590" i="20"/>
  <c r="AI598" i="20"/>
  <c r="AI606" i="20"/>
  <c r="AI614" i="20"/>
  <c r="AI622" i="20"/>
  <c r="AI630" i="20"/>
  <c r="AI638" i="20"/>
  <c r="AI646" i="20"/>
  <c r="AI654" i="20"/>
  <c r="AI662" i="20"/>
  <c r="AI670" i="20"/>
  <c r="AI678" i="20"/>
  <c r="AI686" i="20"/>
  <c r="AI694" i="20"/>
  <c r="AI702" i="20"/>
  <c r="AI710" i="20"/>
  <c r="AI39" i="20"/>
  <c r="AI47" i="20"/>
  <c r="AI55" i="20"/>
  <c r="AI63" i="20"/>
  <c r="AI71" i="20"/>
  <c r="AI79" i="20"/>
  <c r="AI87" i="20"/>
  <c r="AI95" i="20"/>
  <c r="AI103" i="20"/>
  <c r="AI111" i="20"/>
  <c r="AI119" i="20"/>
  <c r="AI127" i="20"/>
  <c r="AI135" i="20"/>
  <c r="AI143" i="20"/>
  <c r="AI151" i="20"/>
  <c r="AI159" i="20"/>
  <c r="AI167" i="20"/>
  <c r="AI175" i="20"/>
  <c r="AI183" i="20"/>
  <c r="AI191" i="20"/>
  <c r="AI199" i="20"/>
  <c r="AI207" i="20"/>
  <c r="AI215" i="20"/>
  <c r="AI223" i="20"/>
  <c r="AI231" i="20"/>
  <c r="AI239" i="20"/>
  <c r="AI247" i="20"/>
  <c r="AI255" i="20"/>
  <c r="AI263" i="20"/>
  <c r="AI271" i="20"/>
  <c r="AI279" i="20"/>
  <c r="AI287" i="20"/>
  <c r="AI295" i="20"/>
  <c r="AI303" i="20"/>
  <c r="AI311" i="20"/>
  <c r="AI319" i="20"/>
  <c r="AI327" i="20"/>
  <c r="AI335" i="20"/>
  <c r="AI343" i="20"/>
  <c r="AI351" i="20"/>
  <c r="AI359" i="20"/>
  <c r="AI367" i="20"/>
  <c r="AI375" i="20"/>
  <c r="AI383" i="20"/>
  <c r="AI391" i="20"/>
  <c r="AI399" i="20"/>
  <c r="AI407" i="20"/>
  <c r="AI415" i="20"/>
  <c r="AI423" i="20"/>
  <c r="AI431" i="20"/>
  <c r="AI439" i="20"/>
  <c r="AI447" i="20"/>
  <c r="AI455" i="20"/>
  <c r="AI463" i="20"/>
  <c r="AI471" i="20"/>
  <c r="AI479" i="20"/>
  <c r="AI487" i="20"/>
  <c r="AI495" i="20"/>
  <c r="AI503" i="20"/>
  <c r="AI511" i="20"/>
  <c r="AI519" i="20"/>
  <c r="AI527" i="20"/>
  <c r="AI535" i="20"/>
  <c r="AI543" i="20"/>
  <c r="AI551" i="20"/>
  <c r="AI559" i="20"/>
  <c r="AI567" i="20"/>
  <c r="AI575" i="20"/>
  <c r="AI583" i="20"/>
  <c r="AI591" i="20"/>
  <c r="AI599" i="20"/>
  <c r="AI607" i="20"/>
  <c r="AI615" i="20"/>
  <c r="AI623" i="20"/>
  <c r="AI631" i="20"/>
  <c r="AI639" i="20"/>
  <c r="AI647" i="20"/>
  <c r="AI655" i="20"/>
  <c r="AI663" i="20"/>
  <c r="AI671" i="20"/>
  <c r="AI679" i="20"/>
  <c r="AI687" i="20"/>
  <c r="AI695" i="20"/>
  <c r="AI703" i="20"/>
  <c r="AI711" i="20"/>
  <c r="AI40" i="20"/>
  <c r="AI48" i="20"/>
  <c r="AI56" i="20"/>
  <c r="AI64" i="20"/>
  <c r="AI72" i="20"/>
  <c r="AI80" i="20"/>
  <c r="AI88" i="20"/>
  <c r="AI96" i="20"/>
  <c r="AI104" i="20"/>
  <c r="AI112" i="20"/>
  <c r="AI120" i="20"/>
  <c r="AI128" i="20"/>
  <c r="AI136" i="20"/>
  <c r="AI144" i="20"/>
  <c r="AI152" i="20"/>
  <c r="AI160" i="20"/>
  <c r="AI168" i="20"/>
  <c r="AI176" i="20"/>
  <c r="AI184" i="20"/>
  <c r="AI192" i="20"/>
  <c r="AI200" i="20"/>
  <c r="AI208" i="20"/>
  <c r="AI216" i="20"/>
  <c r="AI224" i="20"/>
  <c r="AI232" i="20"/>
  <c r="AI240" i="20"/>
  <c r="AI248" i="20"/>
  <c r="AI256" i="20"/>
  <c r="AI264" i="20"/>
  <c r="AI272" i="20"/>
  <c r="AI280" i="20"/>
  <c r="AI288" i="20"/>
  <c r="AI296" i="20"/>
  <c r="AI304" i="20"/>
  <c r="AI312" i="20"/>
  <c r="AI320" i="20"/>
  <c r="AI328" i="20"/>
  <c r="AI336" i="20"/>
  <c r="AI344" i="20"/>
  <c r="AI352" i="20"/>
  <c r="AI360" i="20"/>
  <c r="AI368" i="20"/>
  <c r="AI376" i="20"/>
  <c r="AI384" i="20"/>
  <c r="AI392" i="20"/>
  <c r="AI400" i="20"/>
  <c r="AI408" i="20"/>
  <c r="AI416" i="20"/>
  <c r="AI424" i="20"/>
  <c r="AI432" i="20"/>
  <c r="AI440" i="20"/>
  <c r="AI448" i="20"/>
  <c r="AI456" i="20"/>
  <c r="AI464" i="20"/>
  <c r="AI472" i="20"/>
  <c r="AI480" i="20"/>
  <c r="AI488" i="20"/>
  <c r="AI496" i="20"/>
  <c r="AI504" i="20"/>
  <c r="AI512" i="20"/>
  <c r="AI520" i="20"/>
  <c r="AI528" i="20"/>
  <c r="AI536" i="20"/>
  <c r="AI544" i="20"/>
  <c r="AI552" i="20"/>
  <c r="AI560" i="20"/>
  <c r="AI568" i="20"/>
  <c r="AI576" i="20"/>
  <c r="AI584" i="20"/>
  <c r="AI592" i="20"/>
  <c r="AI600" i="20"/>
  <c r="AI608" i="20"/>
  <c r="AI616" i="20"/>
  <c r="AI624" i="20"/>
  <c r="AI632" i="20"/>
  <c r="AI640" i="20"/>
  <c r="AI648" i="20"/>
  <c r="AI656" i="20"/>
  <c r="AI664" i="20"/>
  <c r="AI672" i="20"/>
  <c r="AI680" i="20"/>
  <c r="AI688" i="20"/>
  <c r="AI696" i="20"/>
  <c r="AI704" i="20"/>
  <c r="AI712" i="20"/>
  <c r="AI41" i="20"/>
  <c r="AI49" i="20"/>
  <c r="AI57" i="20"/>
  <c r="AI65" i="20"/>
  <c r="AI73" i="20"/>
  <c r="AI81" i="20"/>
  <c r="AI89" i="20"/>
  <c r="AI97" i="20"/>
  <c r="AI105" i="20"/>
  <c r="AI113" i="20"/>
  <c r="AI121" i="20"/>
  <c r="AI129" i="20"/>
  <c r="AI137" i="20"/>
  <c r="AI145" i="20"/>
  <c r="AI153" i="20"/>
  <c r="AI161" i="20"/>
  <c r="AI169" i="20"/>
  <c r="AI177" i="20"/>
  <c r="AI185" i="20"/>
  <c r="AI193" i="20"/>
  <c r="AI201" i="20"/>
  <c r="AI209" i="20"/>
  <c r="AI217" i="20"/>
  <c r="AI225" i="20"/>
  <c r="AI233" i="20"/>
  <c r="AI241" i="20"/>
  <c r="AI249" i="20"/>
  <c r="AI257" i="20"/>
  <c r="AI265" i="20"/>
  <c r="AI273" i="20"/>
  <c r="AI281" i="20"/>
  <c r="AI289" i="20"/>
  <c r="AI297" i="20"/>
  <c r="AI305" i="20"/>
  <c r="AI313" i="20"/>
  <c r="AI321" i="20"/>
  <c r="AI329" i="20"/>
  <c r="AI337" i="20"/>
  <c r="AI345" i="20"/>
  <c r="AI353" i="20"/>
  <c r="AI361" i="20"/>
  <c r="AI369" i="20"/>
  <c r="AI377" i="20"/>
  <c r="AI385" i="20"/>
  <c r="AI393" i="20"/>
  <c r="AI401" i="20"/>
  <c r="AI409" i="20"/>
  <c r="AI417" i="20"/>
  <c r="AI425" i="20"/>
  <c r="AI433" i="20"/>
  <c r="AI441" i="20"/>
  <c r="AI449" i="20"/>
  <c r="AI457" i="20"/>
  <c r="AI465" i="20"/>
  <c r="AI473" i="20"/>
  <c r="AI481" i="20"/>
  <c r="AI489" i="20"/>
  <c r="AI497" i="20"/>
  <c r="AI505" i="20"/>
  <c r="AI513" i="20"/>
  <c r="AI521" i="20"/>
  <c r="AI529" i="20"/>
  <c r="AI537" i="20"/>
  <c r="AI545" i="20"/>
  <c r="AI553" i="20"/>
  <c r="AI561" i="20"/>
  <c r="AI569" i="20"/>
  <c r="AI577" i="20"/>
  <c r="AI585" i="20"/>
  <c r="AI593" i="20"/>
  <c r="AI601" i="20"/>
  <c r="AI609" i="20"/>
  <c r="AI617" i="20"/>
  <c r="AI625" i="20"/>
  <c r="AI633" i="20"/>
  <c r="AI641" i="20"/>
  <c r="AI649" i="20"/>
  <c r="AI657" i="20"/>
  <c r="AI665" i="20"/>
  <c r="AI673" i="20"/>
  <c r="AI681" i="20"/>
  <c r="AI689" i="20"/>
  <c r="AI697" i="20"/>
  <c r="AI705" i="20"/>
  <c r="AI713" i="20"/>
  <c r="AI42" i="20"/>
  <c r="AI50" i="20"/>
  <c r="AI58" i="20"/>
  <c r="AI66" i="20"/>
  <c r="AI74" i="20"/>
  <c r="AI82" i="20"/>
  <c r="AI90" i="20"/>
  <c r="AI98" i="20"/>
  <c r="AI106" i="20"/>
  <c r="AI114" i="20"/>
  <c r="AI122" i="20"/>
  <c r="AI130" i="20"/>
  <c r="AI138" i="20"/>
  <c r="AI146" i="20"/>
  <c r="AI154" i="20"/>
  <c r="AI162" i="20"/>
  <c r="AI170" i="20"/>
  <c r="AI178" i="20"/>
  <c r="AI186" i="20"/>
  <c r="AI194" i="20"/>
  <c r="AI202" i="20"/>
  <c r="AI210" i="20"/>
  <c r="AI218" i="20"/>
  <c r="AI226" i="20"/>
  <c r="AI234" i="20"/>
  <c r="AI242" i="20"/>
  <c r="AI250" i="20"/>
  <c r="AI258" i="20"/>
  <c r="AI266" i="20"/>
  <c r="AI274" i="20"/>
  <c r="AI282" i="20"/>
  <c r="AI290" i="20"/>
  <c r="AI298" i="20"/>
  <c r="AI306" i="20"/>
  <c r="AI314" i="20"/>
  <c r="AI322" i="20"/>
  <c r="AI330" i="20"/>
  <c r="AI338" i="20"/>
  <c r="AI346" i="20"/>
  <c r="AI354" i="20"/>
  <c r="AI362" i="20"/>
  <c r="AI370" i="20"/>
  <c r="AI378" i="20"/>
  <c r="AI386" i="20"/>
  <c r="AI394" i="20"/>
  <c r="AI402" i="20"/>
  <c r="AI410" i="20"/>
  <c r="AI418" i="20"/>
  <c r="AI426" i="20"/>
  <c r="AI434" i="20"/>
  <c r="AI442" i="20"/>
  <c r="AI450" i="20"/>
  <c r="AI458" i="20"/>
  <c r="AI466" i="20"/>
  <c r="AI474" i="20"/>
  <c r="AI482" i="20"/>
  <c r="AI490" i="20"/>
  <c r="AI498" i="20"/>
  <c r="AI506" i="20"/>
  <c r="AI514" i="20"/>
  <c r="AI522" i="20"/>
  <c r="AI530" i="20"/>
  <c r="AI538" i="20"/>
  <c r="AI546" i="20"/>
  <c r="AI554" i="20"/>
  <c r="AI562" i="20"/>
  <c r="AI570" i="20"/>
  <c r="AI578" i="20"/>
  <c r="AI586" i="20"/>
  <c r="AI594" i="20"/>
  <c r="AI602" i="20"/>
  <c r="AI610" i="20"/>
  <c r="AI618" i="20"/>
  <c r="AI626" i="20"/>
  <c r="AI634" i="20"/>
  <c r="AI642" i="20"/>
  <c r="AI650" i="20"/>
  <c r="AI658" i="20"/>
  <c r="AI666" i="20"/>
  <c r="AI674" i="20"/>
  <c r="AI682" i="20"/>
  <c r="AI690" i="20"/>
  <c r="AI698" i="20"/>
  <c r="AI706" i="20"/>
  <c r="AI714" i="20"/>
  <c r="AI43" i="20"/>
  <c r="AI51" i="20"/>
  <c r="AI59" i="20"/>
  <c r="AI67" i="20"/>
  <c r="AI75" i="20"/>
  <c r="AI83" i="20"/>
  <c r="AI91" i="20"/>
  <c r="AI99" i="20"/>
  <c r="AI107" i="20"/>
  <c r="AI115" i="20"/>
  <c r="AI123" i="20"/>
  <c r="AI131" i="20"/>
  <c r="AI139" i="20"/>
  <c r="AI147" i="20"/>
  <c r="AI155" i="20"/>
  <c r="AI163" i="20"/>
  <c r="AI171" i="20"/>
  <c r="AI179" i="20"/>
  <c r="AI187" i="20"/>
  <c r="AI195" i="20"/>
  <c r="AI203" i="20"/>
  <c r="AI211" i="20"/>
  <c r="AI219" i="20"/>
  <c r="AI227" i="20"/>
  <c r="AI235" i="20"/>
  <c r="AI243" i="20"/>
  <c r="AI251" i="20"/>
  <c r="AI259" i="20"/>
  <c r="AI267" i="20"/>
  <c r="AI275" i="20"/>
  <c r="AI283" i="20"/>
  <c r="AI291" i="20"/>
  <c r="AI299" i="20"/>
  <c r="AI307" i="20"/>
  <c r="AI315" i="20"/>
  <c r="AI323" i="20"/>
  <c r="AI331" i="20"/>
  <c r="AI339" i="20"/>
  <c r="AI347" i="20"/>
  <c r="AI355" i="20"/>
  <c r="AI363" i="20"/>
  <c r="AI371" i="20"/>
  <c r="AI379" i="20"/>
  <c r="AI387" i="20"/>
  <c r="AI395" i="20"/>
  <c r="AI403" i="20"/>
  <c r="AI411" i="20"/>
  <c r="AI419" i="20"/>
  <c r="AI427" i="20"/>
  <c r="AI435" i="20"/>
  <c r="AI443" i="20"/>
  <c r="AI451" i="20"/>
  <c r="AI459" i="20"/>
  <c r="AI467" i="20"/>
  <c r="AI475" i="20"/>
  <c r="AI483" i="20"/>
  <c r="AI491" i="20"/>
  <c r="AI499" i="20"/>
  <c r="AI507" i="20"/>
  <c r="AI515" i="20"/>
  <c r="AI523" i="20"/>
  <c r="AI531" i="20"/>
  <c r="AI539" i="20"/>
  <c r="AI547" i="20"/>
  <c r="AI555" i="20"/>
  <c r="AI563" i="20"/>
  <c r="AI571" i="20"/>
  <c r="AI579" i="20"/>
  <c r="AI587" i="20"/>
  <c r="AI595" i="20"/>
  <c r="AI603" i="20"/>
  <c r="AI611" i="20"/>
  <c r="AI619" i="20"/>
  <c r="AI627" i="20"/>
  <c r="AI635" i="20"/>
  <c r="AI643" i="20"/>
  <c r="AI651" i="20"/>
  <c r="AI659" i="20"/>
  <c r="AI667" i="20"/>
  <c r="AI675" i="20"/>
  <c r="AI683" i="20"/>
  <c r="AI691" i="20"/>
  <c r="AI699" i="20"/>
  <c r="AI707" i="20"/>
  <c r="AI715" i="20"/>
  <c r="AI36" i="20"/>
  <c r="AI44" i="20"/>
  <c r="AI52" i="20"/>
  <c r="AI60" i="20"/>
  <c r="AI68" i="20"/>
  <c r="AI76" i="20"/>
  <c r="AI84" i="20"/>
  <c r="AI92" i="20"/>
  <c r="AI100" i="20"/>
  <c r="AI108" i="20"/>
  <c r="AI116" i="20"/>
  <c r="AI124" i="20"/>
  <c r="AI132" i="20"/>
  <c r="AI140" i="20"/>
  <c r="AI148" i="20"/>
  <c r="AI156" i="20"/>
  <c r="AI164" i="20"/>
  <c r="AI172" i="20"/>
  <c r="AI180" i="20"/>
  <c r="AI188" i="20"/>
  <c r="AI196" i="20"/>
  <c r="AI204" i="20"/>
  <c r="AI212" i="20"/>
  <c r="AI220" i="20"/>
  <c r="AI228" i="20"/>
  <c r="AI236" i="20"/>
  <c r="AI244" i="20"/>
  <c r="AI252" i="20"/>
  <c r="AI260" i="20"/>
  <c r="AI268" i="20"/>
  <c r="AI276" i="20"/>
  <c r="AI284" i="20"/>
  <c r="AI292" i="20"/>
  <c r="AI300" i="20"/>
  <c r="AI308" i="20"/>
  <c r="AI316" i="20"/>
  <c r="AI324" i="20"/>
  <c r="AI332" i="20"/>
  <c r="AI340" i="20"/>
  <c r="AI348" i="20"/>
  <c r="AI356" i="20"/>
  <c r="AI364" i="20"/>
  <c r="AI372" i="20"/>
  <c r="AI380" i="20"/>
  <c r="AI388" i="20"/>
  <c r="AI396" i="20"/>
  <c r="AI404" i="20"/>
  <c r="AI412" i="20"/>
  <c r="AI420" i="20"/>
  <c r="AI428" i="20"/>
  <c r="AI436" i="20"/>
  <c r="AI444" i="20"/>
  <c r="AI452" i="20"/>
  <c r="AI460" i="20"/>
  <c r="AI468" i="20"/>
  <c r="AI476" i="20"/>
  <c r="AI484" i="20"/>
  <c r="AI492" i="20"/>
  <c r="AI500" i="20"/>
  <c r="AI508" i="20"/>
  <c r="AI516" i="20"/>
  <c r="AI524" i="20"/>
  <c r="AI532" i="20"/>
  <c r="AI540" i="20"/>
  <c r="AI548" i="20"/>
  <c r="AI556" i="20"/>
  <c r="AI564" i="20"/>
  <c r="AI572" i="20"/>
  <c r="AI580" i="20"/>
  <c r="AI588" i="20"/>
  <c r="AI596" i="20"/>
  <c r="AI604" i="20"/>
  <c r="AI612" i="20"/>
  <c r="AI620" i="20"/>
  <c r="AI628" i="20"/>
  <c r="AI636" i="20"/>
  <c r="AI644" i="20"/>
  <c r="AI652" i="20"/>
  <c r="AI660" i="20"/>
  <c r="AI668" i="20"/>
  <c r="AI676" i="20"/>
  <c r="AI684" i="20"/>
  <c r="AI692" i="20"/>
  <c r="AI700" i="20"/>
  <c r="AI708" i="20"/>
  <c r="AI717" i="20"/>
  <c r="AI725" i="20"/>
  <c r="AI733" i="20"/>
  <c r="AI741" i="20"/>
  <c r="AI749" i="20"/>
  <c r="AI757" i="20"/>
  <c r="AI765" i="20"/>
  <c r="AI773" i="20"/>
  <c r="AI781" i="20"/>
  <c r="AI789" i="20"/>
  <c r="AI797" i="20"/>
  <c r="AI805" i="20"/>
  <c r="AI813" i="20"/>
  <c r="AI821" i="20"/>
  <c r="AI829" i="20"/>
  <c r="AI837" i="20"/>
  <c r="AI845" i="20"/>
  <c r="AI853" i="20"/>
  <c r="AI861" i="20"/>
  <c r="AI869" i="20"/>
  <c r="AI877" i="20"/>
  <c r="AI885" i="20"/>
  <c r="AI893" i="20"/>
  <c r="AI901" i="20"/>
  <c r="AI909" i="20"/>
  <c r="AI917" i="20"/>
  <c r="AI925" i="20"/>
  <c r="AI933" i="20"/>
  <c r="AI941" i="20"/>
  <c r="AI949" i="20"/>
  <c r="AI957" i="20"/>
  <c r="AI965" i="20"/>
  <c r="AI973" i="20"/>
  <c r="AI981" i="20"/>
  <c r="AI989" i="20"/>
  <c r="AI997" i="20"/>
  <c r="AI1005" i="20"/>
  <c r="AI1013" i="20"/>
  <c r="AI1021" i="20"/>
  <c r="AI1029" i="20"/>
  <c r="AI718" i="20"/>
  <c r="AI726" i="20"/>
  <c r="AI734" i="20"/>
  <c r="AI742" i="20"/>
  <c r="AI750" i="20"/>
  <c r="AI758" i="20"/>
  <c r="AI766" i="20"/>
  <c r="AI774" i="20"/>
  <c r="AI782" i="20"/>
  <c r="AI790" i="20"/>
  <c r="AI798" i="20"/>
  <c r="AI806" i="20"/>
  <c r="AI814" i="20"/>
  <c r="AI822" i="20"/>
  <c r="AI830" i="20"/>
  <c r="AI838" i="20"/>
  <c r="AI846" i="20"/>
  <c r="AI854" i="20"/>
  <c r="AI862" i="20"/>
  <c r="AI870" i="20"/>
  <c r="AI878" i="20"/>
  <c r="AI886" i="20"/>
  <c r="AI894" i="20"/>
  <c r="AI902" i="20"/>
  <c r="AI910" i="20"/>
  <c r="AI918" i="20"/>
  <c r="AI926" i="20"/>
  <c r="AI934" i="20"/>
  <c r="AI942" i="20"/>
  <c r="AI950" i="20"/>
  <c r="AI958" i="20"/>
  <c r="AI966" i="20"/>
  <c r="AI974" i="20"/>
  <c r="AI982" i="20"/>
  <c r="AI990" i="20"/>
  <c r="AI998" i="20"/>
  <c r="AI1006" i="20"/>
  <c r="AI1014" i="20"/>
  <c r="AI1022" i="20"/>
  <c r="AI1030" i="20"/>
  <c r="AI719" i="20"/>
  <c r="AI727" i="20"/>
  <c r="AI735" i="20"/>
  <c r="AI743" i="20"/>
  <c r="AI751" i="20"/>
  <c r="AI759" i="20"/>
  <c r="AI767" i="20"/>
  <c r="AI775" i="20"/>
  <c r="AI783" i="20"/>
  <c r="AI791" i="20"/>
  <c r="AI799" i="20"/>
  <c r="AI807" i="20"/>
  <c r="AI815" i="20"/>
  <c r="AI823" i="20"/>
  <c r="AI831" i="20"/>
  <c r="AI839" i="20"/>
  <c r="AI847" i="20"/>
  <c r="AI855" i="20"/>
  <c r="AI863" i="20"/>
  <c r="AI871" i="20"/>
  <c r="AI879" i="20"/>
  <c r="AI887" i="20"/>
  <c r="AI895" i="20"/>
  <c r="AI903" i="20"/>
  <c r="AI911" i="20"/>
  <c r="AI919" i="20"/>
  <c r="AI927" i="20"/>
  <c r="AI935" i="20"/>
  <c r="AI943" i="20"/>
  <c r="AI951" i="20"/>
  <c r="AI959" i="20"/>
  <c r="AI967" i="20"/>
  <c r="AI975" i="20"/>
  <c r="AI983" i="20"/>
  <c r="AI991" i="20"/>
  <c r="AI999" i="20"/>
  <c r="AI1007" i="20"/>
  <c r="AI1015" i="20"/>
  <c r="AI1023" i="20"/>
  <c r="AI1031" i="20"/>
  <c r="AI720" i="20"/>
  <c r="AI728" i="20"/>
  <c r="AI736" i="20"/>
  <c r="AI744" i="20"/>
  <c r="AI752" i="20"/>
  <c r="AI760" i="20"/>
  <c r="AI768" i="20"/>
  <c r="AI776" i="20"/>
  <c r="AI784" i="20"/>
  <c r="AI792" i="20"/>
  <c r="AI800" i="20"/>
  <c r="AI808" i="20"/>
  <c r="AI816" i="20"/>
  <c r="AI824" i="20"/>
  <c r="AI832" i="20"/>
  <c r="AI840" i="20"/>
  <c r="AI848" i="20"/>
  <c r="AI856" i="20"/>
  <c r="AI864" i="20"/>
  <c r="AI872" i="20"/>
  <c r="AI880" i="20"/>
  <c r="AI888" i="20"/>
  <c r="AI896" i="20"/>
  <c r="AI904" i="20"/>
  <c r="AI912" i="20"/>
  <c r="AI920" i="20"/>
  <c r="AI928" i="20"/>
  <c r="AI936" i="20"/>
  <c r="AI944" i="20"/>
  <c r="AI952" i="20"/>
  <c r="AI960" i="20"/>
  <c r="AI968" i="20"/>
  <c r="AI976" i="20"/>
  <c r="AI984" i="20"/>
  <c r="AI992" i="20"/>
  <c r="AI1000" i="20"/>
  <c r="AI1008" i="20"/>
  <c r="AI1016" i="20"/>
  <c r="AI1024" i="20"/>
  <c r="AI1032" i="20"/>
  <c r="AI721" i="20"/>
  <c r="AI729" i="20"/>
  <c r="AI737" i="20"/>
  <c r="AI745" i="20"/>
  <c r="AI753" i="20"/>
  <c r="AI761" i="20"/>
  <c r="AI769" i="20"/>
  <c r="AI777" i="20"/>
  <c r="AI785" i="20"/>
  <c r="AI793" i="20"/>
  <c r="AI801" i="20"/>
  <c r="AI809" i="20"/>
  <c r="AI817" i="20"/>
  <c r="AI825" i="20"/>
  <c r="AI833" i="20"/>
  <c r="AI841" i="20"/>
  <c r="AI849" i="20"/>
  <c r="AI857" i="20"/>
  <c r="AI865" i="20"/>
  <c r="AI873" i="20"/>
  <c r="AI881" i="20"/>
  <c r="AI889" i="20"/>
  <c r="AI897" i="20"/>
  <c r="AI905" i="20"/>
  <c r="AI913" i="20"/>
  <c r="AI921" i="20"/>
  <c r="AI929" i="20"/>
  <c r="AI937" i="20"/>
  <c r="AI945" i="20"/>
  <c r="AI953" i="20"/>
  <c r="AI961" i="20"/>
  <c r="AI969" i="20"/>
  <c r="AI977" i="20"/>
  <c r="AI985" i="20"/>
  <c r="AI993" i="20"/>
  <c r="AI1001" i="20"/>
  <c r="AI1009" i="20"/>
  <c r="AI1017" i="20"/>
  <c r="AI1025" i="20"/>
  <c r="AI1033" i="20"/>
  <c r="AI722" i="20"/>
  <c r="AI730" i="20"/>
  <c r="AI738" i="20"/>
  <c r="AI746" i="20"/>
  <c r="AI754" i="20"/>
  <c r="AI762" i="20"/>
  <c r="AI770" i="20"/>
  <c r="AI778" i="20"/>
  <c r="AI786" i="20"/>
  <c r="AI794" i="20"/>
  <c r="AI802" i="20"/>
  <c r="AI810" i="20"/>
  <c r="AI818" i="20"/>
  <c r="AI826" i="20"/>
  <c r="AI834" i="20"/>
  <c r="AI842" i="20"/>
  <c r="AI850" i="20"/>
  <c r="AI858" i="20"/>
  <c r="AI866" i="20"/>
  <c r="AI874" i="20"/>
  <c r="AI882" i="20"/>
  <c r="AI890" i="20"/>
  <c r="AI898" i="20"/>
  <c r="AI906" i="20"/>
  <c r="AI914" i="20"/>
  <c r="AI922" i="20"/>
  <c r="AI930" i="20"/>
  <c r="AI938" i="20"/>
  <c r="AI946" i="20"/>
  <c r="AI954" i="20"/>
  <c r="AI962" i="20"/>
  <c r="AI970" i="20"/>
  <c r="AI978" i="20"/>
  <c r="AI986" i="20"/>
  <c r="AI994" i="20"/>
  <c r="AI1002" i="20"/>
  <c r="AI1010" i="20"/>
  <c r="AI1018" i="20"/>
  <c r="AI1026" i="20"/>
  <c r="AI1034" i="20"/>
  <c r="AI723" i="20"/>
  <c r="AI731" i="20"/>
  <c r="AI739" i="20"/>
  <c r="AI747" i="20"/>
  <c r="AI755" i="20"/>
  <c r="AI763" i="20"/>
  <c r="AI771" i="20"/>
  <c r="AI779" i="20"/>
  <c r="AI787" i="20"/>
  <c r="AI795" i="20"/>
  <c r="AI803" i="20"/>
  <c r="AI811" i="20"/>
  <c r="AI819" i="20"/>
  <c r="AI827" i="20"/>
  <c r="AI835" i="20"/>
  <c r="AI843" i="20"/>
  <c r="AI851" i="20"/>
  <c r="AI859" i="20"/>
  <c r="AI867" i="20"/>
  <c r="AI875" i="20"/>
  <c r="AI883" i="20"/>
  <c r="AI891" i="20"/>
  <c r="AI899" i="20"/>
  <c r="AI907" i="20"/>
  <c r="AI915" i="20"/>
  <c r="AI923" i="20"/>
  <c r="AI931" i="20"/>
  <c r="AI939" i="20"/>
  <c r="AI947" i="20"/>
  <c r="AI955" i="20"/>
  <c r="AI963" i="20"/>
  <c r="AI971" i="20"/>
  <c r="AI979" i="20"/>
  <c r="AI987" i="20"/>
  <c r="AI995" i="20"/>
  <c r="AI1003" i="20"/>
  <c r="AI1011" i="20"/>
  <c r="AI1019" i="20"/>
  <c r="AI1027" i="20"/>
  <c r="AI35" i="20"/>
  <c r="AI716" i="20"/>
  <c r="AI724" i="20"/>
  <c r="AI732" i="20"/>
  <c r="AI740" i="20"/>
  <c r="AI748" i="20"/>
  <c r="AI756" i="20"/>
  <c r="AI764" i="20"/>
  <c r="AI772" i="20"/>
  <c r="AI780" i="20"/>
  <c r="AI788" i="20"/>
  <c r="AI796" i="20"/>
  <c r="AI804" i="20"/>
  <c r="AI812" i="20"/>
  <c r="AI820" i="20"/>
  <c r="AI828" i="20"/>
  <c r="AI836" i="20"/>
  <c r="AI844" i="20"/>
  <c r="AI852" i="20"/>
  <c r="AI860" i="20"/>
  <c r="AI868" i="20"/>
  <c r="AI876" i="20"/>
  <c r="AI884" i="20"/>
  <c r="AI892" i="20"/>
  <c r="AI900" i="20"/>
  <c r="AI908" i="20"/>
  <c r="AI916" i="20"/>
  <c r="AI924" i="20"/>
  <c r="AI932" i="20"/>
  <c r="AI940" i="20"/>
  <c r="AI948" i="20"/>
  <c r="AI956" i="20"/>
  <c r="AI964" i="20"/>
  <c r="AI972" i="20"/>
  <c r="AI980" i="20"/>
  <c r="AI988" i="20"/>
  <c r="AI996" i="20"/>
  <c r="AI1004" i="20"/>
  <c r="AI1012" i="20"/>
  <c r="AI1020" i="20"/>
  <c r="AI1028" i="20"/>
  <c r="AH37" i="20"/>
  <c r="AH45" i="20"/>
  <c r="AH53" i="20"/>
  <c r="AH61" i="20"/>
  <c r="AH69" i="20"/>
  <c r="AH77" i="20"/>
  <c r="AH85" i="20"/>
  <c r="AH93" i="20"/>
  <c r="AH101" i="20"/>
  <c r="AH109" i="20"/>
  <c r="AH117" i="20"/>
  <c r="AH125" i="20"/>
  <c r="AH133" i="20"/>
  <c r="AH141" i="20"/>
  <c r="AH149" i="20"/>
  <c r="AH157" i="20"/>
  <c r="AH165" i="20"/>
  <c r="AH173" i="20"/>
  <c r="AH181" i="20"/>
  <c r="AH189" i="20"/>
  <c r="AH197" i="20"/>
  <c r="AH205" i="20"/>
  <c r="AH213" i="20"/>
  <c r="AH221" i="20"/>
  <c r="AH229" i="20"/>
  <c r="AH237" i="20"/>
  <c r="AH245" i="20"/>
  <c r="AH253" i="20"/>
  <c r="AH261" i="20"/>
  <c r="AH269" i="20"/>
  <c r="AH277" i="20"/>
  <c r="AH285" i="20"/>
  <c r="AH293" i="20"/>
  <c r="AH301" i="20"/>
  <c r="AH309" i="20"/>
  <c r="AH317" i="20"/>
  <c r="AH325" i="20"/>
  <c r="AH333" i="20"/>
  <c r="AH341" i="20"/>
  <c r="AH349" i="20"/>
  <c r="AH357" i="20"/>
  <c r="AH365" i="20"/>
  <c r="AH373" i="20"/>
  <c r="AH381" i="20"/>
  <c r="AH389" i="20"/>
  <c r="AH397" i="20"/>
  <c r="AH405" i="20"/>
  <c r="AH413" i="20"/>
  <c r="AH421" i="20"/>
  <c r="AH429" i="20"/>
  <c r="AH437" i="20"/>
  <c r="AH445" i="20"/>
  <c r="AH453" i="20"/>
  <c r="AH461" i="20"/>
  <c r="AH469" i="20"/>
  <c r="AH477" i="20"/>
  <c r="AH485" i="20"/>
  <c r="AH493" i="20"/>
  <c r="AH501" i="20"/>
  <c r="AH509" i="20"/>
  <c r="AH517" i="20"/>
  <c r="AH525" i="20"/>
  <c r="AH533" i="20"/>
  <c r="AH541" i="20"/>
  <c r="AH549" i="20"/>
  <c r="AH557" i="20"/>
  <c r="AH565" i="20"/>
  <c r="AH573" i="20"/>
  <c r="AH581" i="20"/>
  <c r="AH589" i="20"/>
  <c r="AH597" i="20"/>
  <c r="AH605" i="20"/>
  <c r="AH613" i="20"/>
  <c r="AH621" i="20"/>
  <c r="AH629" i="20"/>
  <c r="AH637" i="20"/>
  <c r="AH645" i="20"/>
  <c r="AH653" i="20"/>
  <c r="AH661" i="20"/>
  <c r="AH669" i="20"/>
  <c r="AH677" i="20"/>
  <c r="AH685" i="20"/>
  <c r="AH693" i="20"/>
  <c r="AH701" i="20"/>
  <c r="AH709" i="20"/>
  <c r="AH38" i="20"/>
  <c r="AH46" i="20"/>
  <c r="AH54" i="20"/>
  <c r="AH62" i="20"/>
  <c r="AH70" i="20"/>
  <c r="AH78" i="20"/>
  <c r="AH86" i="20"/>
  <c r="AH94" i="20"/>
  <c r="AH102" i="20"/>
  <c r="AH110" i="20"/>
  <c r="AH118" i="20"/>
  <c r="AH126" i="20"/>
  <c r="AH134" i="20"/>
  <c r="AH142" i="20"/>
  <c r="AH150" i="20"/>
  <c r="AH158" i="20"/>
  <c r="AH166" i="20"/>
  <c r="AH174" i="20"/>
  <c r="AH182" i="20"/>
  <c r="AH190" i="20"/>
  <c r="AH198" i="20"/>
  <c r="AH206" i="20"/>
  <c r="AH214" i="20"/>
  <c r="AH222" i="20"/>
  <c r="AH230" i="20"/>
  <c r="AH238" i="20"/>
  <c r="AH246" i="20"/>
  <c r="AH254" i="20"/>
  <c r="AH262" i="20"/>
  <c r="AH270" i="20"/>
  <c r="AH278" i="20"/>
  <c r="AH286" i="20"/>
  <c r="AH294" i="20"/>
  <c r="AH302" i="20"/>
  <c r="AH310" i="20"/>
  <c r="AH318" i="20"/>
  <c r="AH326" i="20"/>
  <c r="AH334" i="20"/>
  <c r="AH342" i="20"/>
  <c r="AH350" i="20"/>
  <c r="AH358" i="20"/>
  <c r="AH366" i="20"/>
  <c r="AH374" i="20"/>
  <c r="AH382" i="20"/>
  <c r="AH390" i="20"/>
  <c r="AH398" i="20"/>
  <c r="AH406" i="20"/>
  <c r="AH414" i="20"/>
  <c r="AH422" i="20"/>
  <c r="AH430" i="20"/>
  <c r="AH438" i="20"/>
  <c r="AH446" i="20"/>
  <c r="AH454" i="20"/>
  <c r="AH462" i="20"/>
  <c r="AH470" i="20"/>
  <c r="AH478" i="20"/>
  <c r="AH486" i="20"/>
  <c r="AH494" i="20"/>
  <c r="AH502" i="20"/>
  <c r="AH510" i="20"/>
  <c r="AH518" i="20"/>
  <c r="AH526" i="20"/>
  <c r="AH534" i="20"/>
  <c r="AH542" i="20"/>
  <c r="AH550" i="20"/>
  <c r="AH558" i="20"/>
  <c r="AH566" i="20"/>
  <c r="AH574" i="20"/>
  <c r="AH582" i="20"/>
  <c r="AH590" i="20"/>
  <c r="AH598" i="20"/>
  <c r="AH606" i="20"/>
  <c r="AH614" i="20"/>
  <c r="AH622" i="20"/>
  <c r="AH630" i="20"/>
  <c r="AH638" i="20"/>
  <c r="AH646" i="20"/>
  <c r="AH654" i="20"/>
  <c r="AH662" i="20"/>
  <c r="AH670" i="20"/>
  <c r="AH678" i="20"/>
  <c r="AH686" i="20"/>
  <c r="AH694" i="20"/>
  <c r="AH702" i="20"/>
  <c r="AH710" i="20"/>
  <c r="AH39" i="20"/>
  <c r="AH47" i="20"/>
  <c r="AH55" i="20"/>
  <c r="AH63" i="20"/>
  <c r="AH71" i="20"/>
  <c r="AH79" i="20"/>
  <c r="AH87" i="20"/>
  <c r="AH95" i="20"/>
  <c r="AH103" i="20"/>
  <c r="AH111" i="20"/>
  <c r="AH119" i="20"/>
  <c r="AH127" i="20"/>
  <c r="AH135" i="20"/>
  <c r="AH143" i="20"/>
  <c r="AH151" i="20"/>
  <c r="AH159" i="20"/>
  <c r="AH167" i="20"/>
  <c r="AH175" i="20"/>
  <c r="AH183" i="20"/>
  <c r="AH191" i="20"/>
  <c r="AH199" i="20"/>
  <c r="AH207" i="20"/>
  <c r="AH215" i="20"/>
  <c r="AH223" i="20"/>
  <c r="AH231" i="20"/>
  <c r="AH239" i="20"/>
  <c r="AH247" i="20"/>
  <c r="AH255" i="20"/>
  <c r="AH263" i="20"/>
  <c r="AH271" i="20"/>
  <c r="AH279" i="20"/>
  <c r="AH287" i="20"/>
  <c r="AH295" i="20"/>
  <c r="AH303" i="20"/>
  <c r="AH311" i="20"/>
  <c r="AH319" i="20"/>
  <c r="AH327" i="20"/>
  <c r="AH335" i="20"/>
  <c r="AH343" i="20"/>
  <c r="AH351" i="20"/>
  <c r="AH359" i="20"/>
  <c r="AH367" i="20"/>
  <c r="AH375" i="20"/>
  <c r="AH383" i="20"/>
  <c r="AH391" i="20"/>
  <c r="AH399" i="20"/>
  <c r="AH407" i="20"/>
  <c r="AH415" i="20"/>
  <c r="AH423" i="20"/>
  <c r="AH431" i="20"/>
  <c r="AH439" i="20"/>
  <c r="AH447" i="20"/>
  <c r="AH455" i="20"/>
  <c r="AH463" i="20"/>
  <c r="AH471" i="20"/>
  <c r="AH479" i="20"/>
  <c r="AH487" i="20"/>
  <c r="AH495" i="20"/>
  <c r="AH503" i="20"/>
  <c r="AH511" i="20"/>
  <c r="AH519" i="20"/>
  <c r="AH527" i="20"/>
  <c r="AH535" i="20"/>
  <c r="AH543" i="20"/>
  <c r="AH551" i="20"/>
  <c r="AH559" i="20"/>
  <c r="AH567" i="20"/>
  <c r="AH575" i="20"/>
  <c r="AH583" i="20"/>
  <c r="AH591" i="20"/>
  <c r="AH599" i="20"/>
  <c r="AH607" i="20"/>
  <c r="AH615" i="20"/>
  <c r="AH623" i="20"/>
  <c r="AH631" i="20"/>
  <c r="AH639" i="20"/>
  <c r="AH647" i="20"/>
  <c r="AH655" i="20"/>
  <c r="AH663" i="20"/>
  <c r="AH671" i="20"/>
  <c r="AH679" i="20"/>
  <c r="AH687" i="20"/>
  <c r="AH695" i="20"/>
  <c r="AH703" i="20"/>
  <c r="AH711" i="20"/>
  <c r="AH40" i="20"/>
  <c r="AH48" i="20"/>
  <c r="AH56" i="20"/>
  <c r="AH64" i="20"/>
  <c r="AH72" i="20"/>
  <c r="AH80" i="20"/>
  <c r="AH88" i="20"/>
  <c r="AH96" i="20"/>
  <c r="AH104" i="20"/>
  <c r="AH112" i="20"/>
  <c r="AH120" i="20"/>
  <c r="AH128" i="20"/>
  <c r="AH136" i="20"/>
  <c r="AH144" i="20"/>
  <c r="AH152" i="20"/>
  <c r="AH160" i="20"/>
  <c r="AH168" i="20"/>
  <c r="AH176" i="20"/>
  <c r="AH184" i="20"/>
  <c r="AH192" i="20"/>
  <c r="AH200" i="20"/>
  <c r="AH208" i="20"/>
  <c r="AH216" i="20"/>
  <c r="AH224" i="20"/>
  <c r="AH232" i="20"/>
  <c r="AH240" i="20"/>
  <c r="AH248" i="20"/>
  <c r="AH256" i="20"/>
  <c r="AH264" i="20"/>
  <c r="AH272" i="20"/>
  <c r="AH280" i="20"/>
  <c r="AH288" i="20"/>
  <c r="AH296" i="20"/>
  <c r="AH304" i="20"/>
  <c r="AH312" i="20"/>
  <c r="AH320" i="20"/>
  <c r="AH328" i="20"/>
  <c r="AH336" i="20"/>
  <c r="AH344" i="20"/>
  <c r="AH352" i="20"/>
  <c r="AH360" i="20"/>
  <c r="AH368" i="20"/>
  <c r="AH376" i="20"/>
  <c r="AH384" i="20"/>
  <c r="AH392" i="20"/>
  <c r="AH400" i="20"/>
  <c r="AH408" i="20"/>
  <c r="AH416" i="20"/>
  <c r="AH424" i="20"/>
  <c r="AH432" i="20"/>
  <c r="AH440" i="20"/>
  <c r="AH448" i="20"/>
  <c r="AH456" i="20"/>
  <c r="AH464" i="20"/>
  <c r="AH472" i="20"/>
  <c r="AH480" i="20"/>
  <c r="AH488" i="20"/>
  <c r="AH496" i="20"/>
  <c r="AH504" i="20"/>
  <c r="AH512" i="20"/>
  <c r="AH520" i="20"/>
  <c r="AH528" i="20"/>
  <c r="AH536" i="20"/>
  <c r="AH544" i="20"/>
  <c r="AH552" i="20"/>
  <c r="AH560" i="20"/>
  <c r="AH568" i="20"/>
  <c r="AH576" i="20"/>
  <c r="AH584" i="20"/>
  <c r="AH592" i="20"/>
  <c r="AH600" i="20"/>
  <c r="AH608" i="20"/>
  <c r="AH616" i="20"/>
  <c r="AH624" i="20"/>
  <c r="AH632" i="20"/>
  <c r="AH640" i="20"/>
  <c r="AH648" i="20"/>
  <c r="AH656" i="20"/>
  <c r="AH664" i="20"/>
  <c r="AH672" i="20"/>
  <c r="AH680" i="20"/>
  <c r="AH688" i="20"/>
  <c r="AH696" i="20"/>
  <c r="AH704" i="20"/>
  <c r="AH712" i="20"/>
  <c r="AH41" i="20"/>
  <c r="AH49" i="20"/>
  <c r="AH57" i="20"/>
  <c r="AH65" i="20"/>
  <c r="AH73" i="20"/>
  <c r="AH81" i="20"/>
  <c r="AH89" i="20"/>
  <c r="AH97" i="20"/>
  <c r="AH105" i="20"/>
  <c r="AH113" i="20"/>
  <c r="AH121" i="20"/>
  <c r="AH129" i="20"/>
  <c r="AH137" i="20"/>
  <c r="AH145" i="20"/>
  <c r="AH153" i="20"/>
  <c r="AH161" i="20"/>
  <c r="AH169" i="20"/>
  <c r="AH177" i="20"/>
  <c r="AH185" i="20"/>
  <c r="AH193" i="20"/>
  <c r="AH201" i="20"/>
  <c r="AH209" i="20"/>
  <c r="AH217" i="20"/>
  <c r="AH225" i="20"/>
  <c r="AH233" i="20"/>
  <c r="AH241" i="20"/>
  <c r="AH249" i="20"/>
  <c r="AH257" i="20"/>
  <c r="AH265" i="20"/>
  <c r="AH273" i="20"/>
  <c r="AH281" i="20"/>
  <c r="AH289" i="20"/>
  <c r="AH297" i="20"/>
  <c r="AH305" i="20"/>
  <c r="AH313" i="20"/>
  <c r="AH321" i="20"/>
  <c r="AH329" i="20"/>
  <c r="AH337" i="20"/>
  <c r="AH345" i="20"/>
  <c r="AH353" i="20"/>
  <c r="AH361" i="20"/>
  <c r="AH369" i="20"/>
  <c r="AH377" i="20"/>
  <c r="AH385" i="20"/>
  <c r="AH393" i="20"/>
  <c r="AH401" i="20"/>
  <c r="AH409" i="20"/>
  <c r="AH417" i="20"/>
  <c r="AH425" i="20"/>
  <c r="AH433" i="20"/>
  <c r="AH441" i="20"/>
  <c r="AH449" i="20"/>
  <c r="AH457" i="20"/>
  <c r="AH465" i="20"/>
  <c r="AH473" i="20"/>
  <c r="AH481" i="20"/>
  <c r="AH489" i="20"/>
  <c r="AH497" i="20"/>
  <c r="AH505" i="20"/>
  <c r="AH513" i="20"/>
  <c r="AH521" i="20"/>
  <c r="AH529" i="20"/>
  <c r="AH537" i="20"/>
  <c r="AH545" i="20"/>
  <c r="AH553" i="20"/>
  <c r="AH561" i="20"/>
  <c r="AH569" i="20"/>
  <c r="AH577" i="20"/>
  <c r="AH585" i="20"/>
  <c r="AH593" i="20"/>
  <c r="AH601" i="20"/>
  <c r="AH609" i="20"/>
  <c r="AH617" i="20"/>
  <c r="AH625" i="20"/>
  <c r="AH633" i="20"/>
  <c r="AH641" i="20"/>
  <c r="AH649" i="20"/>
  <c r="AH657" i="20"/>
  <c r="AH665" i="20"/>
  <c r="AH673" i="20"/>
  <c r="AH681" i="20"/>
  <c r="AH689" i="20"/>
  <c r="AH697" i="20"/>
  <c r="AH705" i="20"/>
  <c r="AH42" i="20"/>
  <c r="AH50" i="20"/>
  <c r="AH58" i="20"/>
  <c r="AH66" i="20"/>
  <c r="AH74" i="20"/>
  <c r="AH82" i="20"/>
  <c r="AH90" i="20"/>
  <c r="AH98" i="20"/>
  <c r="AH106" i="20"/>
  <c r="AH114" i="20"/>
  <c r="AH122" i="20"/>
  <c r="AH130" i="20"/>
  <c r="AH138" i="20"/>
  <c r="AH146" i="20"/>
  <c r="AH154" i="20"/>
  <c r="AH162" i="20"/>
  <c r="AH170" i="20"/>
  <c r="AH178" i="20"/>
  <c r="AH186" i="20"/>
  <c r="AH194" i="20"/>
  <c r="AH202" i="20"/>
  <c r="AH210" i="20"/>
  <c r="AH218" i="20"/>
  <c r="AH226" i="20"/>
  <c r="AH234" i="20"/>
  <c r="AH242" i="20"/>
  <c r="AH250" i="20"/>
  <c r="AH258" i="20"/>
  <c r="AH266" i="20"/>
  <c r="AH274" i="20"/>
  <c r="AH282" i="20"/>
  <c r="AH290" i="20"/>
  <c r="AH298" i="20"/>
  <c r="AH306" i="20"/>
  <c r="AH314" i="20"/>
  <c r="AH322" i="20"/>
  <c r="AH330" i="20"/>
  <c r="AH338" i="20"/>
  <c r="AH346" i="20"/>
  <c r="AH354" i="20"/>
  <c r="AH362" i="20"/>
  <c r="AH370" i="20"/>
  <c r="AH378" i="20"/>
  <c r="AH386" i="20"/>
  <c r="AH394" i="20"/>
  <c r="AH402" i="20"/>
  <c r="AH410" i="20"/>
  <c r="AH418" i="20"/>
  <c r="AH426" i="20"/>
  <c r="AH434" i="20"/>
  <c r="AH442" i="20"/>
  <c r="AH450" i="20"/>
  <c r="AH458" i="20"/>
  <c r="AH466" i="20"/>
  <c r="AH474" i="20"/>
  <c r="AH482" i="20"/>
  <c r="AH490" i="20"/>
  <c r="AH498" i="20"/>
  <c r="AH506" i="20"/>
  <c r="AH514" i="20"/>
  <c r="AH522" i="20"/>
  <c r="AH530" i="20"/>
  <c r="AH538" i="20"/>
  <c r="AH546" i="20"/>
  <c r="AH554" i="20"/>
  <c r="AH562" i="20"/>
  <c r="AH570" i="20"/>
  <c r="AH578" i="20"/>
  <c r="AH586" i="20"/>
  <c r="AH594" i="20"/>
  <c r="AH602" i="20"/>
  <c r="AH610" i="20"/>
  <c r="AH618" i="20"/>
  <c r="AH626" i="20"/>
  <c r="AH634" i="20"/>
  <c r="AH642" i="20"/>
  <c r="AH650" i="20"/>
  <c r="AH658" i="20"/>
  <c r="AH666" i="20"/>
  <c r="AH674" i="20"/>
  <c r="AH682" i="20"/>
  <c r="AH690" i="20"/>
  <c r="AH698" i="20"/>
  <c r="AH706" i="20"/>
  <c r="AH714" i="20"/>
  <c r="AH43" i="20"/>
  <c r="AH51" i="20"/>
  <c r="AH59" i="20"/>
  <c r="AH67" i="20"/>
  <c r="AH75" i="20"/>
  <c r="AH83" i="20"/>
  <c r="AH91" i="20"/>
  <c r="AH99" i="20"/>
  <c r="AH107" i="20"/>
  <c r="AH115" i="20"/>
  <c r="AH123" i="20"/>
  <c r="AH131" i="20"/>
  <c r="AH139" i="20"/>
  <c r="AH147" i="20"/>
  <c r="AH155" i="20"/>
  <c r="AH163" i="20"/>
  <c r="AH171" i="20"/>
  <c r="AH179" i="20"/>
  <c r="AH187" i="20"/>
  <c r="AH195" i="20"/>
  <c r="AH203" i="20"/>
  <c r="AH211" i="20"/>
  <c r="AH219" i="20"/>
  <c r="AH227" i="20"/>
  <c r="AH235" i="20"/>
  <c r="AH243" i="20"/>
  <c r="AH251" i="20"/>
  <c r="AH259" i="20"/>
  <c r="AH267" i="20"/>
  <c r="AH275" i="20"/>
  <c r="AH283" i="20"/>
  <c r="AH291" i="20"/>
  <c r="AH299" i="20"/>
  <c r="AH307" i="20"/>
  <c r="AH315" i="20"/>
  <c r="AH323" i="20"/>
  <c r="AH331" i="20"/>
  <c r="AH339" i="20"/>
  <c r="AH347" i="20"/>
  <c r="AH355" i="20"/>
  <c r="AH363" i="20"/>
  <c r="AH371" i="20"/>
  <c r="AH379" i="20"/>
  <c r="AH387" i="20"/>
  <c r="AH395" i="20"/>
  <c r="AH403" i="20"/>
  <c r="AH411" i="20"/>
  <c r="AH419" i="20"/>
  <c r="AH427" i="20"/>
  <c r="AH435" i="20"/>
  <c r="AH443" i="20"/>
  <c r="AH451" i="20"/>
  <c r="AH459" i="20"/>
  <c r="AH467" i="20"/>
  <c r="AH475" i="20"/>
  <c r="AH483" i="20"/>
  <c r="AH491" i="20"/>
  <c r="AH499" i="20"/>
  <c r="AH507" i="20"/>
  <c r="AH515" i="20"/>
  <c r="AH523" i="20"/>
  <c r="AH531" i="20"/>
  <c r="AH539" i="20"/>
  <c r="AH547" i="20"/>
  <c r="AH555" i="20"/>
  <c r="AH563" i="20"/>
  <c r="AH571" i="20"/>
  <c r="AH579" i="20"/>
  <c r="AH587" i="20"/>
  <c r="AH595" i="20"/>
  <c r="AH603" i="20"/>
  <c r="AH611" i="20"/>
  <c r="AH619" i="20"/>
  <c r="AH627" i="20"/>
  <c r="AH635" i="20"/>
  <c r="AH643" i="20"/>
  <c r="AH651" i="20"/>
  <c r="AH659" i="20"/>
  <c r="AH667" i="20"/>
  <c r="AH675" i="20"/>
  <c r="AH683" i="20"/>
  <c r="AH691" i="20"/>
  <c r="AH699" i="20"/>
  <c r="AH707" i="20"/>
  <c r="AH36" i="20"/>
  <c r="AH44" i="20"/>
  <c r="AH52" i="20"/>
  <c r="AH60" i="20"/>
  <c r="AH68" i="20"/>
  <c r="AH76" i="20"/>
  <c r="AH84" i="20"/>
  <c r="AH92" i="20"/>
  <c r="AH100" i="20"/>
  <c r="AH108" i="20"/>
  <c r="AH116" i="20"/>
  <c r="AH124" i="20"/>
  <c r="AH132" i="20"/>
  <c r="AH140" i="20"/>
  <c r="AH148" i="20"/>
  <c r="AH156" i="20"/>
  <c r="AH164" i="20"/>
  <c r="AH172" i="20"/>
  <c r="AH180" i="20"/>
  <c r="AH188" i="20"/>
  <c r="AH196" i="20"/>
  <c r="AH204" i="20"/>
  <c r="AH212" i="20"/>
  <c r="AH220" i="20"/>
  <c r="AH228" i="20"/>
  <c r="AH236" i="20"/>
  <c r="AH244" i="20"/>
  <c r="AH252" i="20"/>
  <c r="AH260" i="20"/>
  <c r="AH268" i="20"/>
  <c r="AH276" i="20"/>
  <c r="AH284" i="20"/>
  <c r="AH292" i="20"/>
  <c r="AH300" i="20"/>
  <c r="AH308" i="20"/>
  <c r="AH316" i="20"/>
  <c r="AH324" i="20"/>
  <c r="AH332" i="20"/>
  <c r="AH340" i="20"/>
  <c r="AH348" i="20"/>
  <c r="AH356" i="20"/>
  <c r="AH364" i="20"/>
  <c r="AH372" i="20"/>
  <c r="AH380" i="20"/>
  <c r="AH388" i="20"/>
  <c r="AH396" i="20"/>
  <c r="AH404" i="20"/>
  <c r="AH412" i="20"/>
  <c r="AH420" i="20"/>
  <c r="AH428" i="20"/>
  <c r="AH436" i="20"/>
  <c r="AH444" i="20"/>
  <c r="AH452" i="20"/>
  <c r="AH460" i="20"/>
  <c r="AH468" i="20"/>
  <c r="AH476" i="20"/>
  <c r="AH484" i="20"/>
  <c r="AH492" i="20"/>
  <c r="AH500" i="20"/>
  <c r="AH508" i="20"/>
  <c r="AH516" i="20"/>
  <c r="AH524" i="20"/>
  <c r="AH532" i="20"/>
  <c r="AH540" i="20"/>
  <c r="AH548" i="20"/>
  <c r="AH556" i="20"/>
  <c r="AH564" i="20"/>
  <c r="AH572" i="20"/>
  <c r="AH580" i="20"/>
  <c r="AH588" i="20"/>
  <c r="AH596" i="20"/>
  <c r="AH604" i="20"/>
  <c r="AH612" i="20"/>
  <c r="AH620" i="20"/>
  <c r="AH628" i="20"/>
  <c r="AH636" i="20"/>
  <c r="AH644" i="20"/>
  <c r="AH652" i="20"/>
  <c r="AH660" i="20"/>
  <c r="AH668" i="20"/>
  <c r="AH676" i="20"/>
  <c r="AH684" i="20"/>
  <c r="AH692" i="20"/>
  <c r="AH700" i="20"/>
  <c r="AH708" i="20"/>
  <c r="AH715" i="20"/>
  <c r="AH723" i="20"/>
  <c r="AH731" i="20"/>
  <c r="AH739" i="20"/>
  <c r="AH747" i="20"/>
  <c r="AH755" i="20"/>
  <c r="AH763" i="20"/>
  <c r="AH771" i="20"/>
  <c r="AH779" i="20"/>
  <c r="AH787" i="20"/>
  <c r="AH795" i="20"/>
  <c r="AH803" i="20"/>
  <c r="AH811" i="20"/>
  <c r="AH819" i="20"/>
  <c r="AH827" i="20"/>
  <c r="AH835" i="20"/>
  <c r="AH843" i="20"/>
  <c r="AH851" i="20"/>
  <c r="AH859" i="20"/>
  <c r="AH867" i="20"/>
  <c r="AH875" i="20"/>
  <c r="AH883" i="20"/>
  <c r="AH891" i="20"/>
  <c r="AH899" i="20"/>
  <c r="AH907" i="20"/>
  <c r="AH915" i="20"/>
  <c r="AH923" i="20"/>
  <c r="AH931" i="20"/>
  <c r="AH939" i="20"/>
  <c r="AH947" i="20"/>
  <c r="AH955" i="20"/>
  <c r="AH963" i="20"/>
  <c r="AH971" i="20"/>
  <c r="AH979" i="20"/>
  <c r="AH987" i="20"/>
  <c r="AH995" i="20"/>
  <c r="AH1003" i="20"/>
  <c r="AH1011" i="20"/>
  <c r="AH1019" i="20"/>
  <c r="AH1027" i="20"/>
  <c r="AH35" i="20"/>
  <c r="AH716" i="20"/>
  <c r="AH724" i="20"/>
  <c r="AH732" i="20"/>
  <c r="AH740" i="20"/>
  <c r="AH748" i="20"/>
  <c r="AH756" i="20"/>
  <c r="AH764" i="20"/>
  <c r="AH772" i="20"/>
  <c r="AH780" i="20"/>
  <c r="AH788" i="20"/>
  <c r="AH796" i="20"/>
  <c r="AH804" i="20"/>
  <c r="AH812" i="20"/>
  <c r="AH820" i="20"/>
  <c r="AH828" i="20"/>
  <c r="AH836" i="20"/>
  <c r="AH844" i="20"/>
  <c r="AH852" i="20"/>
  <c r="AH860" i="20"/>
  <c r="AH868" i="20"/>
  <c r="AH876" i="20"/>
  <c r="AH884" i="20"/>
  <c r="AH892" i="20"/>
  <c r="AH900" i="20"/>
  <c r="AH908" i="20"/>
  <c r="AH916" i="20"/>
  <c r="AH924" i="20"/>
  <c r="AH932" i="20"/>
  <c r="AH940" i="20"/>
  <c r="AH948" i="20"/>
  <c r="AH956" i="20"/>
  <c r="AH964" i="20"/>
  <c r="AH972" i="20"/>
  <c r="AH980" i="20"/>
  <c r="AH988" i="20"/>
  <c r="AH996" i="20"/>
  <c r="AH1004" i="20"/>
  <c r="AH1012" i="20"/>
  <c r="AH1020" i="20"/>
  <c r="AH1028" i="20"/>
  <c r="AH1026" i="20"/>
  <c r="AH717" i="20"/>
  <c r="AH725" i="20"/>
  <c r="AH733" i="20"/>
  <c r="AH741" i="20"/>
  <c r="AH749" i="20"/>
  <c r="AH757" i="20"/>
  <c r="AH765" i="20"/>
  <c r="AH773" i="20"/>
  <c r="AH781" i="20"/>
  <c r="AH789" i="20"/>
  <c r="AH797" i="20"/>
  <c r="AH805" i="20"/>
  <c r="AH813" i="20"/>
  <c r="AH821" i="20"/>
  <c r="AH829" i="20"/>
  <c r="AH837" i="20"/>
  <c r="AH845" i="20"/>
  <c r="AH853" i="20"/>
  <c r="AH861" i="20"/>
  <c r="AH869" i="20"/>
  <c r="AH877" i="20"/>
  <c r="AH885" i="20"/>
  <c r="AH893" i="20"/>
  <c r="AH901" i="20"/>
  <c r="AH909" i="20"/>
  <c r="AH917" i="20"/>
  <c r="AH925" i="20"/>
  <c r="AH933" i="20"/>
  <c r="AH941" i="20"/>
  <c r="AH949" i="20"/>
  <c r="AH957" i="20"/>
  <c r="AH965" i="20"/>
  <c r="AH973" i="20"/>
  <c r="AH981" i="20"/>
  <c r="AH989" i="20"/>
  <c r="AH997" i="20"/>
  <c r="AH1005" i="20"/>
  <c r="AH1013" i="20"/>
  <c r="AH1021" i="20"/>
  <c r="AH1029" i="20"/>
  <c r="AH718" i="20"/>
  <c r="AH726" i="20"/>
  <c r="AH734" i="20"/>
  <c r="AH742" i="20"/>
  <c r="AH750" i="20"/>
  <c r="AH758" i="20"/>
  <c r="AH766" i="20"/>
  <c r="AH774" i="20"/>
  <c r="AH782" i="20"/>
  <c r="AH790" i="20"/>
  <c r="AH798" i="20"/>
  <c r="AH806" i="20"/>
  <c r="AH814" i="20"/>
  <c r="AH822" i="20"/>
  <c r="AH830" i="20"/>
  <c r="AH838" i="20"/>
  <c r="AH846" i="20"/>
  <c r="AH854" i="20"/>
  <c r="AH862" i="20"/>
  <c r="AH870" i="20"/>
  <c r="AH878" i="20"/>
  <c r="AH886" i="20"/>
  <c r="AH894" i="20"/>
  <c r="AH902" i="20"/>
  <c r="AH910" i="20"/>
  <c r="AH918" i="20"/>
  <c r="AH926" i="20"/>
  <c r="AH934" i="20"/>
  <c r="AH942" i="20"/>
  <c r="AH950" i="20"/>
  <c r="AH958" i="20"/>
  <c r="AH966" i="20"/>
  <c r="AH974" i="20"/>
  <c r="AH982" i="20"/>
  <c r="AH990" i="20"/>
  <c r="AH998" i="20"/>
  <c r="AH1006" i="20"/>
  <c r="AH1014" i="20"/>
  <c r="AH1022" i="20"/>
  <c r="AH1030" i="20"/>
  <c r="AH719" i="20"/>
  <c r="AH727" i="20"/>
  <c r="AH735" i="20"/>
  <c r="AH743" i="20"/>
  <c r="AH751" i="20"/>
  <c r="AH759" i="20"/>
  <c r="AH767" i="20"/>
  <c r="AH775" i="20"/>
  <c r="AH783" i="20"/>
  <c r="AH791" i="20"/>
  <c r="AH799" i="20"/>
  <c r="AH807" i="20"/>
  <c r="AH815" i="20"/>
  <c r="AH823" i="20"/>
  <c r="AH831" i="20"/>
  <c r="AH839" i="20"/>
  <c r="AH847" i="20"/>
  <c r="AH855" i="20"/>
  <c r="AH863" i="20"/>
  <c r="AH871" i="20"/>
  <c r="AH879" i="20"/>
  <c r="AH887" i="20"/>
  <c r="AH895" i="20"/>
  <c r="AH903" i="20"/>
  <c r="AH911" i="20"/>
  <c r="AH919" i="20"/>
  <c r="AH927" i="20"/>
  <c r="AH935" i="20"/>
  <c r="AH943" i="20"/>
  <c r="AH951" i="20"/>
  <c r="AH959" i="20"/>
  <c r="AH967" i="20"/>
  <c r="AH975" i="20"/>
  <c r="AH983" i="20"/>
  <c r="AH991" i="20"/>
  <c r="AH999" i="20"/>
  <c r="AH1007" i="20"/>
  <c r="AH1015" i="20"/>
  <c r="AH1023" i="20"/>
  <c r="AH1031" i="20"/>
  <c r="AH720" i="20"/>
  <c r="AH728" i="20"/>
  <c r="AH736" i="20"/>
  <c r="AH744" i="20"/>
  <c r="AH752" i="20"/>
  <c r="AH760" i="20"/>
  <c r="AH768" i="20"/>
  <c r="AH776" i="20"/>
  <c r="AH784" i="20"/>
  <c r="AH792" i="20"/>
  <c r="AH800" i="20"/>
  <c r="AH808" i="20"/>
  <c r="AH816" i="20"/>
  <c r="AH824" i="20"/>
  <c r="AH832" i="20"/>
  <c r="AH840" i="20"/>
  <c r="AH848" i="20"/>
  <c r="AH856" i="20"/>
  <c r="AH864" i="20"/>
  <c r="AH872" i="20"/>
  <c r="AH880" i="20"/>
  <c r="AH888" i="20"/>
  <c r="AH896" i="20"/>
  <c r="AH904" i="20"/>
  <c r="AH912" i="20"/>
  <c r="AH920" i="20"/>
  <c r="AH928" i="20"/>
  <c r="AH936" i="20"/>
  <c r="AH944" i="20"/>
  <c r="AH952" i="20"/>
  <c r="AH960" i="20"/>
  <c r="AH968" i="20"/>
  <c r="AH976" i="20"/>
  <c r="AH984" i="20"/>
  <c r="AH992" i="20"/>
  <c r="AH1000" i="20"/>
  <c r="AH1008" i="20"/>
  <c r="AH1016" i="20"/>
  <c r="AH1024" i="20"/>
  <c r="AH1032" i="20"/>
  <c r="AH1033" i="20"/>
  <c r="AH721" i="20"/>
  <c r="AH729" i="20"/>
  <c r="AH737" i="20"/>
  <c r="AH745" i="20"/>
  <c r="AH753" i="20"/>
  <c r="AH761" i="20"/>
  <c r="AH769" i="20"/>
  <c r="AH777" i="20"/>
  <c r="AH785" i="20"/>
  <c r="AH793" i="20"/>
  <c r="AH801" i="20"/>
  <c r="AH809" i="20"/>
  <c r="AH817" i="20"/>
  <c r="AH825" i="20"/>
  <c r="AH833" i="20"/>
  <c r="AH841" i="20"/>
  <c r="AH849" i="20"/>
  <c r="AH857" i="20"/>
  <c r="AH865" i="20"/>
  <c r="AH873" i="20"/>
  <c r="AH881" i="20"/>
  <c r="AH889" i="20"/>
  <c r="AH897" i="20"/>
  <c r="AH905" i="20"/>
  <c r="AH913" i="20"/>
  <c r="AH921" i="20"/>
  <c r="AH929" i="20"/>
  <c r="AH937" i="20"/>
  <c r="AH945" i="20"/>
  <c r="AH953" i="20"/>
  <c r="AH961" i="20"/>
  <c r="AH969" i="20"/>
  <c r="AH977" i="20"/>
  <c r="AH985" i="20"/>
  <c r="AH993" i="20"/>
  <c r="AH1001" i="20"/>
  <c r="AH1009" i="20"/>
  <c r="AH1017" i="20"/>
  <c r="AH1025" i="20"/>
  <c r="AH1034" i="20"/>
  <c r="AH713" i="20"/>
  <c r="AH722" i="20"/>
  <c r="AH730" i="20"/>
  <c r="AH738" i="20"/>
  <c r="AH746" i="20"/>
  <c r="AH754" i="20"/>
  <c r="AH762" i="20"/>
  <c r="AH770" i="20"/>
  <c r="AH778" i="20"/>
  <c r="AH786" i="20"/>
  <c r="AH794" i="20"/>
  <c r="AH802" i="20"/>
  <c r="AH810" i="20"/>
  <c r="AH818" i="20"/>
  <c r="AH826" i="20"/>
  <c r="AH834" i="20"/>
  <c r="AH842" i="20"/>
  <c r="AH850" i="20"/>
  <c r="AH858" i="20"/>
  <c r="AH866" i="20"/>
  <c r="AH874" i="20"/>
  <c r="AH882" i="20"/>
  <c r="AH890" i="20"/>
  <c r="AH898" i="20"/>
  <c r="AH906" i="20"/>
  <c r="AH914" i="20"/>
  <c r="AH922" i="20"/>
  <c r="AH930" i="20"/>
  <c r="AH938" i="20"/>
  <c r="AH946" i="20"/>
  <c r="AH954" i="20"/>
  <c r="AH962" i="20"/>
  <c r="AH970" i="20"/>
  <c r="AH978" i="20"/>
  <c r="AH986" i="20"/>
  <c r="AH994" i="20"/>
  <c r="AH1002" i="20"/>
  <c r="AH1010" i="20"/>
  <c r="AH1018" i="20"/>
  <c r="AG37" i="20"/>
  <c r="AG45" i="20"/>
  <c r="AG53" i="20"/>
  <c r="AG61" i="20"/>
  <c r="AG69" i="20"/>
  <c r="AG77" i="20"/>
  <c r="AG85" i="20"/>
  <c r="AG93" i="20"/>
  <c r="AG101" i="20"/>
  <c r="AG109" i="20"/>
  <c r="AG117" i="20"/>
  <c r="AG125" i="20"/>
  <c r="AG133" i="20"/>
  <c r="AG141" i="20"/>
  <c r="AG149" i="20"/>
  <c r="AG157" i="20"/>
  <c r="AG165" i="20"/>
  <c r="AG173" i="20"/>
  <c r="AG181" i="20"/>
  <c r="AG189" i="20"/>
  <c r="AG197" i="20"/>
  <c r="AG205" i="20"/>
  <c r="AG213" i="20"/>
  <c r="AG221" i="20"/>
  <c r="AG229" i="20"/>
  <c r="AG237" i="20"/>
  <c r="AG245" i="20"/>
  <c r="AG253" i="20"/>
  <c r="AG261" i="20"/>
  <c r="AG269" i="20"/>
  <c r="AG277" i="20"/>
  <c r="AG285" i="20"/>
  <c r="AG293" i="20"/>
  <c r="AG301" i="20"/>
  <c r="AG309" i="20"/>
  <c r="AG317" i="20"/>
  <c r="AG325" i="20"/>
  <c r="AG333" i="20"/>
  <c r="AG341" i="20"/>
  <c r="AG349" i="20"/>
  <c r="AG357" i="20"/>
  <c r="AG365" i="20"/>
  <c r="AG373" i="20"/>
  <c r="AG381" i="20"/>
  <c r="AG389" i="20"/>
  <c r="AG397" i="20"/>
  <c r="AG405" i="20"/>
  <c r="AG413" i="20"/>
  <c r="AG421" i="20"/>
  <c r="AG429" i="20"/>
  <c r="AG437" i="20"/>
  <c r="AG445" i="20"/>
  <c r="AG453" i="20"/>
  <c r="AG461" i="20"/>
  <c r="AG469" i="20"/>
  <c r="AG477" i="20"/>
  <c r="AG485" i="20"/>
  <c r="AG493" i="20"/>
  <c r="AG501" i="20"/>
  <c r="AG509" i="20"/>
  <c r="AG517" i="20"/>
  <c r="AG525" i="20"/>
  <c r="AG533" i="20"/>
  <c r="AG541" i="20"/>
  <c r="AG549" i="20"/>
  <c r="AG557" i="20"/>
  <c r="AG565" i="20"/>
  <c r="AG573" i="20"/>
  <c r="AG581" i="20"/>
  <c r="AG589" i="20"/>
  <c r="AG597" i="20"/>
  <c r="AG605" i="20"/>
  <c r="AG613" i="20"/>
  <c r="AG621" i="20"/>
  <c r="AG629" i="20"/>
  <c r="AG637" i="20"/>
  <c r="AG645" i="20"/>
  <c r="AG653" i="20"/>
  <c r="AG661" i="20"/>
  <c r="AG669" i="20"/>
  <c r="AG677" i="20"/>
  <c r="AG685" i="20"/>
  <c r="AG693" i="20"/>
  <c r="AG701" i="20"/>
  <c r="AG709" i="20"/>
  <c r="AG38" i="20"/>
  <c r="AG46" i="20"/>
  <c r="AG54" i="20"/>
  <c r="AG62" i="20"/>
  <c r="AG70" i="20"/>
  <c r="AG78" i="20"/>
  <c r="AG86" i="20"/>
  <c r="AG94" i="20"/>
  <c r="AG102" i="20"/>
  <c r="AG110" i="20"/>
  <c r="AG118" i="20"/>
  <c r="AG126" i="20"/>
  <c r="AG134" i="20"/>
  <c r="AG142" i="20"/>
  <c r="AG150" i="20"/>
  <c r="AG158" i="20"/>
  <c r="AG166" i="20"/>
  <c r="AG174" i="20"/>
  <c r="AG182" i="20"/>
  <c r="AG190" i="20"/>
  <c r="AG198" i="20"/>
  <c r="AG206" i="20"/>
  <c r="AG214" i="20"/>
  <c r="AG222" i="20"/>
  <c r="AG230" i="20"/>
  <c r="AG238" i="20"/>
  <c r="AG246" i="20"/>
  <c r="AG254" i="20"/>
  <c r="AG262" i="20"/>
  <c r="AG270" i="20"/>
  <c r="AG278" i="20"/>
  <c r="AG286" i="20"/>
  <c r="AG294" i="20"/>
  <c r="AG302" i="20"/>
  <c r="AG310" i="20"/>
  <c r="AG318" i="20"/>
  <c r="AG326" i="20"/>
  <c r="AG334" i="20"/>
  <c r="AG342" i="20"/>
  <c r="AG350" i="20"/>
  <c r="AG358" i="20"/>
  <c r="AG366" i="20"/>
  <c r="AG374" i="20"/>
  <c r="AG382" i="20"/>
  <c r="AG390" i="20"/>
  <c r="AG398" i="20"/>
  <c r="AG406" i="20"/>
  <c r="AG414" i="20"/>
  <c r="AG422" i="20"/>
  <c r="AG430" i="20"/>
  <c r="AG438" i="20"/>
  <c r="AG446" i="20"/>
  <c r="AG454" i="20"/>
  <c r="AG462" i="20"/>
  <c r="AG470" i="20"/>
  <c r="AG478" i="20"/>
  <c r="AG486" i="20"/>
  <c r="AG494" i="20"/>
  <c r="AG502" i="20"/>
  <c r="AG510" i="20"/>
  <c r="AG518" i="20"/>
  <c r="AG526" i="20"/>
  <c r="AG534" i="20"/>
  <c r="AG542" i="20"/>
  <c r="AG550" i="20"/>
  <c r="AG558" i="20"/>
  <c r="AG566" i="20"/>
  <c r="AG574" i="20"/>
  <c r="AG582" i="20"/>
  <c r="AG590" i="20"/>
  <c r="AG598" i="20"/>
  <c r="AG606" i="20"/>
  <c r="AG614" i="20"/>
  <c r="AG622" i="20"/>
  <c r="AG630" i="20"/>
  <c r="AG638" i="20"/>
  <c r="AG646" i="20"/>
  <c r="AG654" i="20"/>
  <c r="AG662" i="20"/>
  <c r="AG670" i="20"/>
  <c r="AG678" i="20"/>
  <c r="AG686" i="20"/>
  <c r="AG694" i="20"/>
  <c r="AG702" i="20"/>
  <c r="AG710" i="20"/>
  <c r="AG39" i="20"/>
  <c r="AG47" i="20"/>
  <c r="AG55" i="20"/>
  <c r="AG63" i="20"/>
  <c r="AG71" i="20"/>
  <c r="AG79" i="20"/>
  <c r="AG87" i="20"/>
  <c r="AG95" i="20"/>
  <c r="AG103" i="20"/>
  <c r="AG111" i="20"/>
  <c r="AG119" i="20"/>
  <c r="AG127" i="20"/>
  <c r="AG135" i="20"/>
  <c r="AG143" i="20"/>
  <c r="AG151" i="20"/>
  <c r="AG159" i="20"/>
  <c r="AG167" i="20"/>
  <c r="AG175" i="20"/>
  <c r="AG183" i="20"/>
  <c r="AG191" i="20"/>
  <c r="AG199" i="20"/>
  <c r="AG207" i="20"/>
  <c r="AG215" i="20"/>
  <c r="AG223" i="20"/>
  <c r="AG231" i="20"/>
  <c r="AG239" i="20"/>
  <c r="AG247" i="20"/>
  <c r="AG255" i="20"/>
  <c r="AG263" i="20"/>
  <c r="AG271" i="20"/>
  <c r="AG279" i="20"/>
  <c r="AG287" i="20"/>
  <c r="AG295" i="20"/>
  <c r="AG303" i="20"/>
  <c r="AG311" i="20"/>
  <c r="AG319" i="20"/>
  <c r="AG327" i="20"/>
  <c r="AG335" i="20"/>
  <c r="AG343" i="20"/>
  <c r="AG351" i="20"/>
  <c r="AG359" i="20"/>
  <c r="AG367" i="20"/>
  <c r="AG375" i="20"/>
  <c r="AG383" i="20"/>
  <c r="AG391" i="20"/>
  <c r="AG399" i="20"/>
  <c r="AG407" i="20"/>
  <c r="AG415" i="20"/>
  <c r="AG423" i="20"/>
  <c r="AG431" i="20"/>
  <c r="AG439" i="20"/>
  <c r="AG447" i="20"/>
  <c r="AG455" i="20"/>
  <c r="AG463" i="20"/>
  <c r="AG471" i="20"/>
  <c r="AG479" i="20"/>
  <c r="AG487" i="20"/>
  <c r="AG495" i="20"/>
  <c r="AG503" i="20"/>
  <c r="AG511" i="20"/>
  <c r="AG519" i="20"/>
  <c r="AG527" i="20"/>
  <c r="AG535" i="20"/>
  <c r="AG543" i="20"/>
  <c r="AG551" i="20"/>
  <c r="AG559" i="20"/>
  <c r="AG567" i="20"/>
  <c r="AG575" i="20"/>
  <c r="AG583" i="20"/>
  <c r="AG591" i="20"/>
  <c r="AG599" i="20"/>
  <c r="AG607" i="20"/>
  <c r="AG615" i="20"/>
  <c r="AG623" i="20"/>
  <c r="AG631" i="20"/>
  <c r="AG639" i="20"/>
  <c r="AG647" i="20"/>
  <c r="AG655" i="20"/>
  <c r="AG663" i="20"/>
  <c r="AG671" i="20"/>
  <c r="AG679" i="20"/>
  <c r="AG687" i="20"/>
  <c r="AG695" i="20"/>
  <c r="AG703" i="20"/>
  <c r="AG40" i="20"/>
  <c r="AG48" i="20"/>
  <c r="AG56" i="20"/>
  <c r="AG64" i="20"/>
  <c r="AG72" i="20"/>
  <c r="AG80" i="20"/>
  <c r="AG88" i="20"/>
  <c r="AG96" i="20"/>
  <c r="AG104" i="20"/>
  <c r="AG112" i="20"/>
  <c r="AG120" i="20"/>
  <c r="AG128" i="20"/>
  <c r="AG136" i="20"/>
  <c r="AG144" i="20"/>
  <c r="AG152" i="20"/>
  <c r="AG160" i="20"/>
  <c r="AG168" i="20"/>
  <c r="AG176" i="20"/>
  <c r="AG184" i="20"/>
  <c r="AG192" i="20"/>
  <c r="AG200" i="20"/>
  <c r="AG208" i="20"/>
  <c r="AG216" i="20"/>
  <c r="AG224" i="20"/>
  <c r="AG232" i="20"/>
  <c r="AG240" i="20"/>
  <c r="AG248" i="20"/>
  <c r="AG256" i="20"/>
  <c r="AG264" i="20"/>
  <c r="AG272" i="20"/>
  <c r="AG280" i="20"/>
  <c r="AG288" i="20"/>
  <c r="AG296" i="20"/>
  <c r="AG304" i="20"/>
  <c r="AG312" i="20"/>
  <c r="AG320" i="20"/>
  <c r="AG328" i="20"/>
  <c r="AG336" i="20"/>
  <c r="AG344" i="20"/>
  <c r="AG352" i="20"/>
  <c r="AG360" i="20"/>
  <c r="AG368" i="20"/>
  <c r="AG376" i="20"/>
  <c r="AG384" i="20"/>
  <c r="AG392" i="20"/>
  <c r="AG400" i="20"/>
  <c r="AG408" i="20"/>
  <c r="AG416" i="20"/>
  <c r="AG424" i="20"/>
  <c r="AG432" i="20"/>
  <c r="AG440" i="20"/>
  <c r="AG448" i="20"/>
  <c r="AG456" i="20"/>
  <c r="AG464" i="20"/>
  <c r="AG472" i="20"/>
  <c r="AG480" i="20"/>
  <c r="AG488" i="20"/>
  <c r="AG496" i="20"/>
  <c r="AG504" i="20"/>
  <c r="AG512" i="20"/>
  <c r="AG520" i="20"/>
  <c r="AG528" i="20"/>
  <c r="AG536" i="20"/>
  <c r="AG544" i="20"/>
  <c r="AG552" i="20"/>
  <c r="AG560" i="20"/>
  <c r="AG568" i="20"/>
  <c r="AG576" i="20"/>
  <c r="AG584" i="20"/>
  <c r="AG592" i="20"/>
  <c r="AG600" i="20"/>
  <c r="AG608" i="20"/>
  <c r="AG616" i="20"/>
  <c r="AG624" i="20"/>
  <c r="AG632" i="20"/>
  <c r="AG640" i="20"/>
  <c r="AG648" i="20"/>
  <c r="AG656" i="20"/>
  <c r="AG664" i="20"/>
  <c r="AG672" i="20"/>
  <c r="AG680" i="20"/>
  <c r="AG688" i="20"/>
  <c r="AG696" i="20"/>
  <c r="AG704" i="20"/>
  <c r="AG712" i="20"/>
  <c r="AG41" i="20"/>
  <c r="AG49" i="20"/>
  <c r="AG57" i="20"/>
  <c r="AG65" i="20"/>
  <c r="AG73" i="20"/>
  <c r="AG81" i="20"/>
  <c r="AG89" i="20"/>
  <c r="AG97" i="20"/>
  <c r="AG105" i="20"/>
  <c r="AG113" i="20"/>
  <c r="AG121" i="20"/>
  <c r="AG129" i="20"/>
  <c r="AG137" i="20"/>
  <c r="AG145" i="20"/>
  <c r="AG153" i="20"/>
  <c r="AG161" i="20"/>
  <c r="AG169" i="20"/>
  <c r="AG177" i="20"/>
  <c r="AG185" i="20"/>
  <c r="AG193" i="20"/>
  <c r="AG201" i="20"/>
  <c r="AG209" i="20"/>
  <c r="AG217" i="20"/>
  <c r="AG225" i="20"/>
  <c r="AG233" i="20"/>
  <c r="AG241" i="20"/>
  <c r="AG249" i="20"/>
  <c r="AG257" i="20"/>
  <c r="AG265" i="20"/>
  <c r="AG273" i="20"/>
  <c r="AG281" i="20"/>
  <c r="AG289" i="20"/>
  <c r="AG297" i="20"/>
  <c r="AG305" i="20"/>
  <c r="AG313" i="20"/>
  <c r="AG321" i="20"/>
  <c r="AG329" i="20"/>
  <c r="AG337" i="20"/>
  <c r="AG345" i="20"/>
  <c r="AG353" i="20"/>
  <c r="AG361" i="20"/>
  <c r="AG369" i="20"/>
  <c r="AG377" i="20"/>
  <c r="AG385" i="20"/>
  <c r="AG393" i="20"/>
  <c r="AG401" i="20"/>
  <c r="AG409" i="20"/>
  <c r="AG417" i="20"/>
  <c r="AG425" i="20"/>
  <c r="AG433" i="20"/>
  <c r="AG441" i="20"/>
  <c r="AG449" i="20"/>
  <c r="AG457" i="20"/>
  <c r="AG465" i="20"/>
  <c r="AG473" i="20"/>
  <c r="AG481" i="20"/>
  <c r="AG489" i="20"/>
  <c r="AG497" i="20"/>
  <c r="AG505" i="20"/>
  <c r="AG513" i="20"/>
  <c r="AG521" i="20"/>
  <c r="AG529" i="20"/>
  <c r="AG537" i="20"/>
  <c r="AG545" i="20"/>
  <c r="AG553" i="20"/>
  <c r="AG561" i="20"/>
  <c r="AG569" i="20"/>
  <c r="AG577" i="20"/>
  <c r="AG585" i="20"/>
  <c r="AG593" i="20"/>
  <c r="AG601" i="20"/>
  <c r="AG609" i="20"/>
  <c r="AG617" i="20"/>
  <c r="AG625" i="20"/>
  <c r="AG633" i="20"/>
  <c r="AG641" i="20"/>
  <c r="AG649" i="20"/>
  <c r="AG657" i="20"/>
  <c r="AG665" i="20"/>
  <c r="AG673" i="20"/>
  <c r="AG681" i="20"/>
  <c r="AG689" i="20"/>
  <c r="AG697" i="20"/>
  <c r="AG705" i="20"/>
  <c r="AG42" i="20"/>
  <c r="AG50" i="20"/>
  <c r="AG58" i="20"/>
  <c r="AG66" i="20"/>
  <c r="AG74" i="20"/>
  <c r="AG82" i="20"/>
  <c r="AG90" i="20"/>
  <c r="AG98" i="20"/>
  <c r="AG106" i="20"/>
  <c r="AG114" i="20"/>
  <c r="AG122" i="20"/>
  <c r="AG130" i="20"/>
  <c r="AG138" i="20"/>
  <c r="AG146" i="20"/>
  <c r="AG154" i="20"/>
  <c r="AG162" i="20"/>
  <c r="AG170" i="20"/>
  <c r="AG178" i="20"/>
  <c r="AG186" i="20"/>
  <c r="AG194" i="20"/>
  <c r="AG202" i="20"/>
  <c r="AG210" i="20"/>
  <c r="AG218" i="20"/>
  <c r="AG226" i="20"/>
  <c r="AG234" i="20"/>
  <c r="AG242" i="20"/>
  <c r="AG250" i="20"/>
  <c r="AG258" i="20"/>
  <c r="AG266" i="20"/>
  <c r="AG274" i="20"/>
  <c r="AG282" i="20"/>
  <c r="AG290" i="20"/>
  <c r="AG298" i="20"/>
  <c r="AG306" i="20"/>
  <c r="AG314" i="20"/>
  <c r="AG322" i="20"/>
  <c r="AG330" i="20"/>
  <c r="AG338" i="20"/>
  <c r="AG346" i="20"/>
  <c r="AG354" i="20"/>
  <c r="AG362" i="20"/>
  <c r="AG370" i="20"/>
  <c r="AG378" i="20"/>
  <c r="AG386" i="20"/>
  <c r="AG394" i="20"/>
  <c r="AG402" i="20"/>
  <c r="AG410" i="20"/>
  <c r="AG418" i="20"/>
  <c r="AG426" i="20"/>
  <c r="AG434" i="20"/>
  <c r="AG442" i="20"/>
  <c r="AG450" i="20"/>
  <c r="AG458" i="20"/>
  <c r="AG466" i="20"/>
  <c r="AG474" i="20"/>
  <c r="AG482" i="20"/>
  <c r="AG490" i="20"/>
  <c r="AG498" i="20"/>
  <c r="AG506" i="20"/>
  <c r="AG514" i="20"/>
  <c r="AG522" i="20"/>
  <c r="AG530" i="20"/>
  <c r="AG538" i="20"/>
  <c r="AG546" i="20"/>
  <c r="AG554" i="20"/>
  <c r="AG562" i="20"/>
  <c r="AG570" i="20"/>
  <c r="AG578" i="20"/>
  <c r="AG586" i="20"/>
  <c r="AG594" i="20"/>
  <c r="AG602" i="20"/>
  <c r="AG610" i="20"/>
  <c r="AG618" i="20"/>
  <c r="AG626" i="20"/>
  <c r="AG634" i="20"/>
  <c r="AG642" i="20"/>
  <c r="AG650" i="20"/>
  <c r="AG658" i="20"/>
  <c r="AG666" i="20"/>
  <c r="AG674" i="20"/>
  <c r="AG682" i="20"/>
  <c r="AG690" i="20"/>
  <c r="AG698" i="20"/>
  <c r="AG706" i="20"/>
  <c r="AG714" i="20"/>
  <c r="AG36" i="20"/>
  <c r="AG44" i="20"/>
  <c r="AG52" i="20"/>
  <c r="AG60" i="20"/>
  <c r="AG68" i="20"/>
  <c r="AG76" i="20"/>
  <c r="AG84" i="20"/>
  <c r="AG92" i="20"/>
  <c r="AG100" i="20"/>
  <c r="AG108" i="20"/>
  <c r="AG116" i="20"/>
  <c r="AG124" i="20"/>
  <c r="AG132" i="20"/>
  <c r="AG140" i="20"/>
  <c r="AG148" i="20"/>
  <c r="AG156" i="20"/>
  <c r="AG164" i="20"/>
  <c r="AG172" i="20"/>
  <c r="AG180" i="20"/>
  <c r="AG188" i="20"/>
  <c r="AG196" i="20"/>
  <c r="AG204" i="20"/>
  <c r="AG212" i="20"/>
  <c r="AG220" i="20"/>
  <c r="AG228" i="20"/>
  <c r="AG236" i="20"/>
  <c r="AG244" i="20"/>
  <c r="AG252" i="20"/>
  <c r="AG260" i="20"/>
  <c r="AG268" i="20"/>
  <c r="AG276" i="20"/>
  <c r="AG284" i="20"/>
  <c r="AG292" i="20"/>
  <c r="AG300" i="20"/>
  <c r="AG308" i="20"/>
  <c r="AG316" i="20"/>
  <c r="AG324" i="20"/>
  <c r="AG332" i="20"/>
  <c r="AG340" i="20"/>
  <c r="AG348" i="20"/>
  <c r="AG356" i="20"/>
  <c r="AG364" i="20"/>
  <c r="AG372" i="20"/>
  <c r="AG380" i="20"/>
  <c r="AG388" i="20"/>
  <c r="AG396" i="20"/>
  <c r="AG404" i="20"/>
  <c r="AG412" i="20"/>
  <c r="AG420" i="20"/>
  <c r="AG428" i="20"/>
  <c r="AG436" i="20"/>
  <c r="AG444" i="20"/>
  <c r="AG452" i="20"/>
  <c r="AG460" i="20"/>
  <c r="AG468" i="20"/>
  <c r="AG476" i="20"/>
  <c r="AG484" i="20"/>
  <c r="AG492" i="20"/>
  <c r="AG500" i="20"/>
  <c r="AG508" i="20"/>
  <c r="AG516" i="20"/>
  <c r="AG524" i="20"/>
  <c r="AG532" i="20"/>
  <c r="AG540" i="20"/>
  <c r="AG548" i="20"/>
  <c r="AG556" i="20"/>
  <c r="AG564" i="20"/>
  <c r="AG572" i="20"/>
  <c r="AG580" i="20"/>
  <c r="AG588" i="20"/>
  <c r="AG596" i="20"/>
  <c r="AG604" i="20"/>
  <c r="AG612" i="20"/>
  <c r="AG620" i="20"/>
  <c r="AG628" i="20"/>
  <c r="AG636" i="20"/>
  <c r="AG644" i="20"/>
  <c r="AG652" i="20"/>
  <c r="AG660" i="20"/>
  <c r="AG668" i="20"/>
  <c r="AG676" i="20"/>
  <c r="AG684" i="20"/>
  <c r="AG692" i="20"/>
  <c r="AG700" i="20"/>
  <c r="AG51" i="20"/>
  <c r="AG115" i="20"/>
  <c r="AG179" i="20"/>
  <c r="AG243" i="20"/>
  <c r="AG307" i="20"/>
  <c r="AG371" i="20"/>
  <c r="AG435" i="20"/>
  <c r="AG499" i="20"/>
  <c r="AG563" i="20"/>
  <c r="AG627" i="20"/>
  <c r="AG691" i="20"/>
  <c r="AG717" i="20"/>
  <c r="AG725" i="20"/>
  <c r="AG733" i="20"/>
  <c r="AG741" i="20"/>
  <c r="AG749" i="20"/>
  <c r="AG757" i="20"/>
  <c r="AG765" i="20"/>
  <c r="AG773" i="20"/>
  <c r="AG781" i="20"/>
  <c r="AG789" i="20"/>
  <c r="AG797" i="20"/>
  <c r="AG805" i="20"/>
  <c r="AG813" i="20"/>
  <c r="AG821" i="20"/>
  <c r="AG829" i="20"/>
  <c r="AG837" i="20"/>
  <c r="AG845" i="20"/>
  <c r="AG853" i="20"/>
  <c r="AG861" i="20"/>
  <c r="AG869" i="20"/>
  <c r="AG877" i="20"/>
  <c r="AG885" i="20"/>
  <c r="AG893" i="20"/>
  <c r="AG901" i="20"/>
  <c r="AG909" i="20"/>
  <c r="AG917" i="20"/>
  <c r="AG925" i="20"/>
  <c r="AG933" i="20"/>
  <c r="AG941" i="20"/>
  <c r="AG949" i="20"/>
  <c r="AG957" i="20"/>
  <c r="AG965" i="20"/>
  <c r="AG973" i="20"/>
  <c r="AG981" i="20"/>
  <c r="AG989" i="20"/>
  <c r="AG997" i="20"/>
  <c r="AG1005" i="20"/>
  <c r="AG1013" i="20"/>
  <c r="AG1021" i="20"/>
  <c r="AG1029" i="20"/>
  <c r="AG35" i="20"/>
  <c r="AG43" i="20"/>
  <c r="AG491" i="20"/>
  <c r="AG740" i="20"/>
  <c r="AG804" i="20"/>
  <c r="AG852" i="20"/>
  <c r="AG908" i="20"/>
  <c r="AG964" i="20"/>
  <c r="AG1020" i="20"/>
  <c r="AG59" i="20"/>
  <c r="AG123" i="20"/>
  <c r="AG187" i="20"/>
  <c r="AG251" i="20"/>
  <c r="AG315" i="20"/>
  <c r="AG379" i="20"/>
  <c r="AG443" i="20"/>
  <c r="AG507" i="20"/>
  <c r="AG571" i="20"/>
  <c r="AG635" i="20"/>
  <c r="AG699" i="20"/>
  <c r="AG718" i="20"/>
  <c r="AG726" i="20"/>
  <c r="AG734" i="20"/>
  <c r="AG742" i="20"/>
  <c r="AG750" i="20"/>
  <c r="AG758" i="20"/>
  <c r="AG766" i="20"/>
  <c r="AG774" i="20"/>
  <c r="AG782" i="20"/>
  <c r="AG790" i="20"/>
  <c r="AG798" i="20"/>
  <c r="AG806" i="20"/>
  <c r="AG814" i="20"/>
  <c r="AG822" i="20"/>
  <c r="AG830" i="20"/>
  <c r="AG838" i="20"/>
  <c r="AG846" i="20"/>
  <c r="AG854" i="20"/>
  <c r="AG862" i="20"/>
  <c r="AG870" i="20"/>
  <c r="AG878" i="20"/>
  <c r="AG886" i="20"/>
  <c r="AG894" i="20"/>
  <c r="AG902" i="20"/>
  <c r="AG910" i="20"/>
  <c r="AG918" i="20"/>
  <c r="AG926" i="20"/>
  <c r="AG934" i="20"/>
  <c r="AG942" i="20"/>
  <c r="AG950" i="20"/>
  <c r="AG958" i="20"/>
  <c r="AG966" i="20"/>
  <c r="AG974" i="20"/>
  <c r="AG982" i="20"/>
  <c r="AG990" i="20"/>
  <c r="AG998" i="20"/>
  <c r="AG1006" i="20"/>
  <c r="AG1014" i="20"/>
  <c r="AG1022" i="20"/>
  <c r="AG1030" i="20"/>
  <c r="AG1031" i="20"/>
  <c r="AG363" i="20"/>
  <c r="AG724" i="20"/>
  <c r="AG772" i="20"/>
  <c r="AG820" i="20"/>
  <c r="AG876" i="20"/>
  <c r="AG940" i="20"/>
  <c r="AG1004" i="20"/>
  <c r="AG67" i="20"/>
  <c r="AG131" i="20"/>
  <c r="AG195" i="20"/>
  <c r="AG259" i="20"/>
  <c r="AG323" i="20"/>
  <c r="AG387" i="20"/>
  <c r="AG451" i="20"/>
  <c r="AG515" i="20"/>
  <c r="AG579" i="20"/>
  <c r="AG643" i="20"/>
  <c r="AG707" i="20"/>
  <c r="AG719" i="20"/>
  <c r="AG727" i="20"/>
  <c r="AG735" i="20"/>
  <c r="AG743" i="20"/>
  <c r="AG751" i="20"/>
  <c r="AG759" i="20"/>
  <c r="AG767" i="20"/>
  <c r="AG775" i="20"/>
  <c r="AG783" i="20"/>
  <c r="AG791" i="20"/>
  <c r="AG799" i="20"/>
  <c r="AG807" i="20"/>
  <c r="AG815" i="20"/>
  <c r="AG823" i="20"/>
  <c r="AG831" i="20"/>
  <c r="AG839" i="20"/>
  <c r="AG847" i="20"/>
  <c r="AG855" i="20"/>
  <c r="AG863" i="20"/>
  <c r="AG871" i="20"/>
  <c r="AG879" i="20"/>
  <c r="AG887" i="20"/>
  <c r="AG895" i="20"/>
  <c r="AG903" i="20"/>
  <c r="AG911" i="20"/>
  <c r="AG919" i="20"/>
  <c r="AG927" i="20"/>
  <c r="AG935" i="20"/>
  <c r="AG943" i="20"/>
  <c r="AG951" i="20"/>
  <c r="AG959" i="20"/>
  <c r="AG967" i="20"/>
  <c r="AG975" i="20"/>
  <c r="AG983" i="20"/>
  <c r="AG991" i="20"/>
  <c r="AG999" i="20"/>
  <c r="AG1007" i="20"/>
  <c r="AG1015" i="20"/>
  <c r="AG1023" i="20"/>
  <c r="AG235" i="20"/>
  <c r="AG619" i="20"/>
  <c r="AG764" i="20"/>
  <c r="AG828" i="20"/>
  <c r="AG892" i="20"/>
  <c r="AG932" i="20"/>
  <c r="AG988" i="20"/>
  <c r="AG75" i="20"/>
  <c r="AG139" i="20"/>
  <c r="AG203" i="20"/>
  <c r="AG267" i="20"/>
  <c r="AG331" i="20"/>
  <c r="AG395" i="20"/>
  <c r="AG459" i="20"/>
  <c r="AG523" i="20"/>
  <c r="AG587" i="20"/>
  <c r="AG651" i="20"/>
  <c r="AG708" i="20"/>
  <c r="AG720" i="20"/>
  <c r="AG728" i="20"/>
  <c r="AG736" i="20"/>
  <c r="AG744" i="20"/>
  <c r="AG752" i="20"/>
  <c r="AG760" i="20"/>
  <c r="AG768" i="20"/>
  <c r="AG776" i="20"/>
  <c r="AG784" i="20"/>
  <c r="AG792" i="20"/>
  <c r="AG800" i="20"/>
  <c r="AG808" i="20"/>
  <c r="AG816" i="20"/>
  <c r="AG824" i="20"/>
  <c r="AG832" i="20"/>
  <c r="AG840" i="20"/>
  <c r="AG848" i="20"/>
  <c r="AG856" i="20"/>
  <c r="AG864" i="20"/>
  <c r="AG872" i="20"/>
  <c r="AG880" i="20"/>
  <c r="AG888" i="20"/>
  <c r="AG896" i="20"/>
  <c r="AG904" i="20"/>
  <c r="AG912" i="20"/>
  <c r="AG920" i="20"/>
  <c r="AG928" i="20"/>
  <c r="AG936" i="20"/>
  <c r="AG944" i="20"/>
  <c r="AG952" i="20"/>
  <c r="AG960" i="20"/>
  <c r="AG968" i="20"/>
  <c r="AG976" i="20"/>
  <c r="AG984" i="20"/>
  <c r="AG992" i="20"/>
  <c r="AG1000" i="20"/>
  <c r="AG1008" i="20"/>
  <c r="AG1016" i="20"/>
  <c r="AG1024" i="20"/>
  <c r="AG1032" i="20"/>
  <c r="AG1011" i="20"/>
  <c r="AG427" i="20"/>
  <c r="AG732" i="20"/>
  <c r="AG796" i="20"/>
  <c r="AG860" i="20"/>
  <c r="AG924" i="20"/>
  <c r="AG980" i="20"/>
  <c r="AG1028" i="20"/>
  <c r="AG83" i="20"/>
  <c r="AG147" i="20"/>
  <c r="AG211" i="20"/>
  <c r="AG275" i="20"/>
  <c r="AG339" i="20"/>
  <c r="AG403" i="20"/>
  <c r="AG467" i="20"/>
  <c r="AG531" i="20"/>
  <c r="AG595" i="20"/>
  <c r="AG659" i="20"/>
  <c r="AG711" i="20"/>
  <c r="AG721" i="20"/>
  <c r="AG729" i="20"/>
  <c r="AG737" i="20"/>
  <c r="AG745" i="20"/>
  <c r="AG753" i="20"/>
  <c r="AG761" i="20"/>
  <c r="AG769" i="20"/>
  <c r="AG777" i="20"/>
  <c r="AG785" i="20"/>
  <c r="AG793" i="20"/>
  <c r="AG801" i="20"/>
  <c r="AG809" i="20"/>
  <c r="AG817" i="20"/>
  <c r="AG825" i="20"/>
  <c r="AG833" i="20"/>
  <c r="AG841" i="20"/>
  <c r="AG849" i="20"/>
  <c r="AG857" i="20"/>
  <c r="AG865" i="20"/>
  <c r="AG873" i="20"/>
  <c r="AG881" i="20"/>
  <c r="AG889" i="20"/>
  <c r="AG897" i="20"/>
  <c r="AG905" i="20"/>
  <c r="AG913" i="20"/>
  <c r="AG921" i="20"/>
  <c r="AG929" i="20"/>
  <c r="AG937" i="20"/>
  <c r="AG945" i="20"/>
  <c r="AG953" i="20"/>
  <c r="AG961" i="20"/>
  <c r="AG969" i="20"/>
  <c r="AG977" i="20"/>
  <c r="AG985" i="20"/>
  <c r="AG993" i="20"/>
  <c r="AG1001" i="20"/>
  <c r="AG1009" i="20"/>
  <c r="AG1017" i="20"/>
  <c r="AG1025" i="20"/>
  <c r="AG1033" i="20"/>
  <c r="AG1027" i="20"/>
  <c r="AG299" i="20"/>
  <c r="AG716" i="20"/>
  <c r="AG756" i="20"/>
  <c r="AG812" i="20"/>
  <c r="AG868" i="20"/>
  <c r="AG916" i="20"/>
  <c r="AG972" i="20"/>
  <c r="AG91" i="20"/>
  <c r="AG155" i="20"/>
  <c r="AG219" i="20"/>
  <c r="AG283" i="20"/>
  <c r="AG347" i="20"/>
  <c r="AG411" i="20"/>
  <c r="AG475" i="20"/>
  <c r="AG539" i="20"/>
  <c r="AG603" i="20"/>
  <c r="AG667" i="20"/>
  <c r="AG713" i="20"/>
  <c r="AG722" i="20"/>
  <c r="AG730" i="20"/>
  <c r="AG738" i="20"/>
  <c r="AG746" i="20"/>
  <c r="AG754" i="20"/>
  <c r="AG762" i="20"/>
  <c r="AG770" i="20"/>
  <c r="AG778" i="20"/>
  <c r="AG786" i="20"/>
  <c r="AG794" i="20"/>
  <c r="AG802" i="20"/>
  <c r="AG810" i="20"/>
  <c r="AG818" i="20"/>
  <c r="AG826" i="20"/>
  <c r="AG834" i="20"/>
  <c r="AG842" i="20"/>
  <c r="AG850" i="20"/>
  <c r="AG858" i="20"/>
  <c r="AG866" i="20"/>
  <c r="AG874" i="20"/>
  <c r="AG882" i="20"/>
  <c r="AG890" i="20"/>
  <c r="AG898" i="20"/>
  <c r="AG906" i="20"/>
  <c r="AG914" i="20"/>
  <c r="AG922" i="20"/>
  <c r="AG930" i="20"/>
  <c r="AG938" i="20"/>
  <c r="AG946" i="20"/>
  <c r="AG954" i="20"/>
  <c r="AG962" i="20"/>
  <c r="AG970" i="20"/>
  <c r="AG978" i="20"/>
  <c r="AG986" i="20"/>
  <c r="AG994" i="20"/>
  <c r="AG1002" i="20"/>
  <c r="AG1010" i="20"/>
  <c r="AG1018" i="20"/>
  <c r="AG1026" i="20"/>
  <c r="AG1034" i="20"/>
  <c r="AG107" i="20"/>
  <c r="AG555" i="20"/>
  <c r="AG748" i="20"/>
  <c r="AG788" i="20"/>
  <c r="AG844" i="20"/>
  <c r="AG900" i="20"/>
  <c r="AG956" i="20"/>
  <c r="AG1012" i="20"/>
  <c r="AG99" i="20"/>
  <c r="AG163" i="20"/>
  <c r="AG227" i="20"/>
  <c r="AG291" i="20"/>
  <c r="AG355" i="20"/>
  <c r="AG419" i="20"/>
  <c r="AG483" i="20"/>
  <c r="AG547" i="20"/>
  <c r="AG611" i="20"/>
  <c r="AG675" i="20"/>
  <c r="AG715" i="20"/>
  <c r="AG723" i="20"/>
  <c r="AG731" i="20"/>
  <c r="AG739" i="20"/>
  <c r="AG747" i="20"/>
  <c r="AG755" i="20"/>
  <c r="AG763" i="20"/>
  <c r="AG771" i="20"/>
  <c r="AG779" i="20"/>
  <c r="AG787" i="20"/>
  <c r="AG795" i="20"/>
  <c r="AG803" i="20"/>
  <c r="AG811" i="20"/>
  <c r="AG819" i="20"/>
  <c r="AG827" i="20"/>
  <c r="AG835" i="20"/>
  <c r="AG843" i="20"/>
  <c r="AG851" i="20"/>
  <c r="AG859" i="20"/>
  <c r="AG867" i="20"/>
  <c r="AG875" i="20"/>
  <c r="AG883" i="20"/>
  <c r="AG891" i="20"/>
  <c r="AG899" i="20"/>
  <c r="AG907" i="20"/>
  <c r="AG915" i="20"/>
  <c r="AG923" i="20"/>
  <c r="AG931" i="20"/>
  <c r="AG939" i="20"/>
  <c r="AG947" i="20"/>
  <c r="AG955" i="20"/>
  <c r="AG963" i="20"/>
  <c r="AG971" i="20"/>
  <c r="AG979" i="20"/>
  <c r="AG987" i="20"/>
  <c r="AG995" i="20"/>
  <c r="AG1003" i="20"/>
  <c r="AG1019" i="20"/>
  <c r="AG171" i="20"/>
  <c r="AG683" i="20"/>
  <c r="AG780" i="20"/>
  <c r="AG836" i="20"/>
  <c r="AG884" i="20"/>
  <c r="AG948" i="20"/>
  <c r="AG996" i="20"/>
  <c r="AF37" i="20"/>
  <c r="AF45" i="20"/>
  <c r="AF53" i="20"/>
  <c r="AF61" i="20"/>
  <c r="AF69" i="20"/>
  <c r="AF77" i="20"/>
  <c r="AF85" i="20"/>
  <c r="AF93" i="20"/>
  <c r="AF101" i="20"/>
  <c r="AF109" i="20"/>
  <c r="AF117" i="20"/>
  <c r="AF125" i="20"/>
  <c r="AF133" i="20"/>
  <c r="AF141" i="20"/>
  <c r="AF149" i="20"/>
  <c r="AF157" i="20"/>
  <c r="AF165" i="20"/>
  <c r="AF173" i="20"/>
  <c r="AF181" i="20"/>
  <c r="AF189" i="20"/>
  <c r="AF197" i="20"/>
  <c r="AF205" i="20"/>
  <c r="AF213" i="20"/>
  <c r="AF221" i="20"/>
  <c r="AF229" i="20"/>
  <c r="AF237" i="20"/>
  <c r="AF245" i="20"/>
  <c r="AF253" i="20"/>
  <c r="AF261" i="20"/>
  <c r="AF269" i="20"/>
  <c r="AF277" i="20"/>
  <c r="AF285" i="20"/>
  <c r="AF293" i="20"/>
  <c r="AF301" i="20"/>
  <c r="AF309" i="20"/>
  <c r="AF317" i="20"/>
  <c r="AF325" i="20"/>
  <c r="AF333" i="20"/>
  <c r="AF341" i="20"/>
  <c r="AF349" i="20"/>
  <c r="AF357" i="20"/>
  <c r="AF365" i="20"/>
  <c r="AF373" i="20"/>
  <c r="AF381" i="20"/>
  <c r="AF389" i="20"/>
  <c r="AF397" i="20"/>
  <c r="AF405" i="20"/>
  <c r="AF413" i="20"/>
  <c r="AF421" i="20"/>
  <c r="AF429" i="20"/>
  <c r="AF437" i="20"/>
  <c r="AF445" i="20"/>
  <c r="AF453" i="20"/>
  <c r="AF461" i="20"/>
  <c r="AF469" i="20"/>
  <c r="AF477" i="20"/>
  <c r="AF485" i="20"/>
  <c r="AF493" i="20"/>
  <c r="AF501" i="20"/>
  <c r="AF509" i="20"/>
  <c r="AF517" i="20"/>
  <c r="AF525" i="20"/>
  <c r="AF533" i="20"/>
  <c r="AF541" i="20"/>
  <c r="AF549" i="20"/>
  <c r="AF557" i="20"/>
  <c r="AF565" i="20"/>
  <c r="AF573" i="20"/>
  <c r="AF581" i="20"/>
  <c r="AF589" i="20"/>
  <c r="AF597" i="20"/>
  <c r="AF605" i="20"/>
  <c r="AF613" i="20"/>
  <c r="AF621" i="20"/>
  <c r="AF629" i="20"/>
  <c r="AF637" i="20"/>
  <c r="AF645" i="20"/>
  <c r="AF653" i="20"/>
  <c r="AF661" i="20"/>
  <c r="AF669" i="20"/>
  <c r="AF677" i="20"/>
  <c r="AF685" i="20"/>
  <c r="AF693" i="20"/>
  <c r="AF701" i="20"/>
  <c r="AF709" i="20"/>
  <c r="AF38" i="20"/>
  <c r="AF46" i="20"/>
  <c r="AF54" i="20"/>
  <c r="AF62" i="20"/>
  <c r="AF70" i="20"/>
  <c r="AF78" i="20"/>
  <c r="AF86" i="20"/>
  <c r="AF94" i="20"/>
  <c r="AF102" i="20"/>
  <c r="AF110" i="20"/>
  <c r="AF118" i="20"/>
  <c r="AF126" i="20"/>
  <c r="AF134" i="20"/>
  <c r="AF142" i="20"/>
  <c r="AF150" i="20"/>
  <c r="AF158" i="20"/>
  <c r="AF166" i="20"/>
  <c r="AF174" i="20"/>
  <c r="AF182" i="20"/>
  <c r="AF190" i="20"/>
  <c r="AF198" i="20"/>
  <c r="AF206" i="20"/>
  <c r="AF214" i="20"/>
  <c r="AF222" i="20"/>
  <c r="AF230" i="20"/>
  <c r="AF238" i="20"/>
  <c r="AF246" i="20"/>
  <c r="AF254" i="20"/>
  <c r="AF262" i="20"/>
  <c r="AF270" i="20"/>
  <c r="AF278" i="20"/>
  <c r="AF286" i="20"/>
  <c r="AF294" i="20"/>
  <c r="AF302" i="20"/>
  <c r="AF310" i="20"/>
  <c r="AF318" i="20"/>
  <c r="AF326" i="20"/>
  <c r="AF334" i="20"/>
  <c r="AF342" i="20"/>
  <c r="AF350" i="20"/>
  <c r="AF358" i="20"/>
  <c r="AF366" i="20"/>
  <c r="AF374" i="20"/>
  <c r="AF382" i="20"/>
  <c r="AF390" i="20"/>
  <c r="AF398" i="20"/>
  <c r="AF406" i="20"/>
  <c r="AF414" i="20"/>
  <c r="AF422" i="20"/>
  <c r="AF430" i="20"/>
  <c r="AF438" i="20"/>
  <c r="AF446" i="20"/>
  <c r="AF454" i="20"/>
  <c r="AF462" i="20"/>
  <c r="AF470" i="20"/>
  <c r="AF478" i="20"/>
  <c r="AF486" i="20"/>
  <c r="AF494" i="20"/>
  <c r="AF502" i="20"/>
  <c r="AF510" i="20"/>
  <c r="AF518" i="20"/>
  <c r="AF526" i="20"/>
  <c r="AF534" i="20"/>
  <c r="AF542" i="20"/>
  <c r="AF550" i="20"/>
  <c r="AF558" i="20"/>
  <c r="AF566" i="20"/>
  <c r="AF574" i="20"/>
  <c r="AF582" i="20"/>
  <c r="AF590" i="20"/>
  <c r="AF598" i="20"/>
  <c r="AF606" i="20"/>
  <c r="AF614" i="20"/>
  <c r="AF622" i="20"/>
  <c r="AF630" i="20"/>
  <c r="AF638" i="20"/>
  <c r="AF646" i="20"/>
  <c r="AF654" i="20"/>
  <c r="AF662" i="20"/>
  <c r="AF670" i="20"/>
  <c r="AF678" i="20"/>
  <c r="AF686" i="20"/>
  <c r="AF694" i="20"/>
  <c r="AF702" i="20"/>
  <c r="AF710" i="20"/>
  <c r="AF39" i="20"/>
  <c r="AF47" i="20"/>
  <c r="AF55" i="20"/>
  <c r="AF63" i="20"/>
  <c r="AF71" i="20"/>
  <c r="AF79" i="20"/>
  <c r="AF87" i="20"/>
  <c r="AF95" i="20"/>
  <c r="AF103" i="20"/>
  <c r="AF111" i="20"/>
  <c r="AF119" i="20"/>
  <c r="AF127" i="20"/>
  <c r="AF135" i="20"/>
  <c r="AF143" i="20"/>
  <c r="AF151" i="20"/>
  <c r="AF159" i="20"/>
  <c r="AF167" i="20"/>
  <c r="AF175" i="20"/>
  <c r="AF183" i="20"/>
  <c r="AF191" i="20"/>
  <c r="AF199" i="20"/>
  <c r="AF207" i="20"/>
  <c r="AF215" i="20"/>
  <c r="AF223" i="20"/>
  <c r="AF231" i="20"/>
  <c r="AF239" i="20"/>
  <c r="AF247" i="20"/>
  <c r="AF255" i="20"/>
  <c r="AF263" i="20"/>
  <c r="AF271" i="20"/>
  <c r="AF279" i="20"/>
  <c r="AF287" i="20"/>
  <c r="AF295" i="20"/>
  <c r="AF303" i="20"/>
  <c r="AF311" i="20"/>
  <c r="AF319" i="20"/>
  <c r="AF327" i="20"/>
  <c r="AF335" i="20"/>
  <c r="AF343" i="20"/>
  <c r="AF351" i="20"/>
  <c r="AF359" i="20"/>
  <c r="AF367" i="20"/>
  <c r="AF375" i="20"/>
  <c r="AF383" i="20"/>
  <c r="AF391" i="20"/>
  <c r="AF399" i="20"/>
  <c r="AF407" i="20"/>
  <c r="AF415" i="20"/>
  <c r="AF423" i="20"/>
  <c r="AF431" i="20"/>
  <c r="AF439" i="20"/>
  <c r="AF447" i="20"/>
  <c r="AF455" i="20"/>
  <c r="AF463" i="20"/>
  <c r="AF471" i="20"/>
  <c r="AF479" i="20"/>
  <c r="AF487" i="20"/>
  <c r="AF495" i="20"/>
  <c r="AF503" i="20"/>
  <c r="AF511" i="20"/>
  <c r="AF519" i="20"/>
  <c r="AF527" i="20"/>
  <c r="AF535" i="20"/>
  <c r="AF543" i="20"/>
  <c r="AF551" i="20"/>
  <c r="AF559" i="20"/>
  <c r="AF567" i="20"/>
  <c r="AF575" i="20"/>
  <c r="AF583" i="20"/>
  <c r="AF591" i="20"/>
  <c r="AF599" i="20"/>
  <c r="AF607" i="20"/>
  <c r="AF615" i="20"/>
  <c r="AF623" i="20"/>
  <c r="AF631" i="20"/>
  <c r="AF639" i="20"/>
  <c r="AF647" i="20"/>
  <c r="AF655" i="20"/>
  <c r="AF663" i="20"/>
  <c r="AF671" i="20"/>
  <c r="AF679" i="20"/>
  <c r="AF687" i="20"/>
  <c r="AF695" i="20"/>
  <c r="AF703" i="20"/>
  <c r="AF711" i="20"/>
  <c r="AF40" i="20"/>
  <c r="AF48" i="20"/>
  <c r="AF56" i="20"/>
  <c r="AF64" i="20"/>
  <c r="AF72" i="20"/>
  <c r="AF80" i="20"/>
  <c r="AF88" i="20"/>
  <c r="AF96" i="20"/>
  <c r="AF104" i="20"/>
  <c r="AF112" i="20"/>
  <c r="AF120" i="20"/>
  <c r="AF128" i="20"/>
  <c r="AF136" i="20"/>
  <c r="AF144" i="20"/>
  <c r="AF152" i="20"/>
  <c r="AF160" i="20"/>
  <c r="AF168" i="20"/>
  <c r="AF176" i="20"/>
  <c r="AF184" i="20"/>
  <c r="AF192" i="20"/>
  <c r="AF200" i="20"/>
  <c r="AF208" i="20"/>
  <c r="AF216" i="20"/>
  <c r="AF224" i="20"/>
  <c r="AF232" i="20"/>
  <c r="AF240" i="20"/>
  <c r="AF248" i="20"/>
  <c r="AF256" i="20"/>
  <c r="AF264" i="20"/>
  <c r="AF272" i="20"/>
  <c r="AF280" i="20"/>
  <c r="AF288" i="20"/>
  <c r="AF296" i="20"/>
  <c r="AF304" i="20"/>
  <c r="AF312" i="20"/>
  <c r="AF320" i="20"/>
  <c r="AF328" i="20"/>
  <c r="AF336" i="20"/>
  <c r="AF344" i="20"/>
  <c r="AF352" i="20"/>
  <c r="AF360" i="20"/>
  <c r="AF368" i="20"/>
  <c r="AF376" i="20"/>
  <c r="AF384" i="20"/>
  <c r="AF392" i="20"/>
  <c r="AF400" i="20"/>
  <c r="AF408" i="20"/>
  <c r="AF416" i="20"/>
  <c r="AF424" i="20"/>
  <c r="AF432" i="20"/>
  <c r="AF440" i="20"/>
  <c r="AF448" i="20"/>
  <c r="AF456" i="20"/>
  <c r="AF464" i="20"/>
  <c r="AF472" i="20"/>
  <c r="AF480" i="20"/>
  <c r="AF488" i="20"/>
  <c r="AF496" i="20"/>
  <c r="AF504" i="20"/>
  <c r="AF512" i="20"/>
  <c r="AF520" i="20"/>
  <c r="AF528" i="20"/>
  <c r="AF536" i="20"/>
  <c r="AF544" i="20"/>
  <c r="AF552" i="20"/>
  <c r="AF560" i="20"/>
  <c r="AF568" i="20"/>
  <c r="AF576" i="20"/>
  <c r="AF584" i="20"/>
  <c r="AF592" i="20"/>
  <c r="AF600" i="20"/>
  <c r="AF608" i="20"/>
  <c r="AF616" i="20"/>
  <c r="AF624" i="20"/>
  <c r="AF632" i="20"/>
  <c r="AF640" i="20"/>
  <c r="AF648" i="20"/>
  <c r="AF656" i="20"/>
  <c r="AF664" i="20"/>
  <c r="AF672" i="20"/>
  <c r="AF680" i="20"/>
  <c r="AF688" i="20"/>
  <c r="AF696" i="20"/>
  <c r="AF704" i="20"/>
  <c r="AF712" i="20"/>
  <c r="AF41" i="20"/>
  <c r="AF49" i="20"/>
  <c r="AF57" i="20"/>
  <c r="AF65" i="20"/>
  <c r="AF73" i="20"/>
  <c r="AF81" i="20"/>
  <c r="AF89" i="20"/>
  <c r="AF97" i="20"/>
  <c r="AF105" i="20"/>
  <c r="AF113" i="20"/>
  <c r="AF121" i="20"/>
  <c r="AF129" i="20"/>
  <c r="AF137" i="20"/>
  <c r="AF145" i="20"/>
  <c r="AF153" i="20"/>
  <c r="AF161" i="20"/>
  <c r="AF169" i="20"/>
  <c r="AF177" i="20"/>
  <c r="AF185" i="20"/>
  <c r="AF193" i="20"/>
  <c r="AF201" i="20"/>
  <c r="AF209" i="20"/>
  <c r="AF217" i="20"/>
  <c r="AF225" i="20"/>
  <c r="AF233" i="20"/>
  <c r="AF241" i="20"/>
  <c r="AF249" i="20"/>
  <c r="AF257" i="20"/>
  <c r="AF265" i="20"/>
  <c r="AF273" i="20"/>
  <c r="AF281" i="20"/>
  <c r="AF289" i="20"/>
  <c r="AF297" i="20"/>
  <c r="AF305" i="20"/>
  <c r="AF313" i="20"/>
  <c r="AF321" i="20"/>
  <c r="AF329" i="20"/>
  <c r="AF337" i="20"/>
  <c r="AF345" i="20"/>
  <c r="AF353" i="20"/>
  <c r="AF361" i="20"/>
  <c r="AF369" i="20"/>
  <c r="AF377" i="20"/>
  <c r="AF385" i="20"/>
  <c r="AF393" i="20"/>
  <c r="AF401" i="20"/>
  <c r="AF409" i="20"/>
  <c r="AF417" i="20"/>
  <c r="AF425" i="20"/>
  <c r="AF433" i="20"/>
  <c r="AF441" i="20"/>
  <c r="AF449" i="20"/>
  <c r="AF457" i="20"/>
  <c r="AF465" i="20"/>
  <c r="AF473" i="20"/>
  <c r="AF481" i="20"/>
  <c r="AF489" i="20"/>
  <c r="AF497" i="20"/>
  <c r="AF505" i="20"/>
  <c r="AF513" i="20"/>
  <c r="AF521" i="20"/>
  <c r="AF529" i="20"/>
  <c r="AF537" i="20"/>
  <c r="AF545" i="20"/>
  <c r="AF553" i="20"/>
  <c r="AF561" i="20"/>
  <c r="AF569" i="20"/>
  <c r="AF577" i="20"/>
  <c r="AF585" i="20"/>
  <c r="AF593" i="20"/>
  <c r="AF601" i="20"/>
  <c r="AF609" i="20"/>
  <c r="AF617" i="20"/>
  <c r="AF625" i="20"/>
  <c r="AF633" i="20"/>
  <c r="AF641" i="20"/>
  <c r="AF649" i="20"/>
  <c r="AF657" i="20"/>
  <c r="AF665" i="20"/>
  <c r="AF673" i="20"/>
  <c r="AF681" i="20"/>
  <c r="AF689" i="20"/>
  <c r="AF697" i="20"/>
  <c r="AF705" i="20"/>
  <c r="AF42" i="20"/>
  <c r="AF50" i="20"/>
  <c r="AF58" i="20"/>
  <c r="AF66" i="20"/>
  <c r="AF74" i="20"/>
  <c r="AF82" i="20"/>
  <c r="AF90" i="20"/>
  <c r="AF98" i="20"/>
  <c r="AF106" i="20"/>
  <c r="AF114" i="20"/>
  <c r="AF122" i="20"/>
  <c r="AF130" i="20"/>
  <c r="AF138" i="20"/>
  <c r="AF146" i="20"/>
  <c r="AF154" i="20"/>
  <c r="AF162" i="20"/>
  <c r="AF170" i="20"/>
  <c r="AF178" i="20"/>
  <c r="AF186" i="20"/>
  <c r="AF194" i="20"/>
  <c r="AF202" i="20"/>
  <c r="AF210" i="20"/>
  <c r="AF218" i="20"/>
  <c r="AF226" i="20"/>
  <c r="AF234" i="20"/>
  <c r="AF242" i="20"/>
  <c r="AF250" i="20"/>
  <c r="AF258" i="20"/>
  <c r="AF266" i="20"/>
  <c r="AF274" i="20"/>
  <c r="AF282" i="20"/>
  <c r="AF290" i="20"/>
  <c r="AF298" i="20"/>
  <c r="AF306" i="20"/>
  <c r="AF314" i="20"/>
  <c r="AF322" i="20"/>
  <c r="AF330" i="20"/>
  <c r="AF338" i="20"/>
  <c r="AF346" i="20"/>
  <c r="AF354" i="20"/>
  <c r="AF362" i="20"/>
  <c r="AF370" i="20"/>
  <c r="AF378" i="20"/>
  <c r="AF386" i="20"/>
  <c r="AF394" i="20"/>
  <c r="AF402" i="20"/>
  <c r="AF410" i="20"/>
  <c r="AF418" i="20"/>
  <c r="AF426" i="20"/>
  <c r="AF434" i="20"/>
  <c r="AF442" i="20"/>
  <c r="AF450" i="20"/>
  <c r="AF458" i="20"/>
  <c r="AF466" i="20"/>
  <c r="AF474" i="20"/>
  <c r="AF482" i="20"/>
  <c r="AF490" i="20"/>
  <c r="AF498" i="20"/>
  <c r="AF506" i="20"/>
  <c r="AF514" i="20"/>
  <c r="AF522" i="20"/>
  <c r="AF530" i="20"/>
  <c r="AF538" i="20"/>
  <c r="AF546" i="20"/>
  <c r="AF554" i="20"/>
  <c r="AF562" i="20"/>
  <c r="AF570" i="20"/>
  <c r="AF578" i="20"/>
  <c r="AF586" i="20"/>
  <c r="AF594" i="20"/>
  <c r="AF602" i="20"/>
  <c r="AF610" i="20"/>
  <c r="AF618" i="20"/>
  <c r="AF626" i="20"/>
  <c r="AF634" i="20"/>
  <c r="AF642" i="20"/>
  <c r="AF650" i="20"/>
  <c r="AF658" i="20"/>
  <c r="AF666" i="20"/>
  <c r="AF674" i="20"/>
  <c r="AF682" i="20"/>
  <c r="AF690" i="20"/>
  <c r="AF698" i="20"/>
  <c r="AF706" i="20"/>
  <c r="AF714" i="20"/>
  <c r="AF43" i="20"/>
  <c r="AF51" i="20"/>
  <c r="AF59" i="20"/>
  <c r="AF67" i="20"/>
  <c r="AF75" i="20"/>
  <c r="AF83" i="20"/>
  <c r="AF91" i="20"/>
  <c r="AF99" i="20"/>
  <c r="AF107" i="20"/>
  <c r="AF115" i="20"/>
  <c r="AF123" i="20"/>
  <c r="AF131" i="20"/>
  <c r="AF139" i="20"/>
  <c r="AF147" i="20"/>
  <c r="AF155" i="20"/>
  <c r="AF163" i="20"/>
  <c r="AF171" i="20"/>
  <c r="AF179" i="20"/>
  <c r="AF187" i="20"/>
  <c r="AF195" i="20"/>
  <c r="AF203" i="20"/>
  <c r="AF211" i="20"/>
  <c r="AF219" i="20"/>
  <c r="AF227" i="20"/>
  <c r="AF235" i="20"/>
  <c r="AF243" i="20"/>
  <c r="AF251" i="20"/>
  <c r="AF259" i="20"/>
  <c r="AF267" i="20"/>
  <c r="AF275" i="20"/>
  <c r="AF283" i="20"/>
  <c r="AF291" i="20"/>
  <c r="AF299" i="20"/>
  <c r="AF307" i="20"/>
  <c r="AF315" i="20"/>
  <c r="AF323" i="20"/>
  <c r="AF331" i="20"/>
  <c r="AF339" i="20"/>
  <c r="AF347" i="20"/>
  <c r="AF355" i="20"/>
  <c r="AF363" i="20"/>
  <c r="AF371" i="20"/>
  <c r="AF379" i="20"/>
  <c r="AF387" i="20"/>
  <c r="AF395" i="20"/>
  <c r="AF403" i="20"/>
  <c r="AF411" i="20"/>
  <c r="AF419" i="20"/>
  <c r="AF427" i="20"/>
  <c r="AF435" i="20"/>
  <c r="AF443" i="20"/>
  <c r="AF451" i="20"/>
  <c r="AF459" i="20"/>
  <c r="AF467" i="20"/>
  <c r="AF475" i="20"/>
  <c r="AF483" i="20"/>
  <c r="AF491" i="20"/>
  <c r="AF499" i="20"/>
  <c r="AF507" i="20"/>
  <c r="AF515" i="20"/>
  <c r="AF523" i="20"/>
  <c r="AF531" i="20"/>
  <c r="AF539" i="20"/>
  <c r="AF547" i="20"/>
  <c r="AF555" i="20"/>
  <c r="AF563" i="20"/>
  <c r="AF571" i="20"/>
  <c r="AF579" i="20"/>
  <c r="AF587" i="20"/>
  <c r="AF595" i="20"/>
  <c r="AF603" i="20"/>
  <c r="AF611" i="20"/>
  <c r="AF619" i="20"/>
  <c r="AF627" i="20"/>
  <c r="AF635" i="20"/>
  <c r="AF643" i="20"/>
  <c r="AF651" i="20"/>
  <c r="AF659" i="20"/>
  <c r="AF667" i="20"/>
  <c r="AF675" i="20"/>
  <c r="AF683" i="20"/>
  <c r="AF691" i="20"/>
  <c r="AF699" i="20"/>
  <c r="AF707" i="20"/>
  <c r="AF715" i="20"/>
  <c r="AF36" i="20"/>
  <c r="AF44" i="20"/>
  <c r="AF52" i="20"/>
  <c r="AF60" i="20"/>
  <c r="AF68" i="20"/>
  <c r="AF76" i="20"/>
  <c r="AF84" i="20"/>
  <c r="AF92" i="20"/>
  <c r="AF100" i="20"/>
  <c r="AF108" i="20"/>
  <c r="AF116" i="20"/>
  <c r="AF124" i="20"/>
  <c r="AF132" i="20"/>
  <c r="AF140" i="20"/>
  <c r="AF148" i="20"/>
  <c r="AF156" i="20"/>
  <c r="AF164" i="20"/>
  <c r="AF172" i="20"/>
  <c r="AF180" i="20"/>
  <c r="AF188" i="20"/>
  <c r="AF196" i="20"/>
  <c r="AF204" i="20"/>
  <c r="AF212" i="20"/>
  <c r="AF220" i="20"/>
  <c r="AF228" i="20"/>
  <c r="AF236" i="20"/>
  <c r="AF244" i="20"/>
  <c r="AF252" i="20"/>
  <c r="AF260" i="20"/>
  <c r="AF268" i="20"/>
  <c r="AF276" i="20"/>
  <c r="AF284" i="20"/>
  <c r="AF292" i="20"/>
  <c r="AF300" i="20"/>
  <c r="AF308" i="20"/>
  <c r="AF316" i="20"/>
  <c r="AF324" i="20"/>
  <c r="AF332" i="20"/>
  <c r="AF340" i="20"/>
  <c r="AF348" i="20"/>
  <c r="AF356" i="20"/>
  <c r="AF364" i="20"/>
  <c r="AF372" i="20"/>
  <c r="AF380" i="20"/>
  <c r="AF388" i="20"/>
  <c r="AF396" i="20"/>
  <c r="AF404" i="20"/>
  <c r="AF412" i="20"/>
  <c r="AF420" i="20"/>
  <c r="AF428" i="20"/>
  <c r="AF436" i="20"/>
  <c r="AF444" i="20"/>
  <c r="AF452" i="20"/>
  <c r="AF460" i="20"/>
  <c r="AF468" i="20"/>
  <c r="AF476" i="20"/>
  <c r="AF484" i="20"/>
  <c r="AF492" i="20"/>
  <c r="AF500" i="20"/>
  <c r="AF508" i="20"/>
  <c r="AF516" i="20"/>
  <c r="AF524" i="20"/>
  <c r="AF532" i="20"/>
  <c r="AF540" i="20"/>
  <c r="AF548" i="20"/>
  <c r="AF556" i="20"/>
  <c r="AF564" i="20"/>
  <c r="AF572" i="20"/>
  <c r="AF580" i="20"/>
  <c r="AF588" i="20"/>
  <c r="AF596" i="20"/>
  <c r="AF604" i="20"/>
  <c r="AF612" i="20"/>
  <c r="AF620" i="20"/>
  <c r="AF628" i="20"/>
  <c r="AF636" i="20"/>
  <c r="AF644" i="20"/>
  <c r="AF652" i="20"/>
  <c r="AF660" i="20"/>
  <c r="AF668" i="20"/>
  <c r="AF676" i="20"/>
  <c r="AF684" i="20"/>
  <c r="AF692" i="20"/>
  <c r="AF700" i="20"/>
  <c r="AF708" i="20"/>
  <c r="AF716" i="20"/>
  <c r="AF724" i="20"/>
  <c r="AF732" i="20"/>
  <c r="AF740" i="20"/>
  <c r="AF748" i="20"/>
  <c r="AF756" i="20"/>
  <c r="AF764" i="20"/>
  <c r="AF772" i="20"/>
  <c r="AF780" i="20"/>
  <c r="AF788" i="20"/>
  <c r="AF796" i="20"/>
  <c r="AF804" i="20"/>
  <c r="AF812" i="20"/>
  <c r="AF820" i="20"/>
  <c r="AF828" i="20"/>
  <c r="AF836" i="20"/>
  <c r="AF844" i="20"/>
  <c r="AF852" i="20"/>
  <c r="AF860" i="20"/>
  <c r="AF868" i="20"/>
  <c r="AF876" i="20"/>
  <c r="AF884" i="20"/>
  <c r="AF892" i="20"/>
  <c r="AF900" i="20"/>
  <c r="AF908" i="20"/>
  <c r="AF916" i="20"/>
  <c r="AF924" i="20"/>
  <c r="AF932" i="20"/>
  <c r="AF940" i="20"/>
  <c r="AF948" i="20"/>
  <c r="AF956" i="20"/>
  <c r="AF964" i="20"/>
  <c r="AF972" i="20"/>
  <c r="AF980" i="20"/>
  <c r="AF988" i="20"/>
  <c r="AF996" i="20"/>
  <c r="AF1004" i="20"/>
  <c r="AF1012" i="20"/>
  <c r="AF1020" i="20"/>
  <c r="AF1028" i="20"/>
  <c r="AF1018" i="20"/>
  <c r="AF717" i="20"/>
  <c r="AF725" i="20"/>
  <c r="AF733" i="20"/>
  <c r="AF741" i="20"/>
  <c r="AF749" i="20"/>
  <c r="AF757" i="20"/>
  <c r="AF765" i="20"/>
  <c r="AF773" i="20"/>
  <c r="AF781" i="20"/>
  <c r="AF789" i="20"/>
  <c r="AF797" i="20"/>
  <c r="AF805" i="20"/>
  <c r="AF813" i="20"/>
  <c r="AF821" i="20"/>
  <c r="AF829" i="20"/>
  <c r="AF837" i="20"/>
  <c r="AF845" i="20"/>
  <c r="AF853" i="20"/>
  <c r="AF861" i="20"/>
  <c r="AF869" i="20"/>
  <c r="AF877" i="20"/>
  <c r="AF885" i="20"/>
  <c r="AF893" i="20"/>
  <c r="AF901" i="20"/>
  <c r="AF909" i="20"/>
  <c r="AF917" i="20"/>
  <c r="AF925" i="20"/>
  <c r="AF933" i="20"/>
  <c r="AF941" i="20"/>
  <c r="AF949" i="20"/>
  <c r="AF957" i="20"/>
  <c r="AF965" i="20"/>
  <c r="AF973" i="20"/>
  <c r="AF981" i="20"/>
  <c r="AF989" i="20"/>
  <c r="AF997" i="20"/>
  <c r="AF1005" i="20"/>
  <c r="AF1013" i="20"/>
  <c r="AF1021" i="20"/>
  <c r="AF1029" i="20"/>
  <c r="AF1031" i="20"/>
  <c r="AF718" i="20"/>
  <c r="AF726" i="20"/>
  <c r="AF734" i="20"/>
  <c r="AF742" i="20"/>
  <c r="AF750" i="20"/>
  <c r="AF758" i="20"/>
  <c r="AF766" i="20"/>
  <c r="AF774" i="20"/>
  <c r="AF782" i="20"/>
  <c r="AF790" i="20"/>
  <c r="AF798" i="20"/>
  <c r="AF806" i="20"/>
  <c r="AF814" i="20"/>
  <c r="AF822" i="20"/>
  <c r="AF830" i="20"/>
  <c r="AF838" i="20"/>
  <c r="AF846" i="20"/>
  <c r="AF854" i="20"/>
  <c r="AF862" i="20"/>
  <c r="AF870" i="20"/>
  <c r="AF878" i="20"/>
  <c r="AF886" i="20"/>
  <c r="AF894" i="20"/>
  <c r="AF902" i="20"/>
  <c r="AF910" i="20"/>
  <c r="AF918" i="20"/>
  <c r="AF926" i="20"/>
  <c r="AF934" i="20"/>
  <c r="AF942" i="20"/>
  <c r="AF950" i="20"/>
  <c r="AF958" i="20"/>
  <c r="AF966" i="20"/>
  <c r="AF974" i="20"/>
  <c r="AF982" i="20"/>
  <c r="AF990" i="20"/>
  <c r="AF998" i="20"/>
  <c r="AF1006" i="20"/>
  <c r="AF1014" i="20"/>
  <c r="AF1022" i="20"/>
  <c r="AF1030" i="20"/>
  <c r="AF719" i="20"/>
  <c r="AF727" i="20"/>
  <c r="AF735" i="20"/>
  <c r="AF743" i="20"/>
  <c r="AF751" i="20"/>
  <c r="AF759" i="20"/>
  <c r="AF767" i="20"/>
  <c r="AF775" i="20"/>
  <c r="AF783" i="20"/>
  <c r="AF791" i="20"/>
  <c r="AF799" i="20"/>
  <c r="AF807" i="20"/>
  <c r="AF815" i="20"/>
  <c r="AF823" i="20"/>
  <c r="AF831" i="20"/>
  <c r="AF839" i="20"/>
  <c r="AF847" i="20"/>
  <c r="AF855" i="20"/>
  <c r="AF863" i="20"/>
  <c r="AF871" i="20"/>
  <c r="AF879" i="20"/>
  <c r="AF887" i="20"/>
  <c r="AF895" i="20"/>
  <c r="AF903" i="20"/>
  <c r="AF911" i="20"/>
  <c r="AF919" i="20"/>
  <c r="AF927" i="20"/>
  <c r="AF935" i="20"/>
  <c r="AF943" i="20"/>
  <c r="AF951" i="20"/>
  <c r="AF959" i="20"/>
  <c r="AF967" i="20"/>
  <c r="AF975" i="20"/>
  <c r="AF983" i="20"/>
  <c r="AF991" i="20"/>
  <c r="AF999" i="20"/>
  <c r="AF1007" i="20"/>
  <c r="AF1015" i="20"/>
  <c r="AF1023" i="20"/>
  <c r="AF720" i="20"/>
  <c r="AF728" i="20"/>
  <c r="AF736" i="20"/>
  <c r="AF744" i="20"/>
  <c r="AF752" i="20"/>
  <c r="AF760" i="20"/>
  <c r="AF768" i="20"/>
  <c r="AF776" i="20"/>
  <c r="AF784" i="20"/>
  <c r="AF792" i="20"/>
  <c r="AF800" i="20"/>
  <c r="AF808" i="20"/>
  <c r="AF816" i="20"/>
  <c r="AF824" i="20"/>
  <c r="AF832" i="20"/>
  <c r="AF840" i="20"/>
  <c r="AF848" i="20"/>
  <c r="AF856" i="20"/>
  <c r="AF864" i="20"/>
  <c r="AF872" i="20"/>
  <c r="AF880" i="20"/>
  <c r="AF888" i="20"/>
  <c r="AF896" i="20"/>
  <c r="AF904" i="20"/>
  <c r="AF912" i="20"/>
  <c r="AF920" i="20"/>
  <c r="AF928" i="20"/>
  <c r="AF936" i="20"/>
  <c r="AF944" i="20"/>
  <c r="AF952" i="20"/>
  <c r="AF960" i="20"/>
  <c r="AF968" i="20"/>
  <c r="AF976" i="20"/>
  <c r="AF984" i="20"/>
  <c r="AF992" i="20"/>
  <c r="AF1000" i="20"/>
  <c r="AF1008" i="20"/>
  <c r="AF1016" i="20"/>
  <c r="AF1024" i="20"/>
  <c r="AF1032" i="20"/>
  <c r="AF1026" i="20"/>
  <c r="AF721" i="20"/>
  <c r="AF729" i="20"/>
  <c r="AF737" i="20"/>
  <c r="AF745" i="20"/>
  <c r="AF753" i="20"/>
  <c r="AF761" i="20"/>
  <c r="AF769" i="20"/>
  <c r="AF777" i="20"/>
  <c r="AF785" i="20"/>
  <c r="AF793" i="20"/>
  <c r="AF801" i="20"/>
  <c r="AF809" i="20"/>
  <c r="AF817" i="20"/>
  <c r="AF825" i="20"/>
  <c r="AF833" i="20"/>
  <c r="AF841" i="20"/>
  <c r="AF849" i="20"/>
  <c r="AF857" i="20"/>
  <c r="AF865" i="20"/>
  <c r="AF873" i="20"/>
  <c r="AF881" i="20"/>
  <c r="AF889" i="20"/>
  <c r="AF897" i="20"/>
  <c r="AF905" i="20"/>
  <c r="AF913" i="20"/>
  <c r="AF921" i="20"/>
  <c r="AF929" i="20"/>
  <c r="AF937" i="20"/>
  <c r="AF945" i="20"/>
  <c r="AF953" i="20"/>
  <c r="AF961" i="20"/>
  <c r="AF969" i="20"/>
  <c r="AF977" i="20"/>
  <c r="AF985" i="20"/>
  <c r="AF993" i="20"/>
  <c r="AF1001" i="20"/>
  <c r="AF1009" i="20"/>
  <c r="AF1017" i="20"/>
  <c r="AF1025" i="20"/>
  <c r="AF1033" i="20"/>
  <c r="AF1034" i="20"/>
  <c r="AF722" i="20"/>
  <c r="AF730" i="20"/>
  <c r="AF738" i="20"/>
  <c r="AF746" i="20"/>
  <c r="AF754" i="20"/>
  <c r="AF762" i="20"/>
  <c r="AF770" i="20"/>
  <c r="AF778" i="20"/>
  <c r="AF786" i="20"/>
  <c r="AF794" i="20"/>
  <c r="AF802" i="20"/>
  <c r="AF810" i="20"/>
  <c r="AF818" i="20"/>
  <c r="AF826" i="20"/>
  <c r="AF834" i="20"/>
  <c r="AF842" i="20"/>
  <c r="AF850" i="20"/>
  <c r="AF858" i="20"/>
  <c r="AF866" i="20"/>
  <c r="AF874" i="20"/>
  <c r="AF882" i="20"/>
  <c r="AF890" i="20"/>
  <c r="AF898" i="20"/>
  <c r="AF906" i="20"/>
  <c r="AF914" i="20"/>
  <c r="AF922" i="20"/>
  <c r="AF930" i="20"/>
  <c r="AF938" i="20"/>
  <c r="AF946" i="20"/>
  <c r="AF954" i="20"/>
  <c r="AF962" i="20"/>
  <c r="AF970" i="20"/>
  <c r="AF978" i="20"/>
  <c r="AF986" i="20"/>
  <c r="AF994" i="20"/>
  <c r="AF1002" i="20"/>
  <c r="AF1010" i="20"/>
  <c r="AF35" i="20"/>
  <c r="AF713" i="20"/>
  <c r="AF723" i="20"/>
  <c r="AF731" i="20"/>
  <c r="AF739" i="20"/>
  <c r="AF747" i="20"/>
  <c r="AF755" i="20"/>
  <c r="AF763" i="20"/>
  <c r="AF771" i="20"/>
  <c r="AF779" i="20"/>
  <c r="AF787" i="20"/>
  <c r="AF795" i="20"/>
  <c r="AF803" i="20"/>
  <c r="AF811" i="20"/>
  <c r="AF819" i="20"/>
  <c r="AF827" i="20"/>
  <c r="AF835" i="20"/>
  <c r="AF843" i="20"/>
  <c r="AF851" i="20"/>
  <c r="AF859" i="20"/>
  <c r="AF867" i="20"/>
  <c r="AF875" i="20"/>
  <c r="AF883" i="20"/>
  <c r="AF891" i="20"/>
  <c r="AF899" i="20"/>
  <c r="AF907" i="20"/>
  <c r="AF915" i="20"/>
  <c r="AF923" i="20"/>
  <c r="AF931" i="20"/>
  <c r="AF939" i="20"/>
  <c r="AF947" i="20"/>
  <c r="AF955" i="20"/>
  <c r="AF963" i="20"/>
  <c r="AF971" i="20"/>
  <c r="AF979" i="20"/>
  <c r="AF987" i="20"/>
  <c r="AF995" i="20"/>
  <c r="AF1003" i="20"/>
  <c r="AF1011" i="20"/>
  <c r="AF1019" i="20"/>
  <c r="AF1027" i="20"/>
  <c r="AE37" i="20"/>
  <c r="AE45" i="20"/>
  <c r="AE53" i="20"/>
  <c r="AE61" i="20"/>
  <c r="AE69" i="20"/>
  <c r="AE77" i="20"/>
  <c r="AE85" i="20"/>
  <c r="AE93" i="20"/>
  <c r="AE101" i="20"/>
  <c r="AE109" i="20"/>
  <c r="AE117" i="20"/>
  <c r="AE125" i="20"/>
  <c r="AE133" i="20"/>
  <c r="AE141" i="20"/>
  <c r="AE149" i="20"/>
  <c r="AE157" i="20"/>
  <c r="AE165" i="20"/>
  <c r="AE173" i="20"/>
  <c r="AE181" i="20"/>
  <c r="AE189" i="20"/>
  <c r="AE197" i="20"/>
  <c r="AE205" i="20"/>
  <c r="AE213" i="20"/>
  <c r="AE221" i="20"/>
  <c r="AE229" i="20"/>
  <c r="AE237" i="20"/>
  <c r="AE245" i="20"/>
  <c r="AE253" i="20"/>
  <c r="AE261" i="20"/>
  <c r="AE269" i="20"/>
  <c r="AE277" i="20"/>
  <c r="AE285" i="20"/>
  <c r="AE293" i="20"/>
  <c r="AE301" i="20"/>
  <c r="AE309" i="20"/>
  <c r="AE317" i="20"/>
  <c r="AE325" i="20"/>
  <c r="AE333" i="20"/>
  <c r="AE341" i="20"/>
  <c r="AE349" i="20"/>
  <c r="AE357" i="20"/>
  <c r="AE365" i="20"/>
  <c r="AE373" i="20"/>
  <c r="AE381" i="20"/>
  <c r="AE389" i="20"/>
  <c r="AE397" i="20"/>
  <c r="AE405" i="20"/>
  <c r="AE413" i="20"/>
  <c r="AE421" i="20"/>
  <c r="AE429" i="20"/>
  <c r="AE437" i="20"/>
  <c r="AE445" i="20"/>
  <c r="AE453" i="20"/>
  <c r="AE461" i="20"/>
  <c r="AE469" i="20"/>
  <c r="AE477" i="20"/>
  <c r="AE485" i="20"/>
  <c r="AE493" i="20"/>
  <c r="AE501" i="20"/>
  <c r="AE509" i="20"/>
  <c r="AE517" i="20"/>
  <c r="AE525" i="20"/>
  <c r="AE533" i="20"/>
  <c r="AE541" i="20"/>
  <c r="AE549" i="20"/>
  <c r="AE557" i="20"/>
  <c r="AE565" i="20"/>
  <c r="AE573" i="20"/>
  <c r="AE581" i="20"/>
  <c r="AE589" i="20"/>
  <c r="AE597" i="20"/>
  <c r="AE605" i="20"/>
  <c r="AE613" i="20"/>
  <c r="AE621" i="20"/>
  <c r="AE629" i="20"/>
  <c r="AE637" i="20"/>
  <c r="AE645" i="20"/>
  <c r="AE653" i="20"/>
  <c r="AE661" i="20"/>
  <c r="AE669" i="20"/>
  <c r="AE677" i="20"/>
  <c r="AE685" i="20"/>
  <c r="AE693" i="20"/>
  <c r="AE701" i="20"/>
  <c r="AE709" i="20"/>
  <c r="AE38" i="20"/>
  <c r="AE46" i="20"/>
  <c r="AE54" i="20"/>
  <c r="AE62" i="20"/>
  <c r="AE70" i="20"/>
  <c r="AE78" i="20"/>
  <c r="AE86" i="20"/>
  <c r="AE94" i="20"/>
  <c r="AE102" i="20"/>
  <c r="AE110" i="20"/>
  <c r="AE118" i="20"/>
  <c r="AE126" i="20"/>
  <c r="AE134" i="20"/>
  <c r="AE142" i="20"/>
  <c r="AE150" i="20"/>
  <c r="AE158" i="20"/>
  <c r="AE166" i="20"/>
  <c r="AE174" i="20"/>
  <c r="AE182" i="20"/>
  <c r="AE190" i="20"/>
  <c r="AE198" i="20"/>
  <c r="AE206" i="20"/>
  <c r="AE214" i="20"/>
  <c r="AE222" i="20"/>
  <c r="AE230" i="20"/>
  <c r="AE238" i="20"/>
  <c r="AE246" i="20"/>
  <c r="AE254" i="20"/>
  <c r="AE262" i="20"/>
  <c r="AE270" i="20"/>
  <c r="AE278" i="20"/>
  <c r="AE286" i="20"/>
  <c r="AE294" i="20"/>
  <c r="AE302" i="20"/>
  <c r="AE310" i="20"/>
  <c r="AE318" i="20"/>
  <c r="AE326" i="20"/>
  <c r="AE334" i="20"/>
  <c r="AE342" i="20"/>
  <c r="AE350" i="20"/>
  <c r="AE358" i="20"/>
  <c r="AE366" i="20"/>
  <c r="AE374" i="20"/>
  <c r="AE382" i="20"/>
  <c r="AE390" i="20"/>
  <c r="AE398" i="20"/>
  <c r="AE406" i="20"/>
  <c r="AE414" i="20"/>
  <c r="AE422" i="20"/>
  <c r="AE430" i="20"/>
  <c r="AE438" i="20"/>
  <c r="AE446" i="20"/>
  <c r="AE454" i="20"/>
  <c r="AE462" i="20"/>
  <c r="AE470" i="20"/>
  <c r="AE478" i="20"/>
  <c r="AE486" i="20"/>
  <c r="AE494" i="20"/>
  <c r="AE502" i="20"/>
  <c r="AE510" i="20"/>
  <c r="AE518" i="20"/>
  <c r="AE526" i="20"/>
  <c r="AE534" i="20"/>
  <c r="AE542" i="20"/>
  <c r="AE550" i="20"/>
  <c r="AE558" i="20"/>
  <c r="AE566" i="20"/>
  <c r="AE574" i="20"/>
  <c r="AE582" i="20"/>
  <c r="AE590" i="20"/>
  <c r="AE598" i="20"/>
  <c r="AE606" i="20"/>
  <c r="AE614" i="20"/>
  <c r="AE622" i="20"/>
  <c r="AE630" i="20"/>
  <c r="AE638" i="20"/>
  <c r="AE646" i="20"/>
  <c r="AE654" i="20"/>
  <c r="AE662" i="20"/>
  <c r="AE670" i="20"/>
  <c r="AE678" i="20"/>
  <c r="AE686" i="20"/>
  <c r="AE694" i="20"/>
  <c r="AE702" i="20"/>
  <c r="AE710" i="20"/>
  <c r="AE39" i="20"/>
  <c r="AE47" i="20"/>
  <c r="AE55" i="20"/>
  <c r="AE63" i="20"/>
  <c r="AE71" i="20"/>
  <c r="AE79" i="20"/>
  <c r="AE87" i="20"/>
  <c r="AE95" i="20"/>
  <c r="AE103" i="20"/>
  <c r="AE111" i="20"/>
  <c r="AE119" i="20"/>
  <c r="AE127" i="20"/>
  <c r="AE135" i="20"/>
  <c r="AE143" i="20"/>
  <c r="AE151" i="20"/>
  <c r="AE159" i="20"/>
  <c r="AE167" i="20"/>
  <c r="AE175" i="20"/>
  <c r="AE183" i="20"/>
  <c r="AE191" i="20"/>
  <c r="AE199" i="20"/>
  <c r="AE207" i="20"/>
  <c r="AE215" i="20"/>
  <c r="AE223" i="20"/>
  <c r="AE231" i="20"/>
  <c r="AE239" i="20"/>
  <c r="AE247" i="20"/>
  <c r="AE255" i="20"/>
  <c r="AE263" i="20"/>
  <c r="AE271" i="20"/>
  <c r="AE279" i="20"/>
  <c r="AE287" i="20"/>
  <c r="AE295" i="20"/>
  <c r="AE303" i="20"/>
  <c r="AE311" i="20"/>
  <c r="AE319" i="20"/>
  <c r="AE327" i="20"/>
  <c r="AE335" i="20"/>
  <c r="AE343" i="20"/>
  <c r="AE351" i="20"/>
  <c r="AE359" i="20"/>
  <c r="AE367" i="20"/>
  <c r="AE375" i="20"/>
  <c r="AE383" i="20"/>
  <c r="AE391" i="20"/>
  <c r="AE399" i="20"/>
  <c r="AE407" i="20"/>
  <c r="AE415" i="20"/>
  <c r="AE423" i="20"/>
  <c r="AE431" i="20"/>
  <c r="AE439" i="20"/>
  <c r="AE447" i="20"/>
  <c r="AE455" i="20"/>
  <c r="AE463" i="20"/>
  <c r="AE471" i="20"/>
  <c r="AE479" i="20"/>
  <c r="AE487" i="20"/>
  <c r="AE495" i="20"/>
  <c r="AE503" i="20"/>
  <c r="AE511" i="20"/>
  <c r="AE519" i="20"/>
  <c r="AE527" i="20"/>
  <c r="AE535" i="20"/>
  <c r="AE543" i="20"/>
  <c r="AE551" i="20"/>
  <c r="AE559" i="20"/>
  <c r="AE567" i="20"/>
  <c r="AE575" i="20"/>
  <c r="AE583" i="20"/>
  <c r="AE591" i="20"/>
  <c r="AE599" i="20"/>
  <c r="AE607" i="20"/>
  <c r="AE615" i="20"/>
  <c r="AE623" i="20"/>
  <c r="AE631" i="20"/>
  <c r="AE639" i="20"/>
  <c r="AE647" i="20"/>
  <c r="AE655" i="20"/>
  <c r="AE663" i="20"/>
  <c r="AE671" i="20"/>
  <c r="AE679" i="20"/>
  <c r="AE687" i="20"/>
  <c r="AE695" i="20"/>
  <c r="AE703" i="20"/>
  <c r="AE711" i="20"/>
  <c r="AE40" i="20"/>
  <c r="AE48" i="20"/>
  <c r="AE56" i="20"/>
  <c r="AE64" i="20"/>
  <c r="AE72" i="20"/>
  <c r="AE80" i="20"/>
  <c r="AE88" i="20"/>
  <c r="AE96" i="20"/>
  <c r="AE104" i="20"/>
  <c r="AE112" i="20"/>
  <c r="AE120" i="20"/>
  <c r="AE128" i="20"/>
  <c r="AE136" i="20"/>
  <c r="AE144" i="20"/>
  <c r="AE152" i="20"/>
  <c r="AE160" i="20"/>
  <c r="AE168" i="20"/>
  <c r="AE176" i="20"/>
  <c r="AE184" i="20"/>
  <c r="AE192" i="20"/>
  <c r="AE200" i="20"/>
  <c r="AE208" i="20"/>
  <c r="AE216" i="20"/>
  <c r="AE224" i="20"/>
  <c r="AE232" i="20"/>
  <c r="AE240" i="20"/>
  <c r="AE248" i="20"/>
  <c r="AE256" i="20"/>
  <c r="AE264" i="20"/>
  <c r="AE272" i="20"/>
  <c r="AE280" i="20"/>
  <c r="AE288" i="20"/>
  <c r="AE296" i="20"/>
  <c r="AE304" i="20"/>
  <c r="AE312" i="20"/>
  <c r="AE320" i="20"/>
  <c r="AE328" i="20"/>
  <c r="AE336" i="20"/>
  <c r="AE344" i="20"/>
  <c r="AE352" i="20"/>
  <c r="AE360" i="20"/>
  <c r="AE368" i="20"/>
  <c r="AE376" i="20"/>
  <c r="AE384" i="20"/>
  <c r="AE392" i="20"/>
  <c r="AE400" i="20"/>
  <c r="AE408" i="20"/>
  <c r="AE416" i="20"/>
  <c r="AE424" i="20"/>
  <c r="AE432" i="20"/>
  <c r="AE440" i="20"/>
  <c r="AE448" i="20"/>
  <c r="AE456" i="20"/>
  <c r="AE464" i="20"/>
  <c r="AE472" i="20"/>
  <c r="AE480" i="20"/>
  <c r="AE488" i="20"/>
  <c r="AE496" i="20"/>
  <c r="AE504" i="20"/>
  <c r="AE512" i="20"/>
  <c r="AE520" i="20"/>
  <c r="AE528" i="20"/>
  <c r="AE536" i="20"/>
  <c r="AE544" i="20"/>
  <c r="AE552" i="20"/>
  <c r="AE560" i="20"/>
  <c r="AE568" i="20"/>
  <c r="AE576" i="20"/>
  <c r="AE584" i="20"/>
  <c r="AE592" i="20"/>
  <c r="AE600" i="20"/>
  <c r="AE608" i="20"/>
  <c r="AE616" i="20"/>
  <c r="AE624" i="20"/>
  <c r="AE632" i="20"/>
  <c r="AE640" i="20"/>
  <c r="AE648" i="20"/>
  <c r="AE656" i="20"/>
  <c r="AE664" i="20"/>
  <c r="AE672" i="20"/>
  <c r="AE680" i="20"/>
  <c r="AE688" i="20"/>
  <c r="AE696" i="20"/>
  <c r="AE704" i="20"/>
  <c r="AE712" i="20"/>
  <c r="AE41" i="20"/>
  <c r="AE49" i="20"/>
  <c r="AE57" i="20"/>
  <c r="AE65" i="20"/>
  <c r="AE73" i="20"/>
  <c r="AE81" i="20"/>
  <c r="AE89" i="20"/>
  <c r="AE97" i="20"/>
  <c r="AE105" i="20"/>
  <c r="AE113" i="20"/>
  <c r="AE121" i="20"/>
  <c r="AE129" i="20"/>
  <c r="AE137" i="20"/>
  <c r="AE145" i="20"/>
  <c r="AE153" i="20"/>
  <c r="AE161" i="20"/>
  <c r="AE169" i="20"/>
  <c r="AE177" i="20"/>
  <c r="AE185" i="20"/>
  <c r="AE193" i="20"/>
  <c r="AE201" i="20"/>
  <c r="AE209" i="20"/>
  <c r="AE217" i="20"/>
  <c r="AE225" i="20"/>
  <c r="AE233" i="20"/>
  <c r="AE241" i="20"/>
  <c r="AE249" i="20"/>
  <c r="AE257" i="20"/>
  <c r="AE265" i="20"/>
  <c r="AE273" i="20"/>
  <c r="AE281" i="20"/>
  <c r="AE289" i="20"/>
  <c r="AE297" i="20"/>
  <c r="AE305" i="20"/>
  <c r="AE313" i="20"/>
  <c r="AE321" i="20"/>
  <c r="AE329" i="20"/>
  <c r="AE337" i="20"/>
  <c r="AE345" i="20"/>
  <c r="AE353" i="20"/>
  <c r="AE361" i="20"/>
  <c r="AE369" i="20"/>
  <c r="AE377" i="20"/>
  <c r="AE385" i="20"/>
  <c r="AE393" i="20"/>
  <c r="AE401" i="20"/>
  <c r="AE409" i="20"/>
  <c r="AE417" i="20"/>
  <c r="AE425" i="20"/>
  <c r="AE433" i="20"/>
  <c r="AE441" i="20"/>
  <c r="AE449" i="20"/>
  <c r="AE457" i="20"/>
  <c r="AE465" i="20"/>
  <c r="AE473" i="20"/>
  <c r="AE481" i="20"/>
  <c r="AE489" i="20"/>
  <c r="AE497" i="20"/>
  <c r="AE505" i="20"/>
  <c r="AE513" i="20"/>
  <c r="AE521" i="20"/>
  <c r="AE529" i="20"/>
  <c r="AE537" i="20"/>
  <c r="AE545" i="20"/>
  <c r="AE553" i="20"/>
  <c r="AE561" i="20"/>
  <c r="AE569" i="20"/>
  <c r="AE577" i="20"/>
  <c r="AE585" i="20"/>
  <c r="AE593" i="20"/>
  <c r="AE601" i="20"/>
  <c r="AE609" i="20"/>
  <c r="AE617" i="20"/>
  <c r="AE625" i="20"/>
  <c r="AE633" i="20"/>
  <c r="AE641" i="20"/>
  <c r="AE649" i="20"/>
  <c r="AE657" i="20"/>
  <c r="AE665" i="20"/>
  <c r="AE673" i="20"/>
  <c r="AE681" i="20"/>
  <c r="AE689" i="20"/>
  <c r="AE697" i="20"/>
  <c r="AE705" i="20"/>
  <c r="AE42" i="20"/>
  <c r="AE50" i="20"/>
  <c r="AE58" i="20"/>
  <c r="AE66" i="20"/>
  <c r="AE74" i="20"/>
  <c r="AE82" i="20"/>
  <c r="AE90" i="20"/>
  <c r="AE98" i="20"/>
  <c r="AE106" i="20"/>
  <c r="AE114" i="20"/>
  <c r="AE122" i="20"/>
  <c r="AE130" i="20"/>
  <c r="AE138" i="20"/>
  <c r="AE146" i="20"/>
  <c r="AE154" i="20"/>
  <c r="AE162" i="20"/>
  <c r="AE170" i="20"/>
  <c r="AE178" i="20"/>
  <c r="AE186" i="20"/>
  <c r="AE194" i="20"/>
  <c r="AE202" i="20"/>
  <c r="AE210" i="20"/>
  <c r="AE218" i="20"/>
  <c r="AE226" i="20"/>
  <c r="AE234" i="20"/>
  <c r="AE242" i="20"/>
  <c r="AE250" i="20"/>
  <c r="AE258" i="20"/>
  <c r="AE266" i="20"/>
  <c r="AE274" i="20"/>
  <c r="AE282" i="20"/>
  <c r="AE290" i="20"/>
  <c r="AE298" i="20"/>
  <c r="AE306" i="20"/>
  <c r="AE314" i="20"/>
  <c r="AE322" i="20"/>
  <c r="AE330" i="20"/>
  <c r="AE338" i="20"/>
  <c r="AE346" i="20"/>
  <c r="AE354" i="20"/>
  <c r="AE362" i="20"/>
  <c r="AE370" i="20"/>
  <c r="AE378" i="20"/>
  <c r="AE386" i="20"/>
  <c r="AE394" i="20"/>
  <c r="AE402" i="20"/>
  <c r="AE410" i="20"/>
  <c r="AE418" i="20"/>
  <c r="AE426" i="20"/>
  <c r="AE434" i="20"/>
  <c r="AE442" i="20"/>
  <c r="AE450" i="20"/>
  <c r="AE458" i="20"/>
  <c r="AE466" i="20"/>
  <c r="AE474" i="20"/>
  <c r="AE482" i="20"/>
  <c r="AE490" i="20"/>
  <c r="AE498" i="20"/>
  <c r="AE506" i="20"/>
  <c r="AE514" i="20"/>
  <c r="AE522" i="20"/>
  <c r="AE530" i="20"/>
  <c r="AE538" i="20"/>
  <c r="AE546" i="20"/>
  <c r="AE554" i="20"/>
  <c r="AE562" i="20"/>
  <c r="AE570" i="20"/>
  <c r="AE578" i="20"/>
  <c r="AE586" i="20"/>
  <c r="AE594" i="20"/>
  <c r="AE602" i="20"/>
  <c r="AE610" i="20"/>
  <c r="AE618" i="20"/>
  <c r="AE626" i="20"/>
  <c r="AE634" i="20"/>
  <c r="AE642" i="20"/>
  <c r="AE650" i="20"/>
  <c r="AE658" i="20"/>
  <c r="AE666" i="20"/>
  <c r="AE674" i="20"/>
  <c r="AE682" i="20"/>
  <c r="AE690" i="20"/>
  <c r="AE698" i="20"/>
  <c r="AE706" i="20"/>
  <c r="AE43" i="20"/>
  <c r="AE51" i="20"/>
  <c r="AE59" i="20"/>
  <c r="AE67" i="20"/>
  <c r="AE75" i="20"/>
  <c r="AE83" i="20"/>
  <c r="AE91" i="20"/>
  <c r="AE99" i="20"/>
  <c r="AE107" i="20"/>
  <c r="AE115" i="20"/>
  <c r="AE123" i="20"/>
  <c r="AE131" i="20"/>
  <c r="AE139" i="20"/>
  <c r="AE147" i="20"/>
  <c r="AE155" i="20"/>
  <c r="AE163" i="20"/>
  <c r="AE171" i="20"/>
  <c r="AE179" i="20"/>
  <c r="AE187" i="20"/>
  <c r="AE195" i="20"/>
  <c r="AE203" i="20"/>
  <c r="AE211" i="20"/>
  <c r="AE219" i="20"/>
  <c r="AE227" i="20"/>
  <c r="AE235" i="20"/>
  <c r="AE243" i="20"/>
  <c r="AE251" i="20"/>
  <c r="AE259" i="20"/>
  <c r="AE267" i="20"/>
  <c r="AE275" i="20"/>
  <c r="AE283" i="20"/>
  <c r="AE291" i="20"/>
  <c r="AE299" i="20"/>
  <c r="AE307" i="20"/>
  <c r="AE315" i="20"/>
  <c r="AE323" i="20"/>
  <c r="AE331" i="20"/>
  <c r="AE339" i="20"/>
  <c r="AE347" i="20"/>
  <c r="AE355" i="20"/>
  <c r="AE363" i="20"/>
  <c r="AE371" i="20"/>
  <c r="AE379" i="20"/>
  <c r="AE387" i="20"/>
  <c r="AE395" i="20"/>
  <c r="AE403" i="20"/>
  <c r="AE411" i="20"/>
  <c r="AE419" i="20"/>
  <c r="AE427" i="20"/>
  <c r="AE435" i="20"/>
  <c r="AE443" i="20"/>
  <c r="AE451" i="20"/>
  <c r="AE459" i="20"/>
  <c r="AE467" i="20"/>
  <c r="AE475" i="20"/>
  <c r="AE483" i="20"/>
  <c r="AE491" i="20"/>
  <c r="AE499" i="20"/>
  <c r="AE507" i="20"/>
  <c r="AE515" i="20"/>
  <c r="AE523" i="20"/>
  <c r="AE531" i="20"/>
  <c r="AE539" i="20"/>
  <c r="AE547" i="20"/>
  <c r="AE555" i="20"/>
  <c r="AE563" i="20"/>
  <c r="AE571" i="20"/>
  <c r="AE579" i="20"/>
  <c r="AE587" i="20"/>
  <c r="AE595" i="20"/>
  <c r="AE603" i="20"/>
  <c r="AE611" i="20"/>
  <c r="AE619" i="20"/>
  <c r="AE627" i="20"/>
  <c r="AE635" i="20"/>
  <c r="AE643" i="20"/>
  <c r="AE651" i="20"/>
  <c r="AE659" i="20"/>
  <c r="AE667" i="20"/>
  <c r="AE675" i="20"/>
  <c r="AE683" i="20"/>
  <c r="AE691" i="20"/>
  <c r="AE699" i="20"/>
  <c r="AE707" i="20"/>
  <c r="AE715" i="20"/>
  <c r="AE36" i="20"/>
  <c r="AE44" i="20"/>
  <c r="AE52" i="20"/>
  <c r="AE60" i="20"/>
  <c r="AE68" i="20"/>
  <c r="AE76" i="20"/>
  <c r="AE84" i="20"/>
  <c r="AE92" i="20"/>
  <c r="AE100" i="20"/>
  <c r="AE108" i="20"/>
  <c r="AE116" i="20"/>
  <c r="AE124" i="20"/>
  <c r="AE132" i="20"/>
  <c r="AE140" i="20"/>
  <c r="AE148" i="20"/>
  <c r="AE156" i="20"/>
  <c r="AE164" i="20"/>
  <c r="AE172" i="20"/>
  <c r="AE180" i="20"/>
  <c r="AE188" i="20"/>
  <c r="AE196" i="20"/>
  <c r="AE204" i="20"/>
  <c r="AE212" i="20"/>
  <c r="AE220" i="20"/>
  <c r="AE228" i="20"/>
  <c r="AE236" i="20"/>
  <c r="AE244" i="20"/>
  <c r="AE252" i="20"/>
  <c r="AE260" i="20"/>
  <c r="AE268" i="20"/>
  <c r="AE276" i="20"/>
  <c r="AE284" i="20"/>
  <c r="AE292" i="20"/>
  <c r="AE300" i="20"/>
  <c r="AE308" i="20"/>
  <c r="AE316" i="20"/>
  <c r="AE324" i="20"/>
  <c r="AE332" i="20"/>
  <c r="AE340" i="20"/>
  <c r="AE348" i="20"/>
  <c r="AE356" i="20"/>
  <c r="AE364" i="20"/>
  <c r="AE372" i="20"/>
  <c r="AE380" i="20"/>
  <c r="AE388" i="20"/>
  <c r="AE396" i="20"/>
  <c r="AE404" i="20"/>
  <c r="AE412" i="20"/>
  <c r="AE420" i="20"/>
  <c r="AE428" i="20"/>
  <c r="AE436" i="20"/>
  <c r="AE444" i="20"/>
  <c r="AE452" i="20"/>
  <c r="AE460" i="20"/>
  <c r="AE468" i="20"/>
  <c r="AE476" i="20"/>
  <c r="AE484" i="20"/>
  <c r="AE492" i="20"/>
  <c r="AE500" i="20"/>
  <c r="AE508" i="20"/>
  <c r="AE516" i="20"/>
  <c r="AE524" i="20"/>
  <c r="AE532" i="20"/>
  <c r="AE540" i="20"/>
  <c r="AE548" i="20"/>
  <c r="AE556" i="20"/>
  <c r="AE564" i="20"/>
  <c r="AE572" i="20"/>
  <c r="AE580" i="20"/>
  <c r="AE588" i="20"/>
  <c r="AE596" i="20"/>
  <c r="AE604" i="20"/>
  <c r="AE612" i="20"/>
  <c r="AE620" i="20"/>
  <c r="AE628" i="20"/>
  <c r="AE636" i="20"/>
  <c r="AE644" i="20"/>
  <c r="AE652" i="20"/>
  <c r="AE660" i="20"/>
  <c r="AE668" i="20"/>
  <c r="AE676" i="20"/>
  <c r="AE684" i="20"/>
  <c r="AE692" i="20"/>
  <c r="AE700" i="20"/>
  <c r="AE708" i="20"/>
  <c r="AE714" i="20"/>
  <c r="AE723" i="20"/>
  <c r="AE731" i="20"/>
  <c r="AE739" i="20"/>
  <c r="AE747" i="20"/>
  <c r="AE755" i="20"/>
  <c r="AE763" i="20"/>
  <c r="AE771" i="20"/>
  <c r="AE779" i="20"/>
  <c r="AE787" i="20"/>
  <c r="AE795" i="20"/>
  <c r="AE803" i="20"/>
  <c r="AE811" i="20"/>
  <c r="AE819" i="20"/>
  <c r="AE827" i="20"/>
  <c r="AE835" i="20"/>
  <c r="AE843" i="20"/>
  <c r="AE851" i="20"/>
  <c r="AE859" i="20"/>
  <c r="AE867" i="20"/>
  <c r="AE875" i="20"/>
  <c r="AE883" i="20"/>
  <c r="AE891" i="20"/>
  <c r="AE899" i="20"/>
  <c r="AE907" i="20"/>
  <c r="AE915" i="20"/>
  <c r="AE923" i="20"/>
  <c r="AE931" i="20"/>
  <c r="AE939" i="20"/>
  <c r="AE947" i="20"/>
  <c r="AE955" i="20"/>
  <c r="AE963" i="20"/>
  <c r="AE971" i="20"/>
  <c r="AE979" i="20"/>
  <c r="AE987" i="20"/>
  <c r="AE995" i="20"/>
  <c r="AE1003" i="20"/>
  <c r="AE1011" i="20"/>
  <c r="AE1019" i="20"/>
  <c r="AE1027" i="20"/>
  <c r="AE35" i="20"/>
  <c r="AE909" i="20"/>
  <c r="AE941" i="20"/>
  <c r="AE973" i="20"/>
  <c r="AE997" i="20"/>
  <c r="AE1029" i="20"/>
  <c r="AE716" i="20"/>
  <c r="AE724" i="20"/>
  <c r="AE732" i="20"/>
  <c r="AE740" i="20"/>
  <c r="AE748" i="20"/>
  <c r="AE756" i="20"/>
  <c r="AE764" i="20"/>
  <c r="AE772" i="20"/>
  <c r="AE780" i="20"/>
  <c r="AE788" i="20"/>
  <c r="AE796" i="20"/>
  <c r="AE804" i="20"/>
  <c r="AE812" i="20"/>
  <c r="AE820" i="20"/>
  <c r="AE828" i="20"/>
  <c r="AE836" i="20"/>
  <c r="AE844" i="20"/>
  <c r="AE852" i="20"/>
  <c r="AE860" i="20"/>
  <c r="AE868" i="20"/>
  <c r="AE876" i="20"/>
  <c r="AE884" i="20"/>
  <c r="AE892" i="20"/>
  <c r="AE900" i="20"/>
  <c r="AE908" i="20"/>
  <c r="AE916" i="20"/>
  <c r="AE924" i="20"/>
  <c r="AE932" i="20"/>
  <c r="AE940" i="20"/>
  <c r="AE948" i="20"/>
  <c r="AE956" i="20"/>
  <c r="AE964" i="20"/>
  <c r="AE972" i="20"/>
  <c r="AE980" i="20"/>
  <c r="AE988" i="20"/>
  <c r="AE996" i="20"/>
  <c r="AE1004" i="20"/>
  <c r="AE1012" i="20"/>
  <c r="AE1020" i="20"/>
  <c r="AE1028" i="20"/>
  <c r="AE885" i="20"/>
  <c r="AE917" i="20"/>
  <c r="AE949" i="20"/>
  <c r="AE981" i="20"/>
  <c r="AE1013" i="20"/>
  <c r="AE717" i="20"/>
  <c r="AE725" i="20"/>
  <c r="AE733" i="20"/>
  <c r="AE741" i="20"/>
  <c r="AE749" i="20"/>
  <c r="AE757" i="20"/>
  <c r="AE765" i="20"/>
  <c r="AE773" i="20"/>
  <c r="AE781" i="20"/>
  <c r="AE789" i="20"/>
  <c r="AE797" i="20"/>
  <c r="AE805" i="20"/>
  <c r="AE813" i="20"/>
  <c r="AE821" i="20"/>
  <c r="AE829" i="20"/>
  <c r="AE837" i="20"/>
  <c r="AE845" i="20"/>
  <c r="AE853" i="20"/>
  <c r="AE861" i="20"/>
  <c r="AE869" i="20"/>
  <c r="AE877" i="20"/>
  <c r="AE901" i="20"/>
  <c r="AE925" i="20"/>
  <c r="AE957" i="20"/>
  <c r="AE1005" i="20"/>
  <c r="AE718" i="20"/>
  <c r="AE726" i="20"/>
  <c r="AE734" i="20"/>
  <c r="AE742" i="20"/>
  <c r="AE750" i="20"/>
  <c r="AE758" i="20"/>
  <c r="AE766" i="20"/>
  <c r="AE774" i="20"/>
  <c r="AE782" i="20"/>
  <c r="AE790" i="20"/>
  <c r="AE798" i="20"/>
  <c r="AE806" i="20"/>
  <c r="AE814" i="20"/>
  <c r="AE822" i="20"/>
  <c r="AE830" i="20"/>
  <c r="AE838" i="20"/>
  <c r="AE846" i="20"/>
  <c r="AE854" i="20"/>
  <c r="AE862" i="20"/>
  <c r="AE870" i="20"/>
  <c r="AE878" i="20"/>
  <c r="AE886" i="20"/>
  <c r="AE894" i="20"/>
  <c r="AE902" i="20"/>
  <c r="AE910" i="20"/>
  <c r="AE918" i="20"/>
  <c r="AE926" i="20"/>
  <c r="AE934" i="20"/>
  <c r="AE942" i="20"/>
  <c r="AE950" i="20"/>
  <c r="AE958" i="20"/>
  <c r="AE966" i="20"/>
  <c r="AE974" i="20"/>
  <c r="AE982" i="20"/>
  <c r="AE990" i="20"/>
  <c r="AE998" i="20"/>
  <c r="AE1006" i="20"/>
  <c r="AE1014" i="20"/>
  <c r="AE1022" i="20"/>
  <c r="AE1030" i="20"/>
  <c r="AE897" i="20"/>
  <c r="AE929" i="20"/>
  <c r="AE961" i="20"/>
  <c r="AE993" i="20"/>
  <c r="AE1025" i="20"/>
  <c r="AE719" i="20"/>
  <c r="AE727" i="20"/>
  <c r="AE735" i="20"/>
  <c r="AE743" i="20"/>
  <c r="AE751" i="20"/>
  <c r="AE759" i="20"/>
  <c r="AE767" i="20"/>
  <c r="AE775" i="20"/>
  <c r="AE783" i="20"/>
  <c r="AE791" i="20"/>
  <c r="AE799" i="20"/>
  <c r="AE807" i="20"/>
  <c r="AE815" i="20"/>
  <c r="AE823" i="20"/>
  <c r="AE831" i="20"/>
  <c r="AE839" i="20"/>
  <c r="AE847" i="20"/>
  <c r="AE855" i="20"/>
  <c r="AE863" i="20"/>
  <c r="AE871" i="20"/>
  <c r="AE879" i="20"/>
  <c r="AE887" i="20"/>
  <c r="AE895" i="20"/>
  <c r="AE903" i="20"/>
  <c r="AE911" i="20"/>
  <c r="AE919" i="20"/>
  <c r="AE927" i="20"/>
  <c r="AE935" i="20"/>
  <c r="AE943" i="20"/>
  <c r="AE951" i="20"/>
  <c r="AE959" i="20"/>
  <c r="AE967" i="20"/>
  <c r="AE975" i="20"/>
  <c r="AE983" i="20"/>
  <c r="AE991" i="20"/>
  <c r="AE999" i="20"/>
  <c r="AE1007" i="20"/>
  <c r="AE1015" i="20"/>
  <c r="AE1023" i="20"/>
  <c r="AE1031" i="20"/>
  <c r="AE905" i="20"/>
  <c r="AE945" i="20"/>
  <c r="AE977" i="20"/>
  <c r="AE1001" i="20"/>
  <c r="AE1033" i="20"/>
  <c r="AE720" i="20"/>
  <c r="AE728" i="20"/>
  <c r="AE736" i="20"/>
  <c r="AE744" i="20"/>
  <c r="AE752" i="20"/>
  <c r="AE760" i="20"/>
  <c r="AE768" i="20"/>
  <c r="AE776" i="20"/>
  <c r="AE784" i="20"/>
  <c r="AE792" i="20"/>
  <c r="AE800" i="20"/>
  <c r="AE808" i="20"/>
  <c r="AE816" i="20"/>
  <c r="AE824" i="20"/>
  <c r="AE832" i="20"/>
  <c r="AE840" i="20"/>
  <c r="AE848" i="20"/>
  <c r="AE856" i="20"/>
  <c r="AE864" i="20"/>
  <c r="AE872" i="20"/>
  <c r="AE880" i="20"/>
  <c r="AE888" i="20"/>
  <c r="AE896" i="20"/>
  <c r="AE904" i="20"/>
  <c r="AE912" i="20"/>
  <c r="AE920" i="20"/>
  <c r="AE928" i="20"/>
  <c r="AE936" i="20"/>
  <c r="AE944" i="20"/>
  <c r="AE952" i="20"/>
  <c r="AE960" i="20"/>
  <c r="AE968" i="20"/>
  <c r="AE976" i="20"/>
  <c r="AE984" i="20"/>
  <c r="AE992" i="20"/>
  <c r="AE1000" i="20"/>
  <c r="AE1008" i="20"/>
  <c r="AE1016" i="20"/>
  <c r="AE1024" i="20"/>
  <c r="AE1032" i="20"/>
  <c r="AE889" i="20"/>
  <c r="AE921" i="20"/>
  <c r="AE953" i="20"/>
  <c r="AE985" i="20"/>
  <c r="AE1017" i="20"/>
  <c r="AE721" i="20"/>
  <c r="AE729" i="20"/>
  <c r="AE737" i="20"/>
  <c r="AE745" i="20"/>
  <c r="AE753" i="20"/>
  <c r="AE761" i="20"/>
  <c r="AE769" i="20"/>
  <c r="AE777" i="20"/>
  <c r="AE785" i="20"/>
  <c r="AE793" i="20"/>
  <c r="AE801" i="20"/>
  <c r="AE809" i="20"/>
  <c r="AE817" i="20"/>
  <c r="AE825" i="20"/>
  <c r="AE833" i="20"/>
  <c r="AE841" i="20"/>
  <c r="AE849" i="20"/>
  <c r="AE857" i="20"/>
  <c r="AE865" i="20"/>
  <c r="AE873" i="20"/>
  <c r="AE881" i="20"/>
  <c r="AE913" i="20"/>
  <c r="AE937" i="20"/>
  <c r="AE969" i="20"/>
  <c r="AE1009" i="20"/>
  <c r="AE713" i="20"/>
  <c r="AE722" i="20"/>
  <c r="AE730" i="20"/>
  <c r="AE738" i="20"/>
  <c r="AE746" i="20"/>
  <c r="AE754" i="20"/>
  <c r="AE762" i="20"/>
  <c r="AE770" i="20"/>
  <c r="AE778" i="20"/>
  <c r="AE786" i="20"/>
  <c r="AE794" i="20"/>
  <c r="AE802" i="20"/>
  <c r="AE810" i="20"/>
  <c r="AE818" i="20"/>
  <c r="AE826" i="20"/>
  <c r="AE834" i="20"/>
  <c r="AE842" i="20"/>
  <c r="AE850" i="20"/>
  <c r="AE858" i="20"/>
  <c r="AE866" i="20"/>
  <c r="AE874" i="20"/>
  <c r="AE882" i="20"/>
  <c r="AE890" i="20"/>
  <c r="AE898" i="20"/>
  <c r="AE906" i="20"/>
  <c r="AE914" i="20"/>
  <c r="AE922" i="20"/>
  <c r="AE930" i="20"/>
  <c r="AE938" i="20"/>
  <c r="AE946" i="20"/>
  <c r="AE954" i="20"/>
  <c r="AE962" i="20"/>
  <c r="AE970" i="20"/>
  <c r="AE978" i="20"/>
  <c r="AE986" i="20"/>
  <c r="AE994" i="20"/>
  <c r="AE1002" i="20"/>
  <c r="AE1010" i="20"/>
  <c r="AE1018" i="20"/>
  <c r="AE1026" i="20"/>
  <c r="AE1034" i="20"/>
  <c r="AE893" i="20"/>
  <c r="AE933" i="20"/>
  <c r="AE965" i="20"/>
  <c r="AE989" i="20"/>
  <c r="AE1021" i="20"/>
  <c r="AD37" i="20"/>
  <c r="AD45" i="20"/>
  <c r="AD53" i="20"/>
  <c r="AD61" i="20"/>
  <c r="AD69" i="20"/>
  <c r="AD77" i="20"/>
  <c r="AD85" i="20"/>
  <c r="AD93" i="20"/>
  <c r="AD101" i="20"/>
  <c r="AD109" i="20"/>
  <c r="AD117" i="20"/>
  <c r="AD125" i="20"/>
  <c r="AD133" i="20"/>
  <c r="AD141" i="20"/>
  <c r="AD149" i="20"/>
  <c r="AD157" i="20"/>
  <c r="AD165" i="20"/>
  <c r="AD173" i="20"/>
  <c r="AD181" i="20"/>
  <c r="AD189" i="20"/>
  <c r="AD197" i="20"/>
  <c r="AD205" i="20"/>
  <c r="AD213" i="20"/>
  <c r="AD221" i="20"/>
  <c r="AD229" i="20"/>
  <c r="AD237" i="20"/>
  <c r="AD245" i="20"/>
  <c r="AD253" i="20"/>
  <c r="AD261" i="20"/>
  <c r="AD269" i="20"/>
  <c r="AD277" i="20"/>
  <c r="AD285" i="20"/>
  <c r="AD293" i="20"/>
  <c r="AD301" i="20"/>
  <c r="AD309" i="20"/>
  <c r="AD317" i="20"/>
  <c r="AD325" i="20"/>
  <c r="AD333" i="20"/>
  <c r="AD341" i="20"/>
  <c r="AD349" i="20"/>
  <c r="AD357" i="20"/>
  <c r="AD365" i="20"/>
  <c r="AD373" i="20"/>
  <c r="AD381" i="20"/>
  <c r="AD389" i="20"/>
  <c r="AD397" i="20"/>
  <c r="AD405" i="20"/>
  <c r="AD413" i="20"/>
  <c r="AD421" i="20"/>
  <c r="AD429" i="20"/>
  <c r="AD437" i="20"/>
  <c r="AD445" i="20"/>
  <c r="AD453" i="20"/>
  <c r="AD461" i="20"/>
  <c r="AD469" i="20"/>
  <c r="AD477" i="20"/>
  <c r="AD485" i="20"/>
  <c r="AD493" i="20"/>
  <c r="AD501" i="20"/>
  <c r="AD509" i="20"/>
  <c r="AD517" i="20"/>
  <c r="AD525" i="20"/>
  <c r="AD533" i="20"/>
  <c r="AD541" i="20"/>
  <c r="AD549" i="20"/>
  <c r="AD557" i="20"/>
  <c r="AD565" i="20"/>
  <c r="AD573" i="20"/>
  <c r="AD581" i="20"/>
  <c r="AD589" i="20"/>
  <c r="AD597" i="20"/>
  <c r="AD605" i="20"/>
  <c r="AD613" i="20"/>
  <c r="AD621" i="20"/>
  <c r="AD629" i="20"/>
  <c r="AD637" i="20"/>
  <c r="AD645" i="20"/>
  <c r="AD653" i="20"/>
  <c r="AD661" i="20"/>
  <c r="AD669" i="20"/>
  <c r="AD677" i="20"/>
  <c r="AD685" i="20"/>
  <c r="AD693" i="20"/>
  <c r="AD701" i="20"/>
  <c r="AD709" i="20"/>
  <c r="AD38" i="20"/>
  <c r="AD46" i="20"/>
  <c r="AD54" i="20"/>
  <c r="AD62" i="20"/>
  <c r="AD70" i="20"/>
  <c r="AD78" i="20"/>
  <c r="AD86" i="20"/>
  <c r="AD94" i="20"/>
  <c r="AD102" i="20"/>
  <c r="AD110" i="20"/>
  <c r="AD118" i="20"/>
  <c r="AD126" i="20"/>
  <c r="AD134" i="20"/>
  <c r="AD142" i="20"/>
  <c r="AD150" i="20"/>
  <c r="AD158" i="20"/>
  <c r="AD166" i="20"/>
  <c r="AD174" i="20"/>
  <c r="AD182" i="20"/>
  <c r="AD190" i="20"/>
  <c r="AD198" i="20"/>
  <c r="AD206" i="20"/>
  <c r="AD214" i="20"/>
  <c r="AD222" i="20"/>
  <c r="AD230" i="20"/>
  <c r="AD238" i="20"/>
  <c r="AD246" i="20"/>
  <c r="AD254" i="20"/>
  <c r="AD262" i="20"/>
  <c r="AD270" i="20"/>
  <c r="AD278" i="20"/>
  <c r="AD286" i="20"/>
  <c r="AD294" i="20"/>
  <c r="AD302" i="20"/>
  <c r="AD310" i="20"/>
  <c r="AD318" i="20"/>
  <c r="AD326" i="20"/>
  <c r="AD334" i="20"/>
  <c r="AD342" i="20"/>
  <c r="AD350" i="20"/>
  <c r="AD358" i="20"/>
  <c r="AD366" i="20"/>
  <c r="AD374" i="20"/>
  <c r="AD382" i="20"/>
  <c r="AD390" i="20"/>
  <c r="AD398" i="20"/>
  <c r="AD406" i="20"/>
  <c r="AD414" i="20"/>
  <c r="AD422" i="20"/>
  <c r="AD430" i="20"/>
  <c r="AD438" i="20"/>
  <c r="AD446" i="20"/>
  <c r="AD454" i="20"/>
  <c r="AD462" i="20"/>
  <c r="AD470" i="20"/>
  <c r="AD478" i="20"/>
  <c r="AD486" i="20"/>
  <c r="AD494" i="20"/>
  <c r="AD502" i="20"/>
  <c r="AD510" i="20"/>
  <c r="AD518" i="20"/>
  <c r="AD526" i="20"/>
  <c r="AD534" i="20"/>
  <c r="AD542" i="20"/>
  <c r="AD550" i="20"/>
  <c r="AD558" i="20"/>
  <c r="AD566" i="20"/>
  <c r="AD574" i="20"/>
  <c r="AD582" i="20"/>
  <c r="AD590" i="20"/>
  <c r="AD598" i="20"/>
  <c r="AD606" i="20"/>
  <c r="AD614" i="20"/>
  <c r="AD622" i="20"/>
  <c r="AD630" i="20"/>
  <c r="AD638" i="20"/>
  <c r="AD646" i="20"/>
  <c r="AD654" i="20"/>
  <c r="AD662" i="20"/>
  <c r="AD670" i="20"/>
  <c r="AD678" i="20"/>
  <c r="AD686" i="20"/>
  <c r="AD694" i="20"/>
  <c r="AD702" i="20"/>
  <c r="AD710" i="20"/>
  <c r="AD39" i="20"/>
  <c r="AD47" i="20"/>
  <c r="AD55" i="20"/>
  <c r="AD63" i="20"/>
  <c r="AD71" i="20"/>
  <c r="AD79" i="20"/>
  <c r="AD87" i="20"/>
  <c r="AD95" i="20"/>
  <c r="AD103" i="20"/>
  <c r="AD111" i="20"/>
  <c r="AD119" i="20"/>
  <c r="AD127" i="20"/>
  <c r="AD135" i="20"/>
  <c r="AD143" i="20"/>
  <c r="AD151" i="20"/>
  <c r="AD159" i="20"/>
  <c r="AD167" i="20"/>
  <c r="AD175" i="20"/>
  <c r="AD183" i="20"/>
  <c r="AD191" i="20"/>
  <c r="AD199" i="20"/>
  <c r="AD207" i="20"/>
  <c r="AD215" i="20"/>
  <c r="AD223" i="20"/>
  <c r="AD231" i="20"/>
  <c r="AD239" i="20"/>
  <c r="AD247" i="20"/>
  <c r="AD255" i="20"/>
  <c r="AD263" i="20"/>
  <c r="AD271" i="20"/>
  <c r="AD279" i="20"/>
  <c r="AD287" i="20"/>
  <c r="AD295" i="20"/>
  <c r="AD303" i="20"/>
  <c r="AD311" i="20"/>
  <c r="AD319" i="20"/>
  <c r="AD327" i="20"/>
  <c r="AD335" i="20"/>
  <c r="AD343" i="20"/>
  <c r="AD351" i="20"/>
  <c r="AD359" i="20"/>
  <c r="AD367" i="20"/>
  <c r="AD375" i="20"/>
  <c r="AD383" i="20"/>
  <c r="AD391" i="20"/>
  <c r="AD399" i="20"/>
  <c r="AD407" i="20"/>
  <c r="AD415" i="20"/>
  <c r="AD423" i="20"/>
  <c r="AD431" i="20"/>
  <c r="AD439" i="20"/>
  <c r="AD447" i="20"/>
  <c r="AD455" i="20"/>
  <c r="AD463" i="20"/>
  <c r="AD471" i="20"/>
  <c r="AD479" i="20"/>
  <c r="AD487" i="20"/>
  <c r="AD495" i="20"/>
  <c r="AD503" i="20"/>
  <c r="AD511" i="20"/>
  <c r="AD519" i="20"/>
  <c r="AD527" i="20"/>
  <c r="AD535" i="20"/>
  <c r="AD543" i="20"/>
  <c r="AD551" i="20"/>
  <c r="AD559" i="20"/>
  <c r="AD567" i="20"/>
  <c r="AD575" i="20"/>
  <c r="AD583" i="20"/>
  <c r="AD591" i="20"/>
  <c r="AD599" i="20"/>
  <c r="AD607" i="20"/>
  <c r="AD615" i="20"/>
  <c r="AD623" i="20"/>
  <c r="AD631" i="20"/>
  <c r="AD639" i="20"/>
  <c r="AD647" i="20"/>
  <c r="AD655" i="20"/>
  <c r="AD663" i="20"/>
  <c r="AD671" i="20"/>
  <c r="AD679" i="20"/>
  <c r="AD687" i="20"/>
  <c r="AD695" i="20"/>
  <c r="AD703" i="20"/>
  <c r="AD711" i="20"/>
  <c r="AD40" i="20"/>
  <c r="AD48" i="20"/>
  <c r="AD56" i="20"/>
  <c r="AD64" i="20"/>
  <c r="AD72" i="20"/>
  <c r="AD80" i="20"/>
  <c r="AD88" i="20"/>
  <c r="AD96" i="20"/>
  <c r="AD104" i="20"/>
  <c r="AD112" i="20"/>
  <c r="AD120" i="20"/>
  <c r="AD128" i="20"/>
  <c r="AD136" i="20"/>
  <c r="AD144" i="20"/>
  <c r="AD152" i="20"/>
  <c r="AD160" i="20"/>
  <c r="AD168" i="20"/>
  <c r="AD176" i="20"/>
  <c r="AD184" i="20"/>
  <c r="AD192" i="20"/>
  <c r="AD200" i="20"/>
  <c r="AD208" i="20"/>
  <c r="AD216" i="20"/>
  <c r="AD224" i="20"/>
  <c r="AD232" i="20"/>
  <c r="AD240" i="20"/>
  <c r="AD248" i="20"/>
  <c r="AD256" i="20"/>
  <c r="AD264" i="20"/>
  <c r="AD272" i="20"/>
  <c r="AD280" i="20"/>
  <c r="AD288" i="20"/>
  <c r="AD296" i="20"/>
  <c r="AD304" i="20"/>
  <c r="AD312" i="20"/>
  <c r="AD320" i="20"/>
  <c r="AD328" i="20"/>
  <c r="AD336" i="20"/>
  <c r="AD344" i="20"/>
  <c r="AD352" i="20"/>
  <c r="AD360" i="20"/>
  <c r="AD368" i="20"/>
  <c r="AD376" i="20"/>
  <c r="AD384" i="20"/>
  <c r="AD392" i="20"/>
  <c r="AD400" i="20"/>
  <c r="AD408" i="20"/>
  <c r="AD416" i="20"/>
  <c r="AD424" i="20"/>
  <c r="AD432" i="20"/>
  <c r="AD440" i="20"/>
  <c r="AD448" i="20"/>
  <c r="AD456" i="20"/>
  <c r="AD464" i="20"/>
  <c r="AD472" i="20"/>
  <c r="AD480" i="20"/>
  <c r="AD488" i="20"/>
  <c r="AD496" i="20"/>
  <c r="AD504" i="20"/>
  <c r="AD512" i="20"/>
  <c r="AD520" i="20"/>
  <c r="AD528" i="20"/>
  <c r="AD536" i="20"/>
  <c r="AD544" i="20"/>
  <c r="AD552" i="20"/>
  <c r="AD560" i="20"/>
  <c r="AD568" i="20"/>
  <c r="AD576" i="20"/>
  <c r="AD584" i="20"/>
  <c r="AD592" i="20"/>
  <c r="AD600" i="20"/>
  <c r="AD608" i="20"/>
  <c r="AD616" i="20"/>
  <c r="AD624" i="20"/>
  <c r="AD632" i="20"/>
  <c r="AD640" i="20"/>
  <c r="AD648" i="20"/>
  <c r="AD656" i="20"/>
  <c r="AD664" i="20"/>
  <c r="AD672" i="20"/>
  <c r="AD680" i="20"/>
  <c r="AD688" i="20"/>
  <c r="AD696" i="20"/>
  <c r="AD704" i="20"/>
  <c r="AD712" i="20"/>
  <c r="AD41" i="20"/>
  <c r="AD49" i="20"/>
  <c r="AD57" i="20"/>
  <c r="AD65" i="20"/>
  <c r="AD73" i="20"/>
  <c r="AD81" i="20"/>
  <c r="AD89" i="20"/>
  <c r="AD97" i="20"/>
  <c r="AD105" i="20"/>
  <c r="AD113" i="20"/>
  <c r="AD121" i="20"/>
  <c r="AD129" i="20"/>
  <c r="AD137" i="20"/>
  <c r="AD145" i="20"/>
  <c r="AD153" i="20"/>
  <c r="AD161" i="20"/>
  <c r="AD169" i="20"/>
  <c r="AD177" i="20"/>
  <c r="AD185" i="20"/>
  <c r="AD193" i="20"/>
  <c r="AD201" i="20"/>
  <c r="AD209" i="20"/>
  <c r="AD217" i="20"/>
  <c r="AD225" i="20"/>
  <c r="AD233" i="20"/>
  <c r="AD241" i="20"/>
  <c r="AD249" i="20"/>
  <c r="AD257" i="20"/>
  <c r="AD265" i="20"/>
  <c r="AD273" i="20"/>
  <c r="AD281" i="20"/>
  <c r="AD289" i="20"/>
  <c r="AD297" i="20"/>
  <c r="AD305" i="20"/>
  <c r="AD313" i="20"/>
  <c r="AD321" i="20"/>
  <c r="AD329" i="20"/>
  <c r="AD337" i="20"/>
  <c r="AD345" i="20"/>
  <c r="AD353" i="20"/>
  <c r="AD361" i="20"/>
  <c r="AD369" i="20"/>
  <c r="AD377" i="20"/>
  <c r="AD385" i="20"/>
  <c r="AD393" i="20"/>
  <c r="AD401" i="20"/>
  <c r="AD409" i="20"/>
  <c r="AD417" i="20"/>
  <c r="AD425" i="20"/>
  <c r="AD433" i="20"/>
  <c r="AD441" i="20"/>
  <c r="AD449" i="20"/>
  <c r="AD457" i="20"/>
  <c r="AD465" i="20"/>
  <c r="AD473" i="20"/>
  <c r="AD481" i="20"/>
  <c r="AD489" i="20"/>
  <c r="AD497" i="20"/>
  <c r="AD505" i="20"/>
  <c r="AD513" i="20"/>
  <c r="AD521" i="20"/>
  <c r="AD529" i="20"/>
  <c r="AD537" i="20"/>
  <c r="AD545" i="20"/>
  <c r="AD553" i="20"/>
  <c r="AD561" i="20"/>
  <c r="AD569" i="20"/>
  <c r="AD577" i="20"/>
  <c r="AD585" i="20"/>
  <c r="AD593" i="20"/>
  <c r="AD601" i="20"/>
  <c r="AD609" i="20"/>
  <c r="AD617" i="20"/>
  <c r="AD625" i="20"/>
  <c r="AD633" i="20"/>
  <c r="AD641" i="20"/>
  <c r="AD649" i="20"/>
  <c r="AD657" i="20"/>
  <c r="AD665" i="20"/>
  <c r="AD673" i="20"/>
  <c r="AD681" i="20"/>
  <c r="AD689" i="20"/>
  <c r="AD697" i="20"/>
  <c r="AD705" i="20"/>
  <c r="AD713" i="20"/>
  <c r="AD42" i="20"/>
  <c r="AD50" i="20"/>
  <c r="AD58" i="20"/>
  <c r="AD66" i="20"/>
  <c r="AD74" i="20"/>
  <c r="AD82" i="20"/>
  <c r="AD90" i="20"/>
  <c r="AD98" i="20"/>
  <c r="AD106" i="20"/>
  <c r="AD114" i="20"/>
  <c r="AD122" i="20"/>
  <c r="AD130" i="20"/>
  <c r="AD138" i="20"/>
  <c r="AD146" i="20"/>
  <c r="AD154" i="20"/>
  <c r="AD162" i="20"/>
  <c r="AD170" i="20"/>
  <c r="AD178" i="20"/>
  <c r="AD186" i="20"/>
  <c r="AD194" i="20"/>
  <c r="AD202" i="20"/>
  <c r="AD210" i="20"/>
  <c r="AD218" i="20"/>
  <c r="AD226" i="20"/>
  <c r="AD234" i="20"/>
  <c r="AD242" i="20"/>
  <c r="AD250" i="20"/>
  <c r="AD258" i="20"/>
  <c r="AD266" i="20"/>
  <c r="AD274" i="20"/>
  <c r="AD282" i="20"/>
  <c r="AD290" i="20"/>
  <c r="AD298" i="20"/>
  <c r="AD306" i="20"/>
  <c r="AD314" i="20"/>
  <c r="AD322" i="20"/>
  <c r="AD330" i="20"/>
  <c r="AD338" i="20"/>
  <c r="AD346" i="20"/>
  <c r="AD354" i="20"/>
  <c r="AD362" i="20"/>
  <c r="AD370" i="20"/>
  <c r="AD378" i="20"/>
  <c r="AD386" i="20"/>
  <c r="AD394" i="20"/>
  <c r="AD402" i="20"/>
  <c r="AD410" i="20"/>
  <c r="AD418" i="20"/>
  <c r="AD426" i="20"/>
  <c r="AD434" i="20"/>
  <c r="AD442" i="20"/>
  <c r="AD450" i="20"/>
  <c r="AD458" i="20"/>
  <c r="AD466" i="20"/>
  <c r="AD474" i="20"/>
  <c r="AD482" i="20"/>
  <c r="AD490" i="20"/>
  <c r="AD498" i="20"/>
  <c r="AD506" i="20"/>
  <c r="AD514" i="20"/>
  <c r="AD522" i="20"/>
  <c r="AD530" i="20"/>
  <c r="AD538" i="20"/>
  <c r="AD546" i="20"/>
  <c r="AD554" i="20"/>
  <c r="AD562" i="20"/>
  <c r="AD570" i="20"/>
  <c r="AD578" i="20"/>
  <c r="AD586" i="20"/>
  <c r="AD594" i="20"/>
  <c r="AD602" i="20"/>
  <c r="AD610" i="20"/>
  <c r="AD618" i="20"/>
  <c r="AD626" i="20"/>
  <c r="AD634" i="20"/>
  <c r="AD642" i="20"/>
  <c r="AD650" i="20"/>
  <c r="AD658" i="20"/>
  <c r="AD666" i="20"/>
  <c r="AD674" i="20"/>
  <c r="AD682" i="20"/>
  <c r="AD690" i="20"/>
  <c r="AD698" i="20"/>
  <c r="AD706" i="20"/>
  <c r="AD714" i="20"/>
  <c r="AD43" i="20"/>
  <c r="AD51" i="20"/>
  <c r="AD59" i="20"/>
  <c r="AD67" i="20"/>
  <c r="AD75" i="20"/>
  <c r="AD83" i="20"/>
  <c r="AD91" i="20"/>
  <c r="AD99" i="20"/>
  <c r="AD107" i="20"/>
  <c r="AD115" i="20"/>
  <c r="AD123" i="20"/>
  <c r="AD131" i="20"/>
  <c r="AD139" i="20"/>
  <c r="AD147" i="20"/>
  <c r="AD155" i="20"/>
  <c r="AD163" i="20"/>
  <c r="AD171" i="20"/>
  <c r="AD179" i="20"/>
  <c r="AD187" i="20"/>
  <c r="AD195" i="20"/>
  <c r="AD203" i="20"/>
  <c r="AD211" i="20"/>
  <c r="AD219" i="20"/>
  <c r="AD227" i="20"/>
  <c r="AD235" i="20"/>
  <c r="AD243" i="20"/>
  <c r="AD251" i="20"/>
  <c r="AD259" i="20"/>
  <c r="AD267" i="20"/>
  <c r="AD275" i="20"/>
  <c r="AD283" i="20"/>
  <c r="AD291" i="20"/>
  <c r="AD299" i="20"/>
  <c r="AD307" i="20"/>
  <c r="AD315" i="20"/>
  <c r="AD323" i="20"/>
  <c r="AD331" i="20"/>
  <c r="AD339" i="20"/>
  <c r="AD347" i="20"/>
  <c r="AD355" i="20"/>
  <c r="AD363" i="20"/>
  <c r="AD371" i="20"/>
  <c r="AD379" i="20"/>
  <c r="AD387" i="20"/>
  <c r="AD395" i="20"/>
  <c r="AD403" i="20"/>
  <c r="AD411" i="20"/>
  <c r="AD419" i="20"/>
  <c r="AD427" i="20"/>
  <c r="AD435" i="20"/>
  <c r="AD443" i="20"/>
  <c r="AD451" i="20"/>
  <c r="AD459" i="20"/>
  <c r="AD467" i="20"/>
  <c r="AD475" i="20"/>
  <c r="AD483" i="20"/>
  <c r="AD491" i="20"/>
  <c r="AD499" i="20"/>
  <c r="AD507" i="20"/>
  <c r="AD515" i="20"/>
  <c r="AD523" i="20"/>
  <c r="AD531" i="20"/>
  <c r="AD539" i="20"/>
  <c r="AD547" i="20"/>
  <c r="AD555" i="20"/>
  <c r="AD563" i="20"/>
  <c r="AD571" i="20"/>
  <c r="AD579" i="20"/>
  <c r="AD587" i="20"/>
  <c r="AD595" i="20"/>
  <c r="AD603" i="20"/>
  <c r="AD611" i="20"/>
  <c r="AD619" i="20"/>
  <c r="AD627" i="20"/>
  <c r="AD635" i="20"/>
  <c r="AD643" i="20"/>
  <c r="AD651" i="20"/>
  <c r="AD659" i="20"/>
  <c r="AD667" i="20"/>
  <c r="AD675" i="20"/>
  <c r="AD683" i="20"/>
  <c r="AD691" i="20"/>
  <c r="AD699" i="20"/>
  <c r="AD707" i="20"/>
  <c r="AD715" i="20"/>
  <c r="AD36" i="20"/>
  <c r="AD44" i="20"/>
  <c r="AD52" i="20"/>
  <c r="AD60" i="20"/>
  <c r="AD68" i="20"/>
  <c r="AD76" i="20"/>
  <c r="AD84" i="20"/>
  <c r="AD92" i="20"/>
  <c r="AD100" i="20"/>
  <c r="AD108" i="20"/>
  <c r="AD116" i="20"/>
  <c r="AD124" i="20"/>
  <c r="AD132" i="20"/>
  <c r="AD140" i="20"/>
  <c r="AD148" i="20"/>
  <c r="AD156" i="20"/>
  <c r="AD164" i="20"/>
  <c r="AD172" i="20"/>
  <c r="AD180" i="20"/>
  <c r="AD188" i="20"/>
  <c r="AD196" i="20"/>
  <c r="AD204" i="20"/>
  <c r="AD212" i="20"/>
  <c r="AD220" i="20"/>
  <c r="AD228" i="20"/>
  <c r="AD236" i="20"/>
  <c r="AD244" i="20"/>
  <c r="AD252" i="20"/>
  <c r="AD260" i="20"/>
  <c r="AD268" i="20"/>
  <c r="AD276" i="20"/>
  <c r="AD284" i="20"/>
  <c r="AD292" i="20"/>
  <c r="AD300" i="20"/>
  <c r="AD308" i="20"/>
  <c r="AD316" i="20"/>
  <c r="AD324" i="20"/>
  <c r="AD332" i="20"/>
  <c r="AD340" i="20"/>
  <c r="AD348" i="20"/>
  <c r="AD356" i="20"/>
  <c r="AD364" i="20"/>
  <c r="AD372" i="20"/>
  <c r="AD380" i="20"/>
  <c r="AD388" i="20"/>
  <c r="AD396" i="20"/>
  <c r="AD404" i="20"/>
  <c r="AD412" i="20"/>
  <c r="AD420" i="20"/>
  <c r="AD428" i="20"/>
  <c r="AD436" i="20"/>
  <c r="AD444" i="20"/>
  <c r="AD452" i="20"/>
  <c r="AD460" i="20"/>
  <c r="AD468" i="20"/>
  <c r="AD476" i="20"/>
  <c r="AD484" i="20"/>
  <c r="AD492" i="20"/>
  <c r="AD500" i="20"/>
  <c r="AD508" i="20"/>
  <c r="AD516" i="20"/>
  <c r="AD524" i="20"/>
  <c r="AD532" i="20"/>
  <c r="AD540" i="20"/>
  <c r="AD548" i="20"/>
  <c r="AD556" i="20"/>
  <c r="AD564" i="20"/>
  <c r="AD572" i="20"/>
  <c r="AD580" i="20"/>
  <c r="AD588" i="20"/>
  <c r="AD596" i="20"/>
  <c r="AD604" i="20"/>
  <c r="AD612" i="20"/>
  <c r="AD620" i="20"/>
  <c r="AD628" i="20"/>
  <c r="AD636" i="20"/>
  <c r="AD644" i="20"/>
  <c r="AD652" i="20"/>
  <c r="AD660" i="20"/>
  <c r="AD668" i="20"/>
  <c r="AD676" i="20"/>
  <c r="AD684" i="20"/>
  <c r="AD692" i="20"/>
  <c r="AD700" i="20"/>
  <c r="AD708" i="20"/>
  <c r="AD717" i="20"/>
  <c r="AD725" i="20"/>
  <c r="AD733" i="20"/>
  <c r="AD741" i="20"/>
  <c r="AD749" i="20"/>
  <c r="AD757" i="20"/>
  <c r="AD765" i="20"/>
  <c r="AD773" i="20"/>
  <c r="AD781" i="20"/>
  <c r="AD789" i="20"/>
  <c r="AD797" i="20"/>
  <c r="AD805" i="20"/>
  <c r="AD813" i="20"/>
  <c r="AD821" i="20"/>
  <c r="AD829" i="20"/>
  <c r="AD837" i="20"/>
  <c r="AD845" i="20"/>
  <c r="AD853" i="20"/>
  <c r="AD861" i="20"/>
  <c r="AD869" i="20"/>
  <c r="AD877" i="20"/>
  <c r="AD885" i="20"/>
  <c r="AD893" i="20"/>
  <c r="AD901" i="20"/>
  <c r="AD909" i="20"/>
  <c r="AD917" i="20"/>
  <c r="AD925" i="20"/>
  <c r="AD933" i="20"/>
  <c r="AD941" i="20"/>
  <c r="AD949" i="20"/>
  <c r="AD957" i="20"/>
  <c r="AD965" i="20"/>
  <c r="AD973" i="20"/>
  <c r="AD981" i="20"/>
  <c r="AD989" i="20"/>
  <c r="AD997" i="20"/>
  <c r="AD1005" i="20"/>
  <c r="AD1013" i="20"/>
  <c r="AD1021" i="20"/>
  <c r="AD1029" i="20"/>
  <c r="AD718" i="20"/>
  <c r="AD726" i="20"/>
  <c r="AD734" i="20"/>
  <c r="AD742" i="20"/>
  <c r="AD750" i="20"/>
  <c r="AD758" i="20"/>
  <c r="AD766" i="20"/>
  <c r="AD774" i="20"/>
  <c r="AD782" i="20"/>
  <c r="AD790" i="20"/>
  <c r="AD798" i="20"/>
  <c r="AD806" i="20"/>
  <c r="AD814" i="20"/>
  <c r="AD822" i="20"/>
  <c r="AD830" i="20"/>
  <c r="AD838" i="20"/>
  <c r="AD846" i="20"/>
  <c r="AD854" i="20"/>
  <c r="AD862" i="20"/>
  <c r="AD870" i="20"/>
  <c r="AD878" i="20"/>
  <c r="AD886" i="20"/>
  <c r="AD894" i="20"/>
  <c r="AD902" i="20"/>
  <c r="AD910" i="20"/>
  <c r="AD918" i="20"/>
  <c r="AD926" i="20"/>
  <c r="AD934" i="20"/>
  <c r="AD942" i="20"/>
  <c r="AD950" i="20"/>
  <c r="AD958" i="20"/>
  <c r="AD966" i="20"/>
  <c r="AD974" i="20"/>
  <c r="AD982" i="20"/>
  <c r="AD990" i="20"/>
  <c r="AD998" i="20"/>
  <c r="AD1006" i="20"/>
  <c r="AD1014" i="20"/>
  <c r="AD1022" i="20"/>
  <c r="AD1030" i="20"/>
  <c r="AD719" i="20"/>
  <c r="AD727" i="20"/>
  <c r="AD735" i="20"/>
  <c r="AD743" i="20"/>
  <c r="AD751" i="20"/>
  <c r="AD759" i="20"/>
  <c r="AD767" i="20"/>
  <c r="AD775" i="20"/>
  <c r="AD783" i="20"/>
  <c r="AD791" i="20"/>
  <c r="AD799" i="20"/>
  <c r="AD807" i="20"/>
  <c r="AD815" i="20"/>
  <c r="AD823" i="20"/>
  <c r="AD831" i="20"/>
  <c r="AD839" i="20"/>
  <c r="AD847" i="20"/>
  <c r="AD855" i="20"/>
  <c r="AD863" i="20"/>
  <c r="AD871" i="20"/>
  <c r="AD879" i="20"/>
  <c r="AD887" i="20"/>
  <c r="AD895" i="20"/>
  <c r="AD903" i="20"/>
  <c r="AD911" i="20"/>
  <c r="AD919" i="20"/>
  <c r="AD927" i="20"/>
  <c r="AD935" i="20"/>
  <c r="AD943" i="20"/>
  <c r="AD951" i="20"/>
  <c r="AD959" i="20"/>
  <c r="AD967" i="20"/>
  <c r="AD975" i="20"/>
  <c r="AD983" i="20"/>
  <c r="AD991" i="20"/>
  <c r="AD999" i="20"/>
  <c r="AD1007" i="20"/>
  <c r="AD1015" i="20"/>
  <c r="AD1023" i="20"/>
  <c r="AD1031" i="20"/>
  <c r="AD720" i="20"/>
  <c r="AD728" i="20"/>
  <c r="AD736" i="20"/>
  <c r="AD744" i="20"/>
  <c r="AD752" i="20"/>
  <c r="AD760" i="20"/>
  <c r="AD768" i="20"/>
  <c r="AD776" i="20"/>
  <c r="AD784" i="20"/>
  <c r="AD792" i="20"/>
  <c r="AD800" i="20"/>
  <c r="AD808" i="20"/>
  <c r="AD816" i="20"/>
  <c r="AD824" i="20"/>
  <c r="AD832" i="20"/>
  <c r="AD840" i="20"/>
  <c r="AD848" i="20"/>
  <c r="AD856" i="20"/>
  <c r="AD864" i="20"/>
  <c r="AD872" i="20"/>
  <c r="AD880" i="20"/>
  <c r="AD888" i="20"/>
  <c r="AD896" i="20"/>
  <c r="AD904" i="20"/>
  <c r="AD912" i="20"/>
  <c r="AD920" i="20"/>
  <c r="AD928" i="20"/>
  <c r="AD936" i="20"/>
  <c r="AD944" i="20"/>
  <c r="AD952" i="20"/>
  <c r="AD960" i="20"/>
  <c r="AD968" i="20"/>
  <c r="AD976" i="20"/>
  <c r="AD984" i="20"/>
  <c r="AD992" i="20"/>
  <c r="AD1000" i="20"/>
  <c r="AD1008" i="20"/>
  <c r="AD1016" i="20"/>
  <c r="AD1024" i="20"/>
  <c r="AD1032" i="20"/>
  <c r="AD721" i="20"/>
  <c r="AD729" i="20"/>
  <c r="AD737" i="20"/>
  <c r="AD745" i="20"/>
  <c r="AD753" i="20"/>
  <c r="AD761" i="20"/>
  <c r="AD769" i="20"/>
  <c r="AD777" i="20"/>
  <c r="AD785" i="20"/>
  <c r="AD793" i="20"/>
  <c r="AD801" i="20"/>
  <c r="AD809" i="20"/>
  <c r="AD817" i="20"/>
  <c r="AD825" i="20"/>
  <c r="AD833" i="20"/>
  <c r="AD841" i="20"/>
  <c r="AD849" i="20"/>
  <c r="AD857" i="20"/>
  <c r="AD865" i="20"/>
  <c r="AD873" i="20"/>
  <c r="AD881" i="20"/>
  <c r="AD889" i="20"/>
  <c r="AD897" i="20"/>
  <c r="AD905" i="20"/>
  <c r="AD913" i="20"/>
  <c r="AD921" i="20"/>
  <c r="AD929" i="20"/>
  <c r="AD937" i="20"/>
  <c r="AD945" i="20"/>
  <c r="AD953" i="20"/>
  <c r="AD961" i="20"/>
  <c r="AD969" i="20"/>
  <c r="AD977" i="20"/>
  <c r="AD985" i="20"/>
  <c r="AD993" i="20"/>
  <c r="AD1001" i="20"/>
  <c r="AD1009" i="20"/>
  <c r="AD1017" i="20"/>
  <c r="AD1025" i="20"/>
  <c r="AD1033" i="20"/>
  <c r="AD722" i="20"/>
  <c r="AD730" i="20"/>
  <c r="AD738" i="20"/>
  <c r="AD746" i="20"/>
  <c r="AD754" i="20"/>
  <c r="AD762" i="20"/>
  <c r="AD770" i="20"/>
  <c r="AD778" i="20"/>
  <c r="AD786" i="20"/>
  <c r="AD794" i="20"/>
  <c r="AD802" i="20"/>
  <c r="AD810" i="20"/>
  <c r="AD818" i="20"/>
  <c r="AD826" i="20"/>
  <c r="AD834" i="20"/>
  <c r="AD842" i="20"/>
  <c r="AD850" i="20"/>
  <c r="AD858" i="20"/>
  <c r="AD866" i="20"/>
  <c r="AD874" i="20"/>
  <c r="AD882" i="20"/>
  <c r="AD890" i="20"/>
  <c r="AD898" i="20"/>
  <c r="AD906" i="20"/>
  <c r="AD914" i="20"/>
  <c r="AD922" i="20"/>
  <c r="AD930" i="20"/>
  <c r="AD938" i="20"/>
  <c r="AD946" i="20"/>
  <c r="AD954" i="20"/>
  <c r="AD962" i="20"/>
  <c r="AD970" i="20"/>
  <c r="AD978" i="20"/>
  <c r="AD986" i="20"/>
  <c r="AD994" i="20"/>
  <c r="AD1002" i="20"/>
  <c r="AD1010" i="20"/>
  <c r="AD1018" i="20"/>
  <c r="AD1026" i="20"/>
  <c r="AD1034" i="20"/>
  <c r="AD723" i="20"/>
  <c r="AD731" i="20"/>
  <c r="AD739" i="20"/>
  <c r="AD747" i="20"/>
  <c r="AD755" i="20"/>
  <c r="AD763" i="20"/>
  <c r="AD771" i="20"/>
  <c r="AD779" i="20"/>
  <c r="AD787" i="20"/>
  <c r="AD795" i="20"/>
  <c r="AD803" i="20"/>
  <c r="AD811" i="20"/>
  <c r="AD819" i="20"/>
  <c r="AD827" i="20"/>
  <c r="AD835" i="20"/>
  <c r="AD843" i="20"/>
  <c r="AD851" i="20"/>
  <c r="AD859" i="20"/>
  <c r="AD867" i="20"/>
  <c r="AD875" i="20"/>
  <c r="AD883" i="20"/>
  <c r="AD891" i="20"/>
  <c r="AD899" i="20"/>
  <c r="AD907" i="20"/>
  <c r="AD915" i="20"/>
  <c r="AD923" i="20"/>
  <c r="AD931" i="20"/>
  <c r="AD939" i="20"/>
  <c r="AD947" i="20"/>
  <c r="AD955" i="20"/>
  <c r="AD963" i="20"/>
  <c r="AD971" i="20"/>
  <c r="AD979" i="20"/>
  <c r="AD987" i="20"/>
  <c r="AD995" i="20"/>
  <c r="AD1003" i="20"/>
  <c r="AD1011" i="20"/>
  <c r="AD1019" i="20"/>
  <c r="AD1027" i="20"/>
  <c r="AD35" i="20"/>
  <c r="AD716" i="20"/>
  <c r="AD724" i="20"/>
  <c r="AD732" i="20"/>
  <c r="AD740" i="20"/>
  <c r="AD748" i="20"/>
  <c r="AD756" i="20"/>
  <c r="AD764" i="20"/>
  <c r="AD772" i="20"/>
  <c r="AD780" i="20"/>
  <c r="AD788" i="20"/>
  <c r="AD796" i="20"/>
  <c r="AD804" i="20"/>
  <c r="AD812" i="20"/>
  <c r="AD820" i="20"/>
  <c r="AD828" i="20"/>
  <c r="AD836" i="20"/>
  <c r="AD844" i="20"/>
  <c r="AD852" i="20"/>
  <c r="AD860" i="20"/>
  <c r="AD868" i="20"/>
  <c r="AD876" i="20"/>
  <c r="AD884" i="20"/>
  <c r="AD892" i="20"/>
  <c r="AD900" i="20"/>
  <c r="AD908" i="20"/>
  <c r="AD916" i="20"/>
  <c r="AD924" i="20"/>
  <c r="AD932" i="20"/>
  <c r="AD940" i="20"/>
  <c r="AD948" i="20"/>
  <c r="AD956" i="20"/>
  <c r="AD964" i="20"/>
  <c r="AD972" i="20"/>
  <c r="AD980" i="20"/>
  <c r="AD988" i="20"/>
  <c r="AD996" i="20"/>
  <c r="AD1004" i="20"/>
  <c r="AD1012" i="20"/>
  <c r="AD1020" i="20"/>
  <c r="AD1028" i="20"/>
  <c r="AC37" i="20"/>
  <c r="AC45" i="20"/>
  <c r="AC53" i="20"/>
  <c r="AC61" i="20"/>
  <c r="AC69" i="20"/>
  <c r="AC77" i="20"/>
  <c r="AC85" i="20"/>
  <c r="AC93" i="20"/>
  <c r="AC101" i="20"/>
  <c r="AC109" i="20"/>
  <c r="AC117" i="20"/>
  <c r="AC125" i="20"/>
  <c r="AC133" i="20"/>
  <c r="AC141" i="20"/>
  <c r="AC149" i="20"/>
  <c r="AC157" i="20"/>
  <c r="AC165" i="20"/>
  <c r="AC173" i="20"/>
  <c r="AC181" i="20"/>
  <c r="AC189" i="20"/>
  <c r="AC197" i="20"/>
  <c r="AC205" i="20"/>
  <c r="AC213" i="20"/>
  <c r="AC221" i="20"/>
  <c r="AC229" i="20"/>
  <c r="AC237" i="20"/>
  <c r="AC245" i="20"/>
  <c r="AC253" i="20"/>
  <c r="AC261" i="20"/>
  <c r="AC269" i="20"/>
  <c r="AC277" i="20"/>
  <c r="AC285" i="20"/>
  <c r="AC293" i="20"/>
  <c r="AC301" i="20"/>
  <c r="AC309" i="20"/>
  <c r="AC317" i="20"/>
  <c r="AC325" i="20"/>
  <c r="AC333" i="20"/>
  <c r="AC341" i="20"/>
  <c r="AC349" i="20"/>
  <c r="AC357" i="20"/>
  <c r="AC365" i="20"/>
  <c r="AC373" i="20"/>
  <c r="AC381" i="20"/>
  <c r="AC389" i="20"/>
  <c r="AC397" i="20"/>
  <c r="AC405" i="20"/>
  <c r="AC413" i="20"/>
  <c r="AC421" i="20"/>
  <c r="AC429" i="20"/>
  <c r="AC437" i="20"/>
  <c r="AC445" i="20"/>
  <c r="AC453" i="20"/>
  <c r="AC461" i="20"/>
  <c r="AC469" i="20"/>
  <c r="AC477" i="20"/>
  <c r="AC485" i="20"/>
  <c r="AC493" i="20"/>
  <c r="AC501" i="20"/>
  <c r="AC509" i="20"/>
  <c r="AC517" i="20"/>
  <c r="AC525" i="20"/>
  <c r="AC533" i="20"/>
  <c r="AC541" i="20"/>
  <c r="AC549" i="20"/>
  <c r="AC557" i="20"/>
  <c r="AC565" i="20"/>
  <c r="AC573" i="20"/>
  <c r="AC581" i="20"/>
  <c r="AC589" i="20"/>
  <c r="AC597" i="20"/>
  <c r="AC605" i="20"/>
  <c r="AC613" i="20"/>
  <c r="AC621" i="20"/>
  <c r="AC629" i="20"/>
  <c r="AC637" i="20"/>
  <c r="AC645" i="20"/>
  <c r="AC653" i="20"/>
  <c r="AC661" i="20"/>
  <c r="AC669" i="20"/>
  <c r="AC677" i="20"/>
  <c r="AC685" i="20"/>
  <c r="AC693" i="20"/>
  <c r="AC701" i="20"/>
  <c r="AC709" i="20"/>
  <c r="AC38" i="20"/>
  <c r="AC46" i="20"/>
  <c r="AC54" i="20"/>
  <c r="AC62" i="20"/>
  <c r="AC70" i="20"/>
  <c r="AC78" i="20"/>
  <c r="AC86" i="20"/>
  <c r="AC94" i="20"/>
  <c r="AC102" i="20"/>
  <c r="AC110" i="20"/>
  <c r="AC118" i="20"/>
  <c r="AC126" i="20"/>
  <c r="AC134" i="20"/>
  <c r="AC142" i="20"/>
  <c r="AC150" i="20"/>
  <c r="AC158" i="20"/>
  <c r="AC166" i="20"/>
  <c r="AC174" i="20"/>
  <c r="AC182" i="20"/>
  <c r="AC190" i="20"/>
  <c r="AC198" i="20"/>
  <c r="AC206" i="20"/>
  <c r="AC214" i="20"/>
  <c r="AC222" i="20"/>
  <c r="AC230" i="20"/>
  <c r="AC238" i="20"/>
  <c r="AC246" i="20"/>
  <c r="AC254" i="20"/>
  <c r="AC262" i="20"/>
  <c r="AC270" i="20"/>
  <c r="AC278" i="20"/>
  <c r="AC286" i="20"/>
  <c r="AC294" i="20"/>
  <c r="AC302" i="20"/>
  <c r="AC310" i="20"/>
  <c r="AC318" i="20"/>
  <c r="AC326" i="20"/>
  <c r="AC334" i="20"/>
  <c r="AC342" i="20"/>
  <c r="AC350" i="20"/>
  <c r="AC358" i="20"/>
  <c r="AC366" i="20"/>
  <c r="AC374" i="20"/>
  <c r="AC382" i="20"/>
  <c r="AC390" i="20"/>
  <c r="AC398" i="20"/>
  <c r="AC406" i="20"/>
  <c r="AC414" i="20"/>
  <c r="AC422" i="20"/>
  <c r="AC430" i="20"/>
  <c r="AC438" i="20"/>
  <c r="AC446" i="20"/>
  <c r="AC454" i="20"/>
  <c r="AC462" i="20"/>
  <c r="AC470" i="20"/>
  <c r="AC478" i="20"/>
  <c r="AC486" i="20"/>
  <c r="AC494" i="20"/>
  <c r="AC502" i="20"/>
  <c r="AC510" i="20"/>
  <c r="AC518" i="20"/>
  <c r="AC526" i="20"/>
  <c r="AC534" i="20"/>
  <c r="AC542" i="20"/>
  <c r="AC550" i="20"/>
  <c r="AC558" i="20"/>
  <c r="AC566" i="20"/>
  <c r="AC574" i="20"/>
  <c r="AC582" i="20"/>
  <c r="AC590" i="20"/>
  <c r="AC598" i="20"/>
  <c r="AC606" i="20"/>
  <c r="AC614" i="20"/>
  <c r="AC622" i="20"/>
  <c r="AC630" i="20"/>
  <c r="AC638" i="20"/>
  <c r="AC646" i="20"/>
  <c r="AC654" i="20"/>
  <c r="AC662" i="20"/>
  <c r="AC670" i="20"/>
  <c r="AC678" i="20"/>
  <c r="AC686" i="20"/>
  <c r="AC694" i="20"/>
  <c r="AC702" i="20"/>
  <c r="AC710" i="20"/>
  <c r="AC39" i="20"/>
  <c r="AC47" i="20"/>
  <c r="AC55" i="20"/>
  <c r="AC63" i="20"/>
  <c r="AC71" i="20"/>
  <c r="AC79" i="20"/>
  <c r="AC87" i="20"/>
  <c r="AC95" i="20"/>
  <c r="AC103" i="20"/>
  <c r="AC111" i="20"/>
  <c r="AC119" i="20"/>
  <c r="AC127" i="20"/>
  <c r="AC135" i="20"/>
  <c r="AC143" i="20"/>
  <c r="AC151" i="20"/>
  <c r="AC159" i="20"/>
  <c r="AC167" i="20"/>
  <c r="AC175" i="20"/>
  <c r="AC183" i="20"/>
  <c r="AC191" i="20"/>
  <c r="AC199" i="20"/>
  <c r="AC207" i="20"/>
  <c r="AC215" i="20"/>
  <c r="AC223" i="20"/>
  <c r="AC231" i="20"/>
  <c r="AC239" i="20"/>
  <c r="AC247" i="20"/>
  <c r="AC255" i="20"/>
  <c r="AC263" i="20"/>
  <c r="AC271" i="20"/>
  <c r="AC279" i="20"/>
  <c r="AC287" i="20"/>
  <c r="AC295" i="20"/>
  <c r="AC303" i="20"/>
  <c r="AC311" i="20"/>
  <c r="AC319" i="20"/>
  <c r="AC327" i="20"/>
  <c r="AC335" i="20"/>
  <c r="AC343" i="20"/>
  <c r="AC351" i="20"/>
  <c r="AC359" i="20"/>
  <c r="AC367" i="20"/>
  <c r="AC375" i="20"/>
  <c r="AC383" i="20"/>
  <c r="AC391" i="20"/>
  <c r="AC399" i="20"/>
  <c r="AC407" i="20"/>
  <c r="AC415" i="20"/>
  <c r="AC423" i="20"/>
  <c r="AC431" i="20"/>
  <c r="AC439" i="20"/>
  <c r="AC447" i="20"/>
  <c r="AC455" i="20"/>
  <c r="AC463" i="20"/>
  <c r="AC471" i="20"/>
  <c r="AC479" i="20"/>
  <c r="AC487" i="20"/>
  <c r="AC495" i="20"/>
  <c r="AC503" i="20"/>
  <c r="AC511" i="20"/>
  <c r="AC519" i="20"/>
  <c r="AC527" i="20"/>
  <c r="AC535" i="20"/>
  <c r="AC543" i="20"/>
  <c r="AC551" i="20"/>
  <c r="AC559" i="20"/>
  <c r="AC567" i="20"/>
  <c r="AC575" i="20"/>
  <c r="AC583" i="20"/>
  <c r="AC591" i="20"/>
  <c r="AC599" i="20"/>
  <c r="AC607" i="20"/>
  <c r="AC615" i="20"/>
  <c r="AC623" i="20"/>
  <c r="AC631" i="20"/>
  <c r="AC639" i="20"/>
  <c r="AC647" i="20"/>
  <c r="AC655" i="20"/>
  <c r="AC663" i="20"/>
  <c r="AC671" i="20"/>
  <c r="AC679" i="20"/>
  <c r="AC687" i="20"/>
  <c r="AC695" i="20"/>
  <c r="AC703" i="20"/>
  <c r="AC711" i="20"/>
  <c r="AC40" i="20"/>
  <c r="AC48" i="20"/>
  <c r="AC56" i="20"/>
  <c r="AC64" i="20"/>
  <c r="AC72" i="20"/>
  <c r="AC80" i="20"/>
  <c r="AC88" i="20"/>
  <c r="AC96" i="20"/>
  <c r="AC104" i="20"/>
  <c r="AC112" i="20"/>
  <c r="AC120" i="20"/>
  <c r="AC128" i="20"/>
  <c r="AC136" i="20"/>
  <c r="AC144" i="20"/>
  <c r="AC152" i="20"/>
  <c r="AC160" i="20"/>
  <c r="AC168" i="20"/>
  <c r="AC176" i="20"/>
  <c r="AC184" i="20"/>
  <c r="AC192" i="20"/>
  <c r="AC200" i="20"/>
  <c r="AC208" i="20"/>
  <c r="AC216" i="20"/>
  <c r="AC224" i="20"/>
  <c r="AC232" i="20"/>
  <c r="AC240" i="20"/>
  <c r="AC248" i="20"/>
  <c r="AC256" i="20"/>
  <c r="AC264" i="20"/>
  <c r="AC272" i="20"/>
  <c r="AC280" i="20"/>
  <c r="AC288" i="20"/>
  <c r="AC296" i="20"/>
  <c r="AC304" i="20"/>
  <c r="AC312" i="20"/>
  <c r="AC320" i="20"/>
  <c r="AC328" i="20"/>
  <c r="AC336" i="20"/>
  <c r="AC344" i="20"/>
  <c r="AC352" i="20"/>
  <c r="AC360" i="20"/>
  <c r="AC368" i="20"/>
  <c r="AC376" i="20"/>
  <c r="AC384" i="20"/>
  <c r="AC392" i="20"/>
  <c r="AC400" i="20"/>
  <c r="AC408" i="20"/>
  <c r="AC416" i="20"/>
  <c r="AC424" i="20"/>
  <c r="AC432" i="20"/>
  <c r="AC440" i="20"/>
  <c r="AC448" i="20"/>
  <c r="AC456" i="20"/>
  <c r="AC464" i="20"/>
  <c r="AC472" i="20"/>
  <c r="AC480" i="20"/>
  <c r="AC488" i="20"/>
  <c r="AC496" i="20"/>
  <c r="AC504" i="20"/>
  <c r="AC512" i="20"/>
  <c r="AC520" i="20"/>
  <c r="AC528" i="20"/>
  <c r="AC536" i="20"/>
  <c r="AC544" i="20"/>
  <c r="AC552" i="20"/>
  <c r="AC560" i="20"/>
  <c r="AC568" i="20"/>
  <c r="AC576" i="20"/>
  <c r="AC584" i="20"/>
  <c r="AC592" i="20"/>
  <c r="AC600" i="20"/>
  <c r="AC608" i="20"/>
  <c r="AC616" i="20"/>
  <c r="AC624" i="20"/>
  <c r="AC632" i="20"/>
  <c r="AC640" i="20"/>
  <c r="AC648" i="20"/>
  <c r="AC656" i="20"/>
  <c r="AC664" i="20"/>
  <c r="AC672" i="20"/>
  <c r="AC680" i="20"/>
  <c r="AC688" i="20"/>
  <c r="AC696" i="20"/>
  <c r="AC704" i="20"/>
  <c r="AC712" i="20"/>
  <c r="AC41" i="20"/>
  <c r="AC49" i="20"/>
  <c r="AC57" i="20"/>
  <c r="AC65" i="20"/>
  <c r="AC73" i="20"/>
  <c r="AC81" i="20"/>
  <c r="AC89" i="20"/>
  <c r="AC97" i="20"/>
  <c r="AC105" i="20"/>
  <c r="AC113" i="20"/>
  <c r="AC121" i="20"/>
  <c r="AC129" i="20"/>
  <c r="AC137" i="20"/>
  <c r="AC145" i="20"/>
  <c r="AC153" i="20"/>
  <c r="AC161" i="20"/>
  <c r="AC169" i="20"/>
  <c r="AC177" i="20"/>
  <c r="AC185" i="20"/>
  <c r="AC193" i="20"/>
  <c r="AC201" i="20"/>
  <c r="AC209" i="20"/>
  <c r="AC217" i="20"/>
  <c r="AC225" i="20"/>
  <c r="AC233" i="20"/>
  <c r="AC241" i="20"/>
  <c r="AC249" i="20"/>
  <c r="AC257" i="20"/>
  <c r="AC265" i="20"/>
  <c r="AC273" i="20"/>
  <c r="AC281" i="20"/>
  <c r="AC289" i="20"/>
  <c r="AC297" i="20"/>
  <c r="AC305" i="20"/>
  <c r="AC313" i="20"/>
  <c r="AC321" i="20"/>
  <c r="AC329" i="20"/>
  <c r="AC337" i="20"/>
  <c r="AC345" i="20"/>
  <c r="AC353" i="20"/>
  <c r="AC361" i="20"/>
  <c r="AC369" i="20"/>
  <c r="AC377" i="20"/>
  <c r="AC385" i="20"/>
  <c r="AC393" i="20"/>
  <c r="AC401" i="20"/>
  <c r="AC409" i="20"/>
  <c r="AC417" i="20"/>
  <c r="AC425" i="20"/>
  <c r="AC433" i="20"/>
  <c r="AC441" i="20"/>
  <c r="AC449" i="20"/>
  <c r="AC457" i="20"/>
  <c r="AC465" i="20"/>
  <c r="AC473" i="20"/>
  <c r="AC481" i="20"/>
  <c r="AC489" i="20"/>
  <c r="AC497" i="20"/>
  <c r="AC505" i="20"/>
  <c r="AC513" i="20"/>
  <c r="AC521" i="20"/>
  <c r="AC529" i="20"/>
  <c r="AC537" i="20"/>
  <c r="AC545" i="20"/>
  <c r="AC553" i="20"/>
  <c r="AC561" i="20"/>
  <c r="AC569" i="20"/>
  <c r="AC577" i="20"/>
  <c r="AC585" i="20"/>
  <c r="AC593" i="20"/>
  <c r="AC601" i="20"/>
  <c r="AC609" i="20"/>
  <c r="AC617" i="20"/>
  <c r="AC625" i="20"/>
  <c r="AC633" i="20"/>
  <c r="AC641" i="20"/>
  <c r="AC649" i="20"/>
  <c r="AC657" i="20"/>
  <c r="AC665" i="20"/>
  <c r="AC673" i="20"/>
  <c r="AC681" i="20"/>
  <c r="AC689" i="20"/>
  <c r="AC697" i="20"/>
  <c r="AC705" i="20"/>
  <c r="AC42" i="20"/>
  <c r="AC50" i="20"/>
  <c r="AC58" i="20"/>
  <c r="AC66" i="20"/>
  <c r="AC74" i="20"/>
  <c r="AC82" i="20"/>
  <c r="AC90" i="20"/>
  <c r="AC98" i="20"/>
  <c r="AC106" i="20"/>
  <c r="AC114" i="20"/>
  <c r="AC122" i="20"/>
  <c r="AC130" i="20"/>
  <c r="AC138" i="20"/>
  <c r="AC146" i="20"/>
  <c r="AC154" i="20"/>
  <c r="AC162" i="20"/>
  <c r="AC170" i="20"/>
  <c r="AC178" i="20"/>
  <c r="AC186" i="20"/>
  <c r="AC194" i="20"/>
  <c r="AC202" i="20"/>
  <c r="AC210" i="20"/>
  <c r="AC218" i="20"/>
  <c r="AC226" i="20"/>
  <c r="AC234" i="20"/>
  <c r="AC242" i="20"/>
  <c r="AC250" i="20"/>
  <c r="AC258" i="20"/>
  <c r="AC266" i="20"/>
  <c r="AC274" i="20"/>
  <c r="AC282" i="20"/>
  <c r="AC290" i="20"/>
  <c r="AC298" i="20"/>
  <c r="AC306" i="20"/>
  <c r="AC314" i="20"/>
  <c r="AC322" i="20"/>
  <c r="AC330" i="20"/>
  <c r="AC338" i="20"/>
  <c r="AC346" i="20"/>
  <c r="AC354" i="20"/>
  <c r="AC362" i="20"/>
  <c r="AC370" i="20"/>
  <c r="AC378" i="20"/>
  <c r="AC386" i="20"/>
  <c r="AC394" i="20"/>
  <c r="AC402" i="20"/>
  <c r="AC410" i="20"/>
  <c r="AC418" i="20"/>
  <c r="AC426" i="20"/>
  <c r="AC434" i="20"/>
  <c r="AC442" i="20"/>
  <c r="AC450" i="20"/>
  <c r="AC458" i="20"/>
  <c r="AC466" i="20"/>
  <c r="AC474" i="20"/>
  <c r="AC482" i="20"/>
  <c r="AC490" i="20"/>
  <c r="AC498" i="20"/>
  <c r="AC506" i="20"/>
  <c r="AC514" i="20"/>
  <c r="AC522" i="20"/>
  <c r="AC530" i="20"/>
  <c r="AC538" i="20"/>
  <c r="AC546" i="20"/>
  <c r="AC554" i="20"/>
  <c r="AC562" i="20"/>
  <c r="AC570" i="20"/>
  <c r="AC578" i="20"/>
  <c r="AC586" i="20"/>
  <c r="AC594" i="20"/>
  <c r="AC602" i="20"/>
  <c r="AC610" i="20"/>
  <c r="AC618" i="20"/>
  <c r="AC626" i="20"/>
  <c r="AC634" i="20"/>
  <c r="AC642" i="20"/>
  <c r="AC650" i="20"/>
  <c r="AC658" i="20"/>
  <c r="AC666" i="20"/>
  <c r="AC674" i="20"/>
  <c r="AC682" i="20"/>
  <c r="AC690" i="20"/>
  <c r="AC698" i="20"/>
  <c r="AC706" i="20"/>
  <c r="AC714" i="20"/>
  <c r="AC43" i="20"/>
  <c r="AC51" i="20"/>
  <c r="AC59" i="20"/>
  <c r="AC67" i="20"/>
  <c r="AC75" i="20"/>
  <c r="AC83" i="20"/>
  <c r="AC91" i="20"/>
  <c r="AC99" i="20"/>
  <c r="AC107" i="20"/>
  <c r="AC115" i="20"/>
  <c r="AC123" i="20"/>
  <c r="AC131" i="20"/>
  <c r="AC139" i="20"/>
  <c r="AC147" i="20"/>
  <c r="AC155" i="20"/>
  <c r="AC163" i="20"/>
  <c r="AC171" i="20"/>
  <c r="AC179" i="20"/>
  <c r="AC187" i="20"/>
  <c r="AC195" i="20"/>
  <c r="AC203" i="20"/>
  <c r="AC211" i="20"/>
  <c r="AC219" i="20"/>
  <c r="AC227" i="20"/>
  <c r="AC235" i="20"/>
  <c r="AC243" i="20"/>
  <c r="AC251" i="20"/>
  <c r="AC259" i="20"/>
  <c r="AC267" i="20"/>
  <c r="AC275" i="20"/>
  <c r="AC283" i="20"/>
  <c r="AC291" i="20"/>
  <c r="AC299" i="20"/>
  <c r="AC307" i="20"/>
  <c r="AC315" i="20"/>
  <c r="AC323" i="20"/>
  <c r="AC331" i="20"/>
  <c r="AC339" i="20"/>
  <c r="AC347" i="20"/>
  <c r="AC355" i="20"/>
  <c r="AC363" i="20"/>
  <c r="AC371" i="20"/>
  <c r="AC379" i="20"/>
  <c r="AC387" i="20"/>
  <c r="AC395" i="20"/>
  <c r="AC403" i="20"/>
  <c r="AC411" i="20"/>
  <c r="AC419" i="20"/>
  <c r="AC427" i="20"/>
  <c r="AC435" i="20"/>
  <c r="AC443" i="20"/>
  <c r="AC451" i="20"/>
  <c r="AC459" i="20"/>
  <c r="AC467" i="20"/>
  <c r="AC475" i="20"/>
  <c r="AC483" i="20"/>
  <c r="AC491" i="20"/>
  <c r="AC499" i="20"/>
  <c r="AC507" i="20"/>
  <c r="AC515" i="20"/>
  <c r="AC523" i="20"/>
  <c r="AC531" i="20"/>
  <c r="AC539" i="20"/>
  <c r="AC547" i="20"/>
  <c r="AC555" i="20"/>
  <c r="AC563" i="20"/>
  <c r="AC571" i="20"/>
  <c r="AC579" i="20"/>
  <c r="AC587" i="20"/>
  <c r="AC595" i="20"/>
  <c r="AC603" i="20"/>
  <c r="AC611" i="20"/>
  <c r="AC619" i="20"/>
  <c r="AC627" i="20"/>
  <c r="AC635" i="20"/>
  <c r="AC643" i="20"/>
  <c r="AC651" i="20"/>
  <c r="AC659" i="20"/>
  <c r="AC667" i="20"/>
  <c r="AC675" i="20"/>
  <c r="AC683" i="20"/>
  <c r="AC691" i="20"/>
  <c r="AC699" i="20"/>
  <c r="AC707" i="20"/>
  <c r="AC715" i="20"/>
  <c r="AC36" i="20"/>
  <c r="AC44" i="20"/>
  <c r="AC52" i="20"/>
  <c r="AC60" i="20"/>
  <c r="AC68" i="20"/>
  <c r="AC76" i="20"/>
  <c r="AC84" i="20"/>
  <c r="AC92" i="20"/>
  <c r="AC100" i="20"/>
  <c r="AC108" i="20"/>
  <c r="AC116" i="20"/>
  <c r="AC124" i="20"/>
  <c r="AC132" i="20"/>
  <c r="AC140" i="20"/>
  <c r="AC148" i="20"/>
  <c r="AC156" i="20"/>
  <c r="AC164" i="20"/>
  <c r="AC172" i="20"/>
  <c r="AC180" i="20"/>
  <c r="AC188" i="20"/>
  <c r="AC196" i="20"/>
  <c r="AC204" i="20"/>
  <c r="AC212" i="20"/>
  <c r="AC220" i="20"/>
  <c r="AC228" i="20"/>
  <c r="AC236" i="20"/>
  <c r="AC244" i="20"/>
  <c r="AC252" i="20"/>
  <c r="AC260" i="20"/>
  <c r="AC268" i="20"/>
  <c r="AC276" i="20"/>
  <c r="AC284" i="20"/>
  <c r="AC292" i="20"/>
  <c r="AC300" i="20"/>
  <c r="AC308" i="20"/>
  <c r="AC316" i="20"/>
  <c r="AC324" i="20"/>
  <c r="AC332" i="20"/>
  <c r="AC340" i="20"/>
  <c r="AC348" i="20"/>
  <c r="AC356" i="20"/>
  <c r="AC364" i="20"/>
  <c r="AC372" i="20"/>
  <c r="AC380" i="20"/>
  <c r="AC388" i="20"/>
  <c r="AC396" i="20"/>
  <c r="AC404" i="20"/>
  <c r="AC412" i="20"/>
  <c r="AC420" i="20"/>
  <c r="AC428" i="20"/>
  <c r="AC436" i="20"/>
  <c r="AC444" i="20"/>
  <c r="AC452" i="20"/>
  <c r="AC460" i="20"/>
  <c r="AC468" i="20"/>
  <c r="AC476" i="20"/>
  <c r="AC484" i="20"/>
  <c r="AC492" i="20"/>
  <c r="AC500" i="20"/>
  <c r="AC508" i="20"/>
  <c r="AC516" i="20"/>
  <c r="AC524" i="20"/>
  <c r="AC532" i="20"/>
  <c r="AC540" i="20"/>
  <c r="AC548" i="20"/>
  <c r="AC556" i="20"/>
  <c r="AC564" i="20"/>
  <c r="AC572" i="20"/>
  <c r="AC580" i="20"/>
  <c r="AC588" i="20"/>
  <c r="AC596" i="20"/>
  <c r="AC604" i="20"/>
  <c r="AC612" i="20"/>
  <c r="AC620" i="20"/>
  <c r="AC628" i="20"/>
  <c r="AC636" i="20"/>
  <c r="AC644" i="20"/>
  <c r="AC652" i="20"/>
  <c r="AC660" i="20"/>
  <c r="AC668" i="20"/>
  <c r="AC676" i="20"/>
  <c r="AC684" i="20"/>
  <c r="AC692" i="20"/>
  <c r="AC700" i="20"/>
  <c r="AC708" i="20"/>
  <c r="AC716" i="20"/>
  <c r="AC724" i="20"/>
  <c r="AC732" i="20"/>
  <c r="AC740" i="20"/>
  <c r="AC748" i="20"/>
  <c r="AC756" i="20"/>
  <c r="AC764" i="20"/>
  <c r="AC772" i="20"/>
  <c r="AC780" i="20"/>
  <c r="AC788" i="20"/>
  <c r="AC796" i="20"/>
  <c r="AC804" i="20"/>
  <c r="AC812" i="20"/>
  <c r="AC820" i="20"/>
  <c r="AC828" i="20"/>
  <c r="AC836" i="20"/>
  <c r="AC844" i="20"/>
  <c r="AC852" i="20"/>
  <c r="AC860" i="20"/>
  <c r="AC868" i="20"/>
  <c r="AC876" i="20"/>
  <c r="AC884" i="20"/>
  <c r="AC892" i="20"/>
  <c r="AC900" i="20"/>
  <c r="AC908" i="20"/>
  <c r="AC916" i="20"/>
  <c r="AC924" i="20"/>
  <c r="AC932" i="20"/>
  <c r="AC940" i="20"/>
  <c r="AC948" i="20"/>
  <c r="AC956" i="20"/>
  <c r="AC964" i="20"/>
  <c r="AC972" i="20"/>
  <c r="AC980" i="20"/>
  <c r="AC988" i="20"/>
  <c r="AC996" i="20"/>
  <c r="AC1004" i="20"/>
  <c r="AC1012" i="20"/>
  <c r="AC1020" i="20"/>
  <c r="AC1028" i="20"/>
  <c r="AC1034" i="20"/>
  <c r="AC717" i="20"/>
  <c r="AC725" i="20"/>
  <c r="AC733" i="20"/>
  <c r="AC741" i="20"/>
  <c r="AC749" i="20"/>
  <c r="AC757" i="20"/>
  <c r="AC765" i="20"/>
  <c r="AC773" i="20"/>
  <c r="AC781" i="20"/>
  <c r="AC789" i="20"/>
  <c r="AC797" i="20"/>
  <c r="AC805" i="20"/>
  <c r="AC813" i="20"/>
  <c r="AC821" i="20"/>
  <c r="AC829" i="20"/>
  <c r="AC837" i="20"/>
  <c r="AC845" i="20"/>
  <c r="AC853" i="20"/>
  <c r="AC861" i="20"/>
  <c r="AC869" i="20"/>
  <c r="AC877" i="20"/>
  <c r="AC885" i="20"/>
  <c r="AC893" i="20"/>
  <c r="AC901" i="20"/>
  <c r="AC909" i="20"/>
  <c r="AC917" i="20"/>
  <c r="AC925" i="20"/>
  <c r="AC933" i="20"/>
  <c r="AC941" i="20"/>
  <c r="AC949" i="20"/>
  <c r="AC957" i="20"/>
  <c r="AC965" i="20"/>
  <c r="AC973" i="20"/>
  <c r="AC981" i="20"/>
  <c r="AC989" i="20"/>
  <c r="AC997" i="20"/>
  <c r="AC1005" i="20"/>
  <c r="AC1013" i="20"/>
  <c r="AC1021" i="20"/>
  <c r="AC1029" i="20"/>
  <c r="AC35" i="20"/>
  <c r="AC718" i="20"/>
  <c r="AC726" i="20"/>
  <c r="AC734" i="20"/>
  <c r="AC742" i="20"/>
  <c r="AC750" i="20"/>
  <c r="AC758" i="20"/>
  <c r="AC766" i="20"/>
  <c r="AC774" i="20"/>
  <c r="AC782" i="20"/>
  <c r="AC790" i="20"/>
  <c r="AC798" i="20"/>
  <c r="AC806" i="20"/>
  <c r="AC814" i="20"/>
  <c r="AC822" i="20"/>
  <c r="AC830" i="20"/>
  <c r="AC838" i="20"/>
  <c r="AC846" i="20"/>
  <c r="AC854" i="20"/>
  <c r="AC862" i="20"/>
  <c r="AC870" i="20"/>
  <c r="AC878" i="20"/>
  <c r="AC886" i="20"/>
  <c r="AC894" i="20"/>
  <c r="AC902" i="20"/>
  <c r="AC910" i="20"/>
  <c r="AC918" i="20"/>
  <c r="AC926" i="20"/>
  <c r="AC934" i="20"/>
  <c r="AC942" i="20"/>
  <c r="AC950" i="20"/>
  <c r="AC958" i="20"/>
  <c r="AC966" i="20"/>
  <c r="AC974" i="20"/>
  <c r="AC982" i="20"/>
  <c r="AC990" i="20"/>
  <c r="AC998" i="20"/>
  <c r="AC1006" i="20"/>
  <c r="AC1014" i="20"/>
  <c r="AC1022" i="20"/>
  <c r="AC1030" i="20"/>
  <c r="AC719" i="20"/>
  <c r="AC727" i="20"/>
  <c r="AC735" i="20"/>
  <c r="AC743" i="20"/>
  <c r="AC751" i="20"/>
  <c r="AC759" i="20"/>
  <c r="AC767" i="20"/>
  <c r="AC775" i="20"/>
  <c r="AC783" i="20"/>
  <c r="AC791" i="20"/>
  <c r="AC799" i="20"/>
  <c r="AC807" i="20"/>
  <c r="AC815" i="20"/>
  <c r="AC823" i="20"/>
  <c r="AC831" i="20"/>
  <c r="AC839" i="20"/>
  <c r="AC847" i="20"/>
  <c r="AC855" i="20"/>
  <c r="AC863" i="20"/>
  <c r="AC871" i="20"/>
  <c r="AC879" i="20"/>
  <c r="AC887" i="20"/>
  <c r="AC895" i="20"/>
  <c r="AC903" i="20"/>
  <c r="AC911" i="20"/>
  <c r="AC919" i="20"/>
  <c r="AC927" i="20"/>
  <c r="AC935" i="20"/>
  <c r="AC943" i="20"/>
  <c r="AC951" i="20"/>
  <c r="AC959" i="20"/>
  <c r="AC967" i="20"/>
  <c r="AC975" i="20"/>
  <c r="AC983" i="20"/>
  <c r="AC991" i="20"/>
  <c r="AC999" i="20"/>
  <c r="AC1007" i="20"/>
  <c r="AC1015" i="20"/>
  <c r="AC1023" i="20"/>
  <c r="AC1031" i="20"/>
  <c r="AC720" i="20"/>
  <c r="AC728" i="20"/>
  <c r="AC736" i="20"/>
  <c r="AC744" i="20"/>
  <c r="AC752" i="20"/>
  <c r="AC760" i="20"/>
  <c r="AC768" i="20"/>
  <c r="AC776" i="20"/>
  <c r="AC784" i="20"/>
  <c r="AC792" i="20"/>
  <c r="AC800" i="20"/>
  <c r="AC808" i="20"/>
  <c r="AC816" i="20"/>
  <c r="AC824" i="20"/>
  <c r="AC832" i="20"/>
  <c r="AC840" i="20"/>
  <c r="AC848" i="20"/>
  <c r="AC856" i="20"/>
  <c r="AC864" i="20"/>
  <c r="AC872" i="20"/>
  <c r="AC880" i="20"/>
  <c r="AC888" i="20"/>
  <c r="AC896" i="20"/>
  <c r="AC904" i="20"/>
  <c r="AC912" i="20"/>
  <c r="AC920" i="20"/>
  <c r="AC928" i="20"/>
  <c r="AC936" i="20"/>
  <c r="AC944" i="20"/>
  <c r="AC952" i="20"/>
  <c r="AC960" i="20"/>
  <c r="AC968" i="20"/>
  <c r="AC976" i="20"/>
  <c r="AC984" i="20"/>
  <c r="AC992" i="20"/>
  <c r="AC1000" i="20"/>
  <c r="AC1008" i="20"/>
  <c r="AC1016" i="20"/>
  <c r="AC1024" i="20"/>
  <c r="AC1032" i="20"/>
  <c r="AC721" i="20"/>
  <c r="AC729" i="20"/>
  <c r="AC737" i="20"/>
  <c r="AC745" i="20"/>
  <c r="AC753" i="20"/>
  <c r="AC761" i="20"/>
  <c r="AC769" i="20"/>
  <c r="AC777" i="20"/>
  <c r="AC785" i="20"/>
  <c r="AC793" i="20"/>
  <c r="AC801" i="20"/>
  <c r="AC809" i="20"/>
  <c r="AC817" i="20"/>
  <c r="AC825" i="20"/>
  <c r="AC833" i="20"/>
  <c r="AC841" i="20"/>
  <c r="AC849" i="20"/>
  <c r="AC857" i="20"/>
  <c r="AC865" i="20"/>
  <c r="AC873" i="20"/>
  <c r="AC881" i="20"/>
  <c r="AC889" i="20"/>
  <c r="AC897" i="20"/>
  <c r="AC905" i="20"/>
  <c r="AC913" i="20"/>
  <c r="AC921" i="20"/>
  <c r="AC929" i="20"/>
  <c r="AC937" i="20"/>
  <c r="AC945" i="20"/>
  <c r="AC953" i="20"/>
  <c r="AC961" i="20"/>
  <c r="AC969" i="20"/>
  <c r="AC977" i="20"/>
  <c r="AC985" i="20"/>
  <c r="AC993" i="20"/>
  <c r="AC1001" i="20"/>
  <c r="AC1009" i="20"/>
  <c r="AC1017" i="20"/>
  <c r="AC1025" i="20"/>
  <c r="AC1033" i="20"/>
  <c r="AC722" i="20"/>
  <c r="AC730" i="20"/>
  <c r="AC738" i="20"/>
  <c r="AC746" i="20"/>
  <c r="AC754" i="20"/>
  <c r="AC762" i="20"/>
  <c r="AC770" i="20"/>
  <c r="AC778" i="20"/>
  <c r="AC786" i="20"/>
  <c r="AC794" i="20"/>
  <c r="AC802" i="20"/>
  <c r="AC810" i="20"/>
  <c r="AC818" i="20"/>
  <c r="AC826" i="20"/>
  <c r="AC834" i="20"/>
  <c r="AC842" i="20"/>
  <c r="AC850" i="20"/>
  <c r="AC858" i="20"/>
  <c r="AC866" i="20"/>
  <c r="AC874" i="20"/>
  <c r="AC882" i="20"/>
  <c r="AC890" i="20"/>
  <c r="AC898" i="20"/>
  <c r="AC906" i="20"/>
  <c r="AC914" i="20"/>
  <c r="AC922" i="20"/>
  <c r="AC930" i="20"/>
  <c r="AC938" i="20"/>
  <c r="AC946" i="20"/>
  <c r="AC954" i="20"/>
  <c r="AC962" i="20"/>
  <c r="AC970" i="20"/>
  <c r="AC978" i="20"/>
  <c r="AC986" i="20"/>
  <c r="AC994" i="20"/>
  <c r="AC1002" i="20"/>
  <c r="AC1010" i="20"/>
  <c r="AC1018" i="20"/>
  <c r="AC1026" i="20"/>
  <c r="AC713" i="20"/>
  <c r="AC723" i="20"/>
  <c r="AC731" i="20"/>
  <c r="AC739" i="20"/>
  <c r="AC747" i="20"/>
  <c r="AC755" i="20"/>
  <c r="AC763" i="20"/>
  <c r="AC771" i="20"/>
  <c r="AC779" i="20"/>
  <c r="AC787" i="20"/>
  <c r="AC795" i="20"/>
  <c r="AC803" i="20"/>
  <c r="AC811" i="20"/>
  <c r="AC819" i="20"/>
  <c r="AC827" i="20"/>
  <c r="AC835" i="20"/>
  <c r="AC843" i="20"/>
  <c r="AC851" i="20"/>
  <c r="AC859" i="20"/>
  <c r="AC867" i="20"/>
  <c r="AC875" i="20"/>
  <c r="AC883" i="20"/>
  <c r="AC891" i="20"/>
  <c r="AC899" i="20"/>
  <c r="AC907" i="20"/>
  <c r="AC915" i="20"/>
  <c r="AC923" i="20"/>
  <c r="AC931" i="20"/>
  <c r="AC939" i="20"/>
  <c r="AC947" i="20"/>
  <c r="AC955" i="20"/>
  <c r="AC963" i="20"/>
  <c r="AC971" i="20"/>
  <c r="AC979" i="20"/>
  <c r="AC987" i="20"/>
  <c r="AC995" i="20"/>
  <c r="AC1003" i="20"/>
  <c r="AC1011" i="20"/>
  <c r="AC1019" i="20"/>
  <c r="AC1027" i="20"/>
  <c r="AB37" i="20"/>
  <c r="AB45" i="20"/>
  <c r="AB53" i="20"/>
  <c r="AB61" i="20"/>
  <c r="AB69" i="20"/>
  <c r="AB77" i="20"/>
  <c r="AB85" i="20"/>
  <c r="AB93" i="20"/>
  <c r="AB101" i="20"/>
  <c r="AB109" i="20"/>
  <c r="AB117" i="20"/>
  <c r="AB125" i="20"/>
  <c r="AB133" i="20"/>
  <c r="AB141" i="20"/>
  <c r="AB149" i="20"/>
  <c r="AB157" i="20"/>
  <c r="AB165" i="20"/>
  <c r="AB173" i="20"/>
  <c r="AB181" i="20"/>
  <c r="AB189" i="20"/>
  <c r="AB197" i="20"/>
  <c r="AB205" i="20"/>
  <c r="AB213" i="20"/>
  <c r="AB221" i="20"/>
  <c r="AB229" i="20"/>
  <c r="AB237" i="20"/>
  <c r="AB245" i="20"/>
  <c r="AB253" i="20"/>
  <c r="AB261" i="20"/>
  <c r="AB269" i="20"/>
  <c r="AB277" i="20"/>
  <c r="AB285" i="20"/>
  <c r="AB293" i="20"/>
  <c r="AB301" i="20"/>
  <c r="AB309" i="20"/>
  <c r="AB317" i="20"/>
  <c r="AB325" i="20"/>
  <c r="AB333" i="20"/>
  <c r="AB341" i="20"/>
  <c r="AB349" i="20"/>
  <c r="AB357" i="20"/>
  <c r="AB365" i="20"/>
  <c r="AB373" i="20"/>
  <c r="AB381" i="20"/>
  <c r="AB389" i="20"/>
  <c r="AB397" i="20"/>
  <c r="AB405" i="20"/>
  <c r="AB413" i="20"/>
  <c r="AB421" i="20"/>
  <c r="AB429" i="20"/>
  <c r="AB437" i="20"/>
  <c r="AB445" i="20"/>
  <c r="AB453" i="20"/>
  <c r="AB461" i="20"/>
  <c r="AB469" i="20"/>
  <c r="AB477" i="20"/>
  <c r="AB485" i="20"/>
  <c r="AB493" i="20"/>
  <c r="AB501" i="20"/>
  <c r="AB509" i="20"/>
  <c r="AB517" i="20"/>
  <c r="AB525" i="20"/>
  <c r="AB533" i="20"/>
  <c r="AB541" i="20"/>
  <c r="AB549" i="20"/>
  <c r="AB557" i="20"/>
  <c r="AB565" i="20"/>
  <c r="AB573" i="20"/>
  <c r="AB581" i="20"/>
  <c r="AB589" i="20"/>
  <c r="AB597" i="20"/>
  <c r="AB605" i="20"/>
  <c r="AB613" i="20"/>
  <c r="AB621" i="20"/>
  <c r="AB629" i="20"/>
  <c r="AB637" i="20"/>
  <c r="AB645" i="20"/>
  <c r="AB653" i="20"/>
  <c r="AB661" i="20"/>
  <c r="AB669" i="20"/>
  <c r="AB677" i="20"/>
  <c r="AB685" i="20"/>
  <c r="AB693" i="20"/>
  <c r="AB701" i="20"/>
  <c r="AB709" i="20"/>
  <c r="AB38" i="20"/>
  <c r="AB46" i="20"/>
  <c r="AB54" i="20"/>
  <c r="AB62" i="20"/>
  <c r="AB70" i="20"/>
  <c r="AB78" i="20"/>
  <c r="AB86" i="20"/>
  <c r="AB94" i="20"/>
  <c r="AB102" i="20"/>
  <c r="AB110" i="20"/>
  <c r="AB118" i="20"/>
  <c r="AB126" i="20"/>
  <c r="AB134" i="20"/>
  <c r="AB142" i="20"/>
  <c r="AB150" i="20"/>
  <c r="AB158" i="20"/>
  <c r="AB166" i="20"/>
  <c r="AB174" i="20"/>
  <c r="AB182" i="20"/>
  <c r="AB190" i="20"/>
  <c r="AB198" i="20"/>
  <c r="AB206" i="20"/>
  <c r="AB214" i="20"/>
  <c r="AB222" i="20"/>
  <c r="AB230" i="20"/>
  <c r="AB238" i="20"/>
  <c r="AB246" i="20"/>
  <c r="AB254" i="20"/>
  <c r="AB262" i="20"/>
  <c r="AB270" i="20"/>
  <c r="AB278" i="20"/>
  <c r="AB286" i="20"/>
  <c r="AB294" i="20"/>
  <c r="AB302" i="20"/>
  <c r="AB310" i="20"/>
  <c r="AB318" i="20"/>
  <c r="AB326" i="20"/>
  <c r="AB334" i="20"/>
  <c r="AB342" i="20"/>
  <c r="AB350" i="20"/>
  <c r="AB358" i="20"/>
  <c r="AB366" i="20"/>
  <c r="AB374" i="20"/>
  <c r="AB382" i="20"/>
  <c r="AB390" i="20"/>
  <c r="AB398" i="20"/>
  <c r="AB406" i="20"/>
  <c r="AB414" i="20"/>
  <c r="AB422" i="20"/>
  <c r="AB430" i="20"/>
  <c r="AB438" i="20"/>
  <c r="AB446" i="20"/>
  <c r="AB454" i="20"/>
  <c r="AB462" i="20"/>
  <c r="AB470" i="20"/>
  <c r="AB478" i="20"/>
  <c r="AB486" i="20"/>
  <c r="AB494" i="20"/>
  <c r="AB502" i="20"/>
  <c r="AB510" i="20"/>
  <c r="AB518" i="20"/>
  <c r="AB526" i="20"/>
  <c r="AB534" i="20"/>
  <c r="AB542" i="20"/>
  <c r="AB550" i="20"/>
  <c r="AB558" i="20"/>
  <c r="AB566" i="20"/>
  <c r="AB574" i="20"/>
  <c r="AB582" i="20"/>
  <c r="AB590" i="20"/>
  <c r="AB598" i="20"/>
  <c r="AB606" i="20"/>
  <c r="AB614" i="20"/>
  <c r="AB622" i="20"/>
  <c r="AB630" i="20"/>
  <c r="AB638" i="20"/>
  <c r="AB646" i="20"/>
  <c r="AB654" i="20"/>
  <c r="AB662" i="20"/>
  <c r="AB670" i="20"/>
  <c r="AB678" i="20"/>
  <c r="AB686" i="20"/>
  <c r="AB694" i="20"/>
  <c r="AB702" i="20"/>
  <c r="AB710" i="20"/>
  <c r="AB39" i="20"/>
  <c r="AB47" i="20"/>
  <c r="AB55" i="20"/>
  <c r="AB63" i="20"/>
  <c r="AB71" i="20"/>
  <c r="AB79" i="20"/>
  <c r="AB87" i="20"/>
  <c r="AB95" i="20"/>
  <c r="AB103" i="20"/>
  <c r="AB111" i="20"/>
  <c r="AB119" i="20"/>
  <c r="AB127" i="20"/>
  <c r="AB135" i="20"/>
  <c r="AB143" i="20"/>
  <c r="AB151" i="20"/>
  <c r="AB159" i="20"/>
  <c r="AB167" i="20"/>
  <c r="AB175" i="20"/>
  <c r="AB183" i="20"/>
  <c r="AB191" i="20"/>
  <c r="AB199" i="20"/>
  <c r="AB207" i="20"/>
  <c r="AB215" i="20"/>
  <c r="AB223" i="20"/>
  <c r="AB231" i="20"/>
  <c r="AB239" i="20"/>
  <c r="AB247" i="20"/>
  <c r="AB255" i="20"/>
  <c r="AB263" i="20"/>
  <c r="AB271" i="20"/>
  <c r="AB279" i="20"/>
  <c r="AB287" i="20"/>
  <c r="AB295" i="20"/>
  <c r="AB303" i="20"/>
  <c r="AB311" i="20"/>
  <c r="AB319" i="20"/>
  <c r="AB327" i="20"/>
  <c r="AB335" i="20"/>
  <c r="AB343" i="20"/>
  <c r="AB351" i="20"/>
  <c r="AB359" i="20"/>
  <c r="AB367" i="20"/>
  <c r="AB375" i="20"/>
  <c r="AB383" i="20"/>
  <c r="AB391" i="20"/>
  <c r="AB399" i="20"/>
  <c r="AB407" i="20"/>
  <c r="AB415" i="20"/>
  <c r="AB423" i="20"/>
  <c r="AB431" i="20"/>
  <c r="AB439" i="20"/>
  <c r="AB447" i="20"/>
  <c r="AB455" i="20"/>
  <c r="AB463" i="20"/>
  <c r="AB471" i="20"/>
  <c r="AB479" i="20"/>
  <c r="AB487" i="20"/>
  <c r="AB495" i="20"/>
  <c r="AB503" i="20"/>
  <c r="AB511" i="20"/>
  <c r="AB519" i="20"/>
  <c r="AB527" i="20"/>
  <c r="AB535" i="20"/>
  <c r="AB543" i="20"/>
  <c r="AB551" i="20"/>
  <c r="AB559" i="20"/>
  <c r="AB567" i="20"/>
  <c r="AB575" i="20"/>
  <c r="AB583" i="20"/>
  <c r="AB591" i="20"/>
  <c r="AB599" i="20"/>
  <c r="AB607" i="20"/>
  <c r="AB615" i="20"/>
  <c r="AB623" i="20"/>
  <c r="AB631" i="20"/>
  <c r="AB639" i="20"/>
  <c r="AB647" i="20"/>
  <c r="AB655" i="20"/>
  <c r="AB663" i="20"/>
  <c r="AB671" i="20"/>
  <c r="AB679" i="20"/>
  <c r="AB687" i="20"/>
  <c r="AB695" i="20"/>
  <c r="AB703" i="20"/>
  <c r="AB711" i="20"/>
  <c r="AB40" i="20"/>
  <c r="AB48" i="20"/>
  <c r="AB56" i="20"/>
  <c r="AB64" i="20"/>
  <c r="AB72" i="20"/>
  <c r="AB80" i="20"/>
  <c r="AB88" i="20"/>
  <c r="AB96" i="20"/>
  <c r="AB104" i="20"/>
  <c r="AB112" i="20"/>
  <c r="AB120" i="20"/>
  <c r="AB128" i="20"/>
  <c r="AB136" i="20"/>
  <c r="AB144" i="20"/>
  <c r="AB152" i="20"/>
  <c r="AB160" i="20"/>
  <c r="AB168" i="20"/>
  <c r="AB176" i="20"/>
  <c r="AB184" i="20"/>
  <c r="AB192" i="20"/>
  <c r="AB200" i="20"/>
  <c r="AB208" i="20"/>
  <c r="AB216" i="20"/>
  <c r="AB224" i="20"/>
  <c r="AB232" i="20"/>
  <c r="AB240" i="20"/>
  <c r="AB248" i="20"/>
  <c r="AB256" i="20"/>
  <c r="AB264" i="20"/>
  <c r="AB272" i="20"/>
  <c r="AB280" i="20"/>
  <c r="AB288" i="20"/>
  <c r="AB296" i="20"/>
  <c r="AB304" i="20"/>
  <c r="AB312" i="20"/>
  <c r="AB320" i="20"/>
  <c r="AB328" i="20"/>
  <c r="AB336" i="20"/>
  <c r="AB344" i="20"/>
  <c r="AB352" i="20"/>
  <c r="AB360" i="20"/>
  <c r="AB368" i="20"/>
  <c r="AB376" i="20"/>
  <c r="AB384" i="20"/>
  <c r="AB392" i="20"/>
  <c r="AB400" i="20"/>
  <c r="AB408" i="20"/>
  <c r="AB416" i="20"/>
  <c r="AB424" i="20"/>
  <c r="AB432" i="20"/>
  <c r="AB440" i="20"/>
  <c r="AB448" i="20"/>
  <c r="AB456" i="20"/>
  <c r="AB464" i="20"/>
  <c r="AB472" i="20"/>
  <c r="AB480" i="20"/>
  <c r="AB488" i="20"/>
  <c r="AB496" i="20"/>
  <c r="AB504" i="20"/>
  <c r="AB512" i="20"/>
  <c r="AB520" i="20"/>
  <c r="AB528" i="20"/>
  <c r="AB536" i="20"/>
  <c r="AB544" i="20"/>
  <c r="AB552" i="20"/>
  <c r="AB560" i="20"/>
  <c r="AB568" i="20"/>
  <c r="AB576" i="20"/>
  <c r="AB584" i="20"/>
  <c r="AB592" i="20"/>
  <c r="AB600" i="20"/>
  <c r="AB608" i="20"/>
  <c r="AB616" i="20"/>
  <c r="AB624" i="20"/>
  <c r="AB632" i="20"/>
  <c r="AB640" i="20"/>
  <c r="AB648" i="20"/>
  <c r="AB656" i="20"/>
  <c r="AB664" i="20"/>
  <c r="AB672" i="20"/>
  <c r="AB680" i="20"/>
  <c r="AB688" i="20"/>
  <c r="AB696" i="20"/>
  <c r="AB704" i="20"/>
  <c r="AB712" i="20"/>
  <c r="AB41" i="20"/>
  <c r="AB49" i="20"/>
  <c r="AB57" i="20"/>
  <c r="AB65" i="20"/>
  <c r="AB73" i="20"/>
  <c r="AB81" i="20"/>
  <c r="AB89" i="20"/>
  <c r="AB97" i="20"/>
  <c r="AB105" i="20"/>
  <c r="AB113" i="20"/>
  <c r="AB121" i="20"/>
  <c r="AB129" i="20"/>
  <c r="AB137" i="20"/>
  <c r="AB145" i="20"/>
  <c r="AB153" i="20"/>
  <c r="AB161" i="20"/>
  <c r="AB169" i="20"/>
  <c r="AB177" i="20"/>
  <c r="AB185" i="20"/>
  <c r="AB193" i="20"/>
  <c r="AB201" i="20"/>
  <c r="AB209" i="20"/>
  <c r="AB217" i="20"/>
  <c r="AB225" i="20"/>
  <c r="AB233" i="20"/>
  <c r="AB241" i="20"/>
  <c r="AB249" i="20"/>
  <c r="AB257" i="20"/>
  <c r="AB265" i="20"/>
  <c r="AB273" i="20"/>
  <c r="AB281" i="20"/>
  <c r="AB289" i="20"/>
  <c r="AB297" i="20"/>
  <c r="AB305" i="20"/>
  <c r="AB313" i="20"/>
  <c r="AB321" i="20"/>
  <c r="AB329" i="20"/>
  <c r="AB337" i="20"/>
  <c r="AB345" i="20"/>
  <c r="AB353" i="20"/>
  <c r="AB361" i="20"/>
  <c r="AB369" i="20"/>
  <c r="AB377" i="20"/>
  <c r="AB385" i="20"/>
  <c r="AB393" i="20"/>
  <c r="AB401" i="20"/>
  <c r="AB409" i="20"/>
  <c r="AB417" i="20"/>
  <c r="AB425" i="20"/>
  <c r="AB433" i="20"/>
  <c r="AB441" i="20"/>
  <c r="AB449" i="20"/>
  <c r="AB457" i="20"/>
  <c r="AB465" i="20"/>
  <c r="AB473" i="20"/>
  <c r="AB481" i="20"/>
  <c r="AB489" i="20"/>
  <c r="AB497" i="20"/>
  <c r="AB505" i="20"/>
  <c r="AB513" i="20"/>
  <c r="AB521" i="20"/>
  <c r="AB529" i="20"/>
  <c r="AB537" i="20"/>
  <c r="AB545" i="20"/>
  <c r="AB553" i="20"/>
  <c r="AB561" i="20"/>
  <c r="AB569" i="20"/>
  <c r="AB577" i="20"/>
  <c r="AB585" i="20"/>
  <c r="AB593" i="20"/>
  <c r="AB601" i="20"/>
  <c r="AB609" i="20"/>
  <c r="AB617" i="20"/>
  <c r="AB625" i="20"/>
  <c r="AB633" i="20"/>
  <c r="AB641" i="20"/>
  <c r="AB649" i="20"/>
  <c r="AB657" i="20"/>
  <c r="AB665" i="20"/>
  <c r="AB673" i="20"/>
  <c r="AB681" i="20"/>
  <c r="AB689" i="20"/>
  <c r="AB697" i="20"/>
  <c r="AB705" i="20"/>
  <c r="AB42" i="20"/>
  <c r="AB50" i="20"/>
  <c r="AB58" i="20"/>
  <c r="AB66" i="20"/>
  <c r="AB74" i="20"/>
  <c r="AB82" i="20"/>
  <c r="AB90" i="20"/>
  <c r="AB98" i="20"/>
  <c r="AB106" i="20"/>
  <c r="AB114" i="20"/>
  <c r="AB122" i="20"/>
  <c r="AB130" i="20"/>
  <c r="AB138" i="20"/>
  <c r="AB146" i="20"/>
  <c r="AB154" i="20"/>
  <c r="AB162" i="20"/>
  <c r="AB170" i="20"/>
  <c r="AB178" i="20"/>
  <c r="AB186" i="20"/>
  <c r="AB194" i="20"/>
  <c r="AB202" i="20"/>
  <c r="AB210" i="20"/>
  <c r="AB218" i="20"/>
  <c r="AB226" i="20"/>
  <c r="AB234" i="20"/>
  <c r="AB242" i="20"/>
  <c r="AB250" i="20"/>
  <c r="AB258" i="20"/>
  <c r="AB266" i="20"/>
  <c r="AB274" i="20"/>
  <c r="AB282" i="20"/>
  <c r="AB290" i="20"/>
  <c r="AB298" i="20"/>
  <c r="AB306" i="20"/>
  <c r="AB314" i="20"/>
  <c r="AB322" i="20"/>
  <c r="AB330" i="20"/>
  <c r="AB338" i="20"/>
  <c r="AB346" i="20"/>
  <c r="AB354" i="20"/>
  <c r="AB362" i="20"/>
  <c r="AB370" i="20"/>
  <c r="AB378" i="20"/>
  <c r="AB386" i="20"/>
  <c r="AB394" i="20"/>
  <c r="AB402" i="20"/>
  <c r="AB410" i="20"/>
  <c r="AB418" i="20"/>
  <c r="AB426" i="20"/>
  <c r="AB434" i="20"/>
  <c r="AB442" i="20"/>
  <c r="AB450" i="20"/>
  <c r="AB458" i="20"/>
  <c r="AB466" i="20"/>
  <c r="AB474" i="20"/>
  <c r="AB482" i="20"/>
  <c r="AB490" i="20"/>
  <c r="AB498" i="20"/>
  <c r="AB506" i="20"/>
  <c r="AB514" i="20"/>
  <c r="AB522" i="20"/>
  <c r="AB530" i="20"/>
  <c r="AB538" i="20"/>
  <c r="AB546" i="20"/>
  <c r="AB554" i="20"/>
  <c r="AB562" i="20"/>
  <c r="AB570" i="20"/>
  <c r="AB578" i="20"/>
  <c r="AB586" i="20"/>
  <c r="AB594" i="20"/>
  <c r="AB602" i="20"/>
  <c r="AB610" i="20"/>
  <c r="AB618" i="20"/>
  <c r="AB626" i="20"/>
  <c r="AB634" i="20"/>
  <c r="AB642" i="20"/>
  <c r="AB650" i="20"/>
  <c r="AB658" i="20"/>
  <c r="AB666" i="20"/>
  <c r="AB674" i="20"/>
  <c r="AB682" i="20"/>
  <c r="AB690" i="20"/>
  <c r="AB698" i="20"/>
  <c r="AB706" i="20"/>
  <c r="AB714" i="20"/>
  <c r="AB43" i="20"/>
  <c r="AB51" i="20"/>
  <c r="AB59" i="20"/>
  <c r="AB67" i="20"/>
  <c r="AB75" i="20"/>
  <c r="AB83" i="20"/>
  <c r="AB91" i="20"/>
  <c r="AB99" i="20"/>
  <c r="AB107" i="20"/>
  <c r="AB115" i="20"/>
  <c r="AB123" i="20"/>
  <c r="AB131" i="20"/>
  <c r="AB139" i="20"/>
  <c r="AB147" i="20"/>
  <c r="AB155" i="20"/>
  <c r="AB163" i="20"/>
  <c r="AB171" i="20"/>
  <c r="AB179" i="20"/>
  <c r="AB187" i="20"/>
  <c r="AB195" i="20"/>
  <c r="AB203" i="20"/>
  <c r="AB211" i="20"/>
  <c r="AB219" i="20"/>
  <c r="AB227" i="20"/>
  <c r="AB235" i="20"/>
  <c r="AB243" i="20"/>
  <c r="AB251" i="20"/>
  <c r="AB259" i="20"/>
  <c r="AB267" i="20"/>
  <c r="AB275" i="20"/>
  <c r="AB283" i="20"/>
  <c r="AB291" i="20"/>
  <c r="AB299" i="20"/>
  <c r="AB307" i="20"/>
  <c r="AB315" i="20"/>
  <c r="AB323" i="20"/>
  <c r="AB331" i="20"/>
  <c r="AB339" i="20"/>
  <c r="AB347" i="20"/>
  <c r="AB355" i="20"/>
  <c r="AB363" i="20"/>
  <c r="AB371" i="20"/>
  <c r="AB379" i="20"/>
  <c r="AB387" i="20"/>
  <c r="AB395" i="20"/>
  <c r="AB403" i="20"/>
  <c r="AB411" i="20"/>
  <c r="AB419" i="20"/>
  <c r="AB427" i="20"/>
  <c r="AB435" i="20"/>
  <c r="AB443" i="20"/>
  <c r="AB451" i="20"/>
  <c r="AB459" i="20"/>
  <c r="AB467" i="20"/>
  <c r="AB475" i="20"/>
  <c r="AB483" i="20"/>
  <c r="AB491" i="20"/>
  <c r="AB499" i="20"/>
  <c r="AB507" i="20"/>
  <c r="AB515" i="20"/>
  <c r="AB523" i="20"/>
  <c r="AB531" i="20"/>
  <c r="AB539" i="20"/>
  <c r="AB547" i="20"/>
  <c r="AB555" i="20"/>
  <c r="AB563" i="20"/>
  <c r="AB571" i="20"/>
  <c r="AB579" i="20"/>
  <c r="AB587" i="20"/>
  <c r="AB595" i="20"/>
  <c r="AB603" i="20"/>
  <c r="AB611" i="20"/>
  <c r="AB619" i="20"/>
  <c r="AB627" i="20"/>
  <c r="AB635" i="20"/>
  <c r="AB643" i="20"/>
  <c r="AB651" i="20"/>
  <c r="AB659" i="20"/>
  <c r="AB667" i="20"/>
  <c r="AB675" i="20"/>
  <c r="AB683" i="20"/>
  <c r="AB691" i="20"/>
  <c r="AB699" i="20"/>
  <c r="AB707" i="20"/>
  <c r="AB715" i="20"/>
  <c r="AB36" i="20"/>
  <c r="AB44" i="20"/>
  <c r="AB52" i="20"/>
  <c r="AB60" i="20"/>
  <c r="AB68" i="20"/>
  <c r="AB76" i="20"/>
  <c r="AB84" i="20"/>
  <c r="AB92" i="20"/>
  <c r="AB100" i="20"/>
  <c r="AB108" i="20"/>
  <c r="AB116" i="20"/>
  <c r="AB124" i="20"/>
  <c r="AB132" i="20"/>
  <c r="AB140" i="20"/>
  <c r="AB148" i="20"/>
  <c r="AB156" i="20"/>
  <c r="AB164" i="20"/>
  <c r="AB172" i="20"/>
  <c r="AB180" i="20"/>
  <c r="AB188" i="20"/>
  <c r="AB196" i="20"/>
  <c r="AB204" i="20"/>
  <c r="AB212" i="20"/>
  <c r="AB220" i="20"/>
  <c r="AB228" i="20"/>
  <c r="AB236" i="20"/>
  <c r="AB244" i="20"/>
  <c r="AB252" i="20"/>
  <c r="AB260" i="20"/>
  <c r="AB268" i="20"/>
  <c r="AB276" i="20"/>
  <c r="AB284" i="20"/>
  <c r="AB292" i="20"/>
  <c r="AB300" i="20"/>
  <c r="AB308" i="20"/>
  <c r="AB316" i="20"/>
  <c r="AB324" i="20"/>
  <c r="AB332" i="20"/>
  <c r="AB340" i="20"/>
  <c r="AB348" i="20"/>
  <c r="AB356" i="20"/>
  <c r="AB364" i="20"/>
  <c r="AB372" i="20"/>
  <c r="AB380" i="20"/>
  <c r="AB388" i="20"/>
  <c r="AB396" i="20"/>
  <c r="AB404" i="20"/>
  <c r="AB412" i="20"/>
  <c r="AB420" i="20"/>
  <c r="AB428" i="20"/>
  <c r="AB436" i="20"/>
  <c r="AB444" i="20"/>
  <c r="AB452" i="20"/>
  <c r="AB460" i="20"/>
  <c r="AB468" i="20"/>
  <c r="AB476" i="20"/>
  <c r="AB484" i="20"/>
  <c r="AB492" i="20"/>
  <c r="AB500" i="20"/>
  <c r="AB508" i="20"/>
  <c r="AB516" i="20"/>
  <c r="AB524" i="20"/>
  <c r="AB532" i="20"/>
  <c r="AB540" i="20"/>
  <c r="AB548" i="20"/>
  <c r="AB556" i="20"/>
  <c r="AB564" i="20"/>
  <c r="AB572" i="20"/>
  <c r="AB580" i="20"/>
  <c r="AB588" i="20"/>
  <c r="AB596" i="20"/>
  <c r="AB604" i="20"/>
  <c r="AB612" i="20"/>
  <c r="AB620" i="20"/>
  <c r="AB628" i="20"/>
  <c r="AB636" i="20"/>
  <c r="AB644" i="20"/>
  <c r="AB652" i="20"/>
  <c r="AB660" i="20"/>
  <c r="AB668" i="20"/>
  <c r="AB676" i="20"/>
  <c r="AB684" i="20"/>
  <c r="AB692" i="20"/>
  <c r="AB700" i="20"/>
  <c r="AB708" i="20"/>
  <c r="AB716" i="20"/>
  <c r="AB724" i="20"/>
  <c r="AB732" i="20"/>
  <c r="AB740" i="20"/>
  <c r="AB748" i="20"/>
  <c r="AB756" i="20"/>
  <c r="AB764" i="20"/>
  <c r="AB772" i="20"/>
  <c r="AB780" i="20"/>
  <c r="AB788" i="20"/>
  <c r="AB796" i="20"/>
  <c r="AB804" i="20"/>
  <c r="AB812" i="20"/>
  <c r="AB820" i="20"/>
  <c r="AB828" i="20"/>
  <c r="AB836" i="20"/>
  <c r="AB844" i="20"/>
  <c r="AB852" i="20"/>
  <c r="AB860" i="20"/>
  <c r="AB868" i="20"/>
  <c r="AB876" i="20"/>
  <c r="AB884" i="20"/>
  <c r="AB892" i="20"/>
  <c r="AB900" i="20"/>
  <c r="AB908" i="20"/>
  <c r="AB916" i="20"/>
  <c r="AB924" i="20"/>
  <c r="AB932" i="20"/>
  <c r="AB940" i="20"/>
  <c r="AB948" i="20"/>
  <c r="AB956" i="20"/>
  <c r="AB964" i="20"/>
  <c r="AB972" i="20"/>
  <c r="AB980" i="20"/>
  <c r="AB988" i="20"/>
  <c r="AB996" i="20"/>
  <c r="AB1004" i="20"/>
  <c r="AB1012" i="20"/>
  <c r="AB1020" i="20"/>
  <c r="AB1028" i="20"/>
  <c r="AB717" i="20"/>
  <c r="AB725" i="20"/>
  <c r="AB733" i="20"/>
  <c r="AB741" i="20"/>
  <c r="AB749" i="20"/>
  <c r="AB757" i="20"/>
  <c r="AB765" i="20"/>
  <c r="AB773" i="20"/>
  <c r="AB781" i="20"/>
  <c r="AB789" i="20"/>
  <c r="AB797" i="20"/>
  <c r="AB805" i="20"/>
  <c r="AB813" i="20"/>
  <c r="AB821" i="20"/>
  <c r="AB829" i="20"/>
  <c r="AB837" i="20"/>
  <c r="AB845" i="20"/>
  <c r="AB853" i="20"/>
  <c r="AB861" i="20"/>
  <c r="AB869" i="20"/>
  <c r="AB877" i="20"/>
  <c r="AB885" i="20"/>
  <c r="AB893" i="20"/>
  <c r="AB901" i="20"/>
  <c r="AB909" i="20"/>
  <c r="AB917" i="20"/>
  <c r="AB925" i="20"/>
  <c r="AB933" i="20"/>
  <c r="AB941" i="20"/>
  <c r="AB949" i="20"/>
  <c r="AB957" i="20"/>
  <c r="AB965" i="20"/>
  <c r="AB973" i="20"/>
  <c r="AB981" i="20"/>
  <c r="AB989" i="20"/>
  <c r="AB997" i="20"/>
  <c r="AB1005" i="20"/>
  <c r="AB1013" i="20"/>
  <c r="AB1021" i="20"/>
  <c r="AB1029" i="20"/>
  <c r="AB1034" i="20"/>
  <c r="AB718" i="20"/>
  <c r="AB726" i="20"/>
  <c r="AB734" i="20"/>
  <c r="AB742" i="20"/>
  <c r="AB750" i="20"/>
  <c r="AB758" i="20"/>
  <c r="AB766" i="20"/>
  <c r="AB774" i="20"/>
  <c r="AB782" i="20"/>
  <c r="AB790" i="20"/>
  <c r="AB798" i="20"/>
  <c r="AB806" i="20"/>
  <c r="AB814" i="20"/>
  <c r="AB822" i="20"/>
  <c r="AB830" i="20"/>
  <c r="AB838" i="20"/>
  <c r="AB846" i="20"/>
  <c r="AB854" i="20"/>
  <c r="AB862" i="20"/>
  <c r="AB870" i="20"/>
  <c r="AB878" i="20"/>
  <c r="AB886" i="20"/>
  <c r="AB894" i="20"/>
  <c r="AB902" i="20"/>
  <c r="AB910" i="20"/>
  <c r="AB918" i="20"/>
  <c r="AB926" i="20"/>
  <c r="AB934" i="20"/>
  <c r="AB942" i="20"/>
  <c r="AB950" i="20"/>
  <c r="AB958" i="20"/>
  <c r="AB966" i="20"/>
  <c r="AB974" i="20"/>
  <c r="AB982" i="20"/>
  <c r="AB990" i="20"/>
  <c r="AB998" i="20"/>
  <c r="AB1006" i="20"/>
  <c r="AB1014" i="20"/>
  <c r="AB1022" i="20"/>
  <c r="AB1030" i="20"/>
  <c r="AB719" i="20"/>
  <c r="AB727" i="20"/>
  <c r="AB735" i="20"/>
  <c r="AB743" i="20"/>
  <c r="AB751" i="20"/>
  <c r="AB759" i="20"/>
  <c r="AB767" i="20"/>
  <c r="AB775" i="20"/>
  <c r="AB783" i="20"/>
  <c r="AB791" i="20"/>
  <c r="AB799" i="20"/>
  <c r="AB807" i="20"/>
  <c r="AB815" i="20"/>
  <c r="AB823" i="20"/>
  <c r="AB831" i="20"/>
  <c r="AB839" i="20"/>
  <c r="AB847" i="20"/>
  <c r="AB855" i="20"/>
  <c r="AB863" i="20"/>
  <c r="AB871" i="20"/>
  <c r="AB879" i="20"/>
  <c r="AB887" i="20"/>
  <c r="AB895" i="20"/>
  <c r="AB903" i="20"/>
  <c r="AB911" i="20"/>
  <c r="AB919" i="20"/>
  <c r="AB927" i="20"/>
  <c r="AB935" i="20"/>
  <c r="AB943" i="20"/>
  <c r="AB951" i="20"/>
  <c r="AB959" i="20"/>
  <c r="AB967" i="20"/>
  <c r="AB975" i="20"/>
  <c r="AB983" i="20"/>
  <c r="AB991" i="20"/>
  <c r="AB999" i="20"/>
  <c r="AB1007" i="20"/>
  <c r="AB1015" i="20"/>
  <c r="AB1023" i="20"/>
  <c r="AB1031" i="20"/>
  <c r="AB720" i="20"/>
  <c r="AB728" i="20"/>
  <c r="AB736" i="20"/>
  <c r="AB744" i="20"/>
  <c r="AB752" i="20"/>
  <c r="AB760" i="20"/>
  <c r="AB768" i="20"/>
  <c r="AB776" i="20"/>
  <c r="AB784" i="20"/>
  <c r="AB792" i="20"/>
  <c r="AB800" i="20"/>
  <c r="AB808" i="20"/>
  <c r="AB816" i="20"/>
  <c r="AB824" i="20"/>
  <c r="AB832" i="20"/>
  <c r="AB840" i="20"/>
  <c r="AB848" i="20"/>
  <c r="AB856" i="20"/>
  <c r="AB864" i="20"/>
  <c r="AB872" i="20"/>
  <c r="AB880" i="20"/>
  <c r="AB888" i="20"/>
  <c r="AB896" i="20"/>
  <c r="AB904" i="20"/>
  <c r="AB912" i="20"/>
  <c r="AB920" i="20"/>
  <c r="AB928" i="20"/>
  <c r="AB936" i="20"/>
  <c r="AB944" i="20"/>
  <c r="AB952" i="20"/>
  <c r="AB960" i="20"/>
  <c r="AB968" i="20"/>
  <c r="AB976" i="20"/>
  <c r="AB984" i="20"/>
  <c r="AB992" i="20"/>
  <c r="AB1000" i="20"/>
  <c r="AB1008" i="20"/>
  <c r="AB1016" i="20"/>
  <c r="AB1024" i="20"/>
  <c r="AB1032" i="20"/>
  <c r="AB721" i="20"/>
  <c r="AB729" i="20"/>
  <c r="AB737" i="20"/>
  <c r="AB745" i="20"/>
  <c r="AB753" i="20"/>
  <c r="AB761" i="20"/>
  <c r="AB769" i="20"/>
  <c r="AB777" i="20"/>
  <c r="AB785" i="20"/>
  <c r="AB793" i="20"/>
  <c r="AB801" i="20"/>
  <c r="AB809" i="20"/>
  <c r="AB817" i="20"/>
  <c r="AB825" i="20"/>
  <c r="AB833" i="20"/>
  <c r="AB841" i="20"/>
  <c r="AB849" i="20"/>
  <c r="AB857" i="20"/>
  <c r="AB865" i="20"/>
  <c r="AB873" i="20"/>
  <c r="AB881" i="20"/>
  <c r="AB889" i="20"/>
  <c r="AB897" i="20"/>
  <c r="AB905" i="20"/>
  <c r="AB913" i="20"/>
  <c r="AB921" i="20"/>
  <c r="AB929" i="20"/>
  <c r="AB937" i="20"/>
  <c r="AB945" i="20"/>
  <c r="AB953" i="20"/>
  <c r="AB961" i="20"/>
  <c r="AB969" i="20"/>
  <c r="AB977" i="20"/>
  <c r="AB985" i="20"/>
  <c r="AB993" i="20"/>
  <c r="AB1001" i="20"/>
  <c r="AB1009" i="20"/>
  <c r="AB1017" i="20"/>
  <c r="AB1025" i="20"/>
  <c r="AB1033" i="20"/>
  <c r="AB722" i="20"/>
  <c r="AB730" i="20"/>
  <c r="AB738" i="20"/>
  <c r="AB746" i="20"/>
  <c r="AB754" i="20"/>
  <c r="AB762" i="20"/>
  <c r="AB770" i="20"/>
  <c r="AB778" i="20"/>
  <c r="AB786" i="20"/>
  <c r="AB794" i="20"/>
  <c r="AB802" i="20"/>
  <c r="AB810" i="20"/>
  <c r="AB818" i="20"/>
  <c r="AB826" i="20"/>
  <c r="AB834" i="20"/>
  <c r="AB842" i="20"/>
  <c r="AB850" i="20"/>
  <c r="AB858" i="20"/>
  <c r="AB866" i="20"/>
  <c r="AB874" i="20"/>
  <c r="AB882" i="20"/>
  <c r="AB890" i="20"/>
  <c r="AB898" i="20"/>
  <c r="AB906" i="20"/>
  <c r="AB914" i="20"/>
  <c r="AB922" i="20"/>
  <c r="AB930" i="20"/>
  <c r="AB938" i="20"/>
  <c r="AB946" i="20"/>
  <c r="AB954" i="20"/>
  <c r="AB962" i="20"/>
  <c r="AB970" i="20"/>
  <c r="AB978" i="20"/>
  <c r="AB986" i="20"/>
  <c r="AB994" i="20"/>
  <c r="AB1002" i="20"/>
  <c r="AB1010" i="20"/>
  <c r="AB1018" i="20"/>
  <c r="AB1026" i="20"/>
  <c r="AB713" i="20"/>
  <c r="AB723" i="20"/>
  <c r="AB731" i="20"/>
  <c r="AB739" i="20"/>
  <c r="AB747" i="20"/>
  <c r="AB755" i="20"/>
  <c r="AB763" i="20"/>
  <c r="AB771" i="20"/>
  <c r="AB779" i="20"/>
  <c r="AB787" i="20"/>
  <c r="AB795" i="20"/>
  <c r="AB803" i="20"/>
  <c r="AB811" i="20"/>
  <c r="AB819" i="20"/>
  <c r="AB827" i="20"/>
  <c r="AB835" i="20"/>
  <c r="AB843" i="20"/>
  <c r="AB851" i="20"/>
  <c r="AB859" i="20"/>
  <c r="AB867" i="20"/>
  <c r="AB875" i="20"/>
  <c r="AB883" i="20"/>
  <c r="AB891" i="20"/>
  <c r="AB899" i="20"/>
  <c r="AB907" i="20"/>
  <c r="AB915" i="20"/>
  <c r="AB923" i="20"/>
  <c r="AB931" i="20"/>
  <c r="AB939" i="20"/>
  <c r="AB947" i="20"/>
  <c r="AB955" i="20"/>
  <c r="AB963" i="20"/>
  <c r="AB971" i="20"/>
  <c r="AB979" i="20"/>
  <c r="AB987" i="20"/>
  <c r="AB995" i="20"/>
  <c r="AB1003" i="20"/>
  <c r="AB1011" i="20"/>
  <c r="AB1019" i="20"/>
  <c r="AB1027" i="20"/>
  <c r="AB35" i="20"/>
  <c r="AA37" i="20"/>
  <c r="AA45" i="20"/>
  <c r="AA53" i="20"/>
  <c r="AA61" i="20"/>
  <c r="AA69" i="20"/>
  <c r="AA77" i="20"/>
  <c r="AA85" i="20"/>
  <c r="AA93" i="20"/>
  <c r="AA101" i="20"/>
  <c r="AA109" i="20"/>
  <c r="AA117" i="20"/>
  <c r="AA125" i="20"/>
  <c r="AA133" i="20"/>
  <c r="AA141" i="20"/>
  <c r="AA149" i="20"/>
  <c r="AA157" i="20"/>
  <c r="AA165" i="20"/>
  <c r="AA173" i="20"/>
  <c r="AA181" i="20"/>
  <c r="AA189" i="20"/>
  <c r="AA197" i="20"/>
  <c r="AA205" i="20"/>
  <c r="AA213" i="20"/>
  <c r="AA221" i="20"/>
  <c r="AA229" i="20"/>
  <c r="AA237" i="20"/>
  <c r="AA245" i="20"/>
  <c r="AA253" i="20"/>
  <c r="AA261" i="20"/>
  <c r="AA269" i="20"/>
  <c r="AA277" i="20"/>
  <c r="AA285" i="20"/>
  <c r="AA293" i="20"/>
  <c r="AA301" i="20"/>
  <c r="AA309" i="20"/>
  <c r="AA317" i="20"/>
  <c r="AA325" i="20"/>
  <c r="AA333" i="20"/>
  <c r="AA341" i="20"/>
  <c r="AA349" i="20"/>
  <c r="AA357" i="20"/>
  <c r="AA365" i="20"/>
  <c r="AA373" i="20"/>
  <c r="AA381" i="20"/>
  <c r="AA389" i="20"/>
  <c r="AA397" i="20"/>
  <c r="AA405" i="20"/>
  <c r="AA413" i="20"/>
  <c r="AA421" i="20"/>
  <c r="AA429" i="20"/>
  <c r="AA437" i="20"/>
  <c r="AA445" i="20"/>
  <c r="AA453" i="20"/>
  <c r="AA461" i="20"/>
  <c r="AA469" i="20"/>
  <c r="AA477" i="20"/>
  <c r="AA485" i="20"/>
  <c r="AA493" i="20"/>
  <c r="AA501" i="20"/>
  <c r="AA509" i="20"/>
  <c r="AA517" i="20"/>
  <c r="AA525" i="20"/>
  <c r="AA533" i="20"/>
  <c r="AA541" i="20"/>
  <c r="AA549" i="20"/>
  <c r="AA557" i="20"/>
  <c r="AA565" i="20"/>
  <c r="AA573" i="20"/>
  <c r="AA581" i="20"/>
  <c r="AA589" i="20"/>
  <c r="AA597" i="20"/>
  <c r="AA605" i="20"/>
  <c r="AA613" i="20"/>
  <c r="AA621" i="20"/>
  <c r="AA629" i="20"/>
  <c r="AA637" i="20"/>
  <c r="AA645" i="20"/>
  <c r="AA653" i="20"/>
  <c r="AA661" i="20"/>
  <c r="AA669" i="20"/>
  <c r="AA677" i="20"/>
  <c r="AA685" i="20"/>
  <c r="AA693" i="20"/>
  <c r="AA701" i="20"/>
  <c r="AA709" i="20"/>
  <c r="AA38" i="20"/>
  <c r="AA46" i="20"/>
  <c r="AA54" i="20"/>
  <c r="AA62" i="20"/>
  <c r="AA70" i="20"/>
  <c r="AA78" i="20"/>
  <c r="AA86" i="20"/>
  <c r="AA94" i="20"/>
  <c r="AA102" i="20"/>
  <c r="AA110" i="20"/>
  <c r="AA118" i="20"/>
  <c r="AA126" i="20"/>
  <c r="AA134" i="20"/>
  <c r="AA142" i="20"/>
  <c r="AA150" i="20"/>
  <c r="AA158" i="20"/>
  <c r="AA166" i="20"/>
  <c r="AA174" i="20"/>
  <c r="AA182" i="20"/>
  <c r="AA190" i="20"/>
  <c r="AA198" i="20"/>
  <c r="AA206" i="20"/>
  <c r="AA214" i="20"/>
  <c r="AA222" i="20"/>
  <c r="AA230" i="20"/>
  <c r="AA238" i="20"/>
  <c r="AA246" i="20"/>
  <c r="AA254" i="20"/>
  <c r="AA262" i="20"/>
  <c r="AA270" i="20"/>
  <c r="AA278" i="20"/>
  <c r="AA286" i="20"/>
  <c r="AA294" i="20"/>
  <c r="AA302" i="20"/>
  <c r="AA310" i="20"/>
  <c r="AA318" i="20"/>
  <c r="AA326" i="20"/>
  <c r="AA334" i="20"/>
  <c r="AA342" i="20"/>
  <c r="AA350" i="20"/>
  <c r="AA358" i="20"/>
  <c r="AA366" i="20"/>
  <c r="AA374" i="20"/>
  <c r="AA382" i="20"/>
  <c r="AA390" i="20"/>
  <c r="AA398" i="20"/>
  <c r="AA406" i="20"/>
  <c r="AA414" i="20"/>
  <c r="AA422" i="20"/>
  <c r="AA430" i="20"/>
  <c r="AA438" i="20"/>
  <c r="AA446" i="20"/>
  <c r="AA454" i="20"/>
  <c r="AA462" i="20"/>
  <c r="AA470" i="20"/>
  <c r="AA478" i="20"/>
  <c r="AA486" i="20"/>
  <c r="AA494" i="20"/>
  <c r="AA502" i="20"/>
  <c r="AA510" i="20"/>
  <c r="AA518" i="20"/>
  <c r="AA526" i="20"/>
  <c r="AA534" i="20"/>
  <c r="AA542" i="20"/>
  <c r="AA550" i="20"/>
  <c r="AA558" i="20"/>
  <c r="AA566" i="20"/>
  <c r="AA574" i="20"/>
  <c r="AA582" i="20"/>
  <c r="AA590" i="20"/>
  <c r="AA598" i="20"/>
  <c r="AA606" i="20"/>
  <c r="AA614" i="20"/>
  <c r="AA622" i="20"/>
  <c r="AA630" i="20"/>
  <c r="AA638" i="20"/>
  <c r="AA646" i="20"/>
  <c r="AA654" i="20"/>
  <c r="AA662" i="20"/>
  <c r="AA670" i="20"/>
  <c r="AA678" i="20"/>
  <c r="AA686" i="20"/>
  <c r="AA694" i="20"/>
  <c r="AA702" i="20"/>
  <c r="AA710" i="20"/>
  <c r="AA39" i="20"/>
  <c r="AA47" i="20"/>
  <c r="AA55" i="20"/>
  <c r="AA63" i="20"/>
  <c r="AA71" i="20"/>
  <c r="AA79" i="20"/>
  <c r="AA87" i="20"/>
  <c r="AA95" i="20"/>
  <c r="AA103" i="20"/>
  <c r="AA111" i="20"/>
  <c r="AA119" i="20"/>
  <c r="AA127" i="20"/>
  <c r="AA135" i="20"/>
  <c r="AA143" i="20"/>
  <c r="AA151" i="20"/>
  <c r="AA159" i="20"/>
  <c r="AA167" i="20"/>
  <c r="AA175" i="20"/>
  <c r="AA183" i="20"/>
  <c r="AA191" i="20"/>
  <c r="AA199" i="20"/>
  <c r="AA207" i="20"/>
  <c r="AA215" i="20"/>
  <c r="AA223" i="20"/>
  <c r="AA231" i="20"/>
  <c r="AA239" i="20"/>
  <c r="AA247" i="20"/>
  <c r="AA255" i="20"/>
  <c r="AA263" i="20"/>
  <c r="AA271" i="20"/>
  <c r="AA279" i="20"/>
  <c r="AA287" i="20"/>
  <c r="AA295" i="20"/>
  <c r="AA303" i="20"/>
  <c r="AA311" i="20"/>
  <c r="AA319" i="20"/>
  <c r="AA327" i="20"/>
  <c r="AA335" i="20"/>
  <c r="AA343" i="20"/>
  <c r="AA351" i="20"/>
  <c r="AA359" i="20"/>
  <c r="AA367" i="20"/>
  <c r="AA375" i="20"/>
  <c r="AA383" i="20"/>
  <c r="AA391" i="20"/>
  <c r="AA399" i="20"/>
  <c r="AA407" i="20"/>
  <c r="AA415" i="20"/>
  <c r="AA423" i="20"/>
  <c r="AA431" i="20"/>
  <c r="AA439" i="20"/>
  <c r="AA447" i="20"/>
  <c r="AA455" i="20"/>
  <c r="AA463" i="20"/>
  <c r="AA471" i="20"/>
  <c r="AA479" i="20"/>
  <c r="AA487" i="20"/>
  <c r="AA495" i="20"/>
  <c r="AA503" i="20"/>
  <c r="AA511" i="20"/>
  <c r="AA519" i="20"/>
  <c r="AA527" i="20"/>
  <c r="AA535" i="20"/>
  <c r="AA543" i="20"/>
  <c r="AA551" i="20"/>
  <c r="AA559" i="20"/>
  <c r="AA567" i="20"/>
  <c r="AA575" i="20"/>
  <c r="AA583" i="20"/>
  <c r="AA591" i="20"/>
  <c r="AA599" i="20"/>
  <c r="AA607" i="20"/>
  <c r="AA615" i="20"/>
  <c r="AA623" i="20"/>
  <c r="AA631" i="20"/>
  <c r="AA639" i="20"/>
  <c r="AA647" i="20"/>
  <c r="AA655" i="20"/>
  <c r="AA663" i="20"/>
  <c r="AA671" i="20"/>
  <c r="AA679" i="20"/>
  <c r="AA687" i="20"/>
  <c r="AA695" i="20"/>
  <c r="AA703" i="20"/>
  <c r="AA711" i="20"/>
  <c r="AA40" i="20"/>
  <c r="AA48" i="20"/>
  <c r="AA56" i="20"/>
  <c r="AA64" i="20"/>
  <c r="AA72" i="20"/>
  <c r="AA80" i="20"/>
  <c r="AA88" i="20"/>
  <c r="AA96" i="20"/>
  <c r="AA104" i="20"/>
  <c r="AA112" i="20"/>
  <c r="AA120" i="20"/>
  <c r="AA128" i="20"/>
  <c r="AA136" i="20"/>
  <c r="AA144" i="20"/>
  <c r="AA152" i="20"/>
  <c r="AA160" i="20"/>
  <c r="AA168" i="20"/>
  <c r="AA176" i="20"/>
  <c r="AA184" i="20"/>
  <c r="AA192" i="20"/>
  <c r="AA200" i="20"/>
  <c r="AA208" i="20"/>
  <c r="AA216" i="20"/>
  <c r="AA224" i="20"/>
  <c r="AA232" i="20"/>
  <c r="AA240" i="20"/>
  <c r="AA248" i="20"/>
  <c r="AA256" i="20"/>
  <c r="AA264" i="20"/>
  <c r="AA272" i="20"/>
  <c r="AA280" i="20"/>
  <c r="AA288" i="20"/>
  <c r="AA296" i="20"/>
  <c r="AA304" i="20"/>
  <c r="AA312" i="20"/>
  <c r="AA320" i="20"/>
  <c r="AA328" i="20"/>
  <c r="AA336" i="20"/>
  <c r="AA344" i="20"/>
  <c r="AA352" i="20"/>
  <c r="AA360" i="20"/>
  <c r="AA368" i="20"/>
  <c r="AA376" i="20"/>
  <c r="AA384" i="20"/>
  <c r="AA392" i="20"/>
  <c r="AA400" i="20"/>
  <c r="AA408" i="20"/>
  <c r="AA416" i="20"/>
  <c r="AA424" i="20"/>
  <c r="AA432" i="20"/>
  <c r="AA440" i="20"/>
  <c r="AA448" i="20"/>
  <c r="AA456" i="20"/>
  <c r="AA464" i="20"/>
  <c r="AA472" i="20"/>
  <c r="AA480" i="20"/>
  <c r="AA488" i="20"/>
  <c r="AA496" i="20"/>
  <c r="AA504" i="20"/>
  <c r="AA512" i="20"/>
  <c r="AA520" i="20"/>
  <c r="AA528" i="20"/>
  <c r="AA536" i="20"/>
  <c r="AA544" i="20"/>
  <c r="AA552" i="20"/>
  <c r="AA560" i="20"/>
  <c r="AA568" i="20"/>
  <c r="AA576" i="20"/>
  <c r="AA584" i="20"/>
  <c r="AA592" i="20"/>
  <c r="AA600" i="20"/>
  <c r="AA608" i="20"/>
  <c r="AA616" i="20"/>
  <c r="AA624" i="20"/>
  <c r="AA632" i="20"/>
  <c r="AA640" i="20"/>
  <c r="AA648" i="20"/>
  <c r="AA656" i="20"/>
  <c r="AA664" i="20"/>
  <c r="AA672" i="20"/>
  <c r="AA680" i="20"/>
  <c r="AA688" i="20"/>
  <c r="AA696" i="20"/>
  <c r="AA704" i="20"/>
  <c r="AA712" i="20"/>
  <c r="AA41" i="20"/>
  <c r="AA49" i="20"/>
  <c r="AA57" i="20"/>
  <c r="AA65" i="20"/>
  <c r="AA73" i="20"/>
  <c r="AA81" i="20"/>
  <c r="AA89" i="20"/>
  <c r="AA97" i="20"/>
  <c r="AA105" i="20"/>
  <c r="AA113" i="20"/>
  <c r="AA121" i="20"/>
  <c r="AA129" i="20"/>
  <c r="AA137" i="20"/>
  <c r="AA145" i="20"/>
  <c r="AA153" i="20"/>
  <c r="AA161" i="20"/>
  <c r="AA169" i="20"/>
  <c r="AA177" i="20"/>
  <c r="AA185" i="20"/>
  <c r="AA193" i="20"/>
  <c r="AA201" i="20"/>
  <c r="AA209" i="20"/>
  <c r="AA217" i="20"/>
  <c r="AA225" i="20"/>
  <c r="AA233" i="20"/>
  <c r="AA241" i="20"/>
  <c r="AA249" i="20"/>
  <c r="AA257" i="20"/>
  <c r="AA265" i="20"/>
  <c r="AA273" i="20"/>
  <c r="AA281" i="20"/>
  <c r="AA289" i="20"/>
  <c r="AA297" i="20"/>
  <c r="AA305" i="20"/>
  <c r="AA313" i="20"/>
  <c r="AA321" i="20"/>
  <c r="AA329" i="20"/>
  <c r="AA337" i="20"/>
  <c r="AA345" i="20"/>
  <c r="AA353" i="20"/>
  <c r="AA361" i="20"/>
  <c r="AA369" i="20"/>
  <c r="AA377" i="20"/>
  <c r="AA385" i="20"/>
  <c r="AA393" i="20"/>
  <c r="AA401" i="20"/>
  <c r="AA409" i="20"/>
  <c r="AA417" i="20"/>
  <c r="AA425" i="20"/>
  <c r="AA433" i="20"/>
  <c r="AA441" i="20"/>
  <c r="AA449" i="20"/>
  <c r="AA457" i="20"/>
  <c r="AA465" i="20"/>
  <c r="AA473" i="20"/>
  <c r="AA481" i="20"/>
  <c r="AA489" i="20"/>
  <c r="AA497" i="20"/>
  <c r="AA505" i="20"/>
  <c r="AA513" i="20"/>
  <c r="AA521" i="20"/>
  <c r="AA529" i="20"/>
  <c r="AA537" i="20"/>
  <c r="AA545" i="20"/>
  <c r="AA553" i="20"/>
  <c r="AA561" i="20"/>
  <c r="AA569" i="20"/>
  <c r="AA577" i="20"/>
  <c r="AA585" i="20"/>
  <c r="AA593" i="20"/>
  <c r="AA601" i="20"/>
  <c r="AA609" i="20"/>
  <c r="AA617" i="20"/>
  <c r="AA625" i="20"/>
  <c r="AA633" i="20"/>
  <c r="AA641" i="20"/>
  <c r="AA649" i="20"/>
  <c r="AA657" i="20"/>
  <c r="AA665" i="20"/>
  <c r="AA673" i="20"/>
  <c r="AA681" i="20"/>
  <c r="AA689" i="20"/>
  <c r="AA697" i="20"/>
  <c r="AA705" i="20"/>
  <c r="AA713" i="20"/>
  <c r="AA42" i="20"/>
  <c r="AA50" i="20"/>
  <c r="AA58" i="20"/>
  <c r="AA66" i="20"/>
  <c r="AA74" i="20"/>
  <c r="AA82" i="20"/>
  <c r="AA90" i="20"/>
  <c r="AA98" i="20"/>
  <c r="AA106" i="20"/>
  <c r="AA114" i="20"/>
  <c r="AA122" i="20"/>
  <c r="AA130" i="20"/>
  <c r="AA138" i="20"/>
  <c r="AA146" i="20"/>
  <c r="AA154" i="20"/>
  <c r="AA162" i="20"/>
  <c r="AA170" i="20"/>
  <c r="AA178" i="20"/>
  <c r="AA186" i="20"/>
  <c r="AA194" i="20"/>
  <c r="AA202" i="20"/>
  <c r="AA210" i="20"/>
  <c r="AA218" i="20"/>
  <c r="AA226" i="20"/>
  <c r="AA234" i="20"/>
  <c r="AA242" i="20"/>
  <c r="AA250" i="20"/>
  <c r="AA258" i="20"/>
  <c r="AA266" i="20"/>
  <c r="AA274" i="20"/>
  <c r="AA282" i="20"/>
  <c r="AA290" i="20"/>
  <c r="AA298" i="20"/>
  <c r="AA306" i="20"/>
  <c r="AA314" i="20"/>
  <c r="AA322" i="20"/>
  <c r="AA330" i="20"/>
  <c r="AA338" i="20"/>
  <c r="AA346" i="20"/>
  <c r="AA354" i="20"/>
  <c r="AA362" i="20"/>
  <c r="AA370" i="20"/>
  <c r="AA378" i="20"/>
  <c r="AA386" i="20"/>
  <c r="AA394" i="20"/>
  <c r="AA402" i="20"/>
  <c r="AA410" i="20"/>
  <c r="AA418" i="20"/>
  <c r="AA426" i="20"/>
  <c r="AA434" i="20"/>
  <c r="AA442" i="20"/>
  <c r="AA450" i="20"/>
  <c r="AA458" i="20"/>
  <c r="AA466" i="20"/>
  <c r="AA474" i="20"/>
  <c r="AA482" i="20"/>
  <c r="AA490" i="20"/>
  <c r="AA498" i="20"/>
  <c r="AA506" i="20"/>
  <c r="AA514" i="20"/>
  <c r="AA522" i="20"/>
  <c r="AA530" i="20"/>
  <c r="AA538" i="20"/>
  <c r="AA546" i="20"/>
  <c r="AA554" i="20"/>
  <c r="AA562" i="20"/>
  <c r="AA570" i="20"/>
  <c r="AA578" i="20"/>
  <c r="AA586" i="20"/>
  <c r="AA594" i="20"/>
  <c r="AA602" i="20"/>
  <c r="AA610" i="20"/>
  <c r="AA618" i="20"/>
  <c r="AA626" i="20"/>
  <c r="AA634" i="20"/>
  <c r="AA642" i="20"/>
  <c r="AA650" i="20"/>
  <c r="AA658" i="20"/>
  <c r="AA666" i="20"/>
  <c r="AA674" i="20"/>
  <c r="AA682" i="20"/>
  <c r="AA690" i="20"/>
  <c r="AA698" i="20"/>
  <c r="AA706" i="20"/>
  <c r="AA714" i="20"/>
  <c r="AA43" i="20"/>
  <c r="AA51" i="20"/>
  <c r="AA59" i="20"/>
  <c r="AA67" i="20"/>
  <c r="AA75" i="20"/>
  <c r="AA83" i="20"/>
  <c r="AA91" i="20"/>
  <c r="AA99" i="20"/>
  <c r="AA107" i="20"/>
  <c r="AA115" i="20"/>
  <c r="AA123" i="20"/>
  <c r="AA131" i="20"/>
  <c r="AA139" i="20"/>
  <c r="AA147" i="20"/>
  <c r="AA155" i="20"/>
  <c r="AA163" i="20"/>
  <c r="AA171" i="20"/>
  <c r="AA179" i="20"/>
  <c r="AA187" i="20"/>
  <c r="AA195" i="20"/>
  <c r="AA203" i="20"/>
  <c r="AA211" i="20"/>
  <c r="AA219" i="20"/>
  <c r="AA227" i="20"/>
  <c r="AA235" i="20"/>
  <c r="AA243" i="20"/>
  <c r="AA251" i="20"/>
  <c r="AA259" i="20"/>
  <c r="AA267" i="20"/>
  <c r="AA275" i="20"/>
  <c r="AA283" i="20"/>
  <c r="AA291" i="20"/>
  <c r="AA299" i="20"/>
  <c r="AA307" i="20"/>
  <c r="AA315" i="20"/>
  <c r="AA323" i="20"/>
  <c r="AA331" i="20"/>
  <c r="AA339" i="20"/>
  <c r="AA347" i="20"/>
  <c r="AA355" i="20"/>
  <c r="AA363" i="20"/>
  <c r="AA371" i="20"/>
  <c r="AA379" i="20"/>
  <c r="AA387" i="20"/>
  <c r="AA395" i="20"/>
  <c r="AA403" i="20"/>
  <c r="AA411" i="20"/>
  <c r="AA419" i="20"/>
  <c r="AA427" i="20"/>
  <c r="AA435" i="20"/>
  <c r="AA443" i="20"/>
  <c r="AA451" i="20"/>
  <c r="AA459" i="20"/>
  <c r="AA467" i="20"/>
  <c r="AA475" i="20"/>
  <c r="AA483" i="20"/>
  <c r="AA491" i="20"/>
  <c r="AA499" i="20"/>
  <c r="AA507" i="20"/>
  <c r="AA515" i="20"/>
  <c r="AA523" i="20"/>
  <c r="AA531" i="20"/>
  <c r="AA539" i="20"/>
  <c r="AA547" i="20"/>
  <c r="AA555" i="20"/>
  <c r="AA563" i="20"/>
  <c r="AA571" i="20"/>
  <c r="AA579" i="20"/>
  <c r="AA587" i="20"/>
  <c r="AA595" i="20"/>
  <c r="AA603" i="20"/>
  <c r="AA611" i="20"/>
  <c r="AA619" i="20"/>
  <c r="AA627" i="20"/>
  <c r="AA635" i="20"/>
  <c r="AA643" i="20"/>
  <c r="AA651" i="20"/>
  <c r="AA659" i="20"/>
  <c r="AA667" i="20"/>
  <c r="AA675" i="20"/>
  <c r="AA683" i="20"/>
  <c r="AA691" i="20"/>
  <c r="AA699" i="20"/>
  <c r="AA707" i="20"/>
  <c r="AA715" i="20"/>
  <c r="AA36" i="20"/>
  <c r="AA44" i="20"/>
  <c r="AA52" i="20"/>
  <c r="AA60" i="20"/>
  <c r="AA68" i="20"/>
  <c r="AA76" i="20"/>
  <c r="AA84" i="20"/>
  <c r="AA92" i="20"/>
  <c r="AA100" i="20"/>
  <c r="AA108" i="20"/>
  <c r="AA116" i="20"/>
  <c r="AA124" i="20"/>
  <c r="AA132" i="20"/>
  <c r="AA140" i="20"/>
  <c r="AA148" i="20"/>
  <c r="AA156" i="20"/>
  <c r="AA164" i="20"/>
  <c r="AA172" i="20"/>
  <c r="AA180" i="20"/>
  <c r="AA188" i="20"/>
  <c r="AA196" i="20"/>
  <c r="AA204" i="20"/>
  <c r="AA212" i="20"/>
  <c r="AA220" i="20"/>
  <c r="AA228" i="20"/>
  <c r="AA236" i="20"/>
  <c r="AA244" i="20"/>
  <c r="AA252" i="20"/>
  <c r="AA260" i="20"/>
  <c r="AA268" i="20"/>
  <c r="AA276" i="20"/>
  <c r="AA284" i="20"/>
  <c r="AA292" i="20"/>
  <c r="AA300" i="20"/>
  <c r="AA308" i="20"/>
  <c r="AA316" i="20"/>
  <c r="AA324" i="20"/>
  <c r="AA332" i="20"/>
  <c r="AA340" i="20"/>
  <c r="AA348" i="20"/>
  <c r="AA356" i="20"/>
  <c r="AA364" i="20"/>
  <c r="AA372" i="20"/>
  <c r="AA380" i="20"/>
  <c r="AA388" i="20"/>
  <c r="AA396" i="20"/>
  <c r="AA404" i="20"/>
  <c r="AA412" i="20"/>
  <c r="AA420" i="20"/>
  <c r="AA428" i="20"/>
  <c r="AA436" i="20"/>
  <c r="AA444" i="20"/>
  <c r="AA452" i="20"/>
  <c r="AA460" i="20"/>
  <c r="AA468" i="20"/>
  <c r="AA476" i="20"/>
  <c r="AA484" i="20"/>
  <c r="AA492" i="20"/>
  <c r="AA500" i="20"/>
  <c r="AA508" i="20"/>
  <c r="AA516" i="20"/>
  <c r="AA524" i="20"/>
  <c r="AA532" i="20"/>
  <c r="AA540" i="20"/>
  <c r="AA548" i="20"/>
  <c r="AA556" i="20"/>
  <c r="AA564" i="20"/>
  <c r="AA572" i="20"/>
  <c r="AA580" i="20"/>
  <c r="AA588" i="20"/>
  <c r="AA596" i="20"/>
  <c r="AA604" i="20"/>
  <c r="AA612" i="20"/>
  <c r="AA620" i="20"/>
  <c r="AA628" i="20"/>
  <c r="AA636" i="20"/>
  <c r="AA644" i="20"/>
  <c r="AA652" i="20"/>
  <c r="AA660" i="20"/>
  <c r="AA668" i="20"/>
  <c r="AA676" i="20"/>
  <c r="AA684" i="20"/>
  <c r="AA692" i="20"/>
  <c r="AA700" i="20"/>
  <c r="AA708" i="20"/>
  <c r="AA717" i="20"/>
  <c r="AA725" i="20"/>
  <c r="AA733" i="20"/>
  <c r="AA741" i="20"/>
  <c r="AA749" i="20"/>
  <c r="AA757" i="20"/>
  <c r="AA765" i="20"/>
  <c r="AA773" i="20"/>
  <c r="AA781" i="20"/>
  <c r="AA789" i="20"/>
  <c r="AA797" i="20"/>
  <c r="AA805" i="20"/>
  <c r="AA813" i="20"/>
  <c r="AA821" i="20"/>
  <c r="AA829" i="20"/>
  <c r="AA837" i="20"/>
  <c r="AA845" i="20"/>
  <c r="AA853" i="20"/>
  <c r="AA861" i="20"/>
  <c r="AA869" i="20"/>
  <c r="AA877" i="20"/>
  <c r="AA885" i="20"/>
  <c r="AA893" i="20"/>
  <c r="AA901" i="20"/>
  <c r="AA909" i="20"/>
  <c r="AA917" i="20"/>
  <c r="AA925" i="20"/>
  <c r="AA933" i="20"/>
  <c r="AA941" i="20"/>
  <c r="AA949" i="20"/>
  <c r="AA957" i="20"/>
  <c r="AA965" i="20"/>
  <c r="AA973" i="20"/>
  <c r="AA981" i="20"/>
  <c r="AA989" i="20"/>
  <c r="AA997" i="20"/>
  <c r="AA1005" i="20"/>
  <c r="AA1013" i="20"/>
  <c r="AA1021" i="20"/>
  <c r="AA1029" i="20"/>
  <c r="AA927" i="20"/>
  <c r="AA951" i="20"/>
  <c r="AA967" i="20"/>
  <c r="AA991" i="20"/>
  <c r="AA1007" i="20"/>
  <c r="AA1031" i="20"/>
  <c r="AA748" i="20"/>
  <c r="AA820" i="20"/>
  <c r="AA860" i="20"/>
  <c r="AA908" i="20"/>
  <c r="AA964" i="20"/>
  <c r="AA1020" i="20"/>
  <c r="AA718" i="20"/>
  <c r="AA726" i="20"/>
  <c r="AA734" i="20"/>
  <c r="AA742" i="20"/>
  <c r="AA750" i="20"/>
  <c r="AA758" i="20"/>
  <c r="AA766" i="20"/>
  <c r="AA774" i="20"/>
  <c r="AA782" i="20"/>
  <c r="AA790" i="20"/>
  <c r="AA798" i="20"/>
  <c r="AA806" i="20"/>
  <c r="AA814" i="20"/>
  <c r="AA822" i="20"/>
  <c r="AA830" i="20"/>
  <c r="AA838" i="20"/>
  <c r="AA846" i="20"/>
  <c r="AA854" i="20"/>
  <c r="AA862" i="20"/>
  <c r="AA870" i="20"/>
  <c r="AA878" i="20"/>
  <c r="AA886" i="20"/>
  <c r="AA894" i="20"/>
  <c r="AA902" i="20"/>
  <c r="AA910" i="20"/>
  <c r="AA918" i="20"/>
  <c r="AA926" i="20"/>
  <c r="AA934" i="20"/>
  <c r="AA942" i="20"/>
  <c r="AA950" i="20"/>
  <c r="AA958" i="20"/>
  <c r="AA966" i="20"/>
  <c r="AA974" i="20"/>
  <c r="AA982" i="20"/>
  <c r="AA990" i="20"/>
  <c r="AA998" i="20"/>
  <c r="AA1006" i="20"/>
  <c r="AA1014" i="20"/>
  <c r="AA1022" i="20"/>
  <c r="AA1030" i="20"/>
  <c r="AA935" i="20"/>
  <c r="AA959" i="20"/>
  <c r="AA983" i="20"/>
  <c r="AA1015" i="20"/>
  <c r="AA724" i="20"/>
  <c r="AA788" i="20"/>
  <c r="AA852" i="20"/>
  <c r="AA924" i="20"/>
  <c r="AA980" i="20"/>
  <c r="AA719" i="20"/>
  <c r="AA727" i="20"/>
  <c r="AA735" i="20"/>
  <c r="AA743" i="20"/>
  <c r="AA751" i="20"/>
  <c r="AA759" i="20"/>
  <c r="AA767" i="20"/>
  <c r="AA775" i="20"/>
  <c r="AA783" i="20"/>
  <c r="AA791" i="20"/>
  <c r="AA799" i="20"/>
  <c r="AA807" i="20"/>
  <c r="AA815" i="20"/>
  <c r="AA823" i="20"/>
  <c r="AA831" i="20"/>
  <c r="AA839" i="20"/>
  <c r="AA847" i="20"/>
  <c r="AA855" i="20"/>
  <c r="AA863" i="20"/>
  <c r="AA871" i="20"/>
  <c r="AA879" i="20"/>
  <c r="AA887" i="20"/>
  <c r="AA895" i="20"/>
  <c r="AA903" i="20"/>
  <c r="AA911" i="20"/>
  <c r="AA919" i="20"/>
  <c r="AA943" i="20"/>
  <c r="AA975" i="20"/>
  <c r="AA999" i="20"/>
  <c r="AA1023" i="20"/>
  <c r="AA716" i="20"/>
  <c r="AA772" i="20"/>
  <c r="AA836" i="20"/>
  <c r="AA900" i="20"/>
  <c r="AA972" i="20"/>
  <c r="AA720" i="20"/>
  <c r="AA728" i="20"/>
  <c r="AA736" i="20"/>
  <c r="AA744" i="20"/>
  <c r="AA752" i="20"/>
  <c r="AA760" i="20"/>
  <c r="AA768" i="20"/>
  <c r="AA776" i="20"/>
  <c r="AA784" i="20"/>
  <c r="AA792" i="20"/>
  <c r="AA800" i="20"/>
  <c r="AA808" i="20"/>
  <c r="AA816" i="20"/>
  <c r="AA824" i="20"/>
  <c r="AA832" i="20"/>
  <c r="AA840" i="20"/>
  <c r="AA848" i="20"/>
  <c r="AA856" i="20"/>
  <c r="AA864" i="20"/>
  <c r="AA872" i="20"/>
  <c r="AA880" i="20"/>
  <c r="AA888" i="20"/>
  <c r="AA896" i="20"/>
  <c r="AA904" i="20"/>
  <c r="AA912" i="20"/>
  <c r="AA920" i="20"/>
  <c r="AA928" i="20"/>
  <c r="AA936" i="20"/>
  <c r="AA944" i="20"/>
  <c r="AA952" i="20"/>
  <c r="AA960" i="20"/>
  <c r="AA968" i="20"/>
  <c r="AA976" i="20"/>
  <c r="AA984" i="20"/>
  <c r="AA992" i="20"/>
  <c r="AA1000" i="20"/>
  <c r="AA1008" i="20"/>
  <c r="AA1016" i="20"/>
  <c r="AA1024" i="20"/>
  <c r="AA1032" i="20"/>
  <c r="AA931" i="20"/>
  <c r="AA963" i="20"/>
  <c r="AA1003" i="20"/>
  <c r="AA35" i="20"/>
  <c r="AA804" i="20"/>
  <c r="AA884" i="20"/>
  <c r="AA940" i="20"/>
  <c r="AA1004" i="20"/>
  <c r="AA721" i="20"/>
  <c r="AA729" i="20"/>
  <c r="AA737" i="20"/>
  <c r="AA745" i="20"/>
  <c r="AA753" i="20"/>
  <c r="AA761" i="20"/>
  <c r="AA769" i="20"/>
  <c r="AA777" i="20"/>
  <c r="AA785" i="20"/>
  <c r="AA793" i="20"/>
  <c r="AA801" i="20"/>
  <c r="AA809" i="20"/>
  <c r="AA817" i="20"/>
  <c r="AA825" i="20"/>
  <c r="AA833" i="20"/>
  <c r="AA841" i="20"/>
  <c r="AA849" i="20"/>
  <c r="AA857" i="20"/>
  <c r="AA865" i="20"/>
  <c r="AA873" i="20"/>
  <c r="AA881" i="20"/>
  <c r="AA889" i="20"/>
  <c r="AA897" i="20"/>
  <c r="AA905" i="20"/>
  <c r="AA913" i="20"/>
  <c r="AA921" i="20"/>
  <c r="AA929" i="20"/>
  <c r="AA937" i="20"/>
  <c r="AA945" i="20"/>
  <c r="AA953" i="20"/>
  <c r="AA961" i="20"/>
  <c r="AA969" i="20"/>
  <c r="AA977" i="20"/>
  <c r="AA985" i="20"/>
  <c r="AA993" i="20"/>
  <c r="AA1001" i="20"/>
  <c r="AA1009" i="20"/>
  <c r="AA1017" i="20"/>
  <c r="AA1025" i="20"/>
  <c r="AA1033" i="20"/>
  <c r="AA923" i="20"/>
  <c r="AA955" i="20"/>
  <c r="AA987" i="20"/>
  <c r="AA1019" i="20"/>
  <c r="AA764" i="20"/>
  <c r="AA812" i="20"/>
  <c r="AA868" i="20"/>
  <c r="AA932" i="20"/>
  <c r="AA996" i="20"/>
  <c r="AA722" i="20"/>
  <c r="AA730" i="20"/>
  <c r="AA738" i="20"/>
  <c r="AA746" i="20"/>
  <c r="AA754" i="20"/>
  <c r="AA762" i="20"/>
  <c r="AA770" i="20"/>
  <c r="AA778" i="20"/>
  <c r="AA786" i="20"/>
  <c r="AA794" i="20"/>
  <c r="AA802" i="20"/>
  <c r="AA810" i="20"/>
  <c r="AA818" i="20"/>
  <c r="AA826" i="20"/>
  <c r="AA834" i="20"/>
  <c r="AA842" i="20"/>
  <c r="AA850" i="20"/>
  <c r="AA858" i="20"/>
  <c r="AA866" i="20"/>
  <c r="AA874" i="20"/>
  <c r="AA882" i="20"/>
  <c r="AA890" i="20"/>
  <c r="AA898" i="20"/>
  <c r="AA906" i="20"/>
  <c r="AA914" i="20"/>
  <c r="AA922" i="20"/>
  <c r="AA930" i="20"/>
  <c r="AA938" i="20"/>
  <c r="AA946" i="20"/>
  <c r="AA954" i="20"/>
  <c r="AA962" i="20"/>
  <c r="AA970" i="20"/>
  <c r="AA978" i="20"/>
  <c r="AA986" i="20"/>
  <c r="AA994" i="20"/>
  <c r="AA1002" i="20"/>
  <c r="AA1010" i="20"/>
  <c r="AA1018" i="20"/>
  <c r="AA1026" i="20"/>
  <c r="AA1034" i="20"/>
  <c r="AA907" i="20"/>
  <c r="AA939" i="20"/>
  <c r="AA971" i="20"/>
  <c r="AA995" i="20"/>
  <c r="AA1027" i="20"/>
  <c r="AA756" i="20"/>
  <c r="AA796" i="20"/>
  <c r="AA844" i="20"/>
  <c r="AA916" i="20"/>
  <c r="AA988" i="20"/>
  <c r="AA723" i="20"/>
  <c r="AA731" i="20"/>
  <c r="AA739" i="20"/>
  <c r="AA747" i="20"/>
  <c r="AA755" i="20"/>
  <c r="AA763" i="20"/>
  <c r="AA771" i="20"/>
  <c r="AA779" i="20"/>
  <c r="AA787" i="20"/>
  <c r="AA795" i="20"/>
  <c r="AA803" i="20"/>
  <c r="AA811" i="20"/>
  <c r="AA819" i="20"/>
  <c r="AA827" i="20"/>
  <c r="AA835" i="20"/>
  <c r="AA843" i="20"/>
  <c r="AA851" i="20"/>
  <c r="AA859" i="20"/>
  <c r="AA867" i="20"/>
  <c r="AA875" i="20"/>
  <c r="AA883" i="20"/>
  <c r="AA891" i="20"/>
  <c r="AA899" i="20"/>
  <c r="AA915" i="20"/>
  <c r="AA947" i="20"/>
  <c r="AA979" i="20"/>
  <c r="AA1011" i="20"/>
  <c r="AA732" i="20"/>
  <c r="AA780" i="20"/>
  <c r="AA828" i="20"/>
  <c r="AA892" i="20"/>
  <c r="AA956" i="20"/>
  <c r="AA1028" i="20"/>
  <c r="AA740" i="20"/>
  <c r="AA876" i="20"/>
  <c r="AA948" i="20"/>
  <c r="AA1012" i="20"/>
  <c r="Z37" i="20"/>
  <c r="Z45" i="20"/>
  <c r="Z53" i="20"/>
  <c r="Z61" i="20"/>
  <c r="Z69" i="20"/>
  <c r="Z77" i="20"/>
  <c r="Z85" i="20"/>
  <c r="Z93" i="20"/>
  <c r="Z101" i="20"/>
  <c r="Z109" i="20"/>
  <c r="Z117" i="20"/>
  <c r="Z125" i="20"/>
  <c r="Z133" i="20"/>
  <c r="Z141" i="20"/>
  <c r="Z149" i="20"/>
  <c r="Z157" i="20"/>
  <c r="Z165" i="20"/>
  <c r="Z173" i="20"/>
  <c r="Z181" i="20"/>
  <c r="Z189" i="20"/>
  <c r="Z197" i="20"/>
  <c r="Z205" i="20"/>
  <c r="Z213" i="20"/>
  <c r="Z221" i="20"/>
  <c r="Z229" i="20"/>
  <c r="Z237" i="20"/>
  <c r="Z245" i="20"/>
  <c r="Z253" i="20"/>
  <c r="Z261" i="20"/>
  <c r="Z269" i="20"/>
  <c r="Z277" i="20"/>
  <c r="Z285" i="20"/>
  <c r="Z293" i="20"/>
  <c r="Z301" i="20"/>
  <c r="Z309" i="20"/>
  <c r="Z317" i="20"/>
  <c r="Z325" i="20"/>
  <c r="Z333" i="20"/>
  <c r="Z341" i="20"/>
  <c r="Z349" i="20"/>
  <c r="Z357" i="20"/>
  <c r="Z365" i="20"/>
  <c r="Z373" i="20"/>
  <c r="Z381" i="20"/>
  <c r="Z389" i="20"/>
  <c r="Z397" i="20"/>
  <c r="Z405" i="20"/>
  <c r="Z413" i="20"/>
  <c r="Z421" i="20"/>
  <c r="Z429" i="20"/>
  <c r="Z437" i="20"/>
  <c r="Z445" i="20"/>
  <c r="Z453" i="20"/>
  <c r="Z461" i="20"/>
  <c r="Z469" i="20"/>
  <c r="Z477" i="20"/>
  <c r="Z485" i="20"/>
  <c r="Z493" i="20"/>
  <c r="Z501" i="20"/>
  <c r="Z509" i="20"/>
  <c r="Z517" i="20"/>
  <c r="Z525" i="20"/>
  <c r="Z533" i="20"/>
  <c r="Z541" i="20"/>
  <c r="Z549" i="20"/>
  <c r="Z557" i="20"/>
  <c r="Z565" i="20"/>
  <c r="Z573" i="20"/>
  <c r="Z581" i="20"/>
  <c r="Z589" i="20"/>
  <c r="Z597" i="20"/>
  <c r="Z605" i="20"/>
  <c r="Z613" i="20"/>
  <c r="Z621" i="20"/>
  <c r="Z629" i="20"/>
  <c r="Z637" i="20"/>
  <c r="Z645" i="20"/>
  <c r="Z653" i="20"/>
  <c r="Z661" i="20"/>
  <c r="Z669" i="20"/>
  <c r="Z677" i="20"/>
  <c r="Z685" i="20"/>
  <c r="Z693" i="20"/>
  <c r="Z701" i="20"/>
  <c r="Z709" i="20"/>
  <c r="Z38" i="20"/>
  <c r="Z46" i="20"/>
  <c r="Z54" i="20"/>
  <c r="Z62" i="20"/>
  <c r="Z70" i="20"/>
  <c r="Z78" i="20"/>
  <c r="Z86" i="20"/>
  <c r="Z94" i="20"/>
  <c r="Z102" i="20"/>
  <c r="Z110" i="20"/>
  <c r="Z118" i="20"/>
  <c r="Z126" i="20"/>
  <c r="Z134" i="20"/>
  <c r="Z142" i="20"/>
  <c r="Z150" i="20"/>
  <c r="Z158" i="20"/>
  <c r="Z166" i="20"/>
  <c r="Z174" i="20"/>
  <c r="Z182" i="20"/>
  <c r="Z190" i="20"/>
  <c r="Z198" i="20"/>
  <c r="Z206" i="20"/>
  <c r="Z214" i="20"/>
  <c r="Z222" i="20"/>
  <c r="Z230" i="20"/>
  <c r="Z238" i="20"/>
  <c r="Z246" i="20"/>
  <c r="Z254" i="20"/>
  <c r="Z262" i="20"/>
  <c r="Z270" i="20"/>
  <c r="Z278" i="20"/>
  <c r="Z286" i="20"/>
  <c r="Z294" i="20"/>
  <c r="Z302" i="20"/>
  <c r="Z310" i="20"/>
  <c r="Z318" i="20"/>
  <c r="Z326" i="20"/>
  <c r="Z334" i="20"/>
  <c r="Z342" i="20"/>
  <c r="Z350" i="20"/>
  <c r="Z358" i="20"/>
  <c r="Z366" i="20"/>
  <c r="Z374" i="20"/>
  <c r="Z382" i="20"/>
  <c r="Z390" i="20"/>
  <c r="Z398" i="20"/>
  <c r="Z406" i="20"/>
  <c r="Z414" i="20"/>
  <c r="Z422" i="20"/>
  <c r="Z430" i="20"/>
  <c r="Z438" i="20"/>
  <c r="Z446" i="20"/>
  <c r="Z454" i="20"/>
  <c r="Z462" i="20"/>
  <c r="Z470" i="20"/>
  <c r="Z478" i="20"/>
  <c r="Z486" i="20"/>
  <c r="Z494" i="20"/>
  <c r="Z502" i="20"/>
  <c r="Z510" i="20"/>
  <c r="Z518" i="20"/>
  <c r="Z526" i="20"/>
  <c r="Z534" i="20"/>
  <c r="Z542" i="20"/>
  <c r="Z550" i="20"/>
  <c r="Z558" i="20"/>
  <c r="Z566" i="20"/>
  <c r="Z574" i="20"/>
  <c r="Z582" i="20"/>
  <c r="Z590" i="20"/>
  <c r="Z598" i="20"/>
  <c r="Z606" i="20"/>
  <c r="Z614" i="20"/>
  <c r="Z622" i="20"/>
  <c r="Z630" i="20"/>
  <c r="Z638" i="20"/>
  <c r="Z646" i="20"/>
  <c r="Z654" i="20"/>
  <c r="Z662" i="20"/>
  <c r="Z670" i="20"/>
  <c r="Z678" i="20"/>
  <c r="Z686" i="20"/>
  <c r="Z694" i="20"/>
  <c r="Z702" i="20"/>
  <c r="Z710" i="20"/>
  <c r="Z39" i="20"/>
  <c r="Z47" i="20"/>
  <c r="Z55" i="20"/>
  <c r="Z63" i="20"/>
  <c r="Z71" i="20"/>
  <c r="Z79" i="20"/>
  <c r="Z87" i="20"/>
  <c r="Z95" i="20"/>
  <c r="Z103" i="20"/>
  <c r="Z111" i="20"/>
  <c r="Z119" i="20"/>
  <c r="Z127" i="20"/>
  <c r="Z135" i="20"/>
  <c r="Z143" i="20"/>
  <c r="Z151" i="20"/>
  <c r="Z159" i="20"/>
  <c r="Z167" i="20"/>
  <c r="Z175" i="20"/>
  <c r="Z183" i="20"/>
  <c r="Z191" i="20"/>
  <c r="Z199" i="20"/>
  <c r="Z207" i="20"/>
  <c r="Z215" i="20"/>
  <c r="Z223" i="20"/>
  <c r="Z231" i="20"/>
  <c r="Z239" i="20"/>
  <c r="Z247" i="20"/>
  <c r="Z255" i="20"/>
  <c r="Z263" i="20"/>
  <c r="Z271" i="20"/>
  <c r="Z279" i="20"/>
  <c r="Z287" i="20"/>
  <c r="Z295" i="20"/>
  <c r="Z303" i="20"/>
  <c r="Z311" i="20"/>
  <c r="Z319" i="20"/>
  <c r="Z327" i="20"/>
  <c r="Z335" i="20"/>
  <c r="Z343" i="20"/>
  <c r="Z351" i="20"/>
  <c r="Z359" i="20"/>
  <c r="Z367" i="20"/>
  <c r="Z375" i="20"/>
  <c r="Z383" i="20"/>
  <c r="Z391" i="20"/>
  <c r="Z399" i="20"/>
  <c r="Z407" i="20"/>
  <c r="Z415" i="20"/>
  <c r="Z423" i="20"/>
  <c r="Z431" i="20"/>
  <c r="Z439" i="20"/>
  <c r="Z447" i="20"/>
  <c r="Z455" i="20"/>
  <c r="Z463" i="20"/>
  <c r="Z471" i="20"/>
  <c r="Z479" i="20"/>
  <c r="Z487" i="20"/>
  <c r="Z495" i="20"/>
  <c r="Z503" i="20"/>
  <c r="Z511" i="20"/>
  <c r="Z519" i="20"/>
  <c r="Z527" i="20"/>
  <c r="Z535" i="20"/>
  <c r="Z543" i="20"/>
  <c r="Z551" i="20"/>
  <c r="Z559" i="20"/>
  <c r="Z567" i="20"/>
  <c r="Z575" i="20"/>
  <c r="Z583" i="20"/>
  <c r="Z591" i="20"/>
  <c r="Z599" i="20"/>
  <c r="Z607" i="20"/>
  <c r="Z615" i="20"/>
  <c r="Z623" i="20"/>
  <c r="Z631" i="20"/>
  <c r="Z639" i="20"/>
  <c r="Z647" i="20"/>
  <c r="Z655" i="20"/>
  <c r="Z663" i="20"/>
  <c r="Z671" i="20"/>
  <c r="Z679" i="20"/>
  <c r="Z687" i="20"/>
  <c r="Z695" i="20"/>
  <c r="Z703" i="20"/>
  <c r="Z711" i="20"/>
  <c r="Z40" i="20"/>
  <c r="Z48" i="20"/>
  <c r="Z56" i="20"/>
  <c r="Z64" i="20"/>
  <c r="Z72" i="20"/>
  <c r="Z80" i="20"/>
  <c r="Z88" i="20"/>
  <c r="Z96" i="20"/>
  <c r="Z104" i="20"/>
  <c r="Z112" i="20"/>
  <c r="Z120" i="20"/>
  <c r="Z128" i="20"/>
  <c r="Z136" i="20"/>
  <c r="Z144" i="20"/>
  <c r="Z152" i="20"/>
  <c r="Z160" i="20"/>
  <c r="Z168" i="20"/>
  <c r="Z176" i="20"/>
  <c r="Z184" i="20"/>
  <c r="Z192" i="20"/>
  <c r="Z200" i="20"/>
  <c r="Z208" i="20"/>
  <c r="Z216" i="20"/>
  <c r="Z224" i="20"/>
  <c r="Z232" i="20"/>
  <c r="Z240" i="20"/>
  <c r="Z248" i="20"/>
  <c r="Z256" i="20"/>
  <c r="Z264" i="20"/>
  <c r="Z272" i="20"/>
  <c r="Z280" i="20"/>
  <c r="Z288" i="20"/>
  <c r="Z296" i="20"/>
  <c r="Z304" i="20"/>
  <c r="Z312" i="20"/>
  <c r="Z320" i="20"/>
  <c r="Z328" i="20"/>
  <c r="Z336" i="20"/>
  <c r="Z344" i="20"/>
  <c r="Z352" i="20"/>
  <c r="Z360" i="20"/>
  <c r="Z368" i="20"/>
  <c r="Z376" i="20"/>
  <c r="Z384" i="20"/>
  <c r="Z392" i="20"/>
  <c r="Z400" i="20"/>
  <c r="Z408" i="20"/>
  <c r="Z416" i="20"/>
  <c r="Z424" i="20"/>
  <c r="Z432" i="20"/>
  <c r="Z440" i="20"/>
  <c r="Z448" i="20"/>
  <c r="Z456" i="20"/>
  <c r="Z464" i="20"/>
  <c r="Z472" i="20"/>
  <c r="Z480" i="20"/>
  <c r="Z488" i="20"/>
  <c r="Z496" i="20"/>
  <c r="Z504" i="20"/>
  <c r="Z512" i="20"/>
  <c r="Z520" i="20"/>
  <c r="Z528" i="20"/>
  <c r="Z536" i="20"/>
  <c r="Z544" i="20"/>
  <c r="Z552" i="20"/>
  <c r="Z560" i="20"/>
  <c r="Z568" i="20"/>
  <c r="Z576" i="20"/>
  <c r="Z584" i="20"/>
  <c r="Z592" i="20"/>
  <c r="Z600" i="20"/>
  <c r="Z608" i="20"/>
  <c r="Z616" i="20"/>
  <c r="Z624" i="20"/>
  <c r="Z632" i="20"/>
  <c r="Z640" i="20"/>
  <c r="Z648" i="20"/>
  <c r="Z656" i="20"/>
  <c r="Z664" i="20"/>
  <c r="Z672" i="20"/>
  <c r="Z680" i="20"/>
  <c r="Z688" i="20"/>
  <c r="Z696" i="20"/>
  <c r="Z704" i="20"/>
  <c r="Z712" i="20"/>
  <c r="Z41" i="20"/>
  <c r="Z49" i="20"/>
  <c r="Z57" i="20"/>
  <c r="Z65" i="20"/>
  <c r="Z73" i="20"/>
  <c r="Z81" i="20"/>
  <c r="Z89" i="20"/>
  <c r="Z97" i="20"/>
  <c r="Z105" i="20"/>
  <c r="Z113" i="20"/>
  <c r="Z121" i="20"/>
  <c r="Z129" i="20"/>
  <c r="Z137" i="20"/>
  <c r="Z145" i="20"/>
  <c r="Z153" i="20"/>
  <c r="Z161" i="20"/>
  <c r="Z169" i="20"/>
  <c r="Z177" i="20"/>
  <c r="Z185" i="20"/>
  <c r="Z193" i="20"/>
  <c r="Z201" i="20"/>
  <c r="Z209" i="20"/>
  <c r="Z217" i="20"/>
  <c r="Z225" i="20"/>
  <c r="Z233" i="20"/>
  <c r="Z241" i="20"/>
  <c r="Z249" i="20"/>
  <c r="Z257" i="20"/>
  <c r="Z265" i="20"/>
  <c r="Z273" i="20"/>
  <c r="Z281" i="20"/>
  <c r="Z289" i="20"/>
  <c r="Z297" i="20"/>
  <c r="Z305" i="20"/>
  <c r="Z313" i="20"/>
  <c r="Z321" i="20"/>
  <c r="Z329" i="20"/>
  <c r="Z337" i="20"/>
  <c r="Z345" i="20"/>
  <c r="Z353" i="20"/>
  <c r="Z361" i="20"/>
  <c r="Z369" i="20"/>
  <c r="Z377" i="20"/>
  <c r="Z385" i="20"/>
  <c r="Z393" i="20"/>
  <c r="Z401" i="20"/>
  <c r="Z409" i="20"/>
  <c r="Z417" i="20"/>
  <c r="Z425" i="20"/>
  <c r="Z433" i="20"/>
  <c r="Z441" i="20"/>
  <c r="Z449" i="20"/>
  <c r="Z457" i="20"/>
  <c r="Z465" i="20"/>
  <c r="Z473" i="20"/>
  <c r="Z481" i="20"/>
  <c r="Z489" i="20"/>
  <c r="Z497" i="20"/>
  <c r="Z505" i="20"/>
  <c r="Z513" i="20"/>
  <c r="Z521" i="20"/>
  <c r="Z529" i="20"/>
  <c r="Z537" i="20"/>
  <c r="Z545" i="20"/>
  <c r="Z553" i="20"/>
  <c r="Z561" i="20"/>
  <c r="Z569" i="20"/>
  <c r="Z577" i="20"/>
  <c r="Z585" i="20"/>
  <c r="Z593" i="20"/>
  <c r="Z601" i="20"/>
  <c r="Z609" i="20"/>
  <c r="Z617" i="20"/>
  <c r="Z625" i="20"/>
  <c r="Z633" i="20"/>
  <c r="Z641" i="20"/>
  <c r="Z649" i="20"/>
  <c r="Z657" i="20"/>
  <c r="Z665" i="20"/>
  <c r="Z673" i="20"/>
  <c r="Z681" i="20"/>
  <c r="Z689" i="20"/>
  <c r="Z697" i="20"/>
  <c r="Z705" i="20"/>
  <c r="Z713" i="20"/>
  <c r="Z42" i="20"/>
  <c r="Z50" i="20"/>
  <c r="Z58" i="20"/>
  <c r="Z66" i="20"/>
  <c r="Z74" i="20"/>
  <c r="Z82" i="20"/>
  <c r="Z90" i="20"/>
  <c r="Z98" i="20"/>
  <c r="Z106" i="20"/>
  <c r="Z114" i="20"/>
  <c r="Z122" i="20"/>
  <c r="Z130" i="20"/>
  <c r="Z138" i="20"/>
  <c r="Z146" i="20"/>
  <c r="Z154" i="20"/>
  <c r="Z162" i="20"/>
  <c r="Z170" i="20"/>
  <c r="Z178" i="20"/>
  <c r="Z186" i="20"/>
  <c r="Z194" i="20"/>
  <c r="Z202" i="20"/>
  <c r="Z210" i="20"/>
  <c r="Z218" i="20"/>
  <c r="Z226" i="20"/>
  <c r="Z234" i="20"/>
  <c r="Z242" i="20"/>
  <c r="Z250" i="20"/>
  <c r="Z258" i="20"/>
  <c r="Z266" i="20"/>
  <c r="Z274" i="20"/>
  <c r="Z282" i="20"/>
  <c r="Z290" i="20"/>
  <c r="Z298" i="20"/>
  <c r="Z306" i="20"/>
  <c r="Z314" i="20"/>
  <c r="Z322" i="20"/>
  <c r="Z330" i="20"/>
  <c r="Z338" i="20"/>
  <c r="Z346" i="20"/>
  <c r="Z354" i="20"/>
  <c r="Z362" i="20"/>
  <c r="Z370" i="20"/>
  <c r="Z378" i="20"/>
  <c r="Z386" i="20"/>
  <c r="Z394" i="20"/>
  <c r="Z402" i="20"/>
  <c r="Z410" i="20"/>
  <c r="Z418" i="20"/>
  <c r="Z426" i="20"/>
  <c r="Z434" i="20"/>
  <c r="Z442" i="20"/>
  <c r="Z450" i="20"/>
  <c r="Z458" i="20"/>
  <c r="Z466" i="20"/>
  <c r="Z474" i="20"/>
  <c r="Z482" i="20"/>
  <c r="Z490" i="20"/>
  <c r="Z498" i="20"/>
  <c r="Z506" i="20"/>
  <c r="Z514" i="20"/>
  <c r="Z522" i="20"/>
  <c r="Z530" i="20"/>
  <c r="Z538" i="20"/>
  <c r="Z546" i="20"/>
  <c r="Z554" i="20"/>
  <c r="Z562" i="20"/>
  <c r="Z570" i="20"/>
  <c r="Z578" i="20"/>
  <c r="Z586" i="20"/>
  <c r="Z594" i="20"/>
  <c r="Z602" i="20"/>
  <c r="Z610" i="20"/>
  <c r="Z618" i="20"/>
  <c r="Z626" i="20"/>
  <c r="Z634" i="20"/>
  <c r="Z642" i="20"/>
  <c r="Z650" i="20"/>
  <c r="Z658" i="20"/>
  <c r="Z666" i="20"/>
  <c r="Z674" i="20"/>
  <c r="Z682" i="20"/>
  <c r="Z690" i="20"/>
  <c r="Z698" i="20"/>
  <c r="Z706" i="20"/>
  <c r="Z714" i="20"/>
  <c r="Z43" i="20"/>
  <c r="Z51" i="20"/>
  <c r="Z59" i="20"/>
  <c r="Z67" i="20"/>
  <c r="Z75" i="20"/>
  <c r="Z83" i="20"/>
  <c r="Z91" i="20"/>
  <c r="Z99" i="20"/>
  <c r="Z107" i="20"/>
  <c r="Z115" i="20"/>
  <c r="Z123" i="20"/>
  <c r="Z131" i="20"/>
  <c r="Z139" i="20"/>
  <c r="Z147" i="20"/>
  <c r="Z155" i="20"/>
  <c r="Z163" i="20"/>
  <c r="Z171" i="20"/>
  <c r="Z179" i="20"/>
  <c r="Z187" i="20"/>
  <c r="Z195" i="20"/>
  <c r="Z203" i="20"/>
  <c r="Z211" i="20"/>
  <c r="Z219" i="20"/>
  <c r="Z227" i="20"/>
  <c r="Z235" i="20"/>
  <c r="Z243" i="20"/>
  <c r="Z251" i="20"/>
  <c r="Z259" i="20"/>
  <c r="Z267" i="20"/>
  <c r="Z275" i="20"/>
  <c r="Z283" i="20"/>
  <c r="Z291" i="20"/>
  <c r="Z299" i="20"/>
  <c r="Z307" i="20"/>
  <c r="Z315" i="20"/>
  <c r="Z323" i="20"/>
  <c r="Z331" i="20"/>
  <c r="Z339" i="20"/>
  <c r="Z347" i="20"/>
  <c r="Z355" i="20"/>
  <c r="Z363" i="20"/>
  <c r="Z371" i="20"/>
  <c r="Z379" i="20"/>
  <c r="Z387" i="20"/>
  <c r="Z395" i="20"/>
  <c r="Z403" i="20"/>
  <c r="Z411" i="20"/>
  <c r="Z419" i="20"/>
  <c r="Z427" i="20"/>
  <c r="Z435" i="20"/>
  <c r="Z443" i="20"/>
  <c r="Z451" i="20"/>
  <c r="Z459" i="20"/>
  <c r="Z467" i="20"/>
  <c r="Z475" i="20"/>
  <c r="Z483" i="20"/>
  <c r="Z491" i="20"/>
  <c r="Z499" i="20"/>
  <c r="Z507" i="20"/>
  <c r="Z515" i="20"/>
  <c r="Z523" i="20"/>
  <c r="Z531" i="20"/>
  <c r="Z539" i="20"/>
  <c r="Z547" i="20"/>
  <c r="Z555" i="20"/>
  <c r="Z563" i="20"/>
  <c r="Z571" i="20"/>
  <c r="Z579" i="20"/>
  <c r="Z587" i="20"/>
  <c r="Z595" i="20"/>
  <c r="Z603" i="20"/>
  <c r="Z611" i="20"/>
  <c r="Z619" i="20"/>
  <c r="Z627" i="20"/>
  <c r="Z635" i="20"/>
  <c r="Z643" i="20"/>
  <c r="Z651" i="20"/>
  <c r="Z659" i="20"/>
  <c r="Z667" i="20"/>
  <c r="Z675" i="20"/>
  <c r="Z683" i="20"/>
  <c r="Z691" i="20"/>
  <c r="Z699" i="20"/>
  <c r="Z707" i="20"/>
  <c r="Z715" i="20"/>
  <c r="Z36" i="20"/>
  <c r="Z44" i="20"/>
  <c r="Z52" i="20"/>
  <c r="Z60" i="20"/>
  <c r="Z68" i="20"/>
  <c r="Z76" i="20"/>
  <c r="Z84" i="20"/>
  <c r="Z92" i="20"/>
  <c r="Z100" i="20"/>
  <c r="Z108" i="20"/>
  <c r="Z116" i="20"/>
  <c r="Z124" i="20"/>
  <c r="Z132" i="20"/>
  <c r="Z140" i="20"/>
  <c r="Z148" i="20"/>
  <c r="Z156" i="20"/>
  <c r="Z164" i="20"/>
  <c r="Z172" i="20"/>
  <c r="Z180" i="20"/>
  <c r="Z188" i="20"/>
  <c r="Z196" i="20"/>
  <c r="Z204" i="20"/>
  <c r="Z212" i="20"/>
  <c r="Z220" i="20"/>
  <c r="Z228" i="20"/>
  <c r="Z236" i="20"/>
  <c r="Z244" i="20"/>
  <c r="Z252" i="20"/>
  <c r="Z260" i="20"/>
  <c r="Z268" i="20"/>
  <c r="Z276" i="20"/>
  <c r="Z284" i="20"/>
  <c r="Z292" i="20"/>
  <c r="Z300" i="20"/>
  <c r="Z308" i="20"/>
  <c r="Z316" i="20"/>
  <c r="Z324" i="20"/>
  <c r="Z332" i="20"/>
  <c r="Z340" i="20"/>
  <c r="Z348" i="20"/>
  <c r="Z356" i="20"/>
  <c r="Z364" i="20"/>
  <c r="Z372" i="20"/>
  <c r="Z380" i="20"/>
  <c r="Z388" i="20"/>
  <c r="Z396" i="20"/>
  <c r="Z404" i="20"/>
  <c r="Z412" i="20"/>
  <c r="Z420" i="20"/>
  <c r="Z428" i="20"/>
  <c r="Z436" i="20"/>
  <c r="Z444" i="20"/>
  <c r="Z452" i="20"/>
  <c r="Z460" i="20"/>
  <c r="Z468" i="20"/>
  <c r="Z476" i="20"/>
  <c r="Z484" i="20"/>
  <c r="Z492" i="20"/>
  <c r="Z500" i="20"/>
  <c r="Z508" i="20"/>
  <c r="Z516" i="20"/>
  <c r="Z524" i="20"/>
  <c r="Z532" i="20"/>
  <c r="Z540" i="20"/>
  <c r="Z556" i="20"/>
  <c r="Z816" i="20"/>
  <c r="Z880" i="20"/>
  <c r="Z944" i="20"/>
  <c r="Z1008" i="20"/>
  <c r="Z1033" i="20"/>
  <c r="Z564" i="20"/>
  <c r="Z628" i="20"/>
  <c r="Z692" i="20"/>
  <c r="Z721" i="20"/>
  <c r="Z729" i="20"/>
  <c r="Z737" i="20"/>
  <c r="Z745" i="20"/>
  <c r="Z753" i="20"/>
  <c r="Z761" i="20"/>
  <c r="Z769" i="20"/>
  <c r="Z777" i="20"/>
  <c r="Z785" i="20"/>
  <c r="Z793" i="20"/>
  <c r="Z801" i="20"/>
  <c r="Z809" i="20"/>
  <c r="Z817" i="20"/>
  <c r="Z825" i="20"/>
  <c r="Z833" i="20"/>
  <c r="Z841" i="20"/>
  <c r="Z849" i="20"/>
  <c r="Z857" i="20"/>
  <c r="Z865" i="20"/>
  <c r="Z873" i="20"/>
  <c r="Z881" i="20"/>
  <c r="Z889" i="20"/>
  <c r="Z897" i="20"/>
  <c r="Z905" i="20"/>
  <c r="Z913" i="20"/>
  <c r="Z921" i="20"/>
  <c r="Z929" i="20"/>
  <c r="Z937" i="20"/>
  <c r="Z945" i="20"/>
  <c r="Z953" i="20"/>
  <c r="Z961" i="20"/>
  <c r="Z969" i="20"/>
  <c r="Z977" i="20"/>
  <c r="Z985" i="20"/>
  <c r="Z993" i="20"/>
  <c r="Z1001" i="20"/>
  <c r="Z572" i="20"/>
  <c r="Z636" i="20"/>
  <c r="Z700" i="20"/>
  <c r="Z722" i="20"/>
  <c r="Z730" i="20"/>
  <c r="Z738" i="20"/>
  <c r="Z746" i="20"/>
  <c r="Z754" i="20"/>
  <c r="Z762" i="20"/>
  <c r="Z770" i="20"/>
  <c r="Z778" i="20"/>
  <c r="Z786" i="20"/>
  <c r="Z794" i="20"/>
  <c r="Z802" i="20"/>
  <c r="Z810" i="20"/>
  <c r="Z818" i="20"/>
  <c r="Z826" i="20"/>
  <c r="Z834" i="20"/>
  <c r="Z842" i="20"/>
  <c r="Z850" i="20"/>
  <c r="Z858" i="20"/>
  <c r="Z866" i="20"/>
  <c r="Z874" i="20"/>
  <c r="Z882" i="20"/>
  <c r="Z890" i="20"/>
  <c r="Z898" i="20"/>
  <c r="Z906" i="20"/>
  <c r="Z914" i="20"/>
  <c r="Z922" i="20"/>
  <c r="Z930" i="20"/>
  <c r="Z938" i="20"/>
  <c r="Z946" i="20"/>
  <c r="Z954" i="20"/>
  <c r="Z962" i="20"/>
  <c r="Z970" i="20"/>
  <c r="Z978" i="20"/>
  <c r="Z986" i="20"/>
  <c r="Z994" i="20"/>
  <c r="Z1002" i="20"/>
  <c r="Z1010" i="20"/>
  <c r="Z1018" i="20"/>
  <c r="Z1026" i="20"/>
  <c r="Z1034" i="20"/>
  <c r="Z620" i="20"/>
  <c r="Z768" i="20"/>
  <c r="Z832" i="20"/>
  <c r="Z888" i="20"/>
  <c r="Z936" i="20"/>
  <c r="Z992" i="20"/>
  <c r="Z1009" i="20"/>
  <c r="Z580" i="20"/>
  <c r="Z644" i="20"/>
  <c r="Z708" i="20"/>
  <c r="Z723" i="20"/>
  <c r="Z731" i="20"/>
  <c r="Z739" i="20"/>
  <c r="Z747" i="20"/>
  <c r="Z755" i="20"/>
  <c r="Z763" i="20"/>
  <c r="Z771" i="20"/>
  <c r="Z779" i="20"/>
  <c r="Z787" i="20"/>
  <c r="Z795" i="20"/>
  <c r="Z803" i="20"/>
  <c r="Z811" i="20"/>
  <c r="Z819" i="20"/>
  <c r="Z827" i="20"/>
  <c r="Z835" i="20"/>
  <c r="Z843" i="20"/>
  <c r="Z851" i="20"/>
  <c r="Z859" i="20"/>
  <c r="Z867" i="20"/>
  <c r="Z875" i="20"/>
  <c r="Z883" i="20"/>
  <c r="Z891" i="20"/>
  <c r="Z899" i="20"/>
  <c r="Z907" i="20"/>
  <c r="Z915" i="20"/>
  <c r="Z923" i="20"/>
  <c r="Z931" i="20"/>
  <c r="Z939" i="20"/>
  <c r="Z947" i="20"/>
  <c r="Z955" i="20"/>
  <c r="Z963" i="20"/>
  <c r="Z971" i="20"/>
  <c r="Z979" i="20"/>
  <c r="Z987" i="20"/>
  <c r="Z995" i="20"/>
  <c r="Z1003" i="20"/>
  <c r="Z1011" i="20"/>
  <c r="Z1019" i="20"/>
  <c r="Z1027" i="20"/>
  <c r="Z35" i="20"/>
  <c r="Z720" i="20"/>
  <c r="Z784" i="20"/>
  <c r="Z840" i="20"/>
  <c r="Z896" i="20"/>
  <c r="Z952" i="20"/>
  <c r="Z1000" i="20"/>
  <c r="Z1025" i="20"/>
  <c r="Z588" i="20"/>
  <c r="Z652" i="20"/>
  <c r="Z716" i="20"/>
  <c r="Z724" i="20"/>
  <c r="Z732" i="20"/>
  <c r="Z740" i="20"/>
  <c r="Z748" i="20"/>
  <c r="Z756" i="20"/>
  <c r="Z764" i="20"/>
  <c r="Z772" i="20"/>
  <c r="Z780" i="20"/>
  <c r="Z788" i="20"/>
  <c r="Z796" i="20"/>
  <c r="Z804" i="20"/>
  <c r="Z812" i="20"/>
  <c r="Z820" i="20"/>
  <c r="Z828" i="20"/>
  <c r="Z836" i="20"/>
  <c r="Z844" i="20"/>
  <c r="Z852" i="20"/>
  <c r="Z860" i="20"/>
  <c r="Z868" i="20"/>
  <c r="Z876" i="20"/>
  <c r="Z884" i="20"/>
  <c r="Z892" i="20"/>
  <c r="Z900" i="20"/>
  <c r="Z908" i="20"/>
  <c r="Z916" i="20"/>
  <c r="Z924" i="20"/>
  <c r="Z932" i="20"/>
  <c r="Z940" i="20"/>
  <c r="Z948" i="20"/>
  <c r="Z956" i="20"/>
  <c r="Z964" i="20"/>
  <c r="Z972" i="20"/>
  <c r="Z980" i="20"/>
  <c r="Z988" i="20"/>
  <c r="Z996" i="20"/>
  <c r="Z1004" i="20"/>
  <c r="Z1012" i="20"/>
  <c r="Z1020" i="20"/>
  <c r="Z1028" i="20"/>
  <c r="Z684" i="20"/>
  <c r="Z752" i="20"/>
  <c r="Z800" i="20"/>
  <c r="Z856" i="20"/>
  <c r="Z912" i="20"/>
  <c r="Z968" i="20"/>
  <c r="Z1024" i="20"/>
  <c r="Z596" i="20"/>
  <c r="Z660" i="20"/>
  <c r="Z717" i="20"/>
  <c r="Z725" i="20"/>
  <c r="Z733" i="20"/>
  <c r="Z741" i="20"/>
  <c r="Z749" i="20"/>
  <c r="Z757" i="20"/>
  <c r="Z765" i="20"/>
  <c r="Z773" i="20"/>
  <c r="Z781" i="20"/>
  <c r="Z789" i="20"/>
  <c r="Z797" i="20"/>
  <c r="Z805" i="20"/>
  <c r="Z813" i="20"/>
  <c r="Z821" i="20"/>
  <c r="Z829" i="20"/>
  <c r="Z837" i="20"/>
  <c r="Z845" i="20"/>
  <c r="Z853" i="20"/>
  <c r="Z861" i="20"/>
  <c r="Z869" i="20"/>
  <c r="Z877" i="20"/>
  <c r="Z885" i="20"/>
  <c r="Z893" i="20"/>
  <c r="Z901" i="20"/>
  <c r="Z909" i="20"/>
  <c r="Z917" i="20"/>
  <c r="Z925" i="20"/>
  <c r="Z933" i="20"/>
  <c r="Z941" i="20"/>
  <c r="Z949" i="20"/>
  <c r="Z957" i="20"/>
  <c r="Z965" i="20"/>
  <c r="Z973" i="20"/>
  <c r="Z981" i="20"/>
  <c r="Z989" i="20"/>
  <c r="Z997" i="20"/>
  <c r="Z1005" i="20"/>
  <c r="Z1013" i="20"/>
  <c r="Z1021" i="20"/>
  <c r="Z1029" i="20"/>
  <c r="Z744" i="20"/>
  <c r="Z792" i="20"/>
  <c r="Z848" i="20"/>
  <c r="Z904" i="20"/>
  <c r="Z960" i="20"/>
  <c r="Z1016" i="20"/>
  <c r="Z604" i="20"/>
  <c r="Z668" i="20"/>
  <c r="Z718" i="20"/>
  <c r="Z726" i="20"/>
  <c r="Z734" i="20"/>
  <c r="Z742" i="20"/>
  <c r="Z750" i="20"/>
  <c r="Z758" i="20"/>
  <c r="Z766" i="20"/>
  <c r="Z774" i="20"/>
  <c r="Z782" i="20"/>
  <c r="Z790" i="20"/>
  <c r="Z798" i="20"/>
  <c r="Z806" i="20"/>
  <c r="Z814" i="20"/>
  <c r="Z822" i="20"/>
  <c r="Z830" i="20"/>
  <c r="Z838" i="20"/>
  <c r="Z846" i="20"/>
  <c r="Z854" i="20"/>
  <c r="Z862" i="20"/>
  <c r="Z870" i="20"/>
  <c r="Z878" i="20"/>
  <c r="Z886" i="20"/>
  <c r="Z894" i="20"/>
  <c r="Z902" i="20"/>
  <c r="Z910" i="20"/>
  <c r="Z918" i="20"/>
  <c r="Z926" i="20"/>
  <c r="Z934" i="20"/>
  <c r="Z942" i="20"/>
  <c r="Z950" i="20"/>
  <c r="Z958" i="20"/>
  <c r="Z966" i="20"/>
  <c r="Z974" i="20"/>
  <c r="Z982" i="20"/>
  <c r="Z990" i="20"/>
  <c r="Z998" i="20"/>
  <c r="Z1006" i="20"/>
  <c r="Z1014" i="20"/>
  <c r="Z1022" i="20"/>
  <c r="Z1030" i="20"/>
  <c r="Z736" i="20"/>
  <c r="Z776" i="20"/>
  <c r="Z824" i="20"/>
  <c r="Z872" i="20"/>
  <c r="Z928" i="20"/>
  <c r="Z984" i="20"/>
  <c r="Z1017" i="20"/>
  <c r="Z548" i="20"/>
  <c r="Z612" i="20"/>
  <c r="Z676" i="20"/>
  <c r="Z719" i="20"/>
  <c r="Z727" i="20"/>
  <c r="Z735" i="20"/>
  <c r="Z743" i="20"/>
  <c r="Z751" i="20"/>
  <c r="Z759" i="20"/>
  <c r="Z767" i="20"/>
  <c r="Z775" i="20"/>
  <c r="Z783" i="20"/>
  <c r="Z791" i="20"/>
  <c r="Z799" i="20"/>
  <c r="Z807" i="20"/>
  <c r="Z815" i="20"/>
  <c r="Z823" i="20"/>
  <c r="Z831" i="20"/>
  <c r="Z839" i="20"/>
  <c r="Z847" i="20"/>
  <c r="Z855" i="20"/>
  <c r="Z863" i="20"/>
  <c r="Z871" i="20"/>
  <c r="Z879" i="20"/>
  <c r="Z887" i="20"/>
  <c r="Z895" i="20"/>
  <c r="Z903" i="20"/>
  <c r="Z911" i="20"/>
  <c r="Z919" i="20"/>
  <c r="Z927" i="20"/>
  <c r="Z935" i="20"/>
  <c r="Z943" i="20"/>
  <c r="Z951" i="20"/>
  <c r="Z959" i="20"/>
  <c r="Z967" i="20"/>
  <c r="Z975" i="20"/>
  <c r="Z983" i="20"/>
  <c r="Z991" i="20"/>
  <c r="Z999" i="20"/>
  <c r="Z1007" i="20"/>
  <c r="Z1015" i="20"/>
  <c r="Z1023" i="20"/>
  <c r="Z1031" i="20"/>
  <c r="Z728" i="20"/>
  <c r="Z760" i="20"/>
  <c r="Z808" i="20"/>
  <c r="Z864" i="20"/>
  <c r="Z920" i="20"/>
  <c r="Z976" i="20"/>
  <c r="Z1032" i="20"/>
  <c r="J50" i="14"/>
  <c r="F80" i="14"/>
  <c r="J33" i="14"/>
  <c r="F63" i="14"/>
  <c r="J36" i="14"/>
  <c r="F66" i="14"/>
  <c r="J42" i="14"/>
  <c r="F72" i="14"/>
  <c r="J47" i="14"/>
  <c r="F77" i="14"/>
  <c r="J39" i="14"/>
  <c r="F69" i="14"/>
  <c r="J37" i="14"/>
  <c r="F67" i="14"/>
  <c r="J34" i="14"/>
  <c r="F64" i="14"/>
  <c r="J49" i="14"/>
  <c r="F79" i="14"/>
  <c r="J45" i="14"/>
  <c r="F75" i="14"/>
  <c r="J40" i="14"/>
  <c r="F70" i="14"/>
  <c r="J41" i="14"/>
  <c r="F71" i="14"/>
  <c r="AF44" i="14"/>
  <c r="BO44" i="14" s="1"/>
  <c r="J38" i="14"/>
  <c r="F68" i="14"/>
  <c r="J35" i="14"/>
  <c r="F65" i="14"/>
  <c r="J43" i="14"/>
  <c r="F73" i="14"/>
  <c r="J32" i="14"/>
  <c r="F62" i="14"/>
  <c r="J46" i="14"/>
  <c r="F76" i="14"/>
  <c r="J48" i="14"/>
  <c r="F78" i="14"/>
  <c r="G55" i="5"/>
  <c r="H55" i="5" s="1"/>
  <c r="D161" i="29" s="1"/>
  <c r="H33" i="5"/>
  <c r="C139" i="29" s="1"/>
  <c r="AK32" i="14"/>
  <c r="AM32" i="14" s="1"/>
  <c r="AD32" i="14"/>
  <c r="W32" i="14"/>
  <c r="Y32" i="14" s="1"/>
  <c r="AR32" i="14"/>
  <c r="AT32" i="14" s="1"/>
  <c r="G29" i="7"/>
  <c r="W37" i="14"/>
  <c r="Y37" i="14" s="1"/>
  <c r="AR37" i="14"/>
  <c r="AT37" i="14" s="1"/>
  <c r="AD37" i="14"/>
  <c r="AK37" i="14"/>
  <c r="AM37" i="14" s="1"/>
  <c r="W41" i="14"/>
  <c r="Y41" i="14" s="1"/>
  <c r="AR41" i="14"/>
  <c r="AT41" i="14" s="1"/>
  <c r="AD41" i="14"/>
  <c r="AK41" i="14"/>
  <c r="AM41" i="14" s="1"/>
  <c r="AK50" i="14"/>
  <c r="AM50" i="14" s="1"/>
  <c r="W50" i="14"/>
  <c r="Y50" i="14" s="1"/>
  <c r="AR50" i="14"/>
  <c r="AT50" i="14" s="1"/>
  <c r="AD50" i="14"/>
  <c r="J7" i="7"/>
  <c r="P7" i="7"/>
  <c r="AL26" i="20"/>
  <c r="AL29" i="20"/>
  <c r="AL28" i="20"/>
  <c r="AL27" i="20"/>
  <c r="AL25" i="20"/>
  <c r="AL24" i="20"/>
  <c r="AH74" i="14"/>
  <c r="V104" i="14"/>
  <c r="AU44" i="14"/>
  <c r="V74" i="14"/>
  <c r="AK34" i="14"/>
  <c r="AM34" i="14" s="1"/>
  <c r="AR34" i="14"/>
  <c r="AT34" i="14" s="1"/>
  <c r="W34" i="14"/>
  <c r="Y34" i="14" s="1"/>
  <c r="AD34" i="14"/>
  <c r="P16" i="7"/>
  <c r="J16" i="7"/>
  <c r="J25" i="7"/>
  <c r="P25" i="7"/>
  <c r="R6" i="7"/>
  <c r="J9" i="7"/>
  <c r="P9" i="7"/>
  <c r="AK42" i="14"/>
  <c r="AM42" i="14" s="1"/>
  <c r="AD42" i="14"/>
  <c r="AR42" i="14"/>
  <c r="AT42" i="14" s="1"/>
  <c r="W42" i="14"/>
  <c r="Y42" i="14" s="1"/>
  <c r="W47" i="14"/>
  <c r="Y47" i="14" s="1"/>
  <c r="AK47" i="14"/>
  <c r="AM47" i="14" s="1"/>
  <c r="AR47" i="14"/>
  <c r="AT47" i="14" s="1"/>
  <c r="AD47" i="14"/>
  <c r="D29" i="7"/>
  <c r="AJ74" i="14"/>
  <c r="X74" i="14"/>
  <c r="AW44" i="14"/>
  <c r="X104" i="14"/>
  <c r="J21" i="7"/>
  <c r="P21" i="7"/>
  <c r="J17" i="7"/>
  <c r="P17" i="7"/>
  <c r="P22" i="7"/>
  <c r="J22" i="7"/>
  <c r="J8" i="7"/>
  <c r="P8" i="7"/>
  <c r="I6" i="7"/>
  <c r="H29" i="7"/>
  <c r="I29" i="7" s="1"/>
  <c r="Q5" i="14"/>
  <c r="H31" i="14" s="1"/>
  <c r="AK46" i="14"/>
  <c r="AM46" i="14" s="1"/>
  <c r="W46" i="14"/>
  <c r="Y46" i="14" s="1"/>
  <c r="AD46" i="14"/>
  <c r="AR46" i="14"/>
  <c r="AT46" i="14" s="1"/>
  <c r="W35" i="14"/>
  <c r="Y35" i="14" s="1"/>
  <c r="AK35" i="14"/>
  <c r="AM35" i="14" s="1"/>
  <c r="AD35" i="14"/>
  <c r="AR35" i="14"/>
  <c r="AT35" i="14" s="1"/>
  <c r="W49" i="14"/>
  <c r="Y49" i="14" s="1"/>
  <c r="AK49" i="14"/>
  <c r="AM49" i="14" s="1"/>
  <c r="AD49" i="14"/>
  <c r="AR49" i="14"/>
  <c r="AT49" i="14" s="1"/>
  <c r="W45" i="14"/>
  <c r="Y45" i="14" s="1"/>
  <c r="AK45" i="14"/>
  <c r="AM45" i="14" s="1"/>
  <c r="AD45" i="14"/>
  <c r="AR45" i="14"/>
  <c r="AT45" i="14" s="1"/>
  <c r="W33" i="14"/>
  <c r="Y33" i="14" s="1"/>
  <c r="AR33" i="14"/>
  <c r="AT33" i="14" s="1"/>
  <c r="AD33" i="14"/>
  <c r="AK33" i="14"/>
  <c r="AM33" i="14" s="1"/>
  <c r="BO68" i="15"/>
  <c r="BP67" i="15"/>
  <c r="AK38" i="14"/>
  <c r="AM38" i="14" s="1"/>
  <c r="AR38" i="14"/>
  <c r="AT38" i="14" s="1"/>
  <c r="W38" i="14"/>
  <c r="Y38" i="14" s="1"/>
  <c r="AD38" i="14"/>
  <c r="P10" i="7"/>
  <c r="J10" i="7"/>
  <c r="J24" i="7"/>
  <c r="P24" i="7"/>
  <c r="J20" i="7"/>
  <c r="P20" i="7"/>
  <c r="AK40" i="14"/>
  <c r="AM40" i="14" s="1"/>
  <c r="AR40" i="14"/>
  <c r="AT40" i="14" s="1"/>
  <c r="AD40" i="14"/>
  <c r="W40" i="14"/>
  <c r="Y40" i="14" s="1"/>
  <c r="W39" i="14"/>
  <c r="Y39" i="14" s="1"/>
  <c r="AR39" i="14"/>
  <c r="AT39" i="14" s="1"/>
  <c r="AD39" i="14"/>
  <c r="AK39" i="14"/>
  <c r="AM39" i="14" s="1"/>
  <c r="I8" i="15"/>
  <c r="F8" i="15"/>
  <c r="G8" i="15"/>
  <c r="J11" i="7"/>
  <c r="P11" i="7"/>
  <c r="J13" i="7"/>
  <c r="P13" i="7"/>
  <c r="W43" i="14"/>
  <c r="Y43" i="14" s="1"/>
  <c r="AR43" i="14"/>
  <c r="AT43" i="14" s="1"/>
  <c r="AD43" i="14"/>
  <c r="AK43" i="14"/>
  <c r="AM43" i="14" s="1"/>
  <c r="AK989" i="20"/>
  <c r="AK976" i="20"/>
  <c r="AK918" i="20"/>
  <c r="AK886" i="20"/>
  <c r="AK837" i="20"/>
  <c r="AK798" i="20"/>
  <c r="AK733" i="20"/>
  <c r="AK639" i="20"/>
  <c r="AK598" i="20"/>
  <c r="AK570" i="20"/>
  <c r="AK475" i="20"/>
  <c r="AK488" i="20"/>
  <c r="AK383" i="20"/>
  <c r="AK322" i="20"/>
  <c r="AK246" i="20"/>
  <c r="AK177" i="20"/>
  <c r="AK197" i="20"/>
  <c r="AK142" i="20"/>
  <c r="AK54" i="20"/>
  <c r="AK991" i="20"/>
  <c r="AK936" i="20"/>
  <c r="AK891" i="20"/>
  <c r="AK932" i="20"/>
  <c r="AK800" i="20"/>
  <c r="AK745" i="20"/>
  <c r="AK769" i="20"/>
  <c r="AK667" i="20"/>
  <c r="AK600" i="20"/>
  <c r="AK556" i="20"/>
  <c r="AK468" i="20"/>
  <c r="AK424" i="20"/>
  <c r="AK360" i="20"/>
  <c r="AK324" i="20"/>
  <c r="AK431" i="20"/>
  <c r="AK249" i="20"/>
  <c r="AK218" i="20"/>
  <c r="AK52" i="20"/>
  <c r="AK110" i="20"/>
  <c r="AK1005" i="20"/>
  <c r="AK996" i="20"/>
  <c r="AK943" i="20"/>
  <c r="AK905" i="20"/>
  <c r="AK830" i="20"/>
  <c r="AK797" i="20"/>
  <c r="AK732" i="20"/>
  <c r="AK715" i="20"/>
  <c r="AK670" i="20"/>
  <c r="AK576" i="20"/>
  <c r="AK490" i="20"/>
  <c r="AK494" i="20"/>
  <c r="AK534" i="20"/>
  <c r="AK380" i="20"/>
  <c r="AK295" i="20"/>
  <c r="AK298" i="20"/>
  <c r="AK133" i="20"/>
  <c r="AK67" i="20"/>
  <c r="AK39" i="20"/>
  <c r="AK969" i="20"/>
  <c r="AK871" i="20"/>
  <c r="AK815" i="20"/>
  <c r="AK802" i="20"/>
  <c r="AK678" i="20"/>
  <c r="AK717" i="20"/>
  <c r="AK613" i="20"/>
  <c r="AK569" i="20"/>
  <c r="AK426" i="20"/>
  <c r="AK430" i="20"/>
  <c r="AK471" i="20"/>
  <c r="AK261" i="20"/>
  <c r="AK275" i="20"/>
  <c r="AK204" i="20"/>
  <c r="AK106" i="20"/>
  <c r="AK69" i="20"/>
  <c r="AK126" i="20"/>
  <c r="AK1032" i="20"/>
  <c r="AK950" i="20"/>
  <c r="AK940" i="20"/>
  <c r="AK857" i="20"/>
  <c r="AK801" i="20"/>
  <c r="AK793" i="20"/>
  <c r="AK679" i="20"/>
  <c r="AK701" i="20"/>
  <c r="AK599" i="20"/>
  <c r="AK563" i="20"/>
  <c r="AK433" i="20"/>
  <c r="AK453" i="20"/>
  <c r="AK382" i="20"/>
  <c r="AK386" i="20"/>
  <c r="AK310" i="20"/>
  <c r="AK305" i="20"/>
  <c r="AK140" i="20"/>
  <c r="AK53" i="20"/>
  <c r="AK120" i="20"/>
  <c r="AK1018" i="20"/>
  <c r="AK746" i="20"/>
  <c r="AK666" i="20"/>
  <c r="AK593" i="20"/>
  <c r="AK541" i="20"/>
  <c r="AK532" i="20"/>
  <c r="AK381" i="20"/>
  <c r="AK401" i="20"/>
  <c r="AK419" i="20"/>
  <c r="AK231" i="20"/>
  <c r="AK170" i="20"/>
  <c r="AK192" i="20"/>
  <c r="AK108" i="20"/>
  <c r="AK111" i="20"/>
  <c r="AK1021" i="20"/>
  <c r="AK959" i="20"/>
  <c r="AK876" i="20"/>
  <c r="AK858" i="20"/>
  <c r="AK803" i="20"/>
  <c r="AK723" i="20"/>
  <c r="AK714" i="20"/>
  <c r="AK629" i="20"/>
  <c r="AK587" i="20"/>
  <c r="AK497" i="20"/>
  <c r="AK517" i="20"/>
  <c r="AK535" i="20"/>
  <c r="AK337" i="20"/>
  <c r="AK268" i="20"/>
  <c r="AK280" i="20"/>
  <c r="AK155" i="20"/>
  <c r="AK89" i="20"/>
  <c r="AK150" i="20"/>
  <c r="AK36" i="20"/>
  <c r="AK1016" i="20"/>
  <c r="AK77" i="20"/>
  <c r="AK97" i="20"/>
  <c r="AK281" i="20"/>
  <c r="AK239" i="20"/>
  <c r="AK388" i="20"/>
  <c r="AK326" i="20"/>
  <c r="AK461" i="20"/>
  <c r="AK505" i="20"/>
  <c r="AK601" i="20"/>
  <c r="AK684" i="20"/>
  <c r="AK686" i="20"/>
  <c r="AK835" i="20"/>
  <c r="AK852" i="20"/>
  <c r="AK899" i="20"/>
  <c r="AK986" i="20"/>
  <c r="AK87" i="20"/>
  <c r="AK60" i="20"/>
  <c r="AK208" i="20"/>
  <c r="AK129" i="20"/>
  <c r="AK262" i="20"/>
  <c r="AK402" i="20"/>
  <c r="AK333" i="20"/>
  <c r="AK484" i="20"/>
  <c r="AK572" i="20"/>
  <c r="AK615" i="20"/>
  <c r="AK655" i="20"/>
  <c r="AK748" i="20"/>
  <c r="AK763" i="20"/>
  <c r="AK863" i="20"/>
  <c r="AK934" i="20"/>
  <c r="AK988" i="20"/>
  <c r="AK51" i="20"/>
  <c r="AK91" i="20"/>
  <c r="AK225" i="20"/>
  <c r="AK235" i="20"/>
  <c r="AK285" i="20"/>
  <c r="AK479" i="20"/>
  <c r="AK448" i="20"/>
  <c r="AK499" i="20"/>
  <c r="AK610" i="20"/>
  <c r="AK661" i="20"/>
  <c r="AK819" i="20"/>
  <c r="AK777" i="20"/>
  <c r="AK824" i="20"/>
  <c r="AK895" i="20"/>
  <c r="AK946" i="20"/>
  <c r="AK1028" i="20"/>
  <c r="AK215" i="20"/>
  <c r="AK191" i="20"/>
  <c r="AK187" i="20"/>
  <c r="AK312" i="20"/>
  <c r="AK348" i="20"/>
  <c r="AK415" i="20"/>
  <c r="AK526" i="20"/>
  <c r="AK465" i="20"/>
  <c r="AK619" i="20"/>
  <c r="AK634" i="20"/>
  <c r="AK711" i="20"/>
  <c r="AK766" i="20"/>
  <c r="AK820" i="20"/>
  <c r="AK908" i="20"/>
  <c r="AK970" i="20"/>
  <c r="AK96" i="20"/>
  <c r="AK82" i="20"/>
  <c r="AK131" i="20"/>
  <c r="AK256" i="20"/>
  <c r="AK308" i="20"/>
  <c r="AK359" i="20"/>
  <c r="AK470" i="20"/>
  <c r="AK530" i="20"/>
  <c r="AK559" i="20"/>
  <c r="AK643" i="20"/>
  <c r="AK712" i="20"/>
  <c r="AK775" i="20"/>
  <c r="AK813" i="20"/>
  <c r="AK901" i="20"/>
  <c r="AK1004" i="20"/>
  <c r="AK103" i="20"/>
  <c r="AK233" i="20"/>
  <c r="AK181" i="20"/>
  <c r="AK241" i="20"/>
  <c r="AK245" i="20"/>
  <c r="AK385" i="20"/>
  <c r="AK447" i="20"/>
  <c r="AK459" i="20"/>
  <c r="AK554" i="20"/>
  <c r="AK597" i="20"/>
  <c r="AK699" i="20"/>
  <c r="AK730" i="20"/>
  <c r="AK849" i="20"/>
  <c r="AK912" i="20"/>
  <c r="AK947" i="20"/>
  <c r="AK1001" i="20"/>
  <c r="AK190" i="20"/>
  <c r="AK123" i="20"/>
  <c r="AK132" i="20"/>
  <c r="AK267" i="20"/>
  <c r="AK317" i="20"/>
  <c r="AK352" i="20"/>
  <c r="AK480" i="20"/>
  <c r="AK574" i="20"/>
  <c r="AK561" i="20"/>
  <c r="AK620" i="20"/>
  <c r="AK706" i="20"/>
  <c r="AK737" i="20"/>
  <c r="AK807" i="20"/>
  <c r="AK878" i="20"/>
  <c r="AK953" i="20"/>
  <c r="AK1027" i="20"/>
  <c r="AK98" i="20"/>
  <c r="AK272" i="20"/>
  <c r="AK375" i="20"/>
  <c r="AK425" i="20"/>
  <c r="AK659" i="20"/>
  <c r="AK791" i="20"/>
  <c r="AK972" i="20"/>
  <c r="AK269" i="20"/>
  <c r="AK409" i="20"/>
  <c r="AK483" i="20"/>
  <c r="AK743" i="20"/>
  <c r="AK1029" i="20"/>
  <c r="AK58" i="20"/>
  <c r="AK284" i="20"/>
  <c r="AK708" i="20"/>
  <c r="AK846" i="20"/>
  <c r="AK93" i="20"/>
  <c r="AK404" i="20"/>
  <c r="AK617" i="20"/>
  <c r="AK897" i="20"/>
  <c r="AK167" i="20"/>
  <c r="AK209" i="20"/>
  <c r="AK443" i="20"/>
  <c r="AK755" i="20"/>
  <c r="AK1010" i="20"/>
  <c r="AK153" i="20"/>
  <c r="AK508" i="20"/>
  <c r="AK761" i="20"/>
  <c r="AK917" i="20"/>
  <c r="AK73" i="20"/>
  <c r="AK463" i="20"/>
  <c r="AK685" i="20"/>
  <c r="AK836" i="20"/>
  <c r="AK287" i="20"/>
  <c r="AK533" i="20"/>
  <c r="AK789" i="20"/>
  <c r="AK59" i="20"/>
  <c r="AK467" i="20"/>
  <c r="AK978" i="20"/>
  <c r="AK94" i="20"/>
  <c r="AK182" i="20"/>
  <c r="AK136" i="20"/>
  <c r="AK178" i="20"/>
  <c r="AK303" i="20"/>
  <c r="AK330" i="20"/>
  <c r="AK390" i="20"/>
  <c r="AK525" i="20"/>
  <c r="AK549" i="20"/>
  <c r="AK608" i="20"/>
  <c r="AK632" i="20"/>
  <c r="AK741" i="20"/>
  <c r="AK810" i="20"/>
  <c r="AK865" i="20"/>
  <c r="AK921" i="20"/>
  <c r="AK974" i="20"/>
  <c r="AK86" i="20"/>
  <c r="AK124" i="20"/>
  <c r="AK149" i="20"/>
  <c r="AK193" i="20"/>
  <c r="AK371" i="20"/>
  <c r="AK353" i="20"/>
  <c r="AK397" i="20"/>
  <c r="AK427" i="20"/>
  <c r="AK579" i="20"/>
  <c r="AK614" i="20"/>
  <c r="AK751" i="20"/>
  <c r="AK739" i="20"/>
  <c r="AK817" i="20"/>
  <c r="AK880" i="20"/>
  <c r="AK941" i="20"/>
  <c r="AK994" i="20"/>
  <c r="AK207" i="20"/>
  <c r="AK250" i="20"/>
  <c r="AK164" i="20"/>
  <c r="AK299" i="20"/>
  <c r="AK228" i="20"/>
  <c r="AK384" i="20"/>
  <c r="AK512" i="20"/>
  <c r="AK450" i="20"/>
  <c r="AK536" i="20"/>
  <c r="AK630" i="20"/>
  <c r="AK689" i="20"/>
  <c r="AK728" i="20"/>
  <c r="AK839" i="20"/>
  <c r="AK910" i="20"/>
  <c r="AK968" i="20"/>
  <c r="AK1017" i="20"/>
  <c r="AK101" i="20"/>
  <c r="AK121" i="20"/>
  <c r="AK138" i="20"/>
  <c r="AK263" i="20"/>
  <c r="AK412" i="20"/>
  <c r="AK350" i="20"/>
  <c r="AK485" i="20"/>
  <c r="AK529" i="20"/>
  <c r="AK625" i="20"/>
  <c r="AK649" i="20"/>
  <c r="AK710" i="20"/>
  <c r="AK765" i="20"/>
  <c r="AK851" i="20"/>
  <c r="AK916" i="20"/>
  <c r="AK977" i="20"/>
  <c r="AK297" i="20"/>
  <c r="AK65" i="20"/>
  <c r="AK195" i="20"/>
  <c r="AK320" i="20"/>
  <c r="AK356" i="20"/>
  <c r="AK423" i="20"/>
  <c r="AK429" i="20"/>
  <c r="AK473" i="20"/>
  <c r="AK653" i="20"/>
  <c r="AK642" i="20"/>
  <c r="AK727" i="20"/>
  <c r="AK774" i="20"/>
  <c r="AK828" i="20"/>
  <c r="AK867" i="20"/>
  <c r="AK975" i="20"/>
  <c r="AK127" i="20"/>
  <c r="AK115" i="20"/>
  <c r="AK331" i="20"/>
  <c r="AK259" i="20"/>
  <c r="AK309" i="20"/>
  <c r="AK344" i="20"/>
  <c r="AK472" i="20"/>
  <c r="AK523" i="20"/>
  <c r="AK553" i="20"/>
  <c r="AK612" i="20"/>
  <c r="AK698" i="20"/>
  <c r="AK729" i="20"/>
  <c r="AK848" i="20"/>
  <c r="AK870" i="20"/>
  <c r="AK945" i="20"/>
  <c r="AK1019" i="20"/>
  <c r="AK50" i="20"/>
  <c r="AK49" i="20"/>
  <c r="AK196" i="20"/>
  <c r="AK411" i="20"/>
  <c r="AK260" i="20"/>
  <c r="AK416" i="20"/>
  <c r="AK550" i="20"/>
  <c r="AK482" i="20"/>
  <c r="AK568" i="20"/>
  <c r="AK662" i="20"/>
  <c r="AK735" i="20"/>
  <c r="AK792" i="20"/>
  <c r="AK822" i="20"/>
  <c r="AK931" i="20"/>
  <c r="AK979" i="20"/>
  <c r="AK1024" i="20"/>
  <c r="AK112" i="20"/>
  <c r="AK147" i="20"/>
  <c r="AK355" i="20"/>
  <c r="AK486" i="20"/>
  <c r="AK575" i="20"/>
  <c r="AK799" i="20"/>
  <c r="AK829" i="20"/>
  <c r="AK75" i="20"/>
  <c r="AK578" i="20"/>
  <c r="AK808" i="20"/>
  <c r="AK1000" i="20"/>
  <c r="AK232" i="20"/>
  <c r="AK660" i="20"/>
  <c r="AK877" i="20"/>
  <c r="AK113" i="20"/>
  <c r="AK342" i="20"/>
  <c r="AK702" i="20"/>
  <c r="AK995" i="20"/>
  <c r="AK229" i="20"/>
  <c r="AK618" i="20"/>
  <c r="AK896" i="20"/>
  <c r="AK84" i="20"/>
  <c r="AK487" i="20"/>
  <c r="AK637" i="20"/>
  <c r="AK854" i="20"/>
  <c r="AK395" i="20"/>
  <c r="AK387" i="20"/>
  <c r="AK481" i="20"/>
  <c r="AK759" i="20"/>
  <c r="AK984" i="20"/>
  <c r="AK198" i="20"/>
  <c r="AK374" i="20"/>
  <c r="AK673" i="20"/>
  <c r="AK942" i="20"/>
  <c r="AK393" i="20"/>
  <c r="AK738" i="20"/>
  <c r="AK55" i="20"/>
  <c r="AK56" i="20"/>
  <c r="AK200" i="20"/>
  <c r="AK403" i="20"/>
  <c r="AK254" i="20"/>
  <c r="AK394" i="20"/>
  <c r="AK325" i="20"/>
  <c r="AK476" i="20"/>
  <c r="AK564" i="20"/>
  <c r="AK607" i="20"/>
  <c r="AK647" i="20"/>
  <c r="AK740" i="20"/>
  <c r="AK827" i="20"/>
  <c r="AK855" i="20"/>
  <c r="AK926" i="20"/>
  <c r="AK980" i="20"/>
  <c r="AK43" i="20"/>
  <c r="AK83" i="20"/>
  <c r="AK213" i="20"/>
  <c r="AK227" i="20"/>
  <c r="AK277" i="20"/>
  <c r="AK417" i="20"/>
  <c r="AK440" i="20"/>
  <c r="AK491" i="20"/>
  <c r="AK588" i="20"/>
  <c r="AK631" i="20"/>
  <c r="AK768" i="20"/>
  <c r="AK776" i="20"/>
  <c r="AK816" i="20"/>
  <c r="AK887" i="20"/>
  <c r="AK938" i="20"/>
  <c r="AK1008" i="20"/>
  <c r="AK80" i="20"/>
  <c r="AK66" i="20"/>
  <c r="AK274" i="20"/>
  <c r="AK240" i="20"/>
  <c r="AK292" i="20"/>
  <c r="AK343" i="20"/>
  <c r="AK454" i="20"/>
  <c r="AK514" i="20"/>
  <c r="AK543" i="20"/>
  <c r="AK627" i="20"/>
  <c r="AK696" i="20"/>
  <c r="AK843" i="20"/>
  <c r="AK889" i="20"/>
  <c r="AK885" i="20"/>
  <c r="AK973" i="20"/>
  <c r="AK1031" i="20"/>
  <c r="AK323" i="20"/>
  <c r="AK160" i="20"/>
  <c r="AK202" i="20"/>
  <c r="AK379" i="20"/>
  <c r="AK354" i="20"/>
  <c r="AK414" i="20"/>
  <c r="AK436" i="20"/>
  <c r="AK573" i="20"/>
  <c r="AK652" i="20"/>
  <c r="AK656" i="20"/>
  <c r="AK785" i="20"/>
  <c r="AK772" i="20"/>
  <c r="AK856" i="20"/>
  <c r="AK920" i="20"/>
  <c r="AK999" i="20"/>
  <c r="AK109" i="20"/>
  <c r="AK134" i="20"/>
  <c r="AK146" i="20"/>
  <c r="AK271" i="20"/>
  <c r="AK420" i="20"/>
  <c r="AK358" i="20"/>
  <c r="AK493" i="20"/>
  <c r="AK558" i="20"/>
  <c r="AK645" i="20"/>
  <c r="AK657" i="20"/>
  <c r="AK718" i="20"/>
  <c r="AK773" i="20"/>
  <c r="AK859" i="20"/>
  <c r="AK930" i="20"/>
  <c r="AK985" i="20"/>
  <c r="AK46" i="20"/>
  <c r="AK45" i="20"/>
  <c r="AK188" i="20"/>
  <c r="AK347" i="20"/>
  <c r="AK252" i="20"/>
  <c r="AK408" i="20"/>
  <c r="AK542" i="20"/>
  <c r="AK474" i="20"/>
  <c r="AK560" i="20"/>
  <c r="AK654" i="20"/>
  <c r="AK713" i="20"/>
  <c r="AK752" i="20"/>
  <c r="AK814" i="20"/>
  <c r="AK924" i="20"/>
  <c r="AK966" i="20"/>
  <c r="AK868" i="20"/>
  <c r="AK205" i="20"/>
  <c r="AK754" i="20"/>
  <c r="AK242" i="20"/>
  <c r="AK446" i="20"/>
  <c r="AK688" i="20"/>
  <c r="AK965" i="20"/>
  <c r="AK130" i="20"/>
  <c r="AK477" i="20"/>
  <c r="AK641" i="20"/>
  <c r="AK915" i="20"/>
  <c r="AK165" i="20"/>
  <c r="AK413" i="20"/>
  <c r="AK644" i="20"/>
  <c r="AK833" i="20"/>
  <c r="AK314" i="20"/>
  <c r="AK286" i="20"/>
  <c r="AK539" i="20"/>
  <c r="AK787" i="20"/>
  <c r="AK437" i="20"/>
  <c r="AK782" i="20"/>
  <c r="AK125" i="20"/>
  <c r="AK503" i="20"/>
  <c r="AK592" i="20"/>
  <c r="AK914" i="20"/>
  <c r="AK273" i="20"/>
  <c r="AK562" i="20"/>
  <c r="AK853" i="20"/>
  <c r="AK38" i="20"/>
  <c r="AK116" i="20"/>
  <c r="AK141" i="20"/>
  <c r="AK185" i="20"/>
  <c r="AK318" i="20"/>
  <c r="AK345" i="20"/>
  <c r="AK389" i="20"/>
  <c r="AK582" i="20"/>
  <c r="AK571" i="20"/>
  <c r="AK606" i="20"/>
  <c r="AK719" i="20"/>
  <c r="AK731" i="20"/>
  <c r="AK809" i="20"/>
  <c r="AK872" i="20"/>
  <c r="AK951" i="20"/>
  <c r="AK1013" i="20"/>
  <c r="AK102" i="20"/>
  <c r="AK206" i="20"/>
  <c r="AK156" i="20"/>
  <c r="AK291" i="20"/>
  <c r="AK220" i="20"/>
  <c r="AK376" i="20"/>
  <c r="AK504" i="20"/>
  <c r="AK442" i="20"/>
  <c r="AK602" i="20"/>
  <c r="AK668" i="20"/>
  <c r="AK681" i="20"/>
  <c r="AK720" i="20"/>
  <c r="AK831" i="20"/>
  <c r="AK902" i="20"/>
  <c r="AK952" i="20"/>
  <c r="AK1034" i="20"/>
  <c r="AK183" i="20"/>
  <c r="AK159" i="20"/>
  <c r="AK179" i="20"/>
  <c r="AK304" i="20"/>
  <c r="AK340" i="20"/>
  <c r="AK407" i="20"/>
  <c r="AK518" i="20"/>
  <c r="AK457" i="20"/>
  <c r="AK611" i="20"/>
  <c r="AK626" i="20"/>
  <c r="AK703" i="20"/>
  <c r="AK758" i="20"/>
  <c r="AK812" i="20"/>
  <c r="AK900" i="20"/>
  <c r="AK962" i="20"/>
  <c r="AK158" i="20"/>
  <c r="AK76" i="20"/>
  <c r="AK226" i="20"/>
  <c r="AK145" i="20"/>
  <c r="AK278" i="20"/>
  <c r="AK418" i="20"/>
  <c r="AK349" i="20"/>
  <c r="AK500" i="20"/>
  <c r="AK531" i="20"/>
  <c r="AK628" i="20"/>
  <c r="AK671" i="20"/>
  <c r="AK760" i="20"/>
  <c r="AK779" i="20"/>
  <c r="AK898" i="20"/>
  <c r="AK960" i="20"/>
  <c r="AK1006" i="20"/>
  <c r="AK40" i="20"/>
  <c r="AK168" i="20"/>
  <c r="AK210" i="20"/>
  <c r="AK222" i="20"/>
  <c r="AK362" i="20"/>
  <c r="AK422" i="20"/>
  <c r="AK444" i="20"/>
  <c r="AK581" i="20"/>
  <c r="AK692" i="20"/>
  <c r="AK664" i="20"/>
  <c r="AK786" i="20"/>
  <c r="AK780" i="20"/>
  <c r="AK864" i="20"/>
  <c r="AK928" i="20"/>
  <c r="AK1011" i="20"/>
  <c r="AK104" i="20"/>
  <c r="AK90" i="20"/>
  <c r="AK139" i="20"/>
  <c r="AK264" i="20"/>
  <c r="AK316" i="20"/>
  <c r="AK367" i="20"/>
  <c r="AK478" i="20"/>
  <c r="AK566" i="20"/>
  <c r="AK567" i="20"/>
  <c r="AK651" i="20"/>
  <c r="AK742" i="20"/>
  <c r="AK783" i="20"/>
  <c r="AK821" i="20"/>
  <c r="AK909" i="20"/>
  <c r="AK964" i="20"/>
  <c r="AK61" i="20"/>
  <c r="AK81" i="20"/>
  <c r="AK211" i="20"/>
  <c r="AK223" i="20"/>
  <c r="AK372" i="20"/>
  <c r="AK527" i="20"/>
  <c r="AK445" i="20"/>
  <c r="AK489" i="20"/>
  <c r="AK585" i="20"/>
  <c r="AK658" i="20"/>
  <c r="AK770" i="20"/>
  <c r="AK790" i="20"/>
  <c r="AK844" i="20"/>
  <c r="AK883" i="20"/>
  <c r="AK961" i="20"/>
  <c r="AK219" i="20"/>
  <c r="AK432" i="20"/>
  <c r="AK621" i="20"/>
  <c r="AK879" i="20"/>
  <c r="AK72" i="20"/>
  <c r="AK335" i="20"/>
  <c r="AK506" i="20"/>
  <c r="AK804" i="20"/>
  <c r="AK1023" i="20"/>
  <c r="AK255" i="20"/>
  <c r="AK521" i="20"/>
  <c r="AK757" i="20"/>
  <c r="AK143" i="20"/>
  <c r="AK369" i="20"/>
  <c r="AK683" i="20"/>
  <c r="AK967" i="20"/>
  <c r="AK258" i="20"/>
  <c r="AK357" i="20"/>
  <c r="AK693" i="20"/>
  <c r="AK1014" i="20"/>
  <c r="AK203" i="20"/>
  <c r="AK364" i="20"/>
  <c r="AK650" i="20"/>
  <c r="AK875" i="20"/>
  <c r="AK162" i="20"/>
  <c r="AK509" i="20"/>
  <c r="AK725" i="20"/>
  <c r="AK983" i="20"/>
  <c r="AK253" i="20"/>
  <c r="AK707" i="20"/>
  <c r="AK1009" i="20"/>
  <c r="AK70" i="20"/>
  <c r="AK174" i="20"/>
  <c r="AK148" i="20"/>
  <c r="AK283" i="20"/>
  <c r="AK363" i="20"/>
  <c r="AK368" i="20"/>
  <c r="AK496" i="20"/>
  <c r="AK434" i="20"/>
  <c r="AK577" i="20"/>
  <c r="AK636" i="20"/>
  <c r="AK750" i="20"/>
  <c r="AK753" i="20"/>
  <c r="AK823" i="20"/>
  <c r="AK894" i="20"/>
  <c r="AK944" i="20"/>
  <c r="AK1026" i="20"/>
  <c r="AK151" i="20"/>
  <c r="AK122" i="20"/>
  <c r="AK171" i="20"/>
  <c r="AK296" i="20"/>
  <c r="AK332" i="20"/>
  <c r="AK399" i="20"/>
  <c r="AK510" i="20"/>
  <c r="AK449" i="20"/>
  <c r="AK603" i="20"/>
  <c r="AK726" i="20"/>
  <c r="AK695" i="20"/>
  <c r="AK850" i="20"/>
  <c r="AK890" i="20"/>
  <c r="AK892" i="20"/>
  <c r="AK971" i="20"/>
  <c r="AK175" i="20"/>
  <c r="AK282" i="20"/>
  <c r="AK152" i="20"/>
  <c r="AK194" i="20"/>
  <c r="AK319" i="20"/>
  <c r="AK346" i="20"/>
  <c r="AK406" i="20"/>
  <c r="AK428" i="20"/>
  <c r="AK565" i="20"/>
  <c r="AK624" i="20"/>
  <c r="AK648" i="20"/>
  <c r="AK784" i="20"/>
  <c r="AK764" i="20"/>
  <c r="AK906" i="20"/>
  <c r="AK956" i="20"/>
  <c r="AK990" i="20"/>
  <c r="AK63" i="20"/>
  <c r="AK99" i="20"/>
  <c r="AK257" i="20"/>
  <c r="AK243" i="20"/>
  <c r="AK293" i="20"/>
  <c r="AK328" i="20"/>
  <c r="AK456" i="20"/>
  <c r="AK507" i="20"/>
  <c r="AK537" i="20"/>
  <c r="AK596" i="20"/>
  <c r="AK682" i="20"/>
  <c r="AK778" i="20"/>
  <c r="AK832" i="20"/>
  <c r="AK903" i="20"/>
  <c r="AK954" i="20"/>
  <c r="AK1022" i="20"/>
  <c r="AK71" i="20"/>
  <c r="AK199" i="20"/>
  <c r="AK173" i="20"/>
  <c r="AK217" i="20"/>
  <c r="AK237" i="20"/>
  <c r="AK377" i="20"/>
  <c r="AK421" i="20"/>
  <c r="AK451" i="20"/>
  <c r="AK546" i="20"/>
  <c r="AK589" i="20"/>
  <c r="AK691" i="20"/>
  <c r="AK722" i="20"/>
  <c r="AK841" i="20"/>
  <c r="AK904" i="20"/>
  <c r="AK939" i="20"/>
  <c r="AK993" i="20"/>
  <c r="AK117" i="20"/>
  <c r="AK166" i="20"/>
  <c r="AK154" i="20"/>
  <c r="AK279" i="20"/>
  <c r="AK439" i="20"/>
  <c r="AK366" i="20"/>
  <c r="AK501" i="20"/>
  <c r="AK674" i="20"/>
  <c r="AK584" i="20"/>
  <c r="AK665" i="20"/>
  <c r="AK734" i="20"/>
  <c r="AK781" i="20"/>
  <c r="AK882" i="20"/>
  <c r="AK935" i="20"/>
  <c r="AK1007" i="20"/>
  <c r="AK48" i="20"/>
  <c r="AK184" i="20"/>
  <c r="AK266" i="20"/>
  <c r="AK238" i="20"/>
  <c r="AK378" i="20"/>
  <c r="AK519" i="20"/>
  <c r="AK460" i="20"/>
  <c r="AK548" i="20"/>
  <c r="AK591" i="20"/>
  <c r="AK676" i="20"/>
  <c r="AK724" i="20"/>
  <c r="AK796" i="20"/>
  <c r="AK913" i="20"/>
  <c r="AK927" i="20"/>
  <c r="AK981" i="20"/>
  <c r="AK114" i="20"/>
  <c r="AK288" i="20"/>
  <c r="AK391" i="20"/>
  <c r="AK441" i="20"/>
  <c r="AK677" i="20"/>
  <c r="AK818" i="20"/>
  <c r="AK845" i="20"/>
  <c r="AK963" i="20"/>
  <c r="AK214" i="20"/>
  <c r="AK186" i="20"/>
  <c r="AK398" i="20"/>
  <c r="AK557" i="20"/>
  <c r="AK640" i="20"/>
  <c r="AK749" i="20"/>
  <c r="AK874" i="20"/>
  <c r="AK982" i="20"/>
  <c r="AK135" i="20"/>
  <c r="AK201" i="20"/>
  <c r="AK361" i="20"/>
  <c r="AK435" i="20"/>
  <c r="AK622" i="20"/>
  <c r="AK747" i="20"/>
  <c r="AK888" i="20"/>
  <c r="AK1002" i="20"/>
  <c r="AK74" i="20"/>
  <c r="AK248" i="20"/>
  <c r="AK351" i="20"/>
  <c r="AK522" i="20"/>
  <c r="AK635" i="20"/>
  <c r="AK767" i="20"/>
  <c r="AK805" i="20"/>
  <c r="AK992" i="20"/>
  <c r="AK42" i="20"/>
  <c r="AK180" i="20"/>
  <c r="AK244" i="20"/>
  <c r="AK400" i="20"/>
  <c r="AK552" i="20"/>
  <c r="AK705" i="20"/>
  <c r="AK806" i="20"/>
  <c r="AK958" i="20"/>
  <c r="AK1033" i="20"/>
  <c r="AK92" i="20"/>
  <c r="AK161" i="20"/>
  <c r="AK321" i="20"/>
  <c r="AK516" i="20"/>
  <c r="AK669" i="20"/>
  <c r="AK762" i="20"/>
  <c r="AK862" i="20"/>
  <c r="AK1020" i="20"/>
  <c r="AK78" i="20"/>
  <c r="AK511" i="20"/>
  <c r="AK955" i="20"/>
  <c r="AK64" i="20"/>
  <c r="AK57" i="20"/>
  <c r="AK212" i="20"/>
  <c r="AK224" i="20"/>
  <c r="AK276" i="20"/>
  <c r="AK327" i="20"/>
  <c r="AK438" i="20"/>
  <c r="AK498" i="20"/>
  <c r="AK594" i="20"/>
  <c r="AK700" i="20"/>
  <c r="AK680" i="20"/>
  <c r="AK794" i="20"/>
  <c r="AK838" i="20"/>
  <c r="AK869" i="20"/>
  <c r="AK957" i="20"/>
  <c r="AK1015" i="20"/>
  <c r="AK85" i="20"/>
  <c r="AK105" i="20"/>
  <c r="AK313" i="20"/>
  <c r="AK247" i="20"/>
  <c r="AK396" i="20"/>
  <c r="AK334" i="20"/>
  <c r="AK469" i="20"/>
  <c r="AK513" i="20"/>
  <c r="AK609" i="20"/>
  <c r="AK633" i="20"/>
  <c r="AK694" i="20"/>
  <c r="AK861" i="20"/>
  <c r="AK860" i="20"/>
  <c r="AK907" i="20"/>
  <c r="AK987" i="20"/>
  <c r="AK119" i="20"/>
  <c r="AK68" i="20"/>
  <c r="AK216" i="20"/>
  <c r="AK137" i="20"/>
  <c r="AK270" i="20"/>
  <c r="AK410" i="20"/>
  <c r="AK341" i="20"/>
  <c r="AK492" i="20"/>
  <c r="AK580" i="20"/>
  <c r="AK623" i="20"/>
  <c r="AK663" i="20"/>
  <c r="AK756" i="20"/>
  <c r="AK771" i="20"/>
  <c r="AK866" i="20"/>
  <c r="AK948" i="20"/>
  <c r="AK998" i="20"/>
  <c r="AK265" i="20"/>
  <c r="AK37" i="20"/>
  <c r="AK172" i="20"/>
  <c r="AK307" i="20"/>
  <c r="AK236" i="20"/>
  <c r="AK392" i="20"/>
  <c r="AK520" i="20"/>
  <c r="AK458" i="20"/>
  <c r="AK544" i="20"/>
  <c r="AK638" i="20"/>
  <c r="AK697" i="20"/>
  <c r="AK736" i="20"/>
  <c r="AK847" i="20"/>
  <c r="AK922" i="20"/>
  <c r="AK1003" i="20"/>
  <c r="AK1025" i="20"/>
  <c r="AK95" i="20"/>
  <c r="AK107" i="20"/>
  <c r="AK289" i="20"/>
  <c r="AK251" i="20"/>
  <c r="AK301" i="20"/>
  <c r="AK336" i="20"/>
  <c r="AK464" i="20"/>
  <c r="AK515" i="20"/>
  <c r="AK545" i="20"/>
  <c r="AK604" i="20"/>
  <c r="AK690" i="20"/>
  <c r="AK721" i="20"/>
  <c r="AK840" i="20"/>
  <c r="AK911" i="20"/>
  <c r="AK937" i="20"/>
  <c r="AK1030" i="20"/>
  <c r="AK44" i="20"/>
  <c r="AK176" i="20"/>
  <c r="AK234" i="20"/>
  <c r="AK230" i="20"/>
  <c r="AK370" i="20"/>
  <c r="AK455" i="20"/>
  <c r="AK452" i="20"/>
  <c r="AK540" i="20"/>
  <c r="AK583" i="20"/>
  <c r="AK672" i="20"/>
  <c r="AK811" i="20"/>
  <c r="AK788" i="20"/>
  <c r="AK881" i="20"/>
  <c r="AK919" i="20"/>
  <c r="AK1012" i="20"/>
  <c r="AK79" i="20"/>
  <c r="AK100" i="20"/>
  <c r="AK339" i="20"/>
  <c r="AK169" i="20"/>
  <c r="AK302" i="20"/>
  <c r="AK329" i="20"/>
  <c r="AK373" i="20"/>
  <c r="AK524" i="20"/>
  <c r="AK555" i="20"/>
  <c r="AK590" i="20"/>
  <c r="AK709" i="20"/>
  <c r="AK826" i="20"/>
  <c r="AK834" i="20"/>
  <c r="AK873" i="20"/>
  <c r="AK933" i="20"/>
  <c r="AK997" i="20"/>
  <c r="AK128" i="20"/>
  <c r="AK163" i="20"/>
  <c r="AK495" i="20"/>
  <c r="AK502" i="20"/>
  <c r="AK595" i="20"/>
  <c r="AK687" i="20"/>
  <c r="AK884" i="20"/>
  <c r="AK62" i="20"/>
  <c r="AK144" i="20"/>
  <c r="AK311" i="20"/>
  <c r="AK338" i="20"/>
  <c r="AK538" i="20"/>
  <c r="AK616" i="20"/>
  <c r="AK842" i="20"/>
  <c r="AK929" i="20"/>
  <c r="AK118" i="20"/>
  <c r="AK157" i="20"/>
  <c r="AK221" i="20"/>
  <c r="AK405" i="20"/>
  <c r="AK586" i="20"/>
  <c r="AK675" i="20"/>
  <c r="AK825" i="20"/>
  <c r="AK949" i="20"/>
  <c r="AK88" i="20"/>
  <c r="AK306" i="20"/>
  <c r="AK300" i="20"/>
  <c r="AK462" i="20"/>
  <c r="AK551" i="20"/>
  <c r="AK704" i="20"/>
  <c r="AK893" i="20"/>
  <c r="AK41" i="20"/>
  <c r="AK315" i="20"/>
  <c r="AK528" i="20"/>
  <c r="AK466" i="20"/>
  <c r="AK646" i="20"/>
  <c r="AK744" i="20"/>
  <c r="AK923" i="20"/>
  <c r="AK47" i="20"/>
  <c r="AK290" i="20"/>
  <c r="AK294" i="20"/>
  <c r="AK365" i="20"/>
  <c r="AK547" i="20"/>
  <c r="AK716" i="20"/>
  <c r="AK795" i="20"/>
  <c r="AK925" i="20"/>
  <c r="AK189" i="20"/>
  <c r="AK605" i="20"/>
  <c r="J23" i="7"/>
  <c r="P23" i="7"/>
  <c r="P15" i="7"/>
  <c r="J15" i="7"/>
  <c r="P14" i="7"/>
  <c r="J14" i="7"/>
  <c r="AK36" i="14"/>
  <c r="AM36" i="14" s="1"/>
  <c r="AD36" i="14"/>
  <c r="AR36" i="14"/>
  <c r="AT36" i="14" s="1"/>
  <c r="W36" i="14"/>
  <c r="Y36" i="14" s="1"/>
  <c r="P12" i="7"/>
  <c r="J12" i="7"/>
  <c r="P18" i="7"/>
  <c r="J18" i="7"/>
  <c r="AK48" i="14"/>
  <c r="AM48" i="14" s="1"/>
  <c r="W48" i="14"/>
  <c r="Y48" i="14" s="1"/>
  <c r="AD48" i="14"/>
  <c r="AR48" i="14"/>
  <c r="AT48" i="14" s="1"/>
  <c r="O30" i="7" l="1"/>
  <c r="P30" i="7"/>
  <c r="Q30" i="7" s="1"/>
  <c r="O29" i="7"/>
  <c r="Q18" i="7"/>
  <c r="C177" i="29"/>
  <c r="Q14" i="7"/>
  <c r="C173" i="29"/>
  <c r="Q13" i="7"/>
  <c r="C172" i="29"/>
  <c r="Q21" i="7"/>
  <c r="C180" i="29"/>
  <c r="Q20" i="7"/>
  <c r="C179" i="29"/>
  <c r="Q24" i="7"/>
  <c r="C183" i="29"/>
  <c r="Q12" i="7"/>
  <c r="C171" i="29"/>
  <c r="Q15" i="7"/>
  <c r="C174" i="29"/>
  <c r="Q11" i="7"/>
  <c r="C170" i="29"/>
  <c r="Q8" i="7"/>
  <c r="C167" i="29"/>
  <c r="Q25" i="7"/>
  <c r="C184" i="29"/>
  <c r="Q9" i="7"/>
  <c r="C168" i="29"/>
  <c r="Q23" i="7"/>
  <c r="C182" i="29"/>
  <c r="Q10" i="7"/>
  <c r="C169" i="29"/>
  <c r="Q7" i="7"/>
  <c r="C166" i="29"/>
  <c r="Q22" i="7"/>
  <c r="C181" i="29"/>
  <c r="Q16" i="7"/>
  <c r="C175" i="29"/>
  <c r="Q17" i="7"/>
  <c r="C176" i="29"/>
  <c r="Q47" i="7"/>
  <c r="C204" i="29"/>
  <c r="D39" i="22"/>
  <c r="B39" i="22"/>
  <c r="C39" i="22"/>
  <c r="C52" i="22"/>
  <c r="B52" i="22"/>
  <c r="D52" i="22"/>
  <c r="B44" i="22"/>
  <c r="C44" i="22"/>
  <c r="D44" i="22"/>
  <c r="D55" i="22"/>
  <c r="B55" i="22"/>
  <c r="C55" i="22"/>
  <c r="D53" i="22"/>
  <c r="C53" i="22"/>
  <c r="B53" i="22"/>
  <c r="D56" i="22"/>
  <c r="B56" i="22"/>
  <c r="C56" i="22"/>
  <c r="C45" i="22"/>
  <c r="D45" i="22"/>
  <c r="B45" i="22"/>
  <c r="B38" i="22"/>
  <c r="D38" i="22"/>
  <c r="C38" i="22"/>
  <c r="D41" i="22"/>
  <c r="B41" i="22"/>
  <c r="C41" i="22"/>
  <c r="D47" i="22"/>
  <c r="B47" i="22"/>
  <c r="C47" i="22"/>
  <c r="D40" i="22"/>
  <c r="B40" i="22"/>
  <c r="C40" i="22"/>
  <c r="C48" i="22"/>
  <c r="D48" i="22"/>
  <c r="B48" i="22"/>
  <c r="C49" i="22"/>
  <c r="D49" i="22"/>
  <c r="B49" i="22"/>
  <c r="D54" i="22"/>
  <c r="C54" i="22"/>
  <c r="B54" i="22"/>
  <c r="C51" i="22"/>
  <c r="D51" i="22"/>
  <c r="B51" i="22"/>
  <c r="D46" i="22"/>
  <c r="B46" i="22"/>
  <c r="C46" i="22"/>
  <c r="C43" i="22"/>
  <c r="D43" i="22"/>
  <c r="B43" i="22"/>
  <c r="B42" i="22"/>
  <c r="D42" i="22"/>
  <c r="C42" i="22"/>
  <c r="AK74" i="14"/>
  <c r="W74" i="14"/>
  <c r="W104" i="14"/>
  <c r="AE104" i="14" s="1"/>
  <c r="AI74" i="14"/>
  <c r="L31" i="14"/>
  <c r="K31" i="14"/>
  <c r="AV44" i="14"/>
  <c r="BD44" i="14" s="1"/>
  <c r="Y37" i="20"/>
  <c r="AS37" i="20" s="1"/>
  <c r="Y45" i="20"/>
  <c r="AS45" i="20" s="1"/>
  <c r="Y53" i="20"/>
  <c r="AS53" i="20" s="1"/>
  <c r="Y61" i="20"/>
  <c r="AS61" i="20" s="1"/>
  <c r="Y69" i="20"/>
  <c r="AS69" i="20" s="1"/>
  <c r="Y77" i="20"/>
  <c r="AS77" i="20" s="1"/>
  <c r="Y85" i="20"/>
  <c r="AS85" i="20" s="1"/>
  <c r="Y93" i="20"/>
  <c r="AS93" i="20" s="1"/>
  <c r="Y101" i="20"/>
  <c r="AS101" i="20" s="1"/>
  <c r="Y109" i="20"/>
  <c r="AS109" i="20" s="1"/>
  <c r="Y117" i="20"/>
  <c r="AS117" i="20" s="1"/>
  <c r="Y125" i="20"/>
  <c r="AS125" i="20" s="1"/>
  <c r="Y133" i="20"/>
  <c r="AS133" i="20" s="1"/>
  <c r="Y141" i="20"/>
  <c r="AS141" i="20" s="1"/>
  <c r="Y149" i="20"/>
  <c r="AS149" i="20" s="1"/>
  <c r="Y157" i="20"/>
  <c r="AS157" i="20" s="1"/>
  <c r="Y165" i="20"/>
  <c r="AS165" i="20" s="1"/>
  <c r="Y173" i="20"/>
  <c r="AS173" i="20" s="1"/>
  <c r="Y181" i="20"/>
  <c r="AS181" i="20" s="1"/>
  <c r="Y189" i="20"/>
  <c r="AS189" i="20" s="1"/>
  <c r="Y197" i="20"/>
  <c r="AS197" i="20" s="1"/>
  <c r="Y205" i="20"/>
  <c r="AS205" i="20" s="1"/>
  <c r="Y213" i="20"/>
  <c r="AS213" i="20" s="1"/>
  <c r="Y221" i="20"/>
  <c r="AS221" i="20" s="1"/>
  <c r="Y229" i="20"/>
  <c r="AS229" i="20" s="1"/>
  <c r="Y237" i="20"/>
  <c r="AS237" i="20" s="1"/>
  <c r="Y245" i="20"/>
  <c r="AS245" i="20" s="1"/>
  <c r="Y253" i="20"/>
  <c r="AS253" i="20" s="1"/>
  <c r="Y261" i="20"/>
  <c r="AS261" i="20" s="1"/>
  <c r="Y269" i="20"/>
  <c r="AS269" i="20" s="1"/>
  <c r="Y277" i="20"/>
  <c r="AS277" i="20" s="1"/>
  <c r="Y285" i="20"/>
  <c r="AS285" i="20" s="1"/>
  <c r="Y293" i="20"/>
  <c r="AS293" i="20" s="1"/>
  <c r="Y301" i="20"/>
  <c r="AS301" i="20" s="1"/>
  <c r="Y309" i="20"/>
  <c r="AS309" i="20" s="1"/>
  <c r="Y317" i="20"/>
  <c r="AS317" i="20" s="1"/>
  <c r="Y325" i="20"/>
  <c r="AS325" i="20" s="1"/>
  <c r="Y333" i="20"/>
  <c r="AS333" i="20" s="1"/>
  <c r="Y341" i="20"/>
  <c r="AS341" i="20" s="1"/>
  <c r="Y349" i="20"/>
  <c r="AS349" i="20" s="1"/>
  <c r="Y357" i="20"/>
  <c r="AS357" i="20" s="1"/>
  <c r="Y365" i="20"/>
  <c r="AS365" i="20" s="1"/>
  <c r="Y373" i="20"/>
  <c r="AS373" i="20" s="1"/>
  <c r="Y381" i="20"/>
  <c r="AS381" i="20" s="1"/>
  <c r="Y389" i="20"/>
  <c r="AS389" i="20" s="1"/>
  <c r="Y397" i="20"/>
  <c r="AS397" i="20" s="1"/>
  <c r="Y405" i="20"/>
  <c r="AS405" i="20" s="1"/>
  <c r="Y413" i="20"/>
  <c r="AS413" i="20" s="1"/>
  <c r="Y421" i="20"/>
  <c r="AS421" i="20" s="1"/>
  <c r="Y429" i="20"/>
  <c r="AS429" i="20" s="1"/>
  <c r="Y437" i="20"/>
  <c r="AS437" i="20" s="1"/>
  <c r="Y445" i="20"/>
  <c r="AS445" i="20" s="1"/>
  <c r="Y453" i="20"/>
  <c r="AS453" i="20" s="1"/>
  <c r="Y461" i="20"/>
  <c r="AS461" i="20" s="1"/>
  <c r="Y469" i="20"/>
  <c r="AS469" i="20" s="1"/>
  <c r="Y477" i="20"/>
  <c r="AS477" i="20" s="1"/>
  <c r="Y485" i="20"/>
  <c r="AS485" i="20" s="1"/>
  <c r="Y493" i="20"/>
  <c r="AS493" i="20" s="1"/>
  <c r="Y501" i="20"/>
  <c r="AS501" i="20" s="1"/>
  <c r="Y509" i="20"/>
  <c r="AS509" i="20" s="1"/>
  <c r="Y517" i="20"/>
  <c r="AS517" i="20" s="1"/>
  <c r="Y525" i="20"/>
  <c r="AS525" i="20" s="1"/>
  <c r="Y533" i="20"/>
  <c r="AS533" i="20" s="1"/>
  <c r="Y541" i="20"/>
  <c r="AS541" i="20" s="1"/>
  <c r="Y549" i="20"/>
  <c r="AS549" i="20" s="1"/>
  <c r="Y557" i="20"/>
  <c r="AS557" i="20" s="1"/>
  <c r="Y565" i="20"/>
  <c r="AS565" i="20" s="1"/>
  <c r="Y573" i="20"/>
  <c r="AS573" i="20" s="1"/>
  <c r="Y581" i="20"/>
  <c r="AS581" i="20" s="1"/>
  <c r="Y589" i="20"/>
  <c r="AS589" i="20" s="1"/>
  <c r="Y597" i="20"/>
  <c r="AS597" i="20" s="1"/>
  <c r="Y605" i="20"/>
  <c r="AS605" i="20" s="1"/>
  <c r="Y613" i="20"/>
  <c r="AS613" i="20" s="1"/>
  <c r="Y621" i="20"/>
  <c r="AS621" i="20" s="1"/>
  <c r="Y629" i="20"/>
  <c r="AS629" i="20" s="1"/>
  <c r="Y637" i="20"/>
  <c r="AS637" i="20" s="1"/>
  <c r="Y645" i="20"/>
  <c r="AS645" i="20" s="1"/>
  <c r="Y653" i="20"/>
  <c r="AS653" i="20" s="1"/>
  <c r="Y661" i="20"/>
  <c r="AS661" i="20" s="1"/>
  <c r="Y669" i="20"/>
  <c r="AS669" i="20" s="1"/>
  <c r="Y677" i="20"/>
  <c r="AS677" i="20" s="1"/>
  <c r="Y685" i="20"/>
  <c r="AS685" i="20" s="1"/>
  <c r="Y693" i="20"/>
  <c r="AS693" i="20" s="1"/>
  <c r="Y701" i="20"/>
  <c r="AS701" i="20" s="1"/>
  <c r="Y709" i="20"/>
  <c r="AS709" i="20" s="1"/>
  <c r="Y38" i="20"/>
  <c r="AS38" i="20" s="1"/>
  <c r="Y46" i="20"/>
  <c r="AS46" i="20" s="1"/>
  <c r="Y54" i="20"/>
  <c r="AS54" i="20" s="1"/>
  <c r="Y62" i="20"/>
  <c r="AS62" i="20" s="1"/>
  <c r="Y70" i="20"/>
  <c r="AS70" i="20" s="1"/>
  <c r="Y78" i="20"/>
  <c r="AS78" i="20" s="1"/>
  <c r="Y86" i="20"/>
  <c r="AS86" i="20" s="1"/>
  <c r="Y94" i="20"/>
  <c r="AS94" i="20" s="1"/>
  <c r="Y102" i="20"/>
  <c r="AS102" i="20" s="1"/>
  <c r="Y110" i="20"/>
  <c r="AS110" i="20" s="1"/>
  <c r="Y118" i="20"/>
  <c r="AS118" i="20" s="1"/>
  <c r="Y126" i="20"/>
  <c r="AS126" i="20" s="1"/>
  <c r="Y134" i="20"/>
  <c r="AS134" i="20" s="1"/>
  <c r="Y142" i="20"/>
  <c r="AS142" i="20" s="1"/>
  <c r="Y150" i="20"/>
  <c r="AS150" i="20" s="1"/>
  <c r="Y158" i="20"/>
  <c r="AS158" i="20" s="1"/>
  <c r="Y166" i="20"/>
  <c r="AS166" i="20" s="1"/>
  <c r="Y174" i="20"/>
  <c r="AS174" i="20" s="1"/>
  <c r="Y182" i="20"/>
  <c r="AS182" i="20" s="1"/>
  <c r="Y190" i="20"/>
  <c r="AS190" i="20" s="1"/>
  <c r="Y198" i="20"/>
  <c r="AS198" i="20" s="1"/>
  <c r="Y206" i="20"/>
  <c r="AS206" i="20" s="1"/>
  <c r="Y214" i="20"/>
  <c r="AS214" i="20" s="1"/>
  <c r="Y222" i="20"/>
  <c r="AS222" i="20" s="1"/>
  <c r="Y230" i="20"/>
  <c r="AS230" i="20" s="1"/>
  <c r="Y238" i="20"/>
  <c r="AS238" i="20" s="1"/>
  <c r="Y246" i="20"/>
  <c r="AS246" i="20" s="1"/>
  <c r="Y254" i="20"/>
  <c r="AS254" i="20" s="1"/>
  <c r="Y262" i="20"/>
  <c r="AS262" i="20" s="1"/>
  <c r="Y270" i="20"/>
  <c r="AS270" i="20" s="1"/>
  <c r="Y278" i="20"/>
  <c r="AS278" i="20" s="1"/>
  <c r="Y286" i="20"/>
  <c r="AS286" i="20" s="1"/>
  <c r="Y294" i="20"/>
  <c r="AS294" i="20" s="1"/>
  <c r="Y302" i="20"/>
  <c r="AS302" i="20" s="1"/>
  <c r="Y310" i="20"/>
  <c r="AS310" i="20" s="1"/>
  <c r="Y318" i="20"/>
  <c r="AS318" i="20" s="1"/>
  <c r="Y326" i="20"/>
  <c r="AS326" i="20" s="1"/>
  <c r="Y334" i="20"/>
  <c r="AS334" i="20" s="1"/>
  <c r="Y342" i="20"/>
  <c r="AS342" i="20" s="1"/>
  <c r="Y350" i="20"/>
  <c r="AS350" i="20" s="1"/>
  <c r="Y358" i="20"/>
  <c r="AS358" i="20" s="1"/>
  <c r="Y366" i="20"/>
  <c r="AS366" i="20" s="1"/>
  <c r="Y374" i="20"/>
  <c r="AS374" i="20" s="1"/>
  <c r="Y382" i="20"/>
  <c r="AS382" i="20" s="1"/>
  <c r="Y390" i="20"/>
  <c r="AS390" i="20" s="1"/>
  <c r="Y398" i="20"/>
  <c r="AS398" i="20" s="1"/>
  <c r="Y406" i="20"/>
  <c r="AS406" i="20" s="1"/>
  <c r="Y414" i="20"/>
  <c r="AS414" i="20" s="1"/>
  <c r="Y422" i="20"/>
  <c r="AS422" i="20" s="1"/>
  <c r="Y430" i="20"/>
  <c r="AS430" i="20" s="1"/>
  <c r="Y438" i="20"/>
  <c r="AS438" i="20" s="1"/>
  <c r="Y446" i="20"/>
  <c r="AS446" i="20" s="1"/>
  <c r="Y454" i="20"/>
  <c r="AS454" i="20" s="1"/>
  <c r="Y462" i="20"/>
  <c r="AS462" i="20" s="1"/>
  <c r="Y470" i="20"/>
  <c r="AS470" i="20" s="1"/>
  <c r="Y478" i="20"/>
  <c r="AS478" i="20" s="1"/>
  <c r="Y486" i="20"/>
  <c r="AS486" i="20" s="1"/>
  <c r="Y494" i="20"/>
  <c r="AS494" i="20" s="1"/>
  <c r="Y502" i="20"/>
  <c r="AS502" i="20" s="1"/>
  <c r="Y510" i="20"/>
  <c r="AS510" i="20" s="1"/>
  <c r="Y518" i="20"/>
  <c r="AS518" i="20" s="1"/>
  <c r="Y526" i="20"/>
  <c r="AS526" i="20" s="1"/>
  <c r="Y534" i="20"/>
  <c r="AS534" i="20" s="1"/>
  <c r="Y542" i="20"/>
  <c r="AS542" i="20" s="1"/>
  <c r="Y550" i="20"/>
  <c r="AS550" i="20" s="1"/>
  <c r="Y558" i="20"/>
  <c r="AS558" i="20" s="1"/>
  <c r="Y566" i="20"/>
  <c r="AS566" i="20" s="1"/>
  <c r="Y574" i="20"/>
  <c r="AS574" i="20" s="1"/>
  <c r="Y582" i="20"/>
  <c r="AS582" i="20" s="1"/>
  <c r="Y590" i="20"/>
  <c r="AS590" i="20" s="1"/>
  <c r="Y598" i="20"/>
  <c r="AS598" i="20" s="1"/>
  <c r="Y606" i="20"/>
  <c r="AS606" i="20" s="1"/>
  <c r="Y614" i="20"/>
  <c r="AS614" i="20" s="1"/>
  <c r="Y622" i="20"/>
  <c r="AS622" i="20" s="1"/>
  <c r="Y630" i="20"/>
  <c r="AS630" i="20" s="1"/>
  <c r="Y638" i="20"/>
  <c r="AS638" i="20" s="1"/>
  <c r="Y646" i="20"/>
  <c r="AS646" i="20" s="1"/>
  <c r="Y654" i="20"/>
  <c r="AS654" i="20" s="1"/>
  <c r="Y662" i="20"/>
  <c r="AS662" i="20" s="1"/>
  <c r="Y670" i="20"/>
  <c r="AS670" i="20" s="1"/>
  <c r="Y678" i="20"/>
  <c r="AS678" i="20" s="1"/>
  <c r="Y686" i="20"/>
  <c r="AS686" i="20" s="1"/>
  <c r="Y694" i="20"/>
  <c r="AS694" i="20" s="1"/>
  <c r="Y702" i="20"/>
  <c r="AS702" i="20" s="1"/>
  <c r="Y710" i="20"/>
  <c r="AS710" i="20" s="1"/>
  <c r="Y39" i="20"/>
  <c r="AS39" i="20" s="1"/>
  <c r="Y47" i="20"/>
  <c r="AS47" i="20" s="1"/>
  <c r="Y55" i="20"/>
  <c r="AS55" i="20" s="1"/>
  <c r="Y63" i="20"/>
  <c r="AS63" i="20" s="1"/>
  <c r="Y71" i="20"/>
  <c r="AS71" i="20" s="1"/>
  <c r="Y79" i="20"/>
  <c r="AS79" i="20" s="1"/>
  <c r="Y87" i="20"/>
  <c r="AS87" i="20" s="1"/>
  <c r="Y95" i="20"/>
  <c r="AS95" i="20" s="1"/>
  <c r="Y103" i="20"/>
  <c r="AS103" i="20" s="1"/>
  <c r="Y111" i="20"/>
  <c r="AS111" i="20" s="1"/>
  <c r="Y119" i="20"/>
  <c r="AS119" i="20" s="1"/>
  <c r="Y127" i="20"/>
  <c r="AS127" i="20" s="1"/>
  <c r="Y135" i="20"/>
  <c r="AS135" i="20" s="1"/>
  <c r="Y143" i="20"/>
  <c r="AS143" i="20" s="1"/>
  <c r="Y151" i="20"/>
  <c r="AS151" i="20" s="1"/>
  <c r="Y159" i="20"/>
  <c r="AS159" i="20" s="1"/>
  <c r="Y167" i="20"/>
  <c r="AS167" i="20" s="1"/>
  <c r="Y175" i="20"/>
  <c r="AS175" i="20" s="1"/>
  <c r="Y183" i="20"/>
  <c r="AS183" i="20" s="1"/>
  <c r="Y191" i="20"/>
  <c r="AS191" i="20" s="1"/>
  <c r="Y199" i="20"/>
  <c r="AS199" i="20" s="1"/>
  <c r="Y207" i="20"/>
  <c r="AS207" i="20" s="1"/>
  <c r="Y215" i="20"/>
  <c r="AS215" i="20" s="1"/>
  <c r="Y223" i="20"/>
  <c r="AS223" i="20" s="1"/>
  <c r="Y231" i="20"/>
  <c r="AS231" i="20" s="1"/>
  <c r="Y239" i="20"/>
  <c r="AS239" i="20" s="1"/>
  <c r="Y247" i="20"/>
  <c r="AS247" i="20" s="1"/>
  <c r="Y255" i="20"/>
  <c r="AS255" i="20" s="1"/>
  <c r="Y263" i="20"/>
  <c r="AS263" i="20" s="1"/>
  <c r="Y271" i="20"/>
  <c r="AS271" i="20" s="1"/>
  <c r="Y279" i="20"/>
  <c r="AS279" i="20" s="1"/>
  <c r="Y287" i="20"/>
  <c r="AS287" i="20" s="1"/>
  <c r="Y295" i="20"/>
  <c r="AS295" i="20" s="1"/>
  <c r="Y303" i="20"/>
  <c r="AS303" i="20" s="1"/>
  <c r="Y311" i="20"/>
  <c r="AS311" i="20" s="1"/>
  <c r="Y319" i="20"/>
  <c r="AS319" i="20" s="1"/>
  <c r="Y327" i="20"/>
  <c r="AS327" i="20" s="1"/>
  <c r="Y335" i="20"/>
  <c r="AS335" i="20" s="1"/>
  <c r="Y343" i="20"/>
  <c r="AS343" i="20" s="1"/>
  <c r="Y351" i="20"/>
  <c r="AS351" i="20" s="1"/>
  <c r="Y359" i="20"/>
  <c r="AS359" i="20" s="1"/>
  <c r="Y367" i="20"/>
  <c r="AS367" i="20" s="1"/>
  <c r="Y375" i="20"/>
  <c r="AS375" i="20" s="1"/>
  <c r="Y383" i="20"/>
  <c r="AS383" i="20" s="1"/>
  <c r="Y391" i="20"/>
  <c r="AS391" i="20" s="1"/>
  <c r="Y399" i="20"/>
  <c r="AS399" i="20" s="1"/>
  <c r="Y407" i="20"/>
  <c r="AS407" i="20" s="1"/>
  <c r="Y415" i="20"/>
  <c r="AS415" i="20" s="1"/>
  <c r="Y423" i="20"/>
  <c r="AS423" i="20" s="1"/>
  <c r="Y431" i="20"/>
  <c r="AS431" i="20" s="1"/>
  <c r="Y439" i="20"/>
  <c r="AS439" i="20" s="1"/>
  <c r="Y447" i="20"/>
  <c r="AS447" i="20" s="1"/>
  <c r="Y455" i="20"/>
  <c r="AS455" i="20" s="1"/>
  <c r="Y463" i="20"/>
  <c r="AS463" i="20" s="1"/>
  <c r="Y471" i="20"/>
  <c r="AS471" i="20" s="1"/>
  <c r="Y479" i="20"/>
  <c r="AS479" i="20" s="1"/>
  <c r="Y487" i="20"/>
  <c r="AS487" i="20" s="1"/>
  <c r="Y495" i="20"/>
  <c r="AS495" i="20" s="1"/>
  <c r="Y503" i="20"/>
  <c r="AS503" i="20" s="1"/>
  <c r="Y511" i="20"/>
  <c r="AS511" i="20" s="1"/>
  <c r="Y519" i="20"/>
  <c r="AS519" i="20" s="1"/>
  <c r="Y527" i="20"/>
  <c r="AS527" i="20" s="1"/>
  <c r="Y535" i="20"/>
  <c r="AS535" i="20" s="1"/>
  <c r="Y543" i="20"/>
  <c r="AS543" i="20" s="1"/>
  <c r="Y551" i="20"/>
  <c r="AS551" i="20" s="1"/>
  <c r="Y559" i="20"/>
  <c r="AS559" i="20" s="1"/>
  <c r="Y567" i="20"/>
  <c r="AS567" i="20" s="1"/>
  <c r="Y575" i="20"/>
  <c r="AS575" i="20" s="1"/>
  <c r="Y583" i="20"/>
  <c r="AS583" i="20" s="1"/>
  <c r="Y591" i="20"/>
  <c r="AS591" i="20" s="1"/>
  <c r="Y599" i="20"/>
  <c r="AS599" i="20" s="1"/>
  <c r="Y607" i="20"/>
  <c r="AS607" i="20" s="1"/>
  <c r="Y615" i="20"/>
  <c r="AS615" i="20" s="1"/>
  <c r="Y623" i="20"/>
  <c r="AS623" i="20" s="1"/>
  <c r="Y631" i="20"/>
  <c r="AS631" i="20" s="1"/>
  <c r="Y639" i="20"/>
  <c r="AS639" i="20" s="1"/>
  <c r="Y647" i="20"/>
  <c r="AS647" i="20" s="1"/>
  <c r="Y655" i="20"/>
  <c r="AS655" i="20" s="1"/>
  <c r="Y663" i="20"/>
  <c r="AS663" i="20" s="1"/>
  <c r="Y671" i="20"/>
  <c r="AS671" i="20" s="1"/>
  <c r="Y679" i="20"/>
  <c r="AS679" i="20" s="1"/>
  <c r="Y687" i="20"/>
  <c r="AS687" i="20" s="1"/>
  <c r="Y695" i="20"/>
  <c r="AS695" i="20" s="1"/>
  <c r="Y703" i="20"/>
  <c r="AS703" i="20" s="1"/>
  <c r="Y711" i="20"/>
  <c r="AS711" i="20" s="1"/>
  <c r="Y40" i="20"/>
  <c r="AS40" i="20" s="1"/>
  <c r="Y48" i="20"/>
  <c r="AS48" i="20" s="1"/>
  <c r="Y56" i="20"/>
  <c r="AS56" i="20" s="1"/>
  <c r="Y64" i="20"/>
  <c r="AS64" i="20" s="1"/>
  <c r="Y72" i="20"/>
  <c r="AS72" i="20" s="1"/>
  <c r="Y80" i="20"/>
  <c r="AS80" i="20" s="1"/>
  <c r="Y88" i="20"/>
  <c r="AS88" i="20" s="1"/>
  <c r="Y96" i="20"/>
  <c r="AS96" i="20" s="1"/>
  <c r="Y104" i="20"/>
  <c r="AS104" i="20" s="1"/>
  <c r="Y112" i="20"/>
  <c r="AS112" i="20" s="1"/>
  <c r="Y120" i="20"/>
  <c r="AS120" i="20" s="1"/>
  <c r="Y128" i="20"/>
  <c r="AS128" i="20" s="1"/>
  <c r="Y136" i="20"/>
  <c r="AS136" i="20" s="1"/>
  <c r="Y144" i="20"/>
  <c r="AS144" i="20" s="1"/>
  <c r="Y152" i="20"/>
  <c r="AS152" i="20" s="1"/>
  <c r="Y160" i="20"/>
  <c r="AS160" i="20" s="1"/>
  <c r="Y168" i="20"/>
  <c r="AS168" i="20" s="1"/>
  <c r="Y176" i="20"/>
  <c r="AS176" i="20" s="1"/>
  <c r="Y184" i="20"/>
  <c r="AS184" i="20" s="1"/>
  <c r="Y192" i="20"/>
  <c r="AS192" i="20" s="1"/>
  <c r="Y200" i="20"/>
  <c r="AS200" i="20" s="1"/>
  <c r="Y208" i="20"/>
  <c r="AS208" i="20" s="1"/>
  <c r="Y216" i="20"/>
  <c r="AS216" i="20" s="1"/>
  <c r="Y224" i="20"/>
  <c r="AS224" i="20" s="1"/>
  <c r="Y232" i="20"/>
  <c r="AS232" i="20" s="1"/>
  <c r="Y240" i="20"/>
  <c r="AS240" i="20" s="1"/>
  <c r="Y248" i="20"/>
  <c r="AS248" i="20" s="1"/>
  <c r="Y256" i="20"/>
  <c r="AS256" i="20" s="1"/>
  <c r="Y264" i="20"/>
  <c r="AS264" i="20" s="1"/>
  <c r="Y272" i="20"/>
  <c r="AS272" i="20" s="1"/>
  <c r="Y280" i="20"/>
  <c r="AS280" i="20" s="1"/>
  <c r="Y288" i="20"/>
  <c r="AS288" i="20" s="1"/>
  <c r="Y296" i="20"/>
  <c r="AS296" i="20" s="1"/>
  <c r="Y304" i="20"/>
  <c r="AS304" i="20" s="1"/>
  <c r="Y312" i="20"/>
  <c r="AS312" i="20" s="1"/>
  <c r="Y320" i="20"/>
  <c r="AS320" i="20" s="1"/>
  <c r="Y328" i="20"/>
  <c r="AS328" i="20" s="1"/>
  <c r="Y336" i="20"/>
  <c r="AS336" i="20" s="1"/>
  <c r="Y344" i="20"/>
  <c r="AS344" i="20" s="1"/>
  <c r="Y352" i="20"/>
  <c r="AS352" i="20" s="1"/>
  <c r="Y360" i="20"/>
  <c r="AS360" i="20" s="1"/>
  <c r="Y368" i="20"/>
  <c r="AS368" i="20" s="1"/>
  <c r="Y376" i="20"/>
  <c r="AS376" i="20" s="1"/>
  <c r="Y384" i="20"/>
  <c r="AS384" i="20" s="1"/>
  <c r="Y392" i="20"/>
  <c r="AS392" i="20" s="1"/>
  <c r="Y400" i="20"/>
  <c r="AS400" i="20" s="1"/>
  <c r="Y408" i="20"/>
  <c r="AS408" i="20" s="1"/>
  <c r="Y416" i="20"/>
  <c r="AS416" i="20" s="1"/>
  <c r="Y424" i="20"/>
  <c r="AS424" i="20" s="1"/>
  <c r="Y432" i="20"/>
  <c r="AS432" i="20" s="1"/>
  <c r="Y440" i="20"/>
  <c r="AS440" i="20" s="1"/>
  <c r="Y448" i="20"/>
  <c r="AS448" i="20" s="1"/>
  <c r="Y456" i="20"/>
  <c r="AS456" i="20" s="1"/>
  <c r="Y464" i="20"/>
  <c r="AS464" i="20" s="1"/>
  <c r="Y472" i="20"/>
  <c r="AS472" i="20" s="1"/>
  <c r="Y480" i="20"/>
  <c r="AS480" i="20" s="1"/>
  <c r="Y488" i="20"/>
  <c r="AS488" i="20" s="1"/>
  <c r="Y496" i="20"/>
  <c r="AS496" i="20" s="1"/>
  <c r="Y504" i="20"/>
  <c r="AS504" i="20" s="1"/>
  <c r="Y512" i="20"/>
  <c r="AS512" i="20" s="1"/>
  <c r="Y520" i="20"/>
  <c r="AS520" i="20" s="1"/>
  <c r="Y528" i="20"/>
  <c r="AS528" i="20" s="1"/>
  <c r="Y536" i="20"/>
  <c r="AS536" i="20" s="1"/>
  <c r="Y544" i="20"/>
  <c r="AS544" i="20" s="1"/>
  <c r="Y552" i="20"/>
  <c r="AS552" i="20" s="1"/>
  <c r="Y560" i="20"/>
  <c r="AS560" i="20" s="1"/>
  <c r="Y568" i="20"/>
  <c r="AS568" i="20" s="1"/>
  <c r="Y576" i="20"/>
  <c r="AS576" i="20" s="1"/>
  <c r="Y584" i="20"/>
  <c r="AS584" i="20" s="1"/>
  <c r="Y592" i="20"/>
  <c r="AS592" i="20" s="1"/>
  <c r="Y600" i="20"/>
  <c r="AS600" i="20" s="1"/>
  <c r="Y608" i="20"/>
  <c r="AS608" i="20" s="1"/>
  <c r="Y616" i="20"/>
  <c r="AS616" i="20" s="1"/>
  <c r="Y624" i="20"/>
  <c r="AS624" i="20" s="1"/>
  <c r="Y632" i="20"/>
  <c r="AS632" i="20" s="1"/>
  <c r="Y640" i="20"/>
  <c r="AS640" i="20" s="1"/>
  <c r="Y648" i="20"/>
  <c r="AS648" i="20" s="1"/>
  <c r="Y656" i="20"/>
  <c r="AS656" i="20" s="1"/>
  <c r="Y664" i="20"/>
  <c r="AS664" i="20" s="1"/>
  <c r="Y672" i="20"/>
  <c r="AS672" i="20" s="1"/>
  <c r="Y680" i="20"/>
  <c r="AS680" i="20" s="1"/>
  <c r="Y688" i="20"/>
  <c r="AS688" i="20" s="1"/>
  <c r="Y696" i="20"/>
  <c r="AS696" i="20" s="1"/>
  <c r="Y704" i="20"/>
  <c r="AS704" i="20" s="1"/>
  <c r="Y712" i="20"/>
  <c r="AS712" i="20" s="1"/>
  <c r="Y41" i="20"/>
  <c r="AS41" i="20" s="1"/>
  <c r="Y49" i="20"/>
  <c r="AS49" i="20" s="1"/>
  <c r="Y57" i="20"/>
  <c r="AS57" i="20" s="1"/>
  <c r="Y65" i="20"/>
  <c r="AS65" i="20" s="1"/>
  <c r="Y73" i="20"/>
  <c r="AS73" i="20" s="1"/>
  <c r="Y81" i="20"/>
  <c r="AS81" i="20" s="1"/>
  <c r="Y89" i="20"/>
  <c r="AS89" i="20" s="1"/>
  <c r="Y97" i="20"/>
  <c r="AS97" i="20" s="1"/>
  <c r="Y105" i="20"/>
  <c r="AS105" i="20" s="1"/>
  <c r="Y113" i="20"/>
  <c r="AS113" i="20" s="1"/>
  <c r="Y121" i="20"/>
  <c r="AS121" i="20" s="1"/>
  <c r="Y129" i="20"/>
  <c r="AS129" i="20" s="1"/>
  <c r="Y137" i="20"/>
  <c r="AS137" i="20" s="1"/>
  <c r="Y145" i="20"/>
  <c r="AS145" i="20" s="1"/>
  <c r="Y153" i="20"/>
  <c r="AS153" i="20" s="1"/>
  <c r="Y161" i="20"/>
  <c r="AS161" i="20" s="1"/>
  <c r="Y169" i="20"/>
  <c r="AS169" i="20" s="1"/>
  <c r="Y177" i="20"/>
  <c r="AS177" i="20" s="1"/>
  <c r="Y185" i="20"/>
  <c r="AS185" i="20" s="1"/>
  <c r="Y193" i="20"/>
  <c r="AS193" i="20" s="1"/>
  <c r="Y201" i="20"/>
  <c r="AS201" i="20" s="1"/>
  <c r="Y209" i="20"/>
  <c r="AS209" i="20" s="1"/>
  <c r="Y217" i="20"/>
  <c r="AS217" i="20" s="1"/>
  <c r="Y225" i="20"/>
  <c r="AS225" i="20" s="1"/>
  <c r="Y233" i="20"/>
  <c r="AS233" i="20" s="1"/>
  <c r="Y241" i="20"/>
  <c r="AS241" i="20" s="1"/>
  <c r="Y249" i="20"/>
  <c r="AS249" i="20" s="1"/>
  <c r="Y257" i="20"/>
  <c r="AS257" i="20" s="1"/>
  <c r="Y265" i="20"/>
  <c r="AS265" i="20" s="1"/>
  <c r="Y273" i="20"/>
  <c r="AS273" i="20" s="1"/>
  <c r="Y281" i="20"/>
  <c r="AS281" i="20" s="1"/>
  <c r="Y289" i="20"/>
  <c r="AS289" i="20" s="1"/>
  <c r="Y297" i="20"/>
  <c r="AS297" i="20" s="1"/>
  <c r="Y305" i="20"/>
  <c r="AS305" i="20" s="1"/>
  <c r="Y313" i="20"/>
  <c r="AS313" i="20" s="1"/>
  <c r="Y321" i="20"/>
  <c r="AS321" i="20" s="1"/>
  <c r="Y329" i="20"/>
  <c r="AS329" i="20" s="1"/>
  <c r="Y337" i="20"/>
  <c r="AS337" i="20" s="1"/>
  <c r="Y345" i="20"/>
  <c r="AS345" i="20" s="1"/>
  <c r="Y353" i="20"/>
  <c r="AS353" i="20" s="1"/>
  <c r="Y361" i="20"/>
  <c r="AS361" i="20" s="1"/>
  <c r="Y369" i="20"/>
  <c r="AS369" i="20" s="1"/>
  <c r="Y377" i="20"/>
  <c r="AS377" i="20" s="1"/>
  <c r="Y385" i="20"/>
  <c r="AS385" i="20" s="1"/>
  <c r="Y393" i="20"/>
  <c r="AS393" i="20" s="1"/>
  <c r="Y401" i="20"/>
  <c r="AS401" i="20" s="1"/>
  <c r="Y409" i="20"/>
  <c r="AS409" i="20" s="1"/>
  <c r="Y417" i="20"/>
  <c r="AS417" i="20" s="1"/>
  <c r="Y425" i="20"/>
  <c r="AS425" i="20" s="1"/>
  <c r="Y433" i="20"/>
  <c r="AS433" i="20" s="1"/>
  <c r="Y441" i="20"/>
  <c r="AS441" i="20" s="1"/>
  <c r="Y449" i="20"/>
  <c r="AS449" i="20" s="1"/>
  <c r="Y457" i="20"/>
  <c r="AS457" i="20" s="1"/>
  <c r="Y465" i="20"/>
  <c r="AS465" i="20" s="1"/>
  <c r="Y473" i="20"/>
  <c r="AS473" i="20" s="1"/>
  <c r="Y481" i="20"/>
  <c r="AS481" i="20" s="1"/>
  <c r="Y489" i="20"/>
  <c r="AS489" i="20" s="1"/>
  <c r="Y497" i="20"/>
  <c r="AS497" i="20" s="1"/>
  <c r="Y505" i="20"/>
  <c r="AS505" i="20" s="1"/>
  <c r="Y513" i="20"/>
  <c r="AS513" i="20" s="1"/>
  <c r="Y521" i="20"/>
  <c r="AS521" i="20" s="1"/>
  <c r="Y529" i="20"/>
  <c r="AS529" i="20" s="1"/>
  <c r="Y537" i="20"/>
  <c r="AS537" i="20" s="1"/>
  <c r="Y545" i="20"/>
  <c r="AS545" i="20" s="1"/>
  <c r="Y553" i="20"/>
  <c r="AS553" i="20" s="1"/>
  <c r="Y561" i="20"/>
  <c r="AS561" i="20" s="1"/>
  <c r="Y569" i="20"/>
  <c r="AS569" i="20" s="1"/>
  <c r="Y577" i="20"/>
  <c r="AS577" i="20" s="1"/>
  <c r="Y585" i="20"/>
  <c r="AS585" i="20" s="1"/>
  <c r="Y593" i="20"/>
  <c r="AS593" i="20" s="1"/>
  <c r="Y601" i="20"/>
  <c r="AS601" i="20" s="1"/>
  <c r="Y609" i="20"/>
  <c r="AS609" i="20" s="1"/>
  <c r="Y617" i="20"/>
  <c r="AS617" i="20" s="1"/>
  <c r="Y625" i="20"/>
  <c r="AS625" i="20" s="1"/>
  <c r="Y633" i="20"/>
  <c r="AS633" i="20" s="1"/>
  <c r="Y641" i="20"/>
  <c r="AS641" i="20" s="1"/>
  <c r="Y649" i="20"/>
  <c r="AS649" i="20" s="1"/>
  <c r="Y657" i="20"/>
  <c r="AS657" i="20" s="1"/>
  <c r="Y665" i="20"/>
  <c r="AS665" i="20" s="1"/>
  <c r="Y673" i="20"/>
  <c r="AS673" i="20" s="1"/>
  <c r="Y681" i="20"/>
  <c r="AS681" i="20" s="1"/>
  <c r="Y689" i="20"/>
  <c r="AS689" i="20" s="1"/>
  <c r="Y697" i="20"/>
  <c r="AS697" i="20" s="1"/>
  <c r="Y705" i="20"/>
  <c r="AS705" i="20" s="1"/>
  <c r="Y713" i="20"/>
  <c r="AS713" i="20" s="1"/>
  <c r="Y42" i="20"/>
  <c r="AS42" i="20" s="1"/>
  <c r="Y50" i="20"/>
  <c r="AS50" i="20" s="1"/>
  <c r="Y58" i="20"/>
  <c r="AS58" i="20" s="1"/>
  <c r="Y66" i="20"/>
  <c r="AS66" i="20" s="1"/>
  <c r="Y74" i="20"/>
  <c r="AS74" i="20" s="1"/>
  <c r="Y82" i="20"/>
  <c r="AS82" i="20" s="1"/>
  <c r="Y90" i="20"/>
  <c r="AS90" i="20" s="1"/>
  <c r="Y98" i="20"/>
  <c r="AS98" i="20" s="1"/>
  <c r="Y106" i="20"/>
  <c r="AS106" i="20" s="1"/>
  <c r="Y114" i="20"/>
  <c r="AS114" i="20" s="1"/>
  <c r="Y122" i="20"/>
  <c r="AS122" i="20" s="1"/>
  <c r="Y130" i="20"/>
  <c r="AS130" i="20" s="1"/>
  <c r="Y138" i="20"/>
  <c r="AS138" i="20" s="1"/>
  <c r="Y146" i="20"/>
  <c r="AS146" i="20" s="1"/>
  <c r="Y154" i="20"/>
  <c r="AS154" i="20" s="1"/>
  <c r="Y162" i="20"/>
  <c r="AS162" i="20" s="1"/>
  <c r="Y170" i="20"/>
  <c r="AS170" i="20" s="1"/>
  <c r="Y178" i="20"/>
  <c r="AS178" i="20" s="1"/>
  <c r="Y186" i="20"/>
  <c r="AS186" i="20" s="1"/>
  <c r="Y194" i="20"/>
  <c r="AS194" i="20" s="1"/>
  <c r="Y202" i="20"/>
  <c r="AS202" i="20" s="1"/>
  <c r="Y210" i="20"/>
  <c r="AS210" i="20" s="1"/>
  <c r="Y218" i="20"/>
  <c r="AS218" i="20" s="1"/>
  <c r="Y226" i="20"/>
  <c r="AS226" i="20" s="1"/>
  <c r="Y234" i="20"/>
  <c r="AS234" i="20" s="1"/>
  <c r="Y242" i="20"/>
  <c r="AS242" i="20" s="1"/>
  <c r="Y250" i="20"/>
  <c r="AS250" i="20" s="1"/>
  <c r="Y258" i="20"/>
  <c r="AS258" i="20" s="1"/>
  <c r="Y266" i="20"/>
  <c r="AS266" i="20" s="1"/>
  <c r="Y274" i="20"/>
  <c r="AS274" i="20" s="1"/>
  <c r="Y282" i="20"/>
  <c r="AS282" i="20" s="1"/>
  <c r="Y290" i="20"/>
  <c r="AS290" i="20" s="1"/>
  <c r="Y298" i="20"/>
  <c r="AS298" i="20" s="1"/>
  <c r="Y306" i="20"/>
  <c r="AS306" i="20" s="1"/>
  <c r="Y314" i="20"/>
  <c r="AS314" i="20" s="1"/>
  <c r="Y322" i="20"/>
  <c r="AS322" i="20" s="1"/>
  <c r="Y330" i="20"/>
  <c r="AS330" i="20" s="1"/>
  <c r="Y338" i="20"/>
  <c r="AS338" i="20" s="1"/>
  <c r="Y346" i="20"/>
  <c r="AS346" i="20" s="1"/>
  <c r="Y354" i="20"/>
  <c r="AS354" i="20" s="1"/>
  <c r="Y362" i="20"/>
  <c r="AS362" i="20" s="1"/>
  <c r="Y370" i="20"/>
  <c r="AS370" i="20" s="1"/>
  <c r="Y378" i="20"/>
  <c r="AS378" i="20" s="1"/>
  <c r="Y386" i="20"/>
  <c r="AS386" i="20" s="1"/>
  <c r="Y394" i="20"/>
  <c r="AS394" i="20" s="1"/>
  <c r="Y402" i="20"/>
  <c r="AS402" i="20" s="1"/>
  <c r="Y410" i="20"/>
  <c r="AS410" i="20" s="1"/>
  <c r="Y418" i="20"/>
  <c r="AS418" i="20" s="1"/>
  <c r="Y426" i="20"/>
  <c r="AS426" i="20" s="1"/>
  <c r="Y434" i="20"/>
  <c r="AS434" i="20" s="1"/>
  <c r="Y442" i="20"/>
  <c r="AS442" i="20" s="1"/>
  <c r="Y450" i="20"/>
  <c r="AS450" i="20" s="1"/>
  <c r="Y458" i="20"/>
  <c r="AS458" i="20" s="1"/>
  <c r="Y466" i="20"/>
  <c r="AS466" i="20" s="1"/>
  <c r="Y474" i="20"/>
  <c r="AS474" i="20" s="1"/>
  <c r="Y482" i="20"/>
  <c r="AS482" i="20" s="1"/>
  <c r="Y490" i="20"/>
  <c r="AS490" i="20" s="1"/>
  <c r="Y498" i="20"/>
  <c r="AS498" i="20" s="1"/>
  <c r="Y506" i="20"/>
  <c r="AS506" i="20" s="1"/>
  <c r="Y514" i="20"/>
  <c r="AS514" i="20" s="1"/>
  <c r="Y522" i="20"/>
  <c r="AS522" i="20" s="1"/>
  <c r="Y530" i="20"/>
  <c r="AS530" i="20" s="1"/>
  <c r="Y538" i="20"/>
  <c r="AS538" i="20" s="1"/>
  <c r="Y546" i="20"/>
  <c r="AS546" i="20" s="1"/>
  <c r="Y554" i="20"/>
  <c r="AS554" i="20" s="1"/>
  <c r="Y562" i="20"/>
  <c r="AS562" i="20" s="1"/>
  <c r="Y570" i="20"/>
  <c r="AS570" i="20" s="1"/>
  <c r="Y578" i="20"/>
  <c r="AS578" i="20" s="1"/>
  <c r="Y586" i="20"/>
  <c r="AS586" i="20" s="1"/>
  <c r="Y594" i="20"/>
  <c r="AS594" i="20" s="1"/>
  <c r="Y602" i="20"/>
  <c r="AS602" i="20" s="1"/>
  <c r="Y610" i="20"/>
  <c r="AS610" i="20" s="1"/>
  <c r="Y618" i="20"/>
  <c r="AS618" i="20" s="1"/>
  <c r="Y626" i="20"/>
  <c r="AS626" i="20" s="1"/>
  <c r="Y634" i="20"/>
  <c r="AS634" i="20" s="1"/>
  <c r="Y642" i="20"/>
  <c r="AS642" i="20" s="1"/>
  <c r="Y650" i="20"/>
  <c r="AS650" i="20" s="1"/>
  <c r="Y658" i="20"/>
  <c r="AS658" i="20" s="1"/>
  <c r="Y666" i="20"/>
  <c r="AS666" i="20" s="1"/>
  <c r="Y674" i="20"/>
  <c r="AS674" i="20" s="1"/>
  <c r="Y682" i="20"/>
  <c r="AS682" i="20" s="1"/>
  <c r="Y690" i="20"/>
  <c r="AS690" i="20" s="1"/>
  <c r="Y698" i="20"/>
  <c r="AS698" i="20" s="1"/>
  <c r="Y706" i="20"/>
  <c r="AS706" i="20" s="1"/>
  <c r="Y714" i="20"/>
  <c r="AS714" i="20" s="1"/>
  <c r="Y43" i="20"/>
  <c r="AS43" i="20" s="1"/>
  <c r="Y51" i="20"/>
  <c r="AS51" i="20" s="1"/>
  <c r="Y59" i="20"/>
  <c r="AS59" i="20" s="1"/>
  <c r="Y67" i="20"/>
  <c r="AS67" i="20" s="1"/>
  <c r="Y75" i="20"/>
  <c r="AS75" i="20" s="1"/>
  <c r="Y83" i="20"/>
  <c r="AS83" i="20" s="1"/>
  <c r="Y91" i="20"/>
  <c r="AS91" i="20" s="1"/>
  <c r="Y99" i="20"/>
  <c r="AS99" i="20" s="1"/>
  <c r="Y107" i="20"/>
  <c r="AS107" i="20" s="1"/>
  <c r="Y115" i="20"/>
  <c r="AS115" i="20" s="1"/>
  <c r="Y123" i="20"/>
  <c r="AS123" i="20" s="1"/>
  <c r="Y131" i="20"/>
  <c r="AS131" i="20" s="1"/>
  <c r="Y139" i="20"/>
  <c r="AS139" i="20" s="1"/>
  <c r="Y147" i="20"/>
  <c r="AS147" i="20" s="1"/>
  <c r="Y155" i="20"/>
  <c r="AS155" i="20" s="1"/>
  <c r="Y163" i="20"/>
  <c r="AS163" i="20" s="1"/>
  <c r="Y171" i="20"/>
  <c r="AS171" i="20" s="1"/>
  <c r="Y179" i="20"/>
  <c r="AS179" i="20" s="1"/>
  <c r="Y187" i="20"/>
  <c r="AS187" i="20" s="1"/>
  <c r="Y195" i="20"/>
  <c r="AS195" i="20" s="1"/>
  <c r="Y203" i="20"/>
  <c r="AS203" i="20" s="1"/>
  <c r="Y211" i="20"/>
  <c r="AS211" i="20" s="1"/>
  <c r="Y219" i="20"/>
  <c r="AS219" i="20" s="1"/>
  <c r="Y227" i="20"/>
  <c r="AS227" i="20" s="1"/>
  <c r="Y235" i="20"/>
  <c r="AS235" i="20" s="1"/>
  <c r="Y243" i="20"/>
  <c r="AS243" i="20" s="1"/>
  <c r="Y251" i="20"/>
  <c r="AS251" i="20" s="1"/>
  <c r="Y259" i="20"/>
  <c r="AS259" i="20" s="1"/>
  <c r="Y267" i="20"/>
  <c r="AS267" i="20" s="1"/>
  <c r="Y275" i="20"/>
  <c r="AS275" i="20" s="1"/>
  <c r="Y283" i="20"/>
  <c r="AS283" i="20" s="1"/>
  <c r="Y291" i="20"/>
  <c r="AS291" i="20" s="1"/>
  <c r="Y299" i="20"/>
  <c r="AS299" i="20" s="1"/>
  <c r="Y307" i="20"/>
  <c r="AS307" i="20" s="1"/>
  <c r="Y315" i="20"/>
  <c r="AS315" i="20" s="1"/>
  <c r="Y323" i="20"/>
  <c r="AS323" i="20" s="1"/>
  <c r="Y331" i="20"/>
  <c r="AS331" i="20" s="1"/>
  <c r="Y339" i="20"/>
  <c r="AS339" i="20" s="1"/>
  <c r="Y347" i="20"/>
  <c r="AS347" i="20" s="1"/>
  <c r="Y355" i="20"/>
  <c r="AS355" i="20" s="1"/>
  <c r="Y363" i="20"/>
  <c r="AS363" i="20" s="1"/>
  <c r="Y371" i="20"/>
  <c r="AS371" i="20" s="1"/>
  <c r="Y379" i="20"/>
  <c r="AS379" i="20" s="1"/>
  <c r="Y387" i="20"/>
  <c r="AS387" i="20" s="1"/>
  <c r="Y395" i="20"/>
  <c r="AS395" i="20" s="1"/>
  <c r="Y403" i="20"/>
  <c r="AS403" i="20" s="1"/>
  <c r="Y411" i="20"/>
  <c r="AS411" i="20" s="1"/>
  <c r="Y419" i="20"/>
  <c r="AS419" i="20" s="1"/>
  <c r="Y427" i="20"/>
  <c r="AS427" i="20" s="1"/>
  <c r="Y435" i="20"/>
  <c r="AS435" i="20" s="1"/>
  <c r="Y443" i="20"/>
  <c r="AS443" i="20" s="1"/>
  <c r="Y451" i="20"/>
  <c r="AS451" i="20" s="1"/>
  <c r="Y459" i="20"/>
  <c r="AS459" i="20" s="1"/>
  <c r="Y467" i="20"/>
  <c r="AS467" i="20" s="1"/>
  <c r="Y475" i="20"/>
  <c r="AS475" i="20" s="1"/>
  <c r="Y483" i="20"/>
  <c r="AS483" i="20" s="1"/>
  <c r="Y491" i="20"/>
  <c r="AS491" i="20" s="1"/>
  <c r="Y499" i="20"/>
  <c r="AS499" i="20" s="1"/>
  <c r="Y507" i="20"/>
  <c r="AS507" i="20" s="1"/>
  <c r="Y515" i="20"/>
  <c r="AS515" i="20" s="1"/>
  <c r="Y523" i="20"/>
  <c r="AS523" i="20" s="1"/>
  <c r="Y531" i="20"/>
  <c r="AS531" i="20" s="1"/>
  <c r="Y539" i="20"/>
  <c r="AS539" i="20" s="1"/>
  <c r="Y547" i="20"/>
  <c r="AS547" i="20" s="1"/>
  <c r="Y555" i="20"/>
  <c r="AS555" i="20" s="1"/>
  <c r="Y563" i="20"/>
  <c r="AS563" i="20" s="1"/>
  <c r="Y571" i="20"/>
  <c r="AS571" i="20" s="1"/>
  <c r="Y579" i="20"/>
  <c r="AS579" i="20" s="1"/>
  <c r="Y587" i="20"/>
  <c r="AS587" i="20" s="1"/>
  <c r="Y595" i="20"/>
  <c r="AS595" i="20" s="1"/>
  <c r="Y603" i="20"/>
  <c r="AS603" i="20" s="1"/>
  <c r="Y611" i="20"/>
  <c r="AS611" i="20" s="1"/>
  <c r="Y619" i="20"/>
  <c r="AS619" i="20" s="1"/>
  <c r="Y627" i="20"/>
  <c r="AS627" i="20" s="1"/>
  <c r="Y635" i="20"/>
  <c r="AS635" i="20" s="1"/>
  <c r="Y643" i="20"/>
  <c r="AS643" i="20" s="1"/>
  <c r="Y651" i="20"/>
  <c r="AS651" i="20" s="1"/>
  <c r="Y659" i="20"/>
  <c r="AS659" i="20" s="1"/>
  <c r="Y667" i="20"/>
  <c r="AS667" i="20" s="1"/>
  <c r="Y675" i="20"/>
  <c r="AS675" i="20" s="1"/>
  <c r="Y683" i="20"/>
  <c r="AS683" i="20" s="1"/>
  <c r="Y691" i="20"/>
  <c r="AS691" i="20" s="1"/>
  <c r="Y699" i="20"/>
  <c r="AS699" i="20" s="1"/>
  <c r="Y707" i="20"/>
  <c r="AS707" i="20" s="1"/>
  <c r="Y715" i="20"/>
  <c r="AS715" i="20" s="1"/>
  <c r="Y36" i="20"/>
  <c r="AS36" i="20" s="1"/>
  <c r="Y44" i="20"/>
  <c r="AS44" i="20" s="1"/>
  <c r="Y52" i="20"/>
  <c r="AS52" i="20" s="1"/>
  <c r="Y60" i="20"/>
  <c r="AS60" i="20" s="1"/>
  <c r="Y68" i="20"/>
  <c r="AS68" i="20" s="1"/>
  <c r="Y76" i="20"/>
  <c r="AS76" i="20" s="1"/>
  <c r="Y84" i="20"/>
  <c r="AS84" i="20" s="1"/>
  <c r="Y92" i="20"/>
  <c r="AS92" i="20" s="1"/>
  <c r="Y100" i="20"/>
  <c r="AS100" i="20" s="1"/>
  <c r="Y108" i="20"/>
  <c r="AS108" i="20" s="1"/>
  <c r="Y116" i="20"/>
  <c r="AS116" i="20" s="1"/>
  <c r="Y124" i="20"/>
  <c r="AS124" i="20" s="1"/>
  <c r="Y132" i="20"/>
  <c r="AS132" i="20" s="1"/>
  <c r="Y140" i="20"/>
  <c r="AS140" i="20" s="1"/>
  <c r="Y148" i="20"/>
  <c r="AS148" i="20" s="1"/>
  <c r="Y156" i="20"/>
  <c r="AS156" i="20" s="1"/>
  <c r="Y164" i="20"/>
  <c r="AS164" i="20" s="1"/>
  <c r="Y172" i="20"/>
  <c r="AS172" i="20" s="1"/>
  <c r="Y180" i="20"/>
  <c r="AS180" i="20" s="1"/>
  <c r="Y188" i="20"/>
  <c r="AS188" i="20" s="1"/>
  <c r="Y196" i="20"/>
  <c r="AS196" i="20" s="1"/>
  <c r="Y204" i="20"/>
  <c r="AS204" i="20" s="1"/>
  <c r="Y212" i="20"/>
  <c r="AS212" i="20" s="1"/>
  <c r="Y220" i="20"/>
  <c r="AS220" i="20" s="1"/>
  <c r="Y228" i="20"/>
  <c r="AS228" i="20" s="1"/>
  <c r="Y236" i="20"/>
  <c r="AS236" i="20" s="1"/>
  <c r="Y244" i="20"/>
  <c r="AS244" i="20" s="1"/>
  <c r="Y252" i="20"/>
  <c r="AS252" i="20" s="1"/>
  <c r="Y260" i="20"/>
  <c r="AS260" i="20" s="1"/>
  <c r="Y268" i="20"/>
  <c r="AS268" i="20" s="1"/>
  <c r="Y276" i="20"/>
  <c r="AS276" i="20" s="1"/>
  <c r="Y284" i="20"/>
  <c r="AS284" i="20" s="1"/>
  <c r="Y292" i="20"/>
  <c r="AS292" i="20" s="1"/>
  <c r="Y300" i="20"/>
  <c r="AS300" i="20" s="1"/>
  <c r="Y308" i="20"/>
  <c r="AS308" i="20" s="1"/>
  <c r="Y316" i="20"/>
  <c r="AS316" i="20" s="1"/>
  <c r="Y324" i="20"/>
  <c r="AS324" i="20" s="1"/>
  <c r="Y332" i="20"/>
  <c r="AS332" i="20" s="1"/>
  <c r="Y340" i="20"/>
  <c r="AS340" i="20" s="1"/>
  <c r="Y348" i="20"/>
  <c r="AS348" i="20" s="1"/>
  <c r="Y356" i="20"/>
  <c r="AS356" i="20" s="1"/>
  <c r="Y364" i="20"/>
  <c r="AS364" i="20" s="1"/>
  <c r="Y372" i="20"/>
  <c r="AS372" i="20" s="1"/>
  <c r="Y380" i="20"/>
  <c r="AS380" i="20" s="1"/>
  <c r="Y388" i="20"/>
  <c r="AS388" i="20" s="1"/>
  <c r="Y396" i="20"/>
  <c r="AS396" i="20" s="1"/>
  <c r="Y404" i="20"/>
  <c r="AS404" i="20" s="1"/>
  <c r="Y412" i="20"/>
  <c r="AS412" i="20" s="1"/>
  <c r="Y420" i="20"/>
  <c r="AS420" i="20" s="1"/>
  <c r="Y428" i="20"/>
  <c r="AS428" i="20" s="1"/>
  <c r="Y436" i="20"/>
  <c r="AS436" i="20" s="1"/>
  <c r="Y444" i="20"/>
  <c r="AS444" i="20" s="1"/>
  <c r="Y452" i="20"/>
  <c r="AS452" i="20" s="1"/>
  <c r="Y460" i="20"/>
  <c r="AS460" i="20" s="1"/>
  <c r="Y468" i="20"/>
  <c r="AS468" i="20" s="1"/>
  <c r="Y476" i="20"/>
  <c r="AS476" i="20" s="1"/>
  <c r="Y484" i="20"/>
  <c r="AS484" i="20" s="1"/>
  <c r="Y492" i="20"/>
  <c r="AS492" i="20" s="1"/>
  <c r="Y500" i="20"/>
  <c r="AS500" i="20" s="1"/>
  <c r="Y508" i="20"/>
  <c r="AS508" i="20" s="1"/>
  <c r="Y516" i="20"/>
  <c r="AS516" i="20" s="1"/>
  <c r="Y524" i="20"/>
  <c r="AS524" i="20" s="1"/>
  <c r="Y532" i="20"/>
  <c r="AS532" i="20" s="1"/>
  <c r="Y540" i="20"/>
  <c r="AS540" i="20" s="1"/>
  <c r="Y548" i="20"/>
  <c r="AS548" i="20" s="1"/>
  <c r="Y556" i="20"/>
  <c r="AS556" i="20" s="1"/>
  <c r="Y564" i="20"/>
  <c r="AS564" i="20" s="1"/>
  <c r="Y572" i="20"/>
  <c r="AS572" i="20" s="1"/>
  <c r="Y580" i="20"/>
  <c r="AS580" i="20" s="1"/>
  <c r="Y588" i="20"/>
  <c r="AS588" i="20" s="1"/>
  <c r="Y596" i="20"/>
  <c r="AS596" i="20" s="1"/>
  <c r="Y604" i="20"/>
  <c r="AS604" i="20" s="1"/>
  <c r="Y612" i="20"/>
  <c r="AS612" i="20" s="1"/>
  <c r="Y620" i="20"/>
  <c r="AS620" i="20" s="1"/>
  <c r="Y628" i="20"/>
  <c r="AS628" i="20" s="1"/>
  <c r="Y636" i="20"/>
  <c r="AS636" i="20" s="1"/>
  <c r="Y644" i="20"/>
  <c r="AS644" i="20" s="1"/>
  <c r="Y652" i="20"/>
  <c r="AS652" i="20" s="1"/>
  <c r="Y660" i="20"/>
  <c r="AS660" i="20" s="1"/>
  <c r="Y668" i="20"/>
  <c r="AS668" i="20" s="1"/>
  <c r="Y676" i="20"/>
  <c r="AS676" i="20" s="1"/>
  <c r="Y684" i="20"/>
  <c r="AS684" i="20" s="1"/>
  <c r="Y692" i="20"/>
  <c r="AS692" i="20" s="1"/>
  <c r="Y700" i="20"/>
  <c r="AS700" i="20" s="1"/>
  <c r="Y708" i="20"/>
  <c r="AS708" i="20" s="1"/>
  <c r="Y717" i="20"/>
  <c r="AS717" i="20" s="1"/>
  <c r="Y725" i="20"/>
  <c r="AS725" i="20" s="1"/>
  <c r="Y733" i="20"/>
  <c r="AS733" i="20" s="1"/>
  <c r="Y741" i="20"/>
  <c r="AS741" i="20" s="1"/>
  <c r="Y749" i="20"/>
  <c r="AS749" i="20" s="1"/>
  <c r="Y757" i="20"/>
  <c r="AS757" i="20" s="1"/>
  <c r="Y765" i="20"/>
  <c r="AS765" i="20" s="1"/>
  <c r="Y773" i="20"/>
  <c r="AS773" i="20" s="1"/>
  <c r="Y781" i="20"/>
  <c r="AS781" i="20" s="1"/>
  <c r="Y789" i="20"/>
  <c r="AS789" i="20" s="1"/>
  <c r="Y797" i="20"/>
  <c r="AS797" i="20" s="1"/>
  <c r="Y805" i="20"/>
  <c r="AS805" i="20" s="1"/>
  <c r="Y813" i="20"/>
  <c r="AS813" i="20" s="1"/>
  <c r="Y821" i="20"/>
  <c r="AS821" i="20" s="1"/>
  <c r="Y829" i="20"/>
  <c r="AS829" i="20" s="1"/>
  <c r="Y837" i="20"/>
  <c r="AS837" i="20" s="1"/>
  <c r="Y845" i="20"/>
  <c r="AS845" i="20" s="1"/>
  <c r="Y853" i="20"/>
  <c r="AS853" i="20" s="1"/>
  <c r="Y861" i="20"/>
  <c r="AS861" i="20" s="1"/>
  <c r="Y869" i="20"/>
  <c r="AS869" i="20" s="1"/>
  <c r="Y877" i="20"/>
  <c r="AS877" i="20" s="1"/>
  <c r="Y885" i="20"/>
  <c r="AS885" i="20" s="1"/>
  <c r="Y893" i="20"/>
  <c r="AS893" i="20" s="1"/>
  <c r="Y901" i="20"/>
  <c r="AS901" i="20" s="1"/>
  <c r="Y909" i="20"/>
  <c r="AS909" i="20" s="1"/>
  <c r="Y917" i="20"/>
  <c r="AS917" i="20" s="1"/>
  <c r="Y925" i="20"/>
  <c r="AS925" i="20" s="1"/>
  <c r="Y933" i="20"/>
  <c r="AS933" i="20" s="1"/>
  <c r="Y941" i="20"/>
  <c r="AS941" i="20" s="1"/>
  <c r="Y949" i="20"/>
  <c r="AS949" i="20" s="1"/>
  <c r="Y957" i="20"/>
  <c r="AS957" i="20" s="1"/>
  <c r="Y965" i="20"/>
  <c r="AS965" i="20" s="1"/>
  <c r="Y973" i="20"/>
  <c r="AS973" i="20" s="1"/>
  <c r="Y981" i="20"/>
  <c r="AS981" i="20" s="1"/>
  <c r="Y989" i="20"/>
  <c r="AS989" i="20" s="1"/>
  <c r="Y997" i="20"/>
  <c r="AS997" i="20" s="1"/>
  <c r="Y1005" i="20"/>
  <c r="AS1005" i="20" s="1"/>
  <c r="Y1013" i="20"/>
  <c r="AS1013" i="20" s="1"/>
  <c r="Y1021" i="20"/>
  <c r="AS1021" i="20" s="1"/>
  <c r="Y1029" i="20"/>
  <c r="AS1029" i="20" s="1"/>
  <c r="Y718" i="20"/>
  <c r="AS718" i="20" s="1"/>
  <c r="Y726" i="20"/>
  <c r="AS726" i="20" s="1"/>
  <c r="Y734" i="20"/>
  <c r="AS734" i="20" s="1"/>
  <c r="Y742" i="20"/>
  <c r="AS742" i="20" s="1"/>
  <c r="Y750" i="20"/>
  <c r="AS750" i="20" s="1"/>
  <c r="Y758" i="20"/>
  <c r="AS758" i="20" s="1"/>
  <c r="Y766" i="20"/>
  <c r="AS766" i="20" s="1"/>
  <c r="Y774" i="20"/>
  <c r="AS774" i="20" s="1"/>
  <c r="Y782" i="20"/>
  <c r="AS782" i="20" s="1"/>
  <c r="Y790" i="20"/>
  <c r="AS790" i="20" s="1"/>
  <c r="Y798" i="20"/>
  <c r="AS798" i="20" s="1"/>
  <c r="Y806" i="20"/>
  <c r="AS806" i="20" s="1"/>
  <c r="Y814" i="20"/>
  <c r="AS814" i="20" s="1"/>
  <c r="Y822" i="20"/>
  <c r="AS822" i="20" s="1"/>
  <c r="Y830" i="20"/>
  <c r="AS830" i="20" s="1"/>
  <c r="Y838" i="20"/>
  <c r="AS838" i="20" s="1"/>
  <c r="Y846" i="20"/>
  <c r="AS846" i="20" s="1"/>
  <c r="Y854" i="20"/>
  <c r="AS854" i="20" s="1"/>
  <c r="Y862" i="20"/>
  <c r="AS862" i="20" s="1"/>
  <c r="Y870" i="20"/>
  <c r="AS870" i="20" s="1"/>
  <c r="Y878" i="20"/>
  <c r="AS878" i="20" s="1"/>
  <c r="Y886" i="20"/>
  <c r="AS886" i="20" s="1"/>
  <c r="Y894" i="20"/>
  <c r="AS894" i="20" s="1"/>
  <c r="Y902" i="20"/>
  <c r="AS902" i="20" s="1"/>
  <c r="Y910" i="20"/>
  <c r="AS910" i="20" s="1"/>
  <c r="Y918" i="20"/>
  <c r="AS918" i="20" s="1"/>
  <c r="Y926" i="20"/>
  <c r="AS926" i="20" s="1"/>
  <c r="Y934" i="20"/>
  <c r="AS934" i="20" s="1"/>
  <c r="Y942" i="20"/>
  <c r="AS942" i="20" s="1"/>
  <c r="Y950" i="20"/>
  <c r="AS950" i="20" s="1"/>
  <c r="Y958" i="20"/>
  <c r="AS958" i="20" s="1"/>
  <c r="Y966" i="20"/>
  <c r="AS966" i="20" s="1"/>
  <c r="Y974" i="20"/>
  <c r="AS974" i="20" s="1"/>
  <c r="Y982" i="20"/>
  <c r="AS982" i="20" s="1"/>
  <c r="Y990" i="20"/>
  <c r="AS990" i="20" s="1"/>
  <c r="Y998" i="20"/>
  <c r="AS998" i="20" s="1"/>
  <c r="Y1006" i="20"/>
  <c r="AS1006" i="20" s="1"/>
  <c r="Y1014" i="20"/>
  <c r="AS1014" i="20" s="1"/>
  <c r="Y1022" i="20"/>
  <c r="AS1022" i="20" s="1"/>
  <c r="Y1030" i="20"/>
  <c r="AS1030" i="20" s="1"/>
  <c r="Y719" i="20"/>
  <c r="AS719" i="20" s="1"/>
  <c r="Y727" i="20"/>
  <c r="AS727" i="20" s="1"/>
  <c r="Y735" i="20"/>
  <c r="AS735" i="20" s="1"/>
  <c r="Y743" i="20"/>
  <c r="AS743" i="20" s="1"/>
  <c r="Y751" i="20"/>
  <c r="AS751" i="20" s="1"/>
  <c r="Y759" i="20"/>
  <c r="AS759" i="20" s="1"/>
  <c r="Y767" i="20"/>
  <c r="AS767" i="20" s="1"/>
  <c r="Y775" i="20"/>
  <c r="AS775" i="20" s="1"/>
  <c r="Y783" i="20"/>
  <c r="AS783" i="20" s="1"/>
  <c r="Y791" i="20"/>
  <c r="AS791" i="20" s="1"/>
  <c r="Y799" i="20"/>
  <c r="AS799" i="20" s="1"/>
  <c r="Y807" i="20"/>
  <c r="AS807" i="20" s="1"/>
  <c r="Y815" i="20"/>
  <c r="AS815" i="20" s="1"/>
  <c r="Y823" i="20"/>
  <c r="AS823" i="20" s="1"/>
  <c r="Y831" i="20"/>
  <c r="AS831" i="20" s="1"/>
  <c r="Y839" i="20"/>
  <c r="AS839" i="20" s="1"/>
  <c r="Y847" i="20"/>
  <c r="AS847" i="20" s="1"/>
  <c r="Y855" i="20"/>
  <c r="AS855" i="20" s="1"/>
  <c r="Y863" i="20"/>
  <c r="AS863" i="20" s="1"/>
  <c r="Y871" i="20"/>
  <c r="AS871" i="20" s="1"/>
  <c r="Y879" i="20"/>
  <c r="AS879" i="20" s="1"/>
  <c r="Y887" i="20"/>
  <c r="AS887" i="20" s="1"/>
  <c r="Y895" i="20"/>
  <c r="AS895" i="20" s="1"/>
  <c r="Y903" i="20"/>
  <c r="AS903" i="20" s="1"/>
  <c r="Y911" i="20"/>
  <c r="AS911" i="20" s="1"/>
  <c r="Y919" i="20"/>
  <c r="AS919" i="20" s="1"/>
  <c r="Y927" i="20"/>
  <c r="AS927" i="20" s="1"/>
  <c r="Y935" i="20"/>
  <c r="AS935" i="20" s="1"/>
  <c r="Y943" i="20"/>
  <c r="AS943" i="20" s="1"/>
  <c r="Y951" i="20"/>
  <c r="AS951" i="20" s="1"/>
  <c r="Y959" i="20"/>
  <c r="AS959" i="20" s="1"/>
  <c r="Y967" i="20"/>
  <c r="AS967" i="20" s="1"/>
  <c r="Y975" i="20"/>
  <c r="AS975" i="20" s="1"/>
  <c r="Y983" i="20"/>
  <c r="AS983" i="20" s="1"/>
  <c r="Y991" i="20"/>
  <c r="AS991" i="20" s="1"/>
  <c r="Y999" i="20"/>
  <c r="AS999" i="20" s="1"/>
  <c r="Y1007" i="20"/>
  <c r="AS1007" i="20" s="1"/>
  <c r="Y1015" i="20"/>
  <c r="AS1015" i="20" s="1"/>
  <c r="Y1023" i="20"/>
  <c r="AS1023" i="20" s="1"/>
  <c r="Y1031" i="20"/>
  <c r="AS1031" i="20" s="1"/>
  <c r="Y720" i="20"/>
  <c r="AS720" i="20" s="1"/>
  <c r="Y728" i="20"/>
  <c r="AS728" i="20" s="1"/>
  <c r="Y736" i="20"/>
  <c r="AS736" i="20" s="1"/>
  <c r="Y744" i="20"/>
  <c r="AS744" i="20" s="1"/>
  <c r="Y752" i="20"/>
  <c r="AS752" i="20" s="1"/>
  <c r="Y760" i="20"/>
  <c r="AS760" i="20" s="1"/>
  <c r="Y768" i="20"/>
  <c r="AS768" i="20" s="1"/>
  <c r="Y776" i="20"/>
  <c r="AS776" i="20" s="1"/>
  <c r="Y784" i="20"/>
  <c r="AS784" i="20" s="1"/>
  <c r="Y792" i="20"/>
  <c r="AS792" i="20" s="1"/>
  <c r="Y800" i="20"/>
  <c r="AS800" i="20" s="1"/>
  <c r="Y808" i="20"/>
  <c r="AS808" i="20" s="1"/>
  <c r="Y816" i="20"/>
  <c r="AS816" i="20" s="1"/>
  <c r="Y824" i="20"/>
  <c r="AS824" i="20" s="1"/>
  <c r="Y832" i="20"/>
  <c r="AS832" i="20" s="1"/>
  <c r="Y840" i="20"/>
  <c r="AS840" i="20" s="1"/>
  <c r="Y848" i="20"/>
  <c r="AS848" i="20" s="1"/>
  <c r="Y856" i="20"/>
  <c r="AS856" i="20" s="1"/>
  <c r="Y864" i="20"/>
  <c r="AS864" i="20" s="1"/>
  <c r="Y872" i="20"/>
  <c r="AS872" i="20" s="1"/>
  <c r="Y880" i="20"/>
  <c r="AS880" i="20" s="1"/>
  <c r="Y888" i="20"/>
  <c r="AS888" i="20" s="1"/>
  <c r="Y896" i="20"/>
  <c r="AS896" i="20" s="1"/>
  <c r="Y904" i="20"/>
  <c r="AS904" i="20" s="1"/>
  <c r="Y912" i="20"/>
  <c r="AS912" i="20" s="1"/>
  <c r="Y920" i="20"/>
  <c r="AS920" i="20" s="1"/>
  <c r="Y928" i="20"/>
  <c r="AS928" i="20" s="1"/>
  <c r="Y936" i="20"/>
  <c r="AS936" i="20" s="1"/>
  <c r="Y944" i="20"/>
  <c r="AS944" i="20" s="1"/>
  <c r="Y952" i="20"/>
  <c r="AS952" i="20" s="1"/>
  <c r="Y960" i="20"/>
  <c r="AS960" i="20" s="1"/>
  <c r="Y968" i="20"/>
  <c r="AS968" i="20" s="1"/>
  <c r="Y976" i="20"/>
  <c r="AS976" i="20" s="1"/>
  <c r="Y984" i="20"/>
  <c r="AS984" i="20" s="1"/>
  <c r="Y992" i="20"/>
  <c r="AS992" i="20" s="1"/>
  <c r="Y1000" i="20"/>
  <c r="AS1000" i="20" s="1"/>
  <c r="Y1008" i="20"/>
  <c r="AS1008" i="20" s="1"/>
  <c r="Y1016" i="20"/>
  <c r="AS1016" i="20" s="1"/>
  <c r="Y1024" i="20"/>
  <c r="AS1024" i="20" s="1"/>
  <c r="Y1032" i="20"/>
  <c r="AS1032" i="20" s="1"/>
  <c r="Y721" i="20"/>
  <c r="AS721" i="20" s="1"/>
  <c r="Y729" i="20"/>
  <c r="AS729" i="20" s="1"/>
  <c r="Y737" i="20"/>
  <c r="AS737" i="20" s="1"/>
  <c r="Y745" i="20"/>
  <c r="AS745" i="20" s="1"/>
  <c r="Y753" i="20"/>
  <c r="AS753" i="20" s="1"/>
  <c r="Y761" i="20"/>
  <c r="AS761" i="20" s="1"/>
  <c r="Y769" i="20"/>
  <c r="AS769" i="20" s="1"/>
  <c r="Y777" i="20"/>
  <c r="AS777" i="20" s="1"/>
  <c r="Y785" i="20"/>
  <c r="AS785" i="20" s="1"/>
  <c r="Y793" i="20"/>
  <c r="AS793" i="20" s="1"/>
  <c r="Y801" i="20"/>
  <c r="AS801" i="20" s="1"/>
  <c r="Y809" i="20"/>
  <c r="AS809" i="20" s="1"/>
  <c r="Y817" i="20"/>
  <c r="AS817" i="20" s="1"/>
  <c r="Y825" i="20"/>
  <c r="AS825" i="20" s="1"/>
  <c r="Y833" i="20"/>
  <c r="AS833" i="20" s="1"/>
  <c r="Y841" i="20"/>
  <c r="AS841" i="20" s="1"/>
  <c r="Y849" i="20"/>
  <c r="AS849" i="20" s="1"/>
  <c r="Y857" i="20"/>
  <c r="AS857" i="20" s="1"/>
  <c r="Y865" i="20"/>
  <c r="AS865" i="20" s="1"/>
  <c r="Y873" i="20"/>
  <c r="AS873" i="20" s="1"/>
  <c r="Y881" i="20"/>
  <c r="AS881" i="20" s="1"/>
  <c r="Y889" i="20"/>
  <c r="AS889" i="20" s="1"/>
  <c r="Y897" i="20"/>
  <c r="AS897" i="20" s="1"/>
  <c r="Y905" i="20"/>
  <c r="AS905" i="20" s="1"/>
  <c r="Y913" i="20"/>
  <c r="AS913" i="20" s="1"/>
  <c r="Y921" i="20"/>
  <c r="AS921" i="20" s="1"/>
  <c r="Y929" i="20"/>
  <c r="AS929" i="20" s="1"/>
  <c r="Y937" i="20"/>
  <c r="AS937" i="20" s="1"/>
  <c r="Y945" i="20"/>
  <c r="AS945" i="20" s="1"/>
  <c r="Y953" i="20"/>
  <c r="AS953" i="20" s="1"/>
  <c r="Y961" i="20"/>
  <c r="AS961" i="20" s="1"/>
  <c r="Y969" i="20"/>
  <c r="AS969" i="20" s="1"/>
  <c r="Y977" i="20"/>
  <c r="AS977" i="20" s="1"/>
  <c r="Y985" i="20"/>
  <c r="AS985" i="20" s="1"/>
  <c r="Y993" i="20"/>
  <c r="AS993" i="20" s="1"/>
  <c r="Y1001" i="20"/>
  <c r="AS1001" i="20" s="1"/>
  <c r="Y1009" i="20"/>
  <c r="AS1009" i="20" s="1"/>
  <c r="Y1017" i="20"/>
  <c r="AS1017" i="20" s="1"/>
  <c r="Y1025" i="20"/>
  <c r="AS1025" i="20" s="1"/>
  <c r="Y1033" i="20"/>
  <c r="AS1033" i="20" s="1"/>
  <c r="Y722" i="20"/>
  <c r="AS722" i="20" s="1"/>
  <c r="Y730" i="20"/>
  <c r="AS730" i="20" s="1"/>
  <c r="Y738" i="20"/>
  <c r="AS738" i="20" s="1"/>
  <c r="Y746" i="20"/>
  <c r="AS746" i="20" s="1"/>
  <c r="Y754" i="20"/>
  <c r="AS754" i="20" s="1"/>
  <c r="Y762" i="20"/>
  <c r="AS762" i="20" s="1"/>
  <c r="Y770" i="20"/>
  <c r="AS770" i="20" s="1"/>
  <c r="Y778" i="20"/>
  <c r="AS778" i="20" s="1"/>
  <c r="Y786" i="20"/>
  <c r="AS786" i="20" s="1"/>
  <c r="Y794" i="20"/>
  <c r="AS794" i="20" s="1"/>
  <c r="Y802" i="20"/>
  <c r="AS802" i="20" s="1"/>
  <c r="Y810" i="20"/>
  <c r="AS810" i="20" s="1"/>
  <c r="Y818" i="20"/>
  <c r="AS818" i="20" s="1"/>
  <c r="Y826" i="20"/>
  <c r="AS826" i="20" s="1"/>
  <c r="Y834" i="20"/>
  <c r="AS834" i="20" s="1"/>
  <c r="Y842" i="20"/>
  <c r="AS842" i="20" s="1"/>
  <c r="Y850" i="20"/>
  <c r="AS850" i="20" s="1"/>
  <c r="Y858" i="20"/>
  <c r="AS858" i="20" s="1"/>
  <c r="Y866" i="20"/>
  <c r="AS866" i="20" s="1"/>
  <c r="Y874" i="20"/>
  <c r="AS874" i="20" s="1"/>
  <c r="Y882" i="20"/>
  <c r="AS882" i="20" s="1"/>
  <c r="Y890" i="20"/>
  <c r="AS890" i="20" s="1"/>
  <c r="Y898" i="20"/>
  <c r="AS898" i="20" s="1"/>
  <c r="Y906" i="20"/>
  <c r="AS906" i="20" s="1"/>
  <c r="Y914" i="20"/>
  <c r="AS914" i="20" s="1"/>
  <c r="Y922" i="20"/>
  <c r="AS922" i="20" s="1"/>
  <c r="Y930" i="20"/>
  <c r="AS930" i="20" s="1"/>
  <c r="Y938" i="20"/>
  <c r="AS938" i="20" s="1"/>
  <c r="Y946" i="20"/>
  <c r="AS946" i="20" s="1"/>
  <c r="Y954" i="20"/>
  <c r="AS954" i="20" s="1"/>
  <c r="Y962" i="20"/>
  <c r="AS962" i="20" s="1"/>
  <c r="Y970" i="20"/>
  <c r="AS970" i="20" s="1"/>
  <c r="Y978" i="20"/>
  <c r="AS978" i="20" s="1"/>
  <c r="Y986" i="20"/>
  <c r="AS986" i="20" s="1"/>
  <c r="Y994" i="20"/>
  <c r="AS994" i="20" s="1"/>
  <c r="Y1002" i="20"/>
  <c r="AS1002" i="20" s="1"/>
  <c r="Y1010" i="20"/>
  <c r="AS1010" i="20" s="1"/>
  <c r="Y1018" i="20"/>
  <c r="AS1018" i="20" s="1"/>
  <c r="Y1026" i="20"/>
  <c r="AS1026" i="20" s="1"/>
  <c r="Y1034" i="20"/>
  <c r="AS1034" i="20" s="1"/>
  <c r="Y723" i="20"/>
  <c r="AS723" i="20" s="1"/>
  <c r="Y731" i="20"/>
  <c r="AS731" i="20" s="1"/>
  <c r="Y739" i="20"/>
  <c r="AS739" i="20" s="1"/>
  <c r="Y747" i="20"/>
  <c r="AS747" i="20" s="1"/>
  <c r="Y755" i="20"/>
  <c r="AS755" i="20" s="1"/>
  <c r="Y763" i="20"/>
  <c r="AS763" i="20" s="1"/>
  <c r="Y771" i="20"/>
  <c r="AS771" i="20" s="1"/>
  <c r="Y779" i="20"/>
  <c r="AS779" i="20" s="1"/>
  <c r="Y787" i="20"/>
  <c r="AS787" i="20" s="1"/>
  <c r="Y795" i="20"/>
  <c r="AS795" i="20" s="1"/>
  <c r="Y803" i="20"/>
  <c r="AS803" i="20" s="1"/>
  <c r="Y811" i="20"/>
  <c r="AS811" i="20" s="1"/>
  <c r="Y819" i="20"/>
  <c r="AS819" i="20" s="1"/>
  <c r="Y827" i="20"/>
  <c r="AS827" i="20" s="1"/>
  <c r="Y835" i="20"/>
  <c r="AS835" i="20" s="1"/>
  <c r="Y843" i="20"/>
  <c r="AS843" i="20" s="1"/>
  <c r="Y851" i="20"/>
  <c r="AS851" i="20" s="1"/>
  <c r="Y859" i="20"/>
  <c r="AS859" i="20" s="1"/>
  <c r="Y867" i="20"/>
  <c r="AS867" i="20" s="1"/>
  <c r="Y875" i="20"/>
  <c r="AS875" i="20" s="1"/>
  <c r="Y883" i="20"/>
  <c r="AS883" i="20" s="1"/>
  <c r="Y891" i="20"/>
  <c r="AS891" i="20" s="1"/>
  <c r="Y899" i="20"/>
  <c r="AS899" i="20" s="1"/>
  <c r="Y907" i="20"/>
  <c r="AS907" i="20" s="1"/>
  <c r="Y915" i="20"/>
  <c r="AS915" i="20" s="1"/>
  <c r="Y923" i="20"/>
  <c r="AS923" i="20" s="1"/>
  <c r="Y931" i="20"/>
  <c r="AS931" i="20" s="1"/>
  <c r="Y939" i="20"/>
  <c r="AS939" i="20" s="1"/>
  <c r="Y947" i="20"/>
  <c r="AS947" i="20" s="1"/>
  <c r="Y955" i="20"/>
  <c r="AS955" i="20" s="1"/>
  <c r="Y963" i="20"/>
  <c r="AS963" i="20" s="1"/>
  <c r="Y971" i="20"/>
  <c r="AS971" i="20" s="1"/>
  <c r="Y979" i="20"/>
  <c r="AS979" i="20" s="1"/>
  <c r="Y987" i="20"/>
  <c r="AS987" i="20" s="1"/>
  <c r="Y995" i="20"/>
  <c r="AS995" i="20" s="1"/>
  <c r="Y1003" i="20"/>
  <c r="AS1003" i="20" s="1"/>
  <c r="Y1011" i="20"/>
  <c r="AS1011" i="20" s="1"/>
  <c r="Y1019" i="20"/>
  <c r="AS1019" i="20" s="1"/>
  <c r="Y1027" i="20"/>
  <c r="AS1027" i="20" s="1"/>
  <c r="Y35" i="20"/>
  <c r="Y716" i="20"/>
  <c r="AS716" i="20" s="1"/>
  <c r="Y724" i="20"/>
  <c r="AS724" i="20" s="1"/>
  <c r="Y732" i="20"/>
  <c r="AS732" i="20" s="1"/>
  <c r="Y740" i="20"/>
  <c r="AS740" i="20" s="1"/>
  <c r="Y748" i="20"/>
  <c r="AS748" i="20" s="1"/>
  <c r="Y756" i="20"/>
  <c r="AS756" i="20" s="1"/>
  <c r="Y764" i="20"/>
  <c r="AS764" i="20" s="1"/>
  <c r="Y772" i="20"/>
  <c r="AS772" i="20" s="1"/>
  <c r="Y780" i="20"/>
  <c r="AS780" i="20" s="1"/>
  <c r="Y788" i="20"/>
  <c r="AS788" i="20" s="1"/>
  <c r="Y796" i="20"/>
  <c r="AS796" i="20" s="1"/>
  <c r="Y804" i="20"/>
  <c r="AS804" i="20" s="1"/>
  <c r="Y812" i="20"/>
  <c r="AS812" i="20" s="1"/>
  <c r="Y820" i="20"/>
  <c r="AS820" i="20" s="1"/>
  <c r="Y828" i="20"/>
  <c r="AS828" i="20" s="1"/>
  <c r="Y836" i="20"/>
  <c r="AS836" i="20" s="1"/>
  <c r="Y844" i="20"/>
  <c r="AS844" i="20" s="1"/>
  <c r="Y852" i="20"/>
  <c r="AS852" i="20" s="1"/>
  <c r="Y860" i="20"/>
  <c r="AS860" i="20" s="1"/>
  <c r="Y868" i="20"/>
  <c r="AS868" i="20" s="1"/>
  <c r="Y876" i="20"/>
  <c r="AS876" i="20" s="1"/>
  <c r="Y884" i="20"/>
  <c r="AS884" i="20" s="1"/>
  <c r="Y892" i="20"/>
  <c r="AS892" i="20" s="1"/>
  <c r="Y900" i="20"/>
  <c r="AS900" i="20" s="1"/>
  <c r="Y908" i="20"/>
  <c r="AS908" i="20" s="1"/>
  <c r="Y916" i="20"/>
  <c r="AS916" i="20" s="1"/>
  <c r="Y924" i="20"/>
  <c r="AS924" i="20" s="1"/>
  <c r="Y932" i="20"/>
  <c r="AS932" i="20" s="1"/>
  <c r="Y940" i="20"/>
  <c r="AS940" i="20" s="1"/>
  <c r="Y948" i="20"/>
  <c r="AS948" i="20" s="1"/>
  <c r="Y956" i="20"/>
  <c r="AS956" i="20" s="1"/>
  <c r="Y964" i="20"/>
  <c r="AS964" i="20" s="1"/>
  <c r="Y972" i="20"/>
  <c r="AS972" i="20" s="1"/>
  <c r="Y980" i="20"/>
  <c r="AS980" i="20" s="1"/>
  <c r="Y988" i="20"/>
  <c r="AS988" i="20" s="1"/>
  <c r="Y996" i="20"/>
  <c r="AS996" i="20" s="1"/>
  <c r="Y1004" i="20"/>
  <c r="AS1004" i="20" s="1"/>
  <c r="Y1012" i="20"/>
  <c r="AS1012" i="20" s="1"/>
  <c r="Y1020" i="20"/>
  <c r="AS1020" i="20" s="1"/>
  <c r="Y1028" i="20"/>
  <c r="AS1028" i="20" s="1"/>
  <c r="AF38" i="14"/>
  <c r="BO38" i="14" s="1"/>
  <c r="AF49" i="14"/>
  <c r="BO49" i="14" s="1"/>
  <c r="AF34" i="14"/>
  <c r="BO34" i="14" s="1"/>
  <c r="AF45" i="14"/>
  <c r="BO45" i="14" s="1"/>
  <c r="J31" i="14"/>
  <c r="F61" i="14"/>
  <c r="AF43" i="14"/>
  <c r="AV43" i="14" s="1"/>
  <c r="AF35" i="14"/>
  <c r="BO35" i="14" s="1"/>
  <c r="AF33" i="14"/>
  <c r="BO33" i="14" s="1"/>
  <c r="AF37" i="14"/>
  <c r="BO37" i="14" s="1"/>
  <c r="AF48" i="14"/>
  <c r="BO48" i="14" s="1"/>
  <c r="AF36" i="14"/>
  <c r="BO36" i="14" s="1"/>
  <c r="AF50" i="14"/>
  <c r="BO50" i="14" s="1"/>
  <c r="AF41" i="14"/>
  <c r="BO41" i="14" s="1"/>
  <c r="AF40" i="14"/>
  <c r="BO40" i="14" s="1"/>
  <c r="AF32" i="14"/>
  <c r="BO32" i="14" s="1"/>
  <c r="AF39" i="14"/>
  <c r="BO39" i="14" s="1"/>
  <c r="AF47" i="14"/>
  <c r="BO47" i="14" s="1"/>
  <c r="AF46" i="14"/>
  <c r="BO46" i="14" s="1"/>
  <c r="AF42" i="14"/>
  <c r="BO42" i="14" s="1"/>
  <c r="BM44" i="14"/>
  <c r="BP44" i="14"/>
  <c r="BN44" i="14"/>
  <c r="AP28" i="20"/>
  <c r="AP25" i="20"/>
  <c r="AP29" i="20"/>
  <c r="AP26" i="20"/>
  <c r="AP24" i="20"/>
  <c r="AP27" i="20"/>
  <c r="AH73" i="14"/>
  <c r="V103" i="14"/>
  <c r="V73" i="14"/>
  <c r="AU43" i="14"/>
  <c r="W31" i="14"/>
  <c r="Y31" i="14" s="1"/>
  <c r="AK31" i="14"/>
  <c r="AM31" i="14" s="1"/>
  <c r="H53" i="14"/>
  <c r="AR31" i="14"/>
  <c r="AT31" i="14" s="1"/>
  <c r="AD31" i="14"/>
  <c r="C17" i="19"/>
  <c r="C16" i="19"/>
  <c r="C18" i="19"/>
  <c r="C30" i="19"/>
  <c r="C29" i="19"/>
  <c r="C23" i="19"/>
  <c r="C22" i="19"/>
  <c r="C21" i="19"/>
  <c r="C15" i="19"/>
  <c r="C14" i="19"/>
  <c r="C13" i="19"/>
  <c r="C10" i="19"/>
  <c r="C27" i="19"/>
  <c r="C28" i="19"/>
  <c r="C19" i="19"/>
  <c r="C20" i="19"/>
  <c r="C11" i="19"/>
  <c r="C12" i="19"/>
  <c r="C25" i="19"/>
  <c r="C24" i="19"/>
  <c r="C26" i="19"/>
  <c r="AH77" i="14"/>
  <c r="V107" i="14"/>
  <c r="AU47" i="14"/>
  <c r="V77" i="14"/>
  <c r="AJ72" i="14"/>
  <c r="X72" i="14"/>
  <c r="X102" i="14"/>
  <c r="AW42" i="14"/>
  <c r="AB27" i="20"/>
  <c r="AB29" i="20"/>
  <c r="AB28" i="20"/>
  <c r="AB25" i="20"/>
  <c r="AB26" i="20"/>
  <c r="AB24" i="20"/>
  <c r="AD74" i="14"/>
  <c r="AJ71" i="14"/>
  <c r="X101" i="14"/>
  <c r="X71" i="14"/>
  <c r="AW41" i="14"/>
  <c r="AJ67" i="14"/>
  <c r="AW37" i="14"/>
  <c r="X97" i="14"/>
  <c r="X67" i="14"/>
  <c r="AK26" i="20"/>
  <c r="AK29" i="20"/>
  <c r="AK27" i="20"/>
  <c r="AK28" i="20"/>
  <c r="AK25" i="20"/>
  <c r="AK24" i="20"/>
  <c r="J29" i="7"/>
  <c r="BC44" i="14"/>
  <c r="AD26" i="20"/>
  <c r="AD29" i="20"/>
  <c r="AD28" i="20"/>
  <c r="AD27" i="20"/>
  <c r="AD24" i="20"/>
  <c r="AD25" i="20"/>
  <c r="AJ66" i="14"/>
  <c r="X66" i="14"/>
  <c r="X96" i="14"/>
  <c r="AW36" i="14"/>
  <c r="P6" i="7"/>
  <c r="J6" i="7"/>
  <c r="J5" i="7" s="1"/>
  <c r="AD104" i="14"/>
  <c r="AH80" i="14"/>
  <c r="AU50" i="14"/>
  <c r="V80" i="14"/>
  <c r="V110" i="14"/>
  <c r="AH68" i="14"/>
  <c r="V98" i="14"/>
  <c r="AU38" i="14"/>
  <c r="V68" i="14"/>
  <c r="AF104" i="14"/>
  <c r="AJ27" i="20"/>
  <c r="AJ29" i="20"/>
  <c r="AJ26" i="20"/>
  <c r="AJ24" i="20"/>
  <c r="AJ28" i="20"/>
  <c r="AJ25" i="20"/>
  <c r="AJ80" i="14"/>
  <c r="AW50" i="14"/>
  <c r="X80" i="14"/>
  <c r="X110" i="14"/>
  <c r="AH71" i="14"/>
  <c r="V71" i="14"/>
  <c r="V101" i="14"/>
  <c r="AU41" i="14"/>
  <c r="AH67" i="14"/>
  <c r="AU37" i="14"/>
  <c r="V97" i="14"/>
  <c r="V67" i="14"/>
  <c r="Z28" i="20"/>
  <c r="Z25" i="20"/>
  <c r="Z27" i="20"/>
  <c r="Z29" i="20"/>
  <c r="Z26" i="20"/>
  <c r="Z24" i="20"/>
  <c r="AJ69" i="14"/>
  <c r="X99" i="14"/>
  <c r="X69" i="14"/>
  <c r="AW39" i="14"/>
  <c r="AH70" i="14"/>
  <c r="AU40" i="14"/>
  <c r="V70" i="14"/>
  <c r="V100" i="14"/>
  <c r="AF29" i="20"/>
  <c r="AF24" i="20"/>
  <c r="AF28" i="20"/>
  <c r="AF25" i="20"/>
  <c r="AF26" i="20"/>
  <c r="AF27" i="20"/>
  <c r="AJ63" i="14"/>
  <c r="AW33" i="14"/>
  <c r="X63" i="14"/>
  <c r="X93" i="14"/>
  <c r="AC26" i="20"/>
  <c r="AC29" i="20"/>
  <c r="AC27" i="20"/>
  <c r="AC28" i="20"/>
  <c r="AC24" i="20"/>
  <c r="AC25" i="20"/>
  <c r="BE44" i="14"/>
  <c r="AH78" i="14"/>
  <c r="V78" i="14"/>
  <c r="AU48" i="14"/>
  <c r="V108" i="14"/>
  <c r="AJ73" i="14"/>
  <c r="X103" i="14"/>
  <c r="X73" i="14"/>
  <c r="AW43" i="14"/>
  <c r="AJ68" i="14"/>
  <c r="AW38" i="14"/>
  <c r="X98" i="14"/>
  <c r="X68" i="14"/>
  <c r="AM29" i="20"/>
  <c r="AM24" i="20"/>
  <c r="AM28" i="20"/>
  <c r="AM27" i="20"/>
  <c r="AM25" i="20"/>
  <c r="AM26" i="20"/>
  <c r="AF74" i="14"/>
  <c r="AH72" i="14"/>
  <c r="AU42" i="14"/>
  <c r="V102" i="14"/>
  <c r="V72" i="14"/>
  <c r="AH64" i="14"/>
  <c r="AU34" i="14"/>
  <c r="V94" i="14"/>
  <c r="V64" i="14"/>
  <c r="AI25" i="20"/>
  <c r="AI27" i="20"/>
  <c r="AI28" i="20"/>
  <c r="AI29" i="20"/>
  <c r="AI26" i="20"/>
  <c r="AI24" i="20"/>
  <c r="AH62" i="14"/>
  <c r="AU32" i="14"/>
  <c r="V92" i="14"/>
  <c r="V62" i="14"/>
  <c r="AJ78" i="14"/>
  <c r="X78" i="14"/>
  <c r="AW48" i="14"/>
  <c r="X108" i="14"/>
  <c r="AJ75" i="14"/>
  <c r="AW45" i="14"/>
  <c r="X75" i="14"/>
  <c r="X105" i="14"/>
  <c r="AQ25" i="20"/>
  <c r="AQ27" i="20"/>
  <c r="AQ28" i="20"/>
  <c r="AQ29" i="20"/>
  <c r="AQ26" i="20"/>
  <c r="AQ24" i="20"/>
  <c r="AJ79" i="14"/>
  <c r="AW49" i="14"/>
  <c r="X79" i="14"/>
  <c r="X109" i="14"/>
  <c r="AJ65" i="14"/>
  <c r="AW35" i="14"/>
  <c r="X95" i="14"/>
  <c r="X65" i="14"/>
  <c r="AH76" i="14"/>
  <c r="V106" i="14"/>
  <c r="AU46" i="14"/>
  <c r="V76" i="14"/>
  <c r="AO28" i="20"/>
  <c r="AO29" i="20"/>
  <c r="AO27" i="20"/>
  <c r="AO25" i="20"/>
  <c r="AO26" i="20"/>
  <c r="AO24" i="20"/>
  <c r="AE29" i="20"/>
  <c r="AE24" i="20"/>
  <c r="AE28" i="20"/>
  <c r="AE25" i="20"/>
  <c r="AE26" i="20"/>
  <c r="AE27" i="20"/>
  <c r="Y104" i="14"/>
  <c r="Y74" i="14"/>
  <c r="AX44" i="14"/>
  <c r="AH66" i="14"/>
  <c r="V96" i="14"/>
  <c r="V66" i="14"/>
  <c r="AU36" i="14"/>
  <c r="AG28" i="20"/>
  <c r="AG29" i="20"/>
  <c r="AG25" i="20"/>
  <c r="AG26" i="20"/>
  <c r="AG24" i="20"/>
  <c r="AG27" i="20"/>
  <c r="AH69" i="14"/>
  <c r="V69" i="14"/>
  <c r="V99" i="14"/>
  <c r="AU39" i="14"/>
  <c r="AH28" i="20"/>
  <c r="AH25" i="20"/>
  <c r="AH26" i="20"/>
  <c r="AH24" i="20"/>
  <c r="AH29" i="20"/>
  <c r="AH27" i="20"/>
  <c r="AJ70" i="14"/>
  <c r="AW40" i="14"/>
  <c r="X70" i="14"/>
  <c r="X100" i="14"/>
  <c r="BO69" i="15"/>
  <c r="BP68" i="15"/>
  <c r="AA25" i="20"/>
  <c r="AA27" i="20"/>
  <c r="AA28" i="20"/>
  <c r="AA29" i="20"/>
  <c r="AA26" i="20"/>
  <c r="AA24" i="20"/>
  <c r="AH63" i="14"/>
  <c r="V63" i="14"/>
  <c r="V93" i="14"/>
  <c r="AU33" i="14"/>
  <c r="AH75" i="14"/>
  <c r="V75" i="14"/>
  <c r="V105" i="14"/>
  <c r="AU45" i="14"/>
  <c r="AH79" i="14"/>
  <c r="AU49" i="14"/>
  <c r="V79" i="14"/>
  <c r="V109" i="14"/>
  <c r="AH65" i="14"/>
  <c r="V65" i="14"/>
  <c r="AU35" i="14"/>
  <c r="V95" i="14"/>
  <c r="AN29" i="20"/>
  <c r="AN24" i="20"/>
  <c r="AN28" i="20"/>
  <c r="AN27" i="20"/>
  <c r="AN25" i="20"/>
  <c r="AN26" i="20"/>
  <c r="AJ76" i="14"/>
  <c r="X106" i="14"/>
  <c r="X76" i="14"/>
  <c r="AW46" i="14"/>
  <c r="AJ77" i="14"/>
  <c r="X107" i="14"/>
  <c r="X77" i="14"/>
  <c r="AW47" i="14"/>
  <c r="AJ64" i="14"/>
  <c r="AW34" i="14"/>
  <c r="X94" i="14"/>
  <c r="X64" i="14"/>
  <c r="AL30" i="20"/>
  <c r="AR27" i="20"/>
  <c r="AR29" i="20"/>
  <c r="AR26" i="20"/>
  <c r="AR24" i="20"/>
  <c r="AR25" i="20"/>
  <c r="AR28" i="20"/>
  <c r="AJ62" i="14"/>
  <c r="AW32" i="14"/>
  <c r="X62" i="14"/>
  <c r="X92" i="14"/>
  <c r="AK75" i="14" l="1"/>
  <c r="Q50" i="7"/>
  <c r="C207" i="29"/>
  <c r="Q37" i="7"/>
  <c r="C194" i="29"/>
  <c r="Q43" i="7"/>
  <c r="C200" i="29"/>
  <c r="Q49" i="7"/>
  <c r="C206" i="29"/>
  <c r="AE74" i="14"/>
  <c r="C68" i="28" s="1"/>
  <c r="C45" i="28"/>
  <c r="Q35" i="7"/>
  <c r="C192" i="29"/>
  <c r="Q53" i="7"/>
  <c r="C210" i="29"/>
  <c r="Q40" i="7"/>
  <c r="C197" i="29"/>
  <c r="Q41" i="7"/>
  <c r="C198" i="29"/>
  <c r="Q45" i="7"/>
  <c r="C202" i="29"/>
  <c r="Q38" i="7"/>
  <c r="C195" i="29"/>
  <c r="Q36" i="7"/>
  <c r="C193" i="29"/>
  <c r="Q52" i="7"/>
  <c r="C209" i="29"/>
  <c r="Q42" i="7"/>
  <c r="C199" i="29"/>
  <c r="Q44" i="7"/>
  <c r="C201" i="29"/>
  <c r="Q51" i="7"/>
  <c r="C208" i="29"/>
  <c r="Q39" i="7"/>
  <c r="C196" i="29"/>
  <c r="Q48" i="7"/>
  <c r="C205" i="29"/>
  <c r="Q46" i="7"/>
  <c r="C203" i="29"/>
  <c r="Q6" i="7"/>
  <c r="C165" i="29"/>
  <c r="AK77" i="14"/>
  <c r="W109" i="14"/>
  <c r="AI79" i="14"/>
  <c r="AV45" i="14"/>
  <c r="W75" i="14"/>
  <c r="C46" i="28" s="1"/>
  <c r="AV42" i="14"/>
  <c r="BD42" i="14" s="1"/>
  <c r="W105" i="14"/>
  <c r="AI75" i="14"/>
  <c r="W67" i="14"/>
  <c r="C38" i="28" s="1"/>
  <c r="AI76" i="14"/>
  <c r="W64" i="14"/>
  <c r="E46" i="5"/>
  <c r="AK78" i="14"/>
  <c r="AK67" i="14"/>
  <c r="W97" i="14"/>
  <c r="AE97" i="14" s="1"/>
  <c r="AK79" i="14"/>
  <c r="AV37" i="14"/>
  <c r="BD37" i="14" s="1"/>
  <c r="AI67" i="14"/>
  <c r="W79" i="14"/>
  <c r="AV49" i="14"/>
  <c r="AK80" i="14"/>
  <c r="W99" i="14"/>
  <c r="AE99" i="14" s="1"/>
  <c r="AI63" i="14"/>
  <c r="AI69" i="14"/>
  <c r="AK68" i="14"/>
  <c r="W68" i="14"/>
  <c r="W98" i="14"/>
  <c r="AE98" i="14" s="1"/>
  <c r="B37" i="22"/>
  <c r="B36" i="22" s="1"/>
  <c r="C37" i="22"/>
  <c r="C36" i="22" s="1"/>
  <c r="D37" i="22"/>
  <c r="D36" i="22" s="1"/>
  <c r="W93" i="14"/>
  <c r="AE93" i="14" s="1"/>
  <c r="AV38" i="14"/>
  <c r="BD38" i="14" s="1"/>
  <c r="W63" i="14"/>
  <c r="AK69" i="14"/>
  <c r="AI68" i="14"/>
  <c r="AK63" i="14"/>
  <c r="W69" i="14"/>
  <c r="W80" i="14"/>
  <c r="AV33" i="14"/>
  <c r="BD33" i="14" s="1"/>
  <c r="AV39" i="14"/>
  <c r="BD39" i="14" s="1"/>
  <c r="W94" i="14"/>
  <c r="AE94" i="14" s="1"/>
  <c r="AI78" i="14"/>
  <c r="AV34" i="14"/>
  <c r="BD34" i="14" s="1"/>
  <c r="AK76" i="14"/>
  <c r="AI64" i="14"/>
  <c r="W76" i="14"/>
  <c r="AV48" i="14"/>
  <c r="BD48" i="14" s="1"/>
  <c r="W106" i="14"/>
  <c r="AE106" i="14" s="1"/>
  <c r="W108" i="14"/>
  <c r="AE108" i="14" s="1"/>
  <c r="AV46" i="14"/>
  <c r="BD46" i="14" s="1"/>
  <c r="AK64" i="14"/>
  <c r="W78" i="14"/>
  <c r="F55" i="14"/>
  <c r="P29" i="7"/>
  <c r="W103" i="14"/>
  <c r="AE103" i="14" s="1"/>
  <c r="AI73" i="14"/>
  <c r="AV32" i="14"/>
  <c r="BD32" i="14" s="1"/>
  <c r="AK65" i="14"/>
  <c r="AI62" i="14"/>
  <c r="AV35" i="14"/>
  <c r="BD35" i="14" s="1"/>
  <c r="W95" i="14"/>
  <c r="AE95" i="14" s="1"/>
  <c r="W65" i="14"/>
  <c r="W92" i="14"/>
  <c r="AE92" i="14" s="1"/>
  <c r="AI65" i="14"/>
  <c r="W62" i="14"/>
  <c r="AK62" i="14"/>
  <c r="BO43" i="14"/>
  <c r="AI80" i="14"/>
  <c r="AV50" i="14"/>
  <c r="BD50" i="14" s="1"/>
  <c r="W110" i="14"/>
  <c r="AE110" i="14" s="1"/>
  <c r="W73" i="14"/>
  <c r="AV40" i="14"/>
  <c r="BD40" i="14" s="1"/>
  <c r="AK73" i="14"/>
  <c r="W100" i="14"/>
  <c r="AE100" i="14" s="1"/>
  <c r="AI70" i="14"/>
  <c r="W70" i="14"/>
  <c r="AK70" i="14"/>
  <c r="W71" i="14"/>
  <c r="AI71" i="14"/>
  <c r="AK71" i="14"/>
  <c r="AV41" i="14"/>
  <c r="BD41" i="14" s="1"/>
  <c r="W101" i="14"/>
  <c r="AE101" i="14" s="1"/>
  <c r="AI72" i="14"/>
  <c r="W102" i="14"/>
  <c r="AE102" i="14" s="1"/>
  <c r="W72" i="14"/>
  <c r="AK72" i="14"/>
  <c r="AI77" i="14"/>
  <c r="W66" i="14"/>
  <c r="AK66" i="14"/>
  <c r="AV36" i="14"/>
  <c r="BD36" i="14" s="1"/>
  <c r="W96" i="14"/>
  <c r="AE96" i="14" s="1"/>
  <c r="W107" i="14"/>
  <c r="AE107" i="14" s="1"/>
  <c r="AI66" i="14"/>
  <c r="AV47" i="14"/>
  <c r="BD47" i="14" s="1"/>
  <c r="W77" i="14"/>
  <c r="AF31" i="14"/>
  <c r="BP39" i="14"/>
  <c r="BM39" i="14"/>
  <c r="BN39" i="14"/>
  <c r="BN50" i="14"/>
  <c r="BM50" i="14"/>
  <c r="BP50" i="14"/>
  <c r="BN33" i="14"/>
  <c r="BM33" i="14"/>
  <c r="BP33" i="14"/>
  <c r="BN45" i="14"/>
  <c r="BM45" i="14"/>
  <c r="BP45" i="14"/>
  <c r="BN42" i="14"/>
  <c r="BM42" i="14"/>
  <c r="BP42" i="14"/>
  <c r="BM32" i="14"/>
  <c r="BP32" i="14"/>
  <c r="BN32" i="14"/>
  <c r="BM36" i="14"/>
  <c r="BP36" i="14"/>
  <c r="BN36" i="14"/>
  <c r="BP35" i="14"/>
  <c r="BN35" i="14"/>
  <c r="BM35" i="14"/>
  <c r="BN34" i="14"/>
  <c r="BM34" i="14"/>
  <c r="BP34" i="14"/>
  <c r="BN46" i="14"/>
  <c r="BM46" i="14"/>
  <c r="BP46" i="14"/>
  <c r="BM40" i="14"/>
  <c r="BP40" i="14"/>
  <c r="BN40" i="14"/>
  <c r="BM48" i="14"/>
  <c r="BP48" i="14"/>
  <c r="BN48" i="14"/>
  <c r="BP43" i="14"/>
  <c r="BN43" i="14"/>
  <c r="BM43" i="14"/>
  <c r="BN49" i="14"/>
  <c r="BM49" i="14"/>
  <c r="BP49" i="14"/>
  <c r="BP47" i="14"/>
  <c r="BM47" i="14"/>
  <c r="BN47" i="14"/>
  <c r="BN41" i="14"/>
  <c r="BM41" i="14"/>
  <c r="BP41" i="14"/>
  <c r="BM37" i="14"/>
  <c r="BP37" i="14"/>
  <c r="BN37" i="14"/>
  <c r="BM38" i="14"/>
  <c r="BP38" i="14"/>
  <c r="BN38" i="14"/>
  <c r="AK30" i="20"/>
  <c r="AN30" i="20"/>
  <c r="AF30" i="20"/>
  <c r="AG30" i="20"/>
  <c r="AR30" i="20"/>
  <c r="AB30" i="20"/>
  <c r="AA30" i="20"/>
  <c r="AI30" i="20"/>
  <c r="AM30" i="20"/>
  <c r="Z30" i="20"/>
  <c r="AD69" i="14"/>
  <c r="AX43" i="14"/>
  <c r="Y73" i="14"/>
  <c r="Y103" i="14"/>
  <c r="AE72" i="14"/>
  <c r="C66" i="28" s="1"/>
  <c r="AD79" i="14"/>
  <c r="BE32" i="14"/>
  <c r="BE46" i="14"/>
  <c r="BC36" i="14"/>
  <c r="AF95" i="14"/>
  <c r="AD72" i="14"/>
  <c r="BD49" i="14"/>
  <c r="BE43" i="14"/>
  <c r="Y92" i="14"/>
  <c r="Y62" i="14"/>
  <c r="AX32" i="14"/>
  <c r="AF63" i="14"/>
  <c r="AF69" i="14"/>
  <c r="BC37" i="14"/>
  <c r="BE50" i="14"/>
  <c r="AX37" i="14"/>
  <c r="Y97" i="14"/>
  <c r="Y67" i="14"/>
  <c r="AD30" i="20"/>
  <c r="BE37" i="14"/>
  <c r="F27" i="19"/>
  <c r="H27" i="19" s="1"/>
  <c r="I27" i="19" s="1"/>
  <c r="E27" i="19"/>
  <c r="G27" i="19" s="1"/>
  <c r="AX36" i="14"/>
  <c r="Y96" i="14"/>
  <c r="Y66" i="14"/>
  <c r="AD109" i="14"/>
  <c r="BC33" i="14"/>
  <c r="AD62" i="14"/>
  <c r="AF64" i="14"/>
  <c r="AF76" i="14"/>
  <c r="BO70" i="15"/>
  <c r="BP69" i="15"/>
  <c r="AD66" i="14"/>
  <c r="BF44" i="14"/>
  <c r="AE30" i="20"/>
  <c r="AX42" i="14"/>
  <c r="Y72" i="14"/>
  <c r="Y102" i="14"/>
  <c r="BE35" i="14"/>
  <c r="Y63" i="14"/>
  <c r="AX33" i="14"/>
  <c r="Y93" i="14"/>
  <c r="AD92" i="14"/>
  <c r="AD102" i="14"/>
  <c r="AF73" i="14"/>
  <c r="Y76" i="14"/>
  <c r="AX46" i="14"/>
  <c r="Y106" i="14"/>
  <c r="BE33" i="14"/>
  <c r="AF99" i="14"/>
  <c r="BE36" i="14"/>
  <c r="AD77" i="14"/>
  <c r="F23" i="19"/>
  <c r="H23" i="19" s="1"/>
  <c r="I23" i="19" s="1"/>
  <c r="E23" i="19"/>
  <c r="G23" i="19" s="1"/>
  <c r="Y28" i="20"/>
  <c r="Y29" i="20"/>
  <c r="Y27" i="20"/>
  <c r="Y25" i="20"/>
  <c r="Y26" i="20"/>
  <c r="Y24" i="20"/>
  <c r="AS35" i="20"/>
  <c r="AS31" i="20" s="1"/>
  <c r="F18" i="19"/>
  <c r="H18" i="19" s="1"/>
  <c r="I18" i="19" s="1"/>
  <c r="E18" i="19"/>
  <c r="G18" i="19" s="1"/>
  <c r="AF67" i="14"/>
  <c r="AF62" i="14"/>
  <c r="AF100" i="14"/>
  <c r="AD96" i="14"/>
  <c r="AG74" i="14"/>
  <c r="AO30" i="20"/>
  <c r="AQ30" i="20"/>
  <c r="BD43" i="14"/>
  <c r="BC32" i="14"/>
  <c r="AD64" i="14"/>
  <c r="BC42" i="14"/>
  <c r="AF68" i="14"/>
  <c r="AF103" i="14"/>
  <c r="BC41" i="14"/>
  <c r="AD68" i="14"/>
  <c r="Y71" i="14"/>
  <c r="AX41" i="14"/>
  <c r="Y101" i="14"/>
  <c r="AF96" i="14"/>
  <c r="BE41" i="14"/>
  <c r="BC47" i="14"/>
  <c r="F10" i="19"/>
  <c r="H10" i="19" s="1"/>
  <c r="I10" i="19" s="1"/>
  <c r="E10" i="19"/>
  <c r="G10" i="19" s="1"/>
  <c r="E15" i="19"/>
  <c r="G15" i="19" s="1"/>
  <c r="F15" i="19"/>
  <c r="H15" i="19" s="1"/>
  <c r="I15" i="19" s="1"/>
  <c r="F29" i="19"/>
  <c r="H29" i="19" s="1"/>
  <c r="I29" i="19" s="1"/>
  <c r="E29" i="19"/>
  <c r="G29" i="19" s="1"/>
  <c r="E16" i="19"/>
  <c r="G16" i="19" s="1"/>
  <c r="F16" i="19"/>
  <c r="H16" i="19" s="1"/>
  <c r="I16" i="19" s="1"/>
  <c r="AJ61" i="14"/>
  <c r="AW31" i="14"/>
  <c r="X91" i="14"/>
  <c r="X61" i="14"/>
  <c r="AF92" i="14"/>
  <c r="AF107" i="14"/>
  <c r="AD67" i="14"/>
  <c r="AF110" i="14"/>
  <c r="BC49" i="14"/>
  <c r="AD63" i="14"/>
  <c r="AF94" i="14"/>
  <c r="AF106" i="14"/>
  <c r="AD95" i="14"/>
  <c r="BC45" i="14"/>
  <c r="BE34" i="14"/>
  <c r="BC35" i="14"/>
  <c r="AD105" i="14"/>
  <c r="AF70" i="14"/>
  <c r="AH30" i="20"/>
  <c r="Y107" i="14"/>
  <c r="AX47" i="14"/>
  <c r="Y77" i="14"/>
  <c r="AD76" i="14"/>
  <c r="AF109" i="14"/>
  <c r="Y100" i="14"/>
  <c r="AX40" i="14"/>
  <c r="Y70" i="14"/>
  <c r="AD94" i="14"/>
  <c r="BD45" i="14"/>
  <c r="AF98" i="14"/>
  <c r="Y95" i="14"/>
  <c r="Y65" i="14"/>
  <c r="AX35" i="14"/>
  <c r="Y109" i="14"/>
  <c r="Y79" i="14"/>
  <c r="AX49" i="14"/>
  <c r="Y68" i="14"/>
  <c r="Y98" i="14"/>
  <c r="AX38" i="14"/>
  <c r="AD100" i="14"/>
  <c r="AD101" i="14"/>
  <c r="AJ30" i="20"/>
  <c r="BC38" i="14"/>
  <c r="AF66" i="14"/>
  <c r="AE67" i="14"/>
  <c r="C61" i="28" s="1"/>
  <c r="E39" i="5"/>
  <c r="AF71" i="14"/>
  <c r="AD107" i="14"/>
  <c r="E12" i="19"/>
  <c r="G12" i="19" s="1"/>
  <c r="F12" i="19"/>
  <c r="H12" i="19" s="1"/>
  <c r="I12" i="19" s="1"/>
  <c r="F13" i="19"/>
  <c r="H13" i="19" s="1"/>
  <c r="I13" i="19" s="1"/>
  <c r="E13" i="19"/>
  <c r="G13" i="19" s="1"/>
  <c r="F21" i="19"/>
  <c r="H21" i="19" s="1"/>
  <c r="I21" i="19" s="1"/>
  <c r="E21" i="19"/>
  <c r="G21" i="19" s="1"/>
  <c r="F30" i="19"/>
  <c r="H30" i="19" s="1"/>
  <c r="I30" i="19" s="1"/>
  <c r="E30" i="19"/>
  <c r="G30" i="19" s="1"/>
  <c r="F17" i="19"/>
  <c r="H17" i="19" s="1"/>
  <c r="I17" i="19" s="1"/>
  <c r="E17" i="19"/>
  <c r="G17" i="19" s="1"/>
  <c r="AH61" i="14"/>
  <c r="V91" i="14"/>
  <c r="V61" i="14"/>
  <c r="AU31" i="14"/>
  <c r="AY31" i="14" s="1"/>
  <c r="AY32" i="14" s="1"/>
  <c r="AY33" i="14" s="1"/>
  <c r="AY34" i="14" s="1"/>
  <c r="AY35" i="14" s="1"/>
  <c r="AY36" i="14" s="1"/>
  <c r="AY37" i="14" s="1"/>
  <c r="AY38" i="14" s="1"/>
  <c r="AY39" i="14" s="1"/>
  <c r="AY40" i="14" s="1"/>
  <c r="AY41" i="14" s="1"/>
  <c r="AY42" i="14" s="1"/>
  <c r="AY43" i="14" s="1"/>
  <c r="AY44" i="14" s="1"/>
  <c r="AY45" i="14" s="1"/>
  <c r="AY46" i="14" s="1"/>
  <c r="AY47" i="14" s="1"/>
  <c r="AY48" i="14" s="1"/>
  <c r="AY49" i="14" s="1"/>
  <c r="AY50" i="14" s="1"/>
  <c r="AF75" i="14"/>
  <c r="AF78" i="14"/>
  <c r="AE109" i="14"/>
  <c r="AD78" i="14"/>
  <c r="Y78" i="14"/>
  <c r="Y108" i="14"/>
  <c r="AX48" i="14"/>
  <c r="BC50" i="14"/>
  <c r="AD93" i="14"/>
  <c r="BE47" i="14"/>
  <c r="AD65" i="14"/>
  <c r="AD75" i="14"/>
  <c r="BE40" i="14"/>
  <c r="BC39" i="14"/>
  <c r="AG104" i="14"/>
  <c r="Y64" i="14"/>
  <c r="AX34" i="14"/>
  <c r="Y94" i="14"/>
  <c r="BC46" i="14"/>
  <c r="AF79" i="14"/>
  <c r="AF108" i="14"/>
  <c r="BC34" i="14"/>
  <c r="E47" i="5"/>
  <c r="AE75" i="14"/>
  <c r="C69" i="28" s="1"/>
  <c r="BE38" i="14"/>
  <c r="AD108" i="14"/>
  <c r="AD70" i="14"/>
  <c r="AD71" i="14"/>
  <c r="AD98" i="14"/>
  <c r="AD110" i="14"/>
  <c r="AF101" i="14"/>
  <c r="F11" i="19"/>
  <c r="H11" i="19" s="1"/>
  <c r="I11" i="19" s="1"/>
  <c r="E11" i="19"/>
  <c r="G11" i="19" s="1"/>
  <c r="F14" i="19"/>
  <c r="H14" i="19" s="1"/>
  <c r="I14" i="19" s="1"/>
  <c r="E14" i="19"/>
  <c r="G14" i="19" s="1"/>
  <c r="F22" i="19"/>
  <c r="H22" i="19" s="1"/>
  <c r="I22" i="19" s="1"/>
  <c r="E22" i="19"/>
  <c r="G22" i="19" s="1"/>
  <c r="BC43" i="14"/>
  <c r="AF77" i="14"/>
  <c r="AD99" i="14"/>
  <c r="AD106" i="14"/>
  <c r="BE49" i="14"/>
  <c r="AF105" i="14"/>
  <c r="AX39" i="14"/>
  <c r="Y69" i="14"/>
  <c r="Y99" i="14"/>
  <c r="BE48" i="14"/>
  <c r="AE105" i="14"/>
  <c r="BC48" i="14"/>
  <c r="Y75" i="14"/>
  <c r="Y105" i="14"/>
  <c r="AX45" i="14"/>
  <c r="BC40" i="14"/>
  <c r="AD80" i="14"/>
  <c r="Y110" i="14"/>
  <c r="AX50" i="14"/>
  <c r="Y80" i="14"/>
  <c r="BE42" i="14"/>
  <c r="E26" i="19"/>
  <c r="G26" i="19" s="1"/>
  <c r="F26" i="19"/>
  <c r="H26" i="19" s="1"/>
  <c r="I26" i="19" s="1"/>
  <c r="E20" i="19"/>
  <c r="G20" i="19" s="1"/>
  <c r="F20" i="19"/>
  <c r="H20" i="19" s="1"/>
  <c r="I20" i="19" s="1"/>
  <c r="AD73" i="14"/>
  <c r="AF102" i="14"/>
  <c r="E24" i="19"/>
  <c r="G24" i="19" s="1"/>
  <c r="F24" i="19"/>
  <c r="H24" i="19" s="1"/>
  <c r="I24" i="19" s="1"/>
  <c r="E19" i="19"/>
  <c r="G19" i="19" s="1"/>
  <c r="F19" i="19"/>
  <c r="H19" i="19" s="1"/>
  <c r="I19" i="19" s="1"/>
  <c r="AD103" i="14"/>
  <c r="AF65" i="14"/>
  <c r="BE45" i="14"/>
  <c r="AC30" i="20"/>
  <c r="AF93" i="14"/>
  <c r="BE39" i="14"/>
  <c r="AD97" i="14"/>
  <c r="AF80" i="14"/>
  <c r="AF97" i="14"/>
  <c r="AF72" i="14"/>
  <c r="F25" i="19"/>
  <c r="H25" i="19" s="1"/>
  <c r="I25" i="19" s="1"/>
  <c r="E25" i="19"/>
  <c r="G25" i="19" s="1"/>
  <c r="E28" i="19"/>
  <c r="G28" i="19" s="1"/>
  <c r="F28" i="19"/>
  <c r="H28" i="19" s="1"/>
  <c r="I28" i="19" s="1"/>
  <c r="AP30" i="20"/>
  <c r="AE66" i="14" l="1"/>
  <c r="C60" i="28" s="1"/>
  <c r="C37" i="28"/>
  <c r="E49" i="5"/>
  <c r="C48" i="28"/>
  <c r="E45" i="5"/>
  <c r="C44" i="28"/>
  <c r="AE71" i="14"/>
  <c r="C65" i="28" s="1"/>
  <c r="C42" i="28"/>
  <c r="E37" i="5"/>
  <c r="C36" i="28"/>
  <c r="AE76" i="14"/>
  <c r="C70" i="28" s="1"/>
  <c r="C47" i="28"/>
  <c r="AE80" i="14"/>
  <c r="C74" i="28" s="1"/>
  <c r="C51" i="28"/>
  <c r="E44" i="5"/>
  <c r="C43" i="28"/>
  <c r="E41" i="5"/>
  <c r="C40" i="28"/>
  <c r="AE70" i="14"/>
  <c r="C64" i="28" s="1"/>
  <c r="C41" i="28"/>
  <c r="E50" i="5"/>
  <c r="C49" i="28"/>
  <c r="E51" i="5"/>
  <c r="C50" i="28"/>
  <c r="AE64" i="14"/>
  <c r="C58" i="28" s="1"/>
  <c r="C35" i="28"/>
  <c r="E40" i="5"/>
  <c r="C39" i="28"/>
  <c r="E34" i="5"/>
  <c r="C33" i="28"/>
  <c r="E35" i="5"/>
  <c r="C34" i="28"/>
  <c r="Q29" i="7"/>
  <c r="D187" i="29"/>
  <c r="Q34" i="7"/>
  <c r="C191" i="29"/>
  <c r="BO31" i="14"/>
  <c r="AF53" i="14"/>
  <c r="E36" i="5"/>
  <c r="AE79" i="14"/>
  <c r="C73" i="28" s="1"/>
  <c r="AE63" i="14"/>
  <c r="C57" i="28" s="1"/>
  <c r="AE69" i="14"/>
  <c r="C63" i="28" s="1"/>
  <c r="AY49" i="20"/>
  <c r="AZ49" i="20" s="1"/>
  <c r="AY50" i="20"/>
  <c r="AZ50" i="20" s="1"/>
  <c r="AY47" i="20"/>
  <c r="AZ47" i="20" s="1"/>
  <c r="AY48" i="20"/>
  <c r="AZ48" i="20" s="1"/>
  <c r="AY45" i="20"/>
  <c r="AZ45" i="20" s="1"/>
  <c r="AY46" i="20"/>
  <c r="AZ46" i="20" s="1"/>
  <c r="AY43" i="20"/>
  <c r="AZ43" i="20" s="1"/>
  <c r="AY44" i="20"/>
  <c r="AZ44" i="20" s="1"/>
  <c r="AY42" i="20"/>
  <c r="AZ42" i="20" s="1"/>
  <c r="AY36" i="20"/>
  <c r="AZ36" i="20" s="1"/>
  <c r="AY41" i="20"/>
  <c r="AZ41" i="20" s="1"/>
  <c r="AY39" i="20"/>
  <c r="AZ39" i="20" s="1"/>
  <c r="AY40" i="20"/>
  <c r="AZ40" i="20" s="1"/>
  <c r="AY37" i="20"/>
  <c r="AZ37" i="20" s="1"/>
  <c r="AY38" i="20"/>
  <c r="AZ38" i="20" s="1"/>
  <c r="AY35" i="20"/>
  <c r="AZ35" i="20" s="1"/>
  <c r="AE68" i="14"/>
  <c r="C62" i="28" s="1"/>
  <c r="E42" i="5"/>
  <c r="AE78" i="14"/>
  <c r="C72" i="28" s="1"/>
  <c r="E52" i="5"/>
  <c r="E48" i="5"/>
  <c r="C35" i="22"/>
  <c r="H5" i="22" s="1"/>
  <c r="F38" i="22"/>
  <c r="F39" i="22"/>
  <c r="F37" i="22"/>
  <c r="AE65" i="14"/>
  <c r="C59" i="28" s="1"/>
  <c r="AE73" i="14"/>
  <c r="C67" i="28" s="1"/>
  <c r="AE62" i="14"/>
  <c r="C56" i="28" s="1"/>
  <c r="AE77" i="14"/>
  <c r="C71" i="28" s="1"/>
  <c r="E43" i="5"/>
  <c r="E38" i="5"/>
  <c r="BM31" i="14"/>
  <c r="BP31" i="14"/>
  <c r="BN31" i="14"/>
  <c r="K20" i="19"/>
  <c r="L20" i="19" s="1"/>
  <c r="K30" i="19"/>
  <c r="L30" i="19" s="1"/>
  <c r="K24" i="19"/>
  <c r="L24" i="19" s="1"/>
  <c r="K21" i="19"/>
  <c r="L21" i="19" s="1"/>
  <c r="K19" i="19"/>
  <c r="L19" i="19" s="1"/>
  <c r="K25" i="19"/>
  <c r="L25" i="19" s="1"/>
  <c r="K22" i="19"/>
  <c r="L22" i="19" s="1"/>
  <c r="K18" i="19"/>
  <c r="L18" i="19" s="1"/>
  <c r="AG108" i="14"/>
  <c r="K14" i="19"/>
  <c r="L14" i="19" s="1"/>
  <c r="AG75" i="14"/>
  <c r="AG94" i="14"/>
  <c r="BF48" i="14"/>
  <c r="BF38" i="14"/>
  <c r="AG109" i="14"/>
  <c r="AG101" i="14"/>
  <c r="AG76" i="14"/>
  <c r="BF36" i="14"/>
  <c r="AG64" i="14"/>
  <c r="AG78" i="14"/>
  <c r="BC31" i="14"/>
  <c r="AU52" i="14"/>
  <c r="BF35" i="14"/>
  <c r="AG71" i="14"/>
  <c r="AX31" i="14"/>
  <c r="Y91" i="14"/>
  <c r="Y61" i="14"/>
  <c r="AG62" i="14"/>
  <c r="AG73" i="14"/>
  <c r="AG69" i="14"/>
  <c r="AD61" i="14"/>
  <c r="Z61" i="14"/>
  <c r="Z62" i="14" s="1"/>
  <c r="Z63" i="14" s="1"/>
  <c r="Z64" i="14" s="1"/>
  <c r="Z65" i="14" s="1"/>
  <c r="Z66" i="14" s="1"/>
  <c r="Z67" i="14" s="1"/>
  <c r="Z68" i="14" s="1"/>
  <c r="Z69" i="14" s="1"/>
  <c r="Z70" i="14" s="1"/>
  <c r="Z71" i="14" s="1"/>
  <c r="Z72" i="14" s="1"/>
  <c r="Z73" i="14" s="1"/>
  <c r="Z74" i="14" s="1"/>
  <c r="Z75" i="14" s="1"/>
  <c r="Z76" i="14" s="1"/>
  <c r="Z77" i="14" s="1"/>
  <c r="Z78" i="14" s="1"/>
  <c r="Z79" i="14" s="1"/>
  <c r="Z80" i="14" s="1"/>
  <c r="V83" i="14"/>
  <c r="AG68" i="14"/>
  <c r="AG65" i="14"/>
  <c r="K16" i="19"/>
  <c r="L16" i="19" s="1"/>
  <c r="K10" i="19"/>
  <c r="L10" i="19" s="1"/>
  <c r="AG93" i="14"/>
  <c r="AG102" i="14"/>
  <c r="AG67" i="14"/>
  <c r="AG92" i="14"/>
  <c r="BF41" i="14"/>
  <c r="AG80" i="14"/>
  <c r="K11" i="19"/>
  <c r="L11" i="19" s="1"/>
  <c r="AD91" i="14"/>
  <c r="Z91" i="14"/>
  <c r="Z92" i="14" s="1"/>
  <c r="Z93" i="14" s="1"/>
  <c r="Z94" i="14" s="1"/>
  <c r="Z95" i="14" s="1"/>
  <c r="Z96" i="14" s="1"/>
  <c r="Z97" i="14" s="1"/>
  <c r="Z98" i="14" s="1"/>
  <c r="Z99" i="14" s="1"/>
  <c r="Z100" i="14" s="1"/>
  <c r="Z101" i="14" s="1"/>
  <c r="Z102" i="14" s="1"/>
  <c r="Z103" i="14" s="1"/>
  <c r="Z104" i="14" s="1"/>
  <c r="Z105" i="14" s="1"/>
  <c r="Z106" i="14" s="1"/>
  <c r="Z107" i="14" s="1"/>
  <c r="Z108" i="14" s="1"/>
  <c r="Z109" i="14" s="1"/>
  <c r="Z110" i="14" s="1"/>
  <c r="V113" i="14"/>
  <c r="K12" i="19"/>
  <c r="L12" i="19" s="1"/>
  <c r="AG70" i="14"/>
  <c r="AG77" i="14"/>
  <c r="AB61" i="14"/>
  <c r="AB62" i="14" s="1"/>
  <c r="AB63" i="14" s="1"/>
  <c r="AB64" i="14" s="1"/>
  <c r="AB65" i="14" s="1"/>
  <c r="AB66" i="14" s="1"/>
  <c r="AB67" i="14" s="1"/>
  <c r="AB68" i="14" s="1"/>
  <c r="AB69" i="14" s="1"/>
  <c r="AB70" i="14" s="1"/>
  <c r="AB71" i="14" s="1"/>
  <c r="AB72" i="14" s="1"/>
  <c r="AB73" i="14" s="1"/>
  <c r="AB74" i="14" s="1"/>
  <c r="AB75" i="14" s="1"/>
  <c r="AB76" i="14" s="1"/>
  <c r="AB77" i="14" s="1"/>
  <c r="AB78" i="14" s="1"/>
  <c r="AB79" i="14" s="1"/>
  <c r="AB80" i="14" s="1"/>
  <c r="AF61" i="14"/>
  <c r="X83" i="14"/>
  <c r="K29" i="19"/>
  <c r="L29" i="19" s="1"/>
  <c r="AG72" i="14"/>
  <c r="K27" i="19"/>
  <c r="L27" i="19" s="1"/>
  <c r="AG97" i="14"/>
  <c r="BF43" i="14"/>
  <c r="AG98" i="14"/>
  <c r="BF32" i="14"/>
  <c r="AI61" i="14"/>
  <c r="AI83" i="14" s="1"/>
  <c r="B33" i="22" s="1"/>
  <c r="AK61" i="14"/>
  <c r="W91" i="14"/>
  <c r="AV31" i="14"/>
  <c r="W61" i="14"/>
  <c r="C32" i="28" s="1"/>
  <c r="F32" i="28" s="1"/>
  <c r="AG99" i="14"/>
  <c r="BF39" i="14"/>
  <c r="BF49" i="14"/>
  <c r="AG95" i="14"/>
  <c r="BF40" i="14"/>
  <c r="BF47" i="14"/>
  <c r="AF91" i="14"/>
  <c r="AB91" i="14"/>
  <c r="AB92" i="14" s="1"/>
  <c r="AB93" i="14" s="1"/>
  <c r="AB94" i="14" s="1"/>
  <c r="AB95" i="14" s="1"/>
  <c r="AB96" i="14" s="1"/>
  <c r="AB97" i="14" s="1"/>
  <c r="AB98" i="14" s="1"/>
  <c r="AB99" i="14" s="1"/>
  <c r="AB100" i="14" s="1"/>
  <c r="AB101" i="14" s="1"/>
  <c r="AB102" i="14" s="1"/>
  <c r="AB103" i="14" s="1"/>
  <c r="AB104" i="14" s="1"/>
  <c r="AB105" i="14" s="1"/>
  <c r="AB106" i="14" s="1"/>
  <c r="AB107" i="14" s="1"/>
  <c r="AB108" i="14" s="1"/>
  <c r="AB109" i="14" s="1"/>
  <c r="AB110" i="14" s="1"/>
  <c r="X113" i="14"/>
  <c r="K15" i="19"/>
  <c r="L15" i="19" s="1"/>
  <c r="BF33" i="14"/>
  <c r="BF42" i="14"/>
  <c r="BO71" i="15"/>
  <c r="BP70" i="15"/>
  <c r="AG66" i="14"/>
  <c r="BF37" i="14"/>
  <c r="BF34" i="14"/>
  <c r="K26" i="19"/>
  <c r="L26" i="19" s="1"/>
  <c r="BF50" i="14"/>
  <c r="BF45" i="14"/>
  <c r="K28" i="19"/>
  <c r="L28" i="19" s="1"/>
  <c r="AG110" i="14"/>
  <c r="AG79" i="14"/>
  <c r="AG100" i="14"/>
  <c r="AG107" i="14"/>
  <c r="BE31" i="14"/>
  <c r="BA31" i="14"/>
  <c r="BA32" i="14" s="1"/>
  <c r="BA33" i="14" s="1"/>
  <c r="BA34" i="14" s="1"/>
  <c r="BA35" i="14" s="1"/>
  <c r="BA36" i="14" s="1"/>
  <c r="BA37" i="14" s="1"/>
  <c r="BA38" i="14" s="1"/>
  <c r="BA39" i="14" s="1"/>
  <c r="BA40" i="14" s="1"/>
  <c r="BA41" i="14" s="1"/>
  <c r="BA42" i="14" s="1"/>
  <c r="BA43" i="14" s="1"/>
  <c r="BA44" i="14" s="1"/>
  <c r="BA45" i="14" s="1"/>
  <c r="BA46" i="14" s="1"/>
  <c r="BA47" i="14" s="1"/>
  <c r="BA48" i="14" s="1"/>
  <c r="BA49" i="14" s="1"/>
  <c r="BA50" i="14" s="1"/>
  <c r="AW52" i="14"/>
  <c r="AG106" i="14"/>
  <c r="AG63" i="14"/>
  <c r="AG96" i="14"/>
  <c r="AS26" i="20"/>
  <c r="Y18" i="20"/>
  <c r="AS29" i="20"/>
  <c r="AS27" i="20"/>
  <c r="AS25" i="20"/>
  <c r="Y22" i="20"/>
  <c r="Y21" i="20"/>
  <c r="AS24" i="20"/>
  <c r="Y19" i="20"/>
  <c r="AS28" i="20"/>
  <c r="Y17" i="20"/>
  <c r="AG103" i="14"/>
  <c r="AG105" i="14"/>
  <c r="K17" i="19"/>
  <c r="L17" i="19" s="1"/>
  <c r="K13" i="19"/>
  <c r="L13" i="19" s="1"/>
  <c r="Y30" i="20"/>
  <c r="K23" i="19"/>
  <c r="L23" i="19" s="1"/>
  <c r="BF46" i="14"/>
  <c r="F33" i="28" l="1"/>
  <c r="F34" i="28" s="1"/>
  <c r="F35" i="28" s="1"/>
  <c r="F36" i="28" s="1"/>
  <c r="F37" i="28" s="1"/>
  <c r="F38" i="28" s="1"/>
  <c r="F39" i="28" s="1"/>
  <c r="F40" i="28" s="1"/>
  <c r="F41" i="28" s="1"/>
  <c r="F42" i="28" s="1"/>
  <c r="F43" i="28" s="1"/>
  <c r="F44" i="28" s="1"/>
  <c r="F45" i="28" s="1"/>
  <c r="AK83" i="14"/>
  <c r="D4" i="28"/>
  <c r="Q55" i="7"/>
  <c r="D213" i="29"/>
  <c r="F35" i="22"/>
  <c r="H6" i="22" s="1"/>
  <c r="E3" i="22" s="1"/>
  <c r="AS30" i="20"/>
  <c r="AA61" i="14"/>
  <c r="AA62" i="14" s="1"/>
  <c r="AA63" i="14" s="1"/>
  <c r="AA64" i="14" s="1"/>
  <c r="AA65" i="14" s="1"/>
  <c r="AA66" i="14" s="1"/>
  <c r="AA67" i="14" s="1"/>
  <c r="AA68" i="14" s="1"/>
  <c r="AA69" i="14" s="1"/>
  <c r="AA70" i="14" s="1"/>
  <c r="AA71" i="14" s="1"/>
  <c r="AA72" i="14" s="1"/>
  <c r="AA73" i="14" s="1"/>
  <c r="AA74" i="14" s="1"/>
  <c r="AA75" i="14" s="1"/>
  <c r="AA76" i="14" s="1"/>
  <c r="AA77" i="14" s="1"/>
  <c r="AA78" i="14" s="1"/>
  <c r="AA79" i="14" s="1"/>
  <c r="AA80" i="14" s="1"/>
  <c r="AE61" i="14"/>
  <c r="C55" i="28" s="1"/>
  <c r="E33" i="5"/>
  <c r="W83" i="14"/>
  <c r="X84" i="14" s="1"/>
  <c r="X85" i="14" s="1"/>
  <c r="AU404" i="20"/>
  <c r="AU651" i="20"/>
  <c r="AU877" i="20"/>
  <c r="AU131" i="20"/>
  <c r="AU289" i="20"/>
  <c r="AU564" i="20"/>
  <c r="AU401" i="20"/>
  <c r="AU819" i="20"/>
  <c r="AU595" i="20"/>
  <c r="AU785" i="20"/>
  <c r="AU789" i="20"/>
  <c r="AU558" i="20"/>
  <c r="AU420" i="20"/>
  <c r="AU88" i="20"/>
  <c r="AU609" i="20"/>
  <c r="AU40" i="20"/>
  <c r="AU264" i="20"/>
  <c r="AU672" i="20"/>
  <c r="AU733" i="20"/>
  <c r="AU817" i="20"/>
  <c r="AU247" i="20"/>
  <c r="AU478" i="20"/>
  <c r="AU998" i="20"/>
  <c r="AU286" i="20"/>
  <c r="AU442" i="20"/>
  <c r="AU119" i="20"/>
  <c r="AU145" i="20"/>
  <c r="AU280" i="20"/>
  <c r="AU644" i="20"/>
  <c r="AU221" i="20"/>
  <c r="AU256" i="20"/>
  <c r="AU820" i="20"/>
  <c r="AU605" i="20"/>
  <c r="AU249" i="20"/>
  <c r="AU517" i="20"/>
  <c r="AU1010" i="20"/>
  <c r="AU211" i="20"/>
  <c r="AU1030" i="20"/>
  <c r="AU427" i="20"/>
  <c r="AU195" i="20"/>
  <c r="AU175" i="20"/>
  <c r="AU911" i="20"/>
  <c r="AU671" i="20"/>
  <c r="AU1002" i="20"/>
  <c r="AU327" i="20"/>
  <c r="AU624" i="20"/>
  <c r="AU827" i="20"/>
  <c r="AU660" i="20"/>
  <c r="AU223" i="20"/>
  <c r="AU1022" i="20"/>
  <c r="AU742" i="20"/>
  <c r="AU973" i="20"/>
  <c r="AU866" i="20"/>
  <c r="AU876" i="20"/>
  <c r="AU46" i="20"/>
  <c r="AU1016" i="20"/>
  <c r="AU224" i="20"/>
  <c r="AU892" i="20"/>
  <c r="AU231" i="20"/>
  <c r="AU92" i="20"/>
  <c r="AU408" i="20"/>
  <c r="AU772" i="20"/>
  <c r="AU217" i="20"/>
  <c r="AU711" i="20"/>
  <c r="AU829" i="20"/>
  <c r="AU964" i="20"/>
  <c r="AU295" i="20"/>
  <c r="AU498" i="20"/>
  <c r="AU562" i="20"/>
  <c r="AU593" i="20"/>
  <c r="AU84" i="20"/>
  <c r="AU133" i="20"/>
  <c r="AU348" i="20"/>
  <c r="AU278" i="20"/>
  <c r="AU445" i="20"/>
  <c r="AU434" i="20"/>
  <c r="AU648" i="20"/>
  <c r="AU371" i="20"/>
  <c r="AU567" i="20"/>
  <c r="AU987" i="20"/>
  <c r="AU275" i="20"/>
  <c r="AU104" i="20"/>
  <c r="AU255" i="20"/>
  <c r="AU89" i="20"/>
  <c r="AU372" i="20"/>
  <c r="AU314" i="20"/>
  <c r="AU745" i="20"/>
  <c r="AU838" i="20"/>
  <c r="AU44" i="20"/>
  <c r="AU290" i="20"/>
  <c r="AU685" i="20"/>
  <c r="AU437" i="20"/>
  <c r="AU489" i="20"/>
  <c r="AU320" i="20"/>
  <c r="AU419" i="20"/>
  <c r="AU490" i="20"/>
  <c r="AU531" i="20"/>
  <c r="AU479" i="20"/>
  <c r="AU438" i="20"/>
  <c r="AU475" i="20"/>
  <c r="AU365" i="20"/>
  <c r="AU198" i="20"/>
  <c r="AU726" i="20"/>
  <c r="AU759" i="20"/>
  <c r="AU1028" i="20"/>
  <c r="AU518" i="20"/>
  <c r="AU707" i="20"/>
  <c r="AU466" i="20"/>
  <c r="AU151" i="20"/>
  <c r="AU741" i="20"/>
  <c r="AU270" i="20"/>
  <c r="AU66" i="20"/>
  <c r="AU557" i="20"/>
  <c r="AU245" i="20"/>
  <c r="AU752" i="20"/>
  <c r="AU511" i="20"/>
  <c r="AU274" i="20"/>
  <c r="AU572" i="20"/>
  <c r="AU258" i="20"/>
  <c r="AU505" i="20"/>
  <c r="AU962" i="20"/>
  <c r="AU212" i="20"/>
  <c r="AU305" i="20"/>
  <c r="AU997" i="20"/>
  <c r="AU942" i="20"/>
  <c r="AU48" i="20"/>
  <c r="AU383" i="20"/>
  <c r="AU80" i="20"/>
  <c r="AU283" i="20"/>
  <c r="AU363" i="20"/>
  <c r="AU59" i="20"/>
  <c r="AU847" i="20"/>
  <c r="AU591" i="20"/>
  <c r="AU761" i="20"/>
  <c r="AU435" i="20"/>
  <c r="AU906" i="20"/>
  <c r="AU64" i="20"/>
  <c r="AU263" i="20"/>
  <c r="AU935" i="20"/>
  <c r="AU867" i="20"/>
  <c r="AU993" i="20"/>
  <c r="AU675" i="20"/>
  <c r="AU668" i="20"/>
  <c r="AU641" i="20"/>
  <c r="AU588" i="20"/>
  <c r="AU646" i="20"/>
  <c r="AU728" i="20"/>
  <c r="AU775" i="20"/>
  <c r="AU444" i="20"/>
  <c r="AU915" i="20"/>
  <c r="AU753" i="20"/>
  <c r="AU265" i="20"/>
  <c r="AU97" i="20"/>
  <c r="AU910" i="20"/>
  <c r="AU959" i="20"/>
  <c r="AU496" i="20"/>
  <c r="AU830" i="20"/>
  <c r="AU454" i="20"/>
  <c r="AU243" i="20"/>
  <c r="AU577" i="20"/>
  <c r="AU632" i="20"/>
  <c r="AU322" i="20"/>
  <c r="AU807" i="20"/>
  <c r="AU488" i="20"/>
  <c r="AU141" i="20"/>
  <c r="AU344" i="20"/>
  <c r="AU515" i="20"/>
  <c r="AU172" i="20"/>
  <c r="AU654" i="20"/>
  <c r="AU446" i="20"/>
  <c r="AU293" i="20"/>
  <c r="AU449" i="20"/>
  <c r="AU333" i="20"/>
  <c r="AU579" i="20"/>
  <c r="AU680" i="20"/>
  <c r="AU834" i="20"/>
  <c r="AU503" i="20"/>
  <c r="AU926" i="20"/>
  <c r="AU381" i="20"/>
  <c r="AU301" i="20"/>
  <c r="AU526" i="20"/>
  <c r="AU743" i="20"/>
  <c r="AU316" i="20"/>
  <c r="AU146" i="20"/>
  <c r="AU287" i="20"/>
  <c r="AU38" i="20"/>
  <c r="AU623" i="20"/>
  <c r="AU516" i="20"/>
  <c r="AU201" i="20"/>
  <c r="AU483" i="20"/>
  <c r="AU298" i="20"/>
  <c r="AU453" i="20"/>
  <c r="AU432" i="20"/>
  <c r="AU814" i="20"/>
  <c r="AU460" i="20"/>
  <c r="AU582" i="20"/>
  <c r="AU233" i="20"/>
  <c r="AU666" i="20"/>
  <c r="AU429" i="20"/>
  <c r="AU803" i="20"/>
  <c r="AU296" i="20"/>
  <c r="AU108" i="20"/>
  <c r="AU627" i="20"/>
  <c r="AU510" i="20"/>
  <c r="AU87" i="20"/>
  <c r="AU890" i="20"/>
  <c r="AU626" i="20"/>
  <c r="AU840" i="20"/>
  <c r="AU719" i="20"/>
  <c r="AU990" i="20"/>
  <c r="AU924" i="20"/>
  <c r="AU294" i="20"/>
  <c r="AU853" i="20"/>
  <c r="AU871" i="20"/>
  <c r="AU903" i="20"/>
  <c r="AU988" i="20"/>
  <c r="AU888" i="20"/>
  <c r="AU704" i="20"/>
  <c r="AU457" i="20"/>
  <c r="AU194" i="20"/>
  <c r="AU458" i="20"/>
  <c r="AU975" i="20"/>
  <c r="AU865" i="20"/>
  <c r="AU566" i="20"/>
  <c r="AU823" i="20"/>
  <c r="AU713" i="20"/>
  <c r="AU880" i="20"/>
  <c r="AU894" i="20"/>
  <c r="AU86" i="20"/>
  <c r="AU776" i="20"/>
  <c r="AU816" i="20"/>
  <c r="AU848" i="20"/>
  <c r="AU919" i="20"/>
  <c r="AU841" i="20"/>
  <c r="AU659" i="20"/>
  <c r="AU461" i="20"/>
  <c r="AU622" i="20"/>
  <c r="AU394" i="20"/>
  <c r="AU1013" i="20"/>
  <c r="AU777" i="20"/>
  <c r="AU455" i="20"/>
  <c r="AU682" i="20"/>
  <c r="AU619" i="20"/>
  <c r="AU852" i="20"/>
  <c r="AU851" i="20"/>
  <c r="AU725" i="20"/>
  <c r="AU805" i="20"/>
  <c r="AU597" i="20"/>
  <c r="AU860" i="20"/>
  <c r="AU764" i="20"/>
  <c r="AU846" i="20"/>
  <c r="AU281" i="20"/>
  <c r="AU703" i="20"/>
  <c r="AU657" i="20"/>
  <c r="AU858" i="20"/>
  <c r="AU898" i="20"/>
  <c r="AU963" i="20"/>
  <c r="AU769" i="20"/>
  <c r="AU976" i="20"/>
  <c r="AU679" i="20"/>
  <c r="AU63" i="20"/>
  <c r="AU173" i="20"/>
  <c r="AU402" i="20"/>
  <c r="AU366" i="20"/>
  <c r="AU601" i="20"/>
  <c r="AU594" i="20"/>
  <c r="AU138" i="20"/>
  <c r="AU376" i="20"/>
  <c r="AU120" i="20"/>
  <c r="AU1024" i="20"/>
  <c r="AU390" i="20"/>
  <c r="AU306" i="20"/>
  <c r="AU61" i="20"/>
  <c r="AU447" i="20"/>
  <c r="AU792" i="20"/>
  <c r="AU996" i="20"/>
  <c r="AU586" i="20"/>
  <c r="AU729" i="20"/>
  <c r="AU248" i="20"/>
  <c r="AU339" i="20"/>
  <c r="AU129" i="20"/>
  <c r="AU584" i="20"/>
  <c r="AU569" i="20"/>
  <c r="AU1018" i="20"/>
  <c r="AU639" i="20"/>
  <c r="AU791" i="20"/>
  <c r="AU767" i="20"/>
  <c r="AU949" i="20"/>
  <c r="AU54" i="20"/>
  <c r="AU598" i="20"/>
  <c r="AU395" i="20"/>
  <c r="AU709" i="20"/>
  <c r="AU771" i="20"/>
  <c r="AU360" i="20"/>
  <c r="AU638" i="20"/>
  <c r="AU640" i="20"/>
  <c r="AU1003" i="20"/>
  <c r="AU220" i="20"/>
  <c r="AU930" i="20"/>
  <c r="AU186" i="20"/>
  <c r="AU126" i="20"/>
  <c r="AU350" i="20"/>
  <c r="AU162" i="20"/>
  <c r="AU50" i="20"/>
  <c r="AU717" i="20"/>
  <c r="AU818" i="20"/>
  <c r="AU110" i="20"/>
  <c r="AU995" i="20"/>
  <c r="AU76" i="20"/>
  <c r="AU486" i="20"/>
  <c r="AU665" i="20"/>
  <c r="AU629" i="20"/>
  <c r="AU568" i="20"/>
  <c r="AU570" i="20"/>
  <c r="AU951" i="20"/>
  <c r="AU706" i="20"/>
  <c r="AU467" i="20"/>
  <c r="AU670" i="20"/>
  <c r="AU543" i="20"/>
  <c r="AU815" i="20"/>
  <c r="AU1019" i="20"/>
  <c r="AU710" i="20"/>
  <c r="AU727" i="20"/>
  <c r="AU538" i="20"/>
  <c r="AU242" i="20"/>
  <c r="AU139" i="20"/>
  <c r="AU508" i="20"/>
  <c r="AU94" i="20"/>
  <c r="AU396" i="20"/>
  <c r="AU927" i="20"/>
  <c r="AU653" i="20"/>
  <c r="AU397" i="20"/>
  <c r="AU673" i="20"/>
  <c r="AU504" i="20"/>
  <c r="AU183" i="20"/>
  <c r="AU180" i="20"/>
  <c r="AU257" i="20"/>
  <c r="AU238" i="20"/>
  <c r="AU85" i="20"/>
  <c r="AU318" i="20"/>
  <c r="AU487" i="20"/>
  <c r="AU423" i="20"/>
  <c r="AU356" i="20"/>
  <c r="AU222" i="20"/>
  <c r="AU747" i="20"/>
  <c r="AU532" i="20"/>
  <c r="AU241" i="20"/>
  <c r="AU908" i="20"/>
  <c r="AU854" i="20"/>
  <c r="AU307" i="20"/>
  <c r="AU994" i="20"/>
  <c r="AU415" i="20"/>
  <c r="AU112" i="20"/>
  <c r="AU236" i="20"/>
  <c r="AU1000" i="20"/>
  <c r="AU57" i="20"/>
  <c r="AU203" i="20"/>
  <c r="AU754" i="20"/>
  <c r="AU631" i="20"/>
  <c r="AU93" i="20"/>
  <c r="AU734" i="20"/>
  <c r="AU929" i="20"/>
  <c r="AU922" i="20"/>
  <c r="AU116" i="20"/>
  <c r="AU982" i="20"/>
  <c r="AU288" i="20"/>
  <c r="AU985" i="20"/>
  <c r="AU179" i="20"/>
  <c r="AU856" i="20"/>
  <c r="AU571" i="20"/>
  <c r="AU983" i="20"/>
  <c r="AU197" i="20"/>
  <c r="AU637" i="20"/>
  <c r="AU689" i="20"/>
  <c r="AU614" i="20"/>
  <c r="AU351" i="20"/>
  <c r="AU790" i="20"/>
  <c r="AU244" i="20"/>
  <c r="AU1001" i="20"/>
  <c r="AU78" i="20"/>
  <c r="AU161" i="20"/>
  <c r="AU121" i="20"/>
  <c r="AU501" i="20"/>
  <c r="AU380" i="20"/>
  <c r="AU400" i="20"/>
  <c r="AU506" i="20"/>
  <c r="AU731" i="20"/>
  <c r="AU411" i="20"/>
  <c r="AU482" i="20"/>
  <c r="AU491" i="20"/>
  <c r="AU545" i="20"/>
  <c r="AU433" i="20"/>
  <c r="AU240" i="20"/>
  <c r="AU958" i="20"/>
  <c r="AU251" i="20"/>
  <c r="AU382" i="20"/>
  <c r="AU585" i="20"/>
  <c r="AU399" i="20"/>
  <c r="AU541" i="20"/>
  <c r="AU514" i="20"/>
  <c r="AU471" i="20"/>
  <c r="AU974" i="20"/>
  <c r="AU1012" i="20"/>
  <c r="AU537" i="20"/>
  <c r="AU329" i="20"/>
  <c r="AU476" i="20"/>
  <c r="AU165" i="20"/>
  <c r="AU616" i="20"/>
  <c r="AU521" i="20"/>
  <c r="AU311" i="20"/>
  <c r="AU336" i="20"/>
  <c r="AU214" i="20"/>
  <c r="AU375" i="20"/>
  <c r="AU760" i="20"/>
  <c r="AU901" i="20"/>
  <c r="AU869" i="20"/>
  <c r="AU328" i="20"/>
  <c r="AU548" i="20"/>
  <c r="AU712" i="20"/>
  <c r="AU781" i="20"/>
  <c r="AU736" i="20"/>
  <c r="AU902" i="20"/>
  <c r="AU304" i="20"/>
  <c r="AU933" i="20"/>
  <c r="AU825" i="20"/>
  <c r="AU986" i="20"/>
  <c r="AU166" i="20"/>
  <c r="AU684" i="20"/>
  <c r="AU730" i="20"/>
  <c r="AU617" i="20"/>
  <c r="AU115" i="20"/>
  <c r="AU414" i="20"/>
  <c r="AU527" i="20"/>
  <c r="AU229" i="20"/>
  <c r="AU149" i="20"/>
  <c r="AU534" i="20"/>
  <c r="AU359" i="20"/>
  <c r="AU215" i="20"/>
  <c r="AU690" i="20"/>
  <c r="AU1015" i="20"/>
  <c r="AU861" i="20"/>
  <c r="AU428" i="20"/>
  <c r="AU158" i="20"/>
  <c r="AU953" i="20"/>
  <c r="AU109" i="20"/>
  <c r="AU67" i="20"/>
  <c r="AU234" i="20"/>
  <c r="AU494" i="20"/>
  <c r="AU136" i="20"/>
  <c r="AU181" i="20"/>
  <c r="AU957" i="20"/>
  <c r="AU779" i="20"/>
  <c r="AU944" i="20"/>
  <c r="AU124" i="20"/>
  <c r="AU693" i="20"/>
  <c r="AU971" i="20"/>
  <c r="AU784" i="20"/>
  <c r="AU413" i="20"/>
  <c r="AU154" i="20"/>
  <c r="AU900" i="20"/>
  <c r="AU73" i="20"/>
  <c r="AU535" i="20"/>
  <c r="AU863" i="20"/>
  <c r="AU540" i="20"/>
  <c r="AU793" i="20"/>
  <c r="AU940" i="20"/>
  <c r="AU607" i="20"/>
  <c r="AU928" i="20"/>
  <c r="AU716" i="20"/>
  <c r="AU868" i="20"/>
  <c r="AU285" i="20"/>
  <c r="AU82" i="20"/>
  <c r="AU800" i="20"/>
  <c r="AU692" i="20"/>
  <c r="AU269" i="20"/>
  <c r="AU122" i="20"/>
  <c r="AU699" i="20"/>
  <c r="AU552" i="20"/>
  <c r="AU312" i="20"/>
  <c r="AU765" i="20"/>
  <c r="AU480" i="20"/>
  <c r="AU722" i="20"/>
  <c r="AU615" i="20"/>
  <c r="AU635" i="20"/>
  <c r="AU522" i="20"/>
  <c r="AU205" i="20"/>
  <c r="AU378" i="20"/>
  <c r="AU182" i="20"/>
  <c r="AU102" i="20"/>
  <c r="AU592" i="20"/>
  <c r="AU261" i="20"/>
  <c r="AU920" i="20"/>
  <c r="AU353" i="20"/>
  <c r="AU721" i="20"/>
  <c r="AU524" i="20"/>
  <c r="AU1005" i="20"/>
  <c r="AU529" i="20"/>
  <c r="AU551" i="20"/>
  <c r="AU416" i="20"/>
  <c r="AU788" i="20"/>
  <c r="AU345" i="20"/>
  <c r="AU266" i="20"/>
  <c r="AU379" i="20"/>
  <c r="AU132" i="20"/>
  <c r="AU68" i="20"/>
  <c r="AU581" i="20"/>
  <c r="AU193" i="20"/>
  <c r="AU787" i="20"/>
  <c r="AU325" i="20"/>
  <c r="AU628" i="20"/>
  <c r="AU388" i="20"/>
  <c r="AU812" i="20"/>
  <c r="AU386" i="20"/>
  <c r="AU512" i="20"/>
  <c r="AU267" i="20"/>
  <c r="AU544" i="20"/>
  <c r="AU474" i="20"/>
  <c r="AU422" i="20"/>
  <c r="AU450" i="20"/>
  <c r="AU556" i="20"/>
  <c r="AU1026" i="20"/>
  <c r="AU1031" i="20"/>
  <c r="AU477" i="20"/>
  <c r="AU559" i="20"/>
  <c r="AU799" i="20"/>
  <c r="AU520" i="20"/>
  <c r="AU878" i="20"/>
  <c r="AU178" i="20"/>
  <c r="AU977" i="20"/>
  <c r="AU808" i="20"/>
  <c r="AU95" i="20"/>
  <c r="AU918" i="20"/>
  <c r="AU128" i="20"/>
  <c r="AU768" i="20"/>
  <c r="AU1029" i="20"/>
  <c r="AU941" i="20"/>
  <c r="AU948" i="20"/>
  <c r="AU530" i="20"/>
  <c r="AU377" i="20"/>
  <c r="AU782" i="20"/>
  <c r="AU349" i="20"/>
  <c r="AU732" i="20"/>
  <c r="AU979" i="20"/>
  <c r="AU939" i="20"/>
  <c r="AU770" i="20"/>
  <c r="AU49" i="20"/>
  <c r="AU801" i="20"/>
  <c r="AU74" i="20"/>
  <c r="AU81" i="20"/>
  <c r="AU497" i="20"/>
  <c r="AU323" i="20"/>
  <c r="AU879" i="20"/>
  <c r="AU705" i="20"/>
  <c r="AU56" i="20"/>
  <c r="AU809" i="20"/>
  <c r="AU663" i="20"/>
  <c r="AU750" i="20"/>
  <c r="AU470" i="20"/>
  <c r="AU950" i="20"/>
  <c r="AU319" i="20"/>
  <c r="AU463" i="20"/>
  <c r="AU425" i="20"/>
  <c r="AU989" i="20"/>
  <c r="AU72" i="20"/>
  <c r="AU452" i="20"/>
  <c r="AU39" i="20"/>
  <c r="AU882" i="20"/>
  <c r="AU917" i="20"/>
  <c r="AU117" i="20"/>
  <c r="AU811" i="20"/>
  <c r="AU634" i="20"/>
  <c r="AU407" i="20"/>
  <c r="AU300" i="20"/>
  <c r="AU37" i="20"/>
  <c r="AU309" i="20"/>
  <c r="AU364" i="20"/>
  <c r="AU887" i="20"/>
  <c r="AU912" i="20"/>
  <c r="AU849" i="20"/>
  <c r="AU250" i="20"/>
  <c r="AU200" i="20"/>
  <c r="AU542" i="20"/>
  <c r="AU374" i="20"/>
  <c r="AU824" i="20"/>
  <c r="AU701" i="20"/>
  <c r="AU417" i="20"/>
  <c r="AU189" i="20"/>
  <c r="AU611" i="20"/>
  <c r="AU806" i="20"/>
  <c r="AU757" i="20"/>
  <c r="AU965" i="20"/>
  <c r="AU652" i="20"/>
  <c r="AU715" i="20"/>
  <c r="AU436" i="20"/>
  <c r="AU284" i="20"/>
  <c r="AU385" i="20"/>
  <c r="AU549" i="20"/>
  <c r="AU492" i="20"/>
  <c r="AU218" i="20"/>
  <c r="AU786" i="20"/>
  <c r="AU656" i="20"/>
  <c r="AU389" i="20"/>
  <c r="AU153" i="20"/>
  <c r="AU913" i="20"/>
  <c r="AU342" i="20"/>
  <c r="AU163" i="20"/>
  <c r="AU291" i="20"/>
  <c r="AU500" i="20"/>
  <c r="AU1014" i="20"/>
  <c r="AU421" i="20"/>
  <c r="AU159" i="20"/>
  <c r="AU357" i="20"/>
  <c r="AU587" i="20"/>
  <c r="AU299" i="20"/>
  <c r="AU135" i="20"/>
  <c r="AU738" i="20"/>
  <c r="AU938" i="20"/>
  <c r="AU207" i="20"/>
  <c r="AU999" i="20"/>
  <c r="AU837" i="20"/>
  <c r="AU160" i="20"/>
  <c r="AU174" i="20"/>
  <c r="AU253" i="20"/>
  <c r="AU196" i="20"/>
  <c r="AU694" i="20"/>
  <c r="AU96" i="20"/>
  <c r="AU723" i="20"/>
  <c r="AU984" i="20"/>
  <c r="AU130" i="20"/>
  <c r="AU630" i="20"/>
  <c r="AU1032" i="20"/>
  <c r="AU763" i="20"/>
  <c r="AU190" i="20"/>
  <c r="AU955" i="20"/>
  <c r="AU209" i="20"/>
  <c r="AU99" i="20"/>
  <c r="AU262" i="20"/>
  <c r="AU896" i="20"/>
  <c r="AU41" i="20"/>
  <c r="AU105" i="20"/>
  <c r="AU650" i="20"/>
  <c r="AU931" i="20"/>
  <c r="AU83" i="20"/>
  <c r="AU599" i="20"/>
  <c r="AU923" i="20"/>
  <c r="AU700" i="20"/>
  <c r="AU140" i="20"/>
  <c r="AU859" i="20"/>
  <c r="AU79" i="20"/>
  <c r="AU886" i="20"/>
  <c r="AU52" i="20"/>
  <c r="AU107" i="20"/>
  <c r="AU686" i="20"/>
  <c r="AU783" i="20"/>
  <c r="AU148" i="20"/>
  <c r="AU695" i="20"/>
  <c r="AU899" i="20"/>
  <c r="AU978" i="20"/>
  <c r="AU1009" i="20"/>
  <c r="AU843" i="20"/>
  <c r="AU936" i="20"/>
  <c r="AU746" i="20"/>
  <c r="AU334" i="20"/>
  <c r="AU884" i="20"/>
  <c r="AU795" i="20"/>
  <c r="AU560" i="20"/>
  <c r="AU972" i="20"/>
  <c r="AU945" i="20"/>
  <c r="AU575" i="20"/>
  <c r="AU740" i="20"/>
  <c r="AU947" i="20"/>
  <c r="AU873" i="20"/>
  <c r="AU302" i="20"/>
  <c r="AU981" i="20"/>
  <c r="AU113" i="20"/>
  <c r="AU103" i="20"/>
  <c r="AU813" i="20"/>
  <c r="AU406" i="20"/>
  <c r="AU481" i="20"/>
  <c r="AU282" i="20"/>
  <c r="AU468" i="20"/>
  <c r="AU484" i="20"/>
  <c r="AU185" i="20"/>
  <c r="AU751" i="20"/>
  <c r="AU1021" i="20"/>
  <c r="AU875" i="20"/>
  <c r="AU346" i="20"/>
  <c r="AU276" i="20"/>
  <c r="AU925" i="20"/>
  <c r="AU850" i="20"/>
  <c r="AU384" i="20"/>
  <c r="AU192" i="20"/>
  <c r="AU857" i="20"/>
  <c r="AU451" i="20"/>
  <c r="AU968" i="20"/>
  <c r="AU308" i="20"/>
  <c r="AU254" i="20"/>
  <c r="AU405" i="20"/>
  <c r="AU164" i="20"/>
  <c r="AU237" i="20"/>
  <c r="AU735" i="20"/>
  <c r="AU708" i="20"/>
  <c r="AU202" i="20"/>
  <c r="AU142" i="20"/>
  <c r="AU855" i="20"/>
  <c r="AU831" i="20"/>
  <c r="AU235" i="20"/>
  <c r="AU47" i="20"/>
  <c r="AU762" i="20"/>
  <c r="AU167" i="20"/>
  <c r="AU331" i="20"/>
  <c r="AU749" i="20"/>
  <c r="AU576" i="20"/>
  <c r="AU714" i="20"/>
  <c r="AU441" i="20"/>
  <c r="AU439" i="20"/>
  <c r="AU794" i="20"/>
  <c r="AU647" i="20"/>
  <c r="AU156" i="20"/>
  <c r="AU259" i="20"/>
  <c r="AU748" i="20"/>
  <c r="AU842" i="20"/>
  <c r="AU152" i="20"/>
  <c r="AU370" i="20"/>
  <c r="AU702" i="20"/>
  <c r="AU426" i="20"/>
  <c r="AU225" i="20"/>
  <c r="AU696" i="20"/>
  <c r="AU661" i="20"/>
  <c r="AU874" i="20"/>
  <c r="AU485" i="20"/>
  <c r="AU828" i="20"/>
  <c r="AU655" i="20"/>
  <c r="AU90" i="20"/>
  <c r="AU525" i="20"/>
  <c r="AU216" i="20"/>
  <c r="AU464" i="20"/>
  <c r="AU649" i="20"/>
  <c r="AU870" i="20"/>
  <c r="AU69" i="20"/>
  <c r="AU456" i="20"/>
  <c r="AU268" i="20"/>
  <c r="AU600" i="20"/>
  <c r="AU337" i="20"/>
  <c r="AU669" i="20"/>
  <c r="AU493" i="20"/>
  <c r="AU620" i="20"/>
  <c r="AU387" i="20"/>
  <c r="AU391" i="20"/>
  <c r="AU472" i="20"/>
  <c r="AU62" i="20"/>
  <c r="AU321" i="20"/>
  <c r="AU573" i="20"/>
  <c r="AU143" i="20"/>
  <c r="AU443" i="20"/>
  <c r="AU621" i="20"/>
  <c r="AU507" i="20"/>
  <c r="AU1034" i="20"/>
  <c r="AU934" i="20"/>
  <c r="AU1027" i="20"/>
  <c r="AU315" i="20"/>
  <c r="AU292" i="20"/>
  <c r="AU393" i="20"/>
  <c r="AU766" i="20"/>
  <c r="AU914" i="20"/>
  <c r="AU1033" i="20"/>
  <c r="AU313" i="20"/>
  <c r="AU561" i="20"/>
  <c r="AU844" i="20"/>
  <c r="AU204" i="20"/>
  <c r="AU937" i="20"/>
  <c r="AU362" i="20"/>
  <c r="AU51" i="20"/>
  <c r="AU326" i="20"/>
  <c r="AU430" i="20"/>
  <c r="AU77" i="20"/>
  <c r="AU881" i="20"/>
  <c r="AU603" i="20"/>
  <c r="AU155" i="20"/>
  <c r="AU335" i="20"/>
  <c r="AU810" i="20"/>
  <c r="AU897" i="20"/>
  <c r="AU271" i="20"/>
  <c r="AU513" i="20"/>
  <c r="AU798" i="20"/>
  <c r="AU1020" i="20"/>
  <c r="AU373" i="20"/>
  <c r="AU720" i="20"/>
  <c r="AU969" i="20"/>
  <c r="AU625" i="20"/>
  <c r="AU739" i="20"/>
  <c r="AU465" i="20"/>
  <c r="AU826" i="20"/>
  <c r="AU583" i="20"/>
  <c r="AU469" i="20"/>
  <c r="AU169" i="20"/>
  <c r="AU358" i="20"/>
  <c r="AU802" i="20"/>
  <c r="AU75" i="20"/>
  <c r="AU144" i="20"/>
  <c r="AU804" i="20"/>
  <c r="AU836" i="20"/>
  <c r="AU361" i="20"/>
  <c r="AU697" i="20"/>
  <c r="AU604" i="20"/>
  <c r="AU889" i="20"/>
  <c r="AU565" i="20"/>
  <c r="AU101" i="20"/>
  <c r="AU409" i="20"/>
  <c r="AU509" i="20"/>
  <c r="AU547" i="20"/>
  <c r="AU821" i="20"/>
  <c r="AU191" i="20"/>
  <c r="AU210" i="20"/>
  <c r="AU367" i="20"/>
  <c r="AU758" i="20"/>
  <c r="AU539" i="20"/>
  <c r="AU563" i="20"/>
  <c r="AU111" i="20"/>
  <c r="AU412" i="20"/>
  <c r="AU213" i="20"/>
  <c r="AU612" i="20"/>
  <c r="AU613" i="20"/>
  <c r="AU835" i="20"/>
  <c r="AU554" i="20"/>
  <c r="AU796" i="20"/>
  <c r="AU555" i="20"/>
  <c r="AU43" i="20"/>
  <c r="AU737" i="20"/>
  <c r="AU208" i="20"/>
  <c r="AU678" i="20"/>
  <c r="AU473" i="20"/>
  <c r="AU355" i="20"/>
  <c r="AU98" i="20"/>
  <c r="AU272" i="20"/>
  <c r="AU177" i="20"/>
  <c r="AU536" i="20"/>
  <c r="AU578" i="20"/>
  <c r="AU773" i="20"/>
  <c r="AU403" i="20"/>
  <c r="AU943" i="20"/>
  <c r="AU352" i="20"/>
  <c r="AU184" i="20"/>
  <c r="AU91" i="20"/>
  <c r="AU677" i="20"/>
  <c r="AU590" i="20"/>
  <c r="AU662" i="20"/>
  <c r="AU946" i="20"/>
  <c r="AU664" i="20"/>
  <c r="AU756" i="20"/>
  <c r="AU610" i="20"/>
  <c r="AU1008" i="20"/>
  <c r="AU992" i="20"/>
  <c r="AU883" i="20"/>
  <c r="AU921" i="20"/>
  <c r="AU698" i="20"/>
  <c r="AU1017" i="20"/>
  <c r="AU909" i="20"/>
  <c r="AU797" i="20"/>
  <c r="AU277" i="20"/>
  <c r="AU832" i="20"/>
  <c r="AU546" i="20"/>
  <c r="AU392" i="20"/>
  <c r="AU864" i="20"/>
  <c r="AU574" i="20"/>
  <c r="AU755" i="20"/>
  <c r="AU550" i="20"/>
  <c r="AU932" i="20"/>
  <c r="AU954" i="20"/>
  <c r="AU862" i="20"/>
  <c r="AU893" i="20"/>
  <c r="AU645" i="20"/>
  <c r="AU952" i="20"/>
  <c r="AU691" i="20"/>
  <c r="AU774" i="20"/>
  <c r="AU239" i="20"/>
  <c r="AU462" i="20"/>
  <c r="AU744" i="20"/>
  <c r="AU891" i="20"/>
  <c r="AU170" i="20"/>
  <c r="AU499" i="20"/>
  <c r="AU658" i="20"/>
  <c r="AU431" i="20"/>
  <c r="AU907" i="20"/>
  <c r="AU667" i="20"/>
  <c r="AU885" i="20"/>
  <c r="AU58" i="20"/>
  <c r="AU618" i="20"/>
  <c r="AU961" i="20"/>
  <c r="AU681" i="20"/>
  <c r="AU106" i="20"/>
  <c r="AU206" i="20"/>
  <c r="AU602" i="20"/>
  <c r="AU596" i="20"/>
  <c r="AU956" i="20"/>
  <c r="AU895" i="20"/>
  <c r="AU822" i="20"/>
  <c r="AU1007" i="20"/>
  <c r="AU845" i="20"/>
  <c r="AU991" i="20"/>
  <c r="AU688" i="20"/>
  <c r="AU168" i="20"/>
  <c r="AU45" i="20"/>
  <c r="AU330" i="20"/>
  <c r="AU71" i="20"/>
  <c r="AU228" i="20"/>
  <c r="AU187" i="20"/>
  <c r="AU440" i="20"/>
  <c r="AU676" i="20"/>
  <c r="AU324" i="20"/>
  <c r="AU369" i="20"/>
  <c r="AU150" i="20"/>
  <c r="AU448" i="20"/>
  <c r="AU343" i="20"/>
  <c r="AU303" i="20"/>
  <c r="AU608" i="20"/>
  <c r="AU960" i="20"/>
  <c r="AU533" i="20"/>
  <c r="AU459" i="20"/>
  <c r="AU123" i="20"/>
  <c r="AU230" i="20"/>
  <c r="AU36" i="20"/>
  <c r="AU410" i="20"/>
  <c r="AU674" i="20"/>
  <c r="AU297" i="20"/>
  <c r="AU341" i="20"/>
  <c r="AU125" i="20"/>
  <c r="AU418" i="20"/>
  <c r="AU199" i="20"/>
  <c r="AU232" i="20"/>
  <c r="AU42" i="20"/>
  <c r="AU424" i="20"/>
  <c r="AU916" i="20"/>
  <c r="AU332" i="20"/>
  <c r="AU100" i="20"/>
  <c r="AU1004" i="20"/>
  <c r="AU70" i="20"/>
  <c r="AU523" i="20"/>
  <c r="AU317" i="20"/>
  <c r="AU310" i="20"/>
  <c r="AU53" i="20"/>
  <c r="AU137" i="20"/>
  <c r="AU347" i="20"/>
  <c r="AU905" i="20"/>
  <c r="AU134" i="20"/>
  <c r="AU580" i="20"/>
  <c r="AU398" i="20"/>
  <c r="AU60" i="20"/>
  <c r="AU724" i="20"/>
  <c r="AU833" i="20"/>
  <c r="AU778" i="20"/>
  <c r="AU1025" i="20"/>
  <c r="AU980" i="20"/>
  <c r="AU519" i="20"/>
  <c r="AU633" i="20"/>
  <c r="AU368" i="20"/>
  <c r="AU502" i="20"/>
  <c r="AU636" i="20"/>
  <c r="AU553" i="20"/>
  <c r="AU219" i="20"/>
  <c r="AU606" i="20"/>
  <c r="AU970" i="20"/>
  <c r="AU904" i="20"/>
  <c r="AU226" i="20"/>
  <c r="AU227" i="20"/>
  <c r="AU528" i="20"/>
  <c r="AU171" i="20"/>
  <c r="AU642" i="20"/>
  <c r="AU495" i="20"/>
  <c r="AU176" i="20"/>
  <c r="AU65" i="20"/>
  <c r="AU1011" i="20"/>
  <c r="AU780" i="20"/>
  <c r="AU246" i="20"/>
  <c r="AU354" i="20"/>
  <c r="AU643" i="20"/>
  <c r="AU1023" i="20"/>
  <c r="AU114" i="20"/>
  <c r="AU260" i="20"/>
  <c r="AU279" i="20"/>
  <c r="AU118" i="20"/>
  <c r="AU718" i="20"/>
  <c r="AU188" i="20"/>
  <c r="AU273" i="20"/>
  <c r="AU252" i="20"/>
  <c r="AU127" i="20"/>
  <c r="AU839" i="20"/>
  <c r="AU966" i="20"/>
  <c r="AU683" i="20"/>
  <c r="AU687" i="20"/>
  <c r="AU55" i="20"/>
  <c r="AU872" i="20"/>
  <c r="AU589" i="20"/>
  <c r="AU147" i="20"/>
  <c r="AU338" i="20"/>
  <c r="AU157" i="20"/>
  <c r="AU340" i="20"/>
  <c r="AU1006" i="20"/>
  <c r="AU967" i="20"/>
  <c r="AE91" i="14"/>
  <c r="AA91" i="14"/>
  <c r="AA92" i="14" s="1"/>
  <c r="AA93" i="14" s="1"/>
  <c r="AA94" i="14" s="1"/>
  <c r="AA95" i="14" s="1"/>
  <c r="AA96" i="14" s="1"/>
  <c r="AA97" i="14" s="1"/>
  <c r="AA98" i="14" s="1"/>
  <c r="AA99" i="14" s="1"/>
  <c r="AA100" i="14" s="1"/>
  <c r="AA101" i="14" s="1"/>
  <c r="AA102" i="14" s="1"/>
  <c r="AA103" i="14" s="1"/>
  <c r="AA104" i="14" s="1"/>
  <c r="AA105" i="14" s="1"/>
  <c r="AA106" i="14" s="1"/>
  <c r="AA107" i="14" s="1"/>
  <c r="AA108" i="14" s="1"/>
  <c r="AA109" i="14" s="1"/>
  <c r="AA110" i="14" s="1"/>
  <c r="W113" i="14"/>
  <c r="BO72" i="15"/>
  <c r="BP71" i="15"/>
  <c r="BD31" i="14"/>
  <c r="AZ31" i="14"/>
  <c r="AZ32" i="14" s="1"/>
  <c r="AZ33" i="14" s="1"/>
  <c r="AZ34" i="14" s="1"/>
  <c r="AZ35" i="14" s="1"/>
  <c r="AZ36" i="14" s="1"/>
  <c r="AZ37" i="14" s="1"/>
  <c r="AZ38" i="14" s="1"/>
  <c r="AZ39" i="14" s="1"/>
  <c r="AZ40" i="14" s="1"/>
  <c r="AZ41" i="14" s="1"/>
  <c r="AZ42" i="14" s="1"/>
  <c r="AZ43" i="14" s="1"/>
  <c r="AZ44" i="14" s="1"/>
  <c r="AZ45" i="14" s="1"/>
  <c r="AZ46" i="14" s="1"/>
  <c r="AZ47" i="14" s="1"/>
  <c r="AZ48" i="14" s="1"/>
  <c r="AZ49" i="14" s="1"/>
  <c r="AZ50" i="14" s="1"/>
  <c r="AV52" i="14"/>
  <c r="AE9" i="14" s="1"/>
  <c r="AE10" i="14" s="1"/>
  <c r="AU35" i="20"/>
  <c r="AC61" i="14"/>
  <c r="AC62" i="14" s="1"/>
  <c r="AC63" i="14" s="1"/>
  <c r="AC64" i="14" s="1"/>
  <c r="AC65" i="14" s="1"/>
  <c r="AC66" i="14" s="1"/>
  <c r="AC67" i="14" s="1"/>
  <c r="AC68" i="14" s="1"/>
  <c r="AC69" i="14" s="1"/>
  <c r="AC70" i="14" s="1"/>
  <c r="AC71" i="14" s="1"/>
  <c r="AC72" i="14" s="1"/>
  <c r="AC73" i="14" s="1"/>
  <c r="AC74" i="14" s="1"/>
  <c r="AC75" i="14" s="1"/>
  <c r="AC76" i="14" s="1"/>
  <c r="AC77" i="14" s="1"/>
  <c r="AC78" i="14" s="1"/>
  <c r="AC79" i="14" s="1"/>
  <c r="AC80" i="14" s="1"/>
  <c r="AG61" i="14"/>
  <c r="Y83" i="14"/>
  <c r="AC91" i="14"/>
  <c r="AC92" i="14" s="1"/>
  <c r="AC93" i="14" s="1"/>
  <c r="AC94" i="14" s="1"/>
  <c r="AC95" i="14" s="1"/>
  <c r="AC96" i="14" s="1"/>
  <c r="AC97" i="14" s="1"/>
  <c r="AC98" i="14" s="1"/>
  <c r="AC99" i="14" s="1"/>
  <c r="AC100" i="14" s="1"/>
  <c r="AC101" i="14" s="1"/>
  <c r="AC102" i="14" s="1"/>
  <c r="AC103" i="14" s="1"/>
  <c r="AC104" i="14" s="1"/>
  <c r="AC105" i="14" s="1"/>
  <c r="AC106" i="14" s="1"/>
  <c r="AC107" i="14" s="1"/>
  <c r="AC108" i="14" s="1"/>
  <c r="AC109" i="14" s="1"/>
  <c r="AC110" i="14" s="1"/>
  <c r="AG91" i="14"/>
  <c r="Y113" i="14"/>
  <c r="AZ57" i="20"/>
  <c r="BF31" i="14"/>
  <c r="BB31" i="14"/>
  <c r="BB32" i="14" s="1"/>
  <c r="BB33" i="14" s="1"/>
  <c r="BB34" i="14" s="1"/>
  <c r="BB35" i="14" s="1"/>
  <c r="BB36" i="14" s="1"/>
  <c r="BB37" i="14" s="1"/>
  <c r="BB38" i="14" s="1"/>
  <c r="BB39" i="14" s="1"/>
  <c r="BB40" i="14" s="1"/>
  <c r="BB41" i="14" s="1"/>
  <c r="BB42" i="14" s="1"/>
  <c r="BB43" i="14" s="1"/>
  <c r="BB44" i="14" s="1"/>
  <c r="BB45" i="14" s="1"/>
  <c r="BB46" i="14" s="1"/>
  <c r="BB47" i="14" s="1"/>
  <c r="BB48" i="14" s="1"/>
  <c r="BB49" i="14" s="1"/>
  <c r="BB50" i="14" s="1"/>
  <c r="AX52" i="14"/>
  <c r="F46" i="28" l="1"/>
  <c r="F47" i="28" s="1"/>
  <c r="F48" i="28" s="1"/>
  <c r="F49" i="28" s="1"/>
  <c r="F50" i="28" s="1"/>
  <c r="F51" i="28" s="1"/>
  <c r="D78" i="28"/>
  <c r="C16" i="22"/>
  <c r="F13" i="30" s="1"/>
  <c r="C24" i="22"/>
  <c r="F21" i="30" s="1"/>
  <c r="C19" i="22"/>
  <c r="F16" i="30" s="1"/>
  <c r="C17" i="22"/>
  <c r="F14" i="30" s="1"/>
  <c r="C28" i="22"/>
  <c r="F25" i="30" s="1"/>
  <c r="C23" i="22"/>
  <c r="F20" i="30" s="1"/>
  <c r="C18" i="22"/>
  <c r="F15" i="30" s="1"/>
  <c r="E6" i="22"/>
  <c r="H3" i="22" s="1"/>
  <c r="C25" i="22"/>
  <c r="F22" i="30" s="1"/>
  <c r="C27" i="22"/>
  <c r="F24" i="30" s="1"/>
  <c r="C31" i="22"/>
  <c r="F28" i="30" s="1"/>
  <c r="C13" i="22"/>
  <c r="F10" i="30" s="1"/>
  <c r="C29" i="22"/>
  <c r="F26" i="30" s="1"/>
  <c r="C20" i="22"/>
  <c r="F17" i="30" s="1"/>
  <c r="C30" i="22"/>
  <c r="F27" i="30" s="1"/>
  <c r="C12" i="22"/>
  <c r="F9" i="30" s="1"/>
  <c r="C14" i="22"/>
  <c r="F11" i="30" s="1"/>
  <c r="C21" i="22"/>
  <c r="F18" i="30" s="1"/>
  <c r="C15" i="22"/>
  <c r="F12" i="30" s="1"/>
  <c r="C22" i="22"/>
  <c r="F19" i="30" s="1"/>
  <c r="C26" i="22"/>
  <c r="F23" i="30" s="1"/>
  <c r="C34" i="20"/>
  <c r="P60" i="14"/>
  <c r="P61" i="14" s="1"/>
  <c r="V84" i="14"/>
  <c r="V85" i="14" s="1"/>
  <c r="BO73" i="15"/>
  <c r="BP72" i="15"/>
  <c r="AB9" i="14"/>
  <c r="AB10" i="14" s="1"/>
  <c r="AA9" i="14"/>
  <c r="AA10" i="14" s="1"/>
  <c r="Z9" i="14"/>
  <c r="Z10" i="14" s="1"/>
  <c r="AD9" i="14"/>
  <c r="AD10" i="14" s="1"/>
  <c r="O60" i="14"/>
  <c r="O61" i="14" s="1"/>
  <c r="E7" i="22" l="1"/>
  <c r="D34" i="20"/>
  <c r="E34" i="20"/>
  <c r="BO74" i="15"/>
  <c r="BP73" i="15"/>
  <c r="E8" i="22" l="1"/>
  <c r="D5" i="30" s="1"/>
  <c r="D4" i="30"/>
  <c r="L25" i="22"/>
  <c r="L26" i="22" s="1"/>
  <c r="E5" i="22"/>
  <c r="D12" i="22" s="1"/>
  <c r="F34" i="20"/>
  <c r="BO75" i="15"/>
  <c r="BP74" i="15"/>
  <c r="E12" i="22" l="1"/>
  <c r="G5" i="30"/>
  <c r="F5" i="30"/>
  <c r="D15" i="22"/>
  <c r="D24" i="22"/>
  <c r="D26" i="22"/>
  <c r="D13" i="22"/>
  <c r="D22" i="22"/>
  <c r="D25" i="22"/>
  <c r="D27" i="22"/>
  <c r="D20" i="22"/>
  <c r="D29" i="22"/>
  <c r="D23" i="22"/>
  <c r="D28" i="22"/>
  <c r="D18" i="22"/>
  <c r="D31" i="22"/>
  <c r="D30" i="22"/>
  <c r="D14" i="22"/>
  <c r="D19" i="22"/>
  <c r="D16" i="22"/>
  <c r="D21" i="22"/>
  <c r="D17" i="22"/>
  <c r="F12" i="22"/>
  <c r="G34" i="20"/>
  <c r="BO76" i="15"/>
  <c r="BP75" i="15"/>
  <c r="E28" i="22" l="1"/>
  <c r="G28" i="22" s="1"/>
  <c r="H28" i="22" s="1"/>
  <c r="F26" i="22"/>
  <c r="E26" i="22"/>
  <c r="G26" i="22" s="1"/>
  <c r="H26" i="22" s="1"/>
  <c r="F21" i="22"/>
  <c r="E21" i="22"/>
  <c r="G21" i="22" s="1"/>
  <c r="H21" i="22" s="1"/>
  <c r="F23" i="22"/>
  <c r="E23" i="22"/>
  <c r="G23" i="22" s="1"/>
  <c r="H23" i="22" s="1"/>
  <c r="F24" i="22"/>
  <c r="E24" i="22"/>
  <c r="G24" i="22" s="1"/>
  <c r="H24" i="22" s="1"/>
  <c r="F16" i="22"/>
  <c r="E16" i="22"/>
  <c r="G16" i="22" s="1"/>
  <c r="H16" i="22" s="1"/>
  <c r="E29" i="22"/>
  <c r="G29" i="22" s="1"/>
  <c r="H29" i="22" s="1"/>
  <c r="E15" i="22"/>
  <c r="G15" i="22" s="1"/>
  <c r="H15" i="22" s="1"/>
  <c r="E19" i="22"/>
  <c r="G19" i="22" s="1"/>
  <c r="H19" i="22" s="1"/>
  <c r="E20" i="22"/>
  <c r="G20" i="22" s="1"/>
  <c r="H20" i="22" s="1"/>
  <c r="E17" i="22"/>
  <c r="G17" i="22" s="1"/>
  <c r="H17" i="22" s="1"/>
  <c r="F14" i="22"/>
  <c r="E14" i="22"/>
  <c r="G14" i="22" s="1"/>
  <c r="H14" i="22" s="1"/>
  <c r="E27" i="22"/>
  <c r="G27" i="22" s="1"/>
  <c r="H27" i="22" s="1"/>
  <c r="E30" i="22"/>
  <c r="G30" i="22" s="1"/>
  <c r="H30" i="22" s="1"/>
  <c r="E25" i="22"/>
  <c r="G25" i="22" s="1"/>
  <c r="H25" i="22" s="1"/>
  <c r="F31" i="22"/>
  <c r="E31" i="22"/>
  <c r="G31" i="22" s="1"/>
  <c r="H31" i="22" s="1"/>
  <c r="E22" i="22"/>
  <c r="G22" i="22" s="1"/>
  <c r="H22" i="22" s="1"/>
  <c r="E18" i="22"/>
  <c r="G18" i="22" s="1"/>
  <c r="H18" i="22" s="1"/>
  <c r="E13" i="22"/>
  <c r="G13" i="22" s="1"/>
  <c r="H13" i="22" s="1"/>
  <c r="F15" i="22"/>
  <c r="F13" i="22"/>
  <c r="F20" i="22"/>
  <c r="F25" i="22"/>
  <c r="F22" i="22"/>
  <c r="F29" i="22"/>
  <c r="F27" i="22"/>
  <c r="F28" i="22"/>
  <c r="F30" i="22"/>
  <c r="F19" i="22"/>
  <c r="F17" i="22"/>
  <c r="F18" i="22"/>
  <c r="G12" i="22"/>
  <c r="H12" i="22" s="1"/>
  <c r="H34" i="20"/>
  <c r="BO77" i="15"/>
  <c r="BP76" i="15"/>
  <c r="I34" i="20" l="1"/>
  <c r="BO78" i="15"/>
  <c r="BP77" i="15"/>
  <c r="J34" i="20" l="1"/>
  <c r="BO79" i="15"/>
  <c r="BP78" i="15"/>
  <c r="K34" i="20" l="1"/>
  <c r="BO80" i="15"/>
  <c r="BP79" i="15"/>
  <c r="L34" i="20" l="1"/>
  <c r="BO81" i="15"/>
  <c r="BP80" i="15"/>
  <c r="M34" i="20" l="1"/>
  <c r="BO82" i="15"/>
  <c r="BP81" i="15"/>
  <c r="N34" i="20" l="1"/>
  <c r="BO83" i="15"/>
  <c r="BP82" i="15"/>
  <c r="O34" i="20" l="1"/>
  <c r="BO84" i="15"/>
  <c r="BP83" i="15"/>
  <c r="P34" i="20" l="1"/>
  <c r="BP84" i="15"/>
  <c r="Q34" i="20" l="1"/>
  <c r="B53" i="5"/>
  <c r="R34" i="20" l="1"/>
  <c r="U24" i="5"/>
  <c r="S34" i="20" l="1"/>
  <c r="C25" i="14"/>
  <c r="P25" i="14" s="1"/>
  <c r="L85" i="15"/>
  <c r="B26" i="14"/>
  <c r="O85" i="15" l="1"/>
  <c r="T34" i="20"/>
  <c r="U85" i="15"/>
  <c r="M85" i="15"/>
  <c r="V85" i="15" s="1"/>
  <c r="AH85" i="15" s="1"/>
  <c r="E51" i="14"/>
  <c r="K26" i="7" s="1"/>
  <c r="I25" i="14"/>
  <c r="D51" i="14" s="1"/>
  <c r="H25" i="14"/>
  <c r="C51" i="14" s="1"/>
  <c r="G25" i="14"/>
  <c r="B51" i="14" s="1"/>
  <c r="R24" i="5" l="1"/>
  <c r="S24" i="5" s="1"/>
  <c r="V24" i="5" s="1"/>
  <c r="Y85" i="15"/>
  <c r="X85" i="15"/>
  <c r="Z85" i="15" s="1"/>
  <c r="AA85" i="15" s="1"/>
  <c r="AB85" i="15" s="1"/>
  <c r="AE85" i="15" s="1"/>
  <c r="P85" i="15"/>
  <c r="D4" i="15" s="1"/>
  <c r="D5" i="15" s="1"/>
  <c r="F5" i="15" s="1"/>
  <c r="U34" i="20"/>
  <c r="V34" i="20"/>
  <c r="AN51" i="14"/>
  <c r="AG51" i="14"/>
  <c r="S51" i="14"/>
  <c r="Z51" i="14"/>
  <c r="T81" i="14"/>
  <c r="S81" i="14"/>
  <c r="R81" i="14"/>
  <c r="U81" i="14"/>
  <c r="U111" i="14"/>
  <c r="T111" i="14"/>
  <c r="S111" i="14"/>
  <c r="R111" i="14"/>
  <c r="AO51" i="14"/>
  <c r="AH51" i="14"/>
  <c r="T51" i="14"/>
  <c r="AA51" i="14"/>
  <c r="AG85" i="15"/>
  <c r="W24" i="5" l="1"/>
  <c r="F9" i="15"/>
  <c r="J5" i="15"/>
  <c r="AK85" i="15"/>
  <c r="AJ85" i="15"/>
  <c r="AT85" i="15"/>
  <c r="BH85" i="15" s="1"/>
  <c r="Q85" i="15"/>
  <c r="AP85" i="15"/>
  <c r="AS85" i="15" s="1"/>
  <c r="AC6" i="14"/>
  <c r="AC7" i="14" s="1"/>
  <c r="AC8" i="14" s="1"/>
  <c r="AC9" i="14" s="1"/>
  <c r="AC10" i="14" s="1"/>
  <c r="C53" i="5" l="1"/>
  <c r="BK85" i="15"/>
  <c r="BO85" i="15" s="1"/>
  <c r="AU85" i="15"/>
  <c r="AV85" i="15" s="1"/>
  <c r="AW85" i="15" s="1"/>
  <c r="AL85" i="15"/>
  <c r="AM85" i="15" s="1"/>
  <c r="AN85" i="15" s="1"/>
  <c r="BG85" i="15"/>
  <c r="BI85" i="15" s="1"/>
  <c r="BJ85" i="15" s="1"/>
  <c r="R85" i="15"/>
  <c r="AC85" i="15"/>
  <c r="AD85" i="15" s="1"/>
  <c r="BF85" i="15"/>
  <c r="I53" i="5" l="1"/>
  <c r="D53" i="5"/>
  <c r="E26" i="7"/>
  <c r="G53" i="5"/>
  <c r="H53" i="5" s="1"/>
  <c r="G26" i="7"/>
  <c r="B55" i="7"/>
  <c r="F26" i="7"/>
  <c r="H26" i="7"/>
  <c r="BL85" i="15"/>
  <c r="L26" i="7" s="1"/>
  <c r="M26" i="7" s="1"/>
  <c r="I26" i="7" l="1"/>
  <c r="J26" i="7" s="1"/>
  <c r="Q25" i="14"/>
  <c r="H51" i="14" s="1"/>
  <c r="N26" i="7"/>
  <c r="BN85" i="15"/>
  <c r="BP85" i="15" s="1"/>
  <c r="X24" i="5"/>
  <c r="B26" i="7"/>
  <c r="Y24" i="5" l="1"/>
  <c r="AK51" i="14"/>
  <c r="AM51" i="14" s="1"/>
  <c r="K51" i="14"/>
  <c r="AR51" i="14"/>
  <c r="AT51" i="14" s="1"/>
  <c r="Y81" i="14" s="1"/>
  <c r="AC81" i="14" s="1"/>
  <c r="L51" i="14"/>
  <c r="AD51" i="14"/>
  <c r="J51" i="14"/>
  <c r="F81" i="14"/>
  <c r="W51" i="14"/>
  <c r="Y51" i="14" s="1"/>
  <c r="P26" i="7"/>
  <c r="O26" i="7"/>
  <c r="C26" i="7"/>
  <c r="S26" i="7" s="1"/>
  <c r="D26" i="7"/>
  <c r="R26" i="7"/>
  <c r="Y111" i="14" l="1"/>
  <c r="Q26" i="7"/>
  <c r="AJ81" i="14"/>
  <c r="X111" i="14"/>
  <c r="AB111" i="14" s="1"/>
  <c r="X81" i="14"/>
  <c r="AB81" i="14" s="1"/>
  <c r="AW51" i="14"/>
  <c r="BA51" i="14" s="1"/>
  <c r="AX51" i="14"/>
  <c r="AH81" i="14"/>
  <c r="V111" i="14"/>
  <c r="Z111" i="14" s="1"/>
  <c r="AU51" i="14"/>
  <c r="AY51" i="14" s="1"/>
  <c r="V81" i="14"/>
  <c r="Z81" i="14" s="1"/>
  <c r="AF6" i="14"/>
  <c r="AF7" i="14" s="1"/>
  <c r="AF8" i="14" s="1"/>
  <c r="AF9" i="14" s="1"/>
  <c r="AF10" i="14" s="1"/>
  <c r="AF51" i="14"/>
  <c r="E4" i="28" s="1"/>
  <c r="C4" i="28" s="1"/>
  <c r="AG81" i="14"/>
  <c r="BF51" i="14" l="1"/>
  <c r="BB51" i="14"/>
  <c r="AG111" i="14"/>
  <c r="AC111" i="14"/>
  <c r="BM51" i="14"/>
  <c r="W81" i="14"/>
  <c r="AA81" i="14" s="1"/>
  <c r="BO51" i="14"/>
  <c r="AV51" i="14"/>
  <c r="AZ51" i="14" s="1"/>
  <c r="AI81" i="14"/>
  <c r="BP51" i="14"/>
  <c r="W111" i="14"/>
  <c r="AA111" i="14" s="1"/>
  <c r="BN51" i="14"/>
  <c r="AK81" i="14"/>
  <c r="AF81" i="14"/>
  <c r="AF111" i="14"/>
  <c r="AD81" i="14"/>
  <c r="BC51" i="14"/>
  <c r="AD111" i="14"/>
  <c r="BE51" i="14"/>
  <c r="AE111" i="14" l="1"/>
  <c r="AE81" i="14"/>
  <c r="E53" i="5"/>
  <c r="BD51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A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10% surface pressure loss</t>
        </r>
      </text>
    </comment>
    <comment ref="B1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1 bar equals 100 000 Pa or N/m2 </t>
        </r>
      </text>
    </comment>
    <comment ref="A1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0% losses in coupling between driver and pump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D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Using International Energy agency forecast up to 2040 scenario of current policies, middle points interpolated</t>
        </r>
      </text>
    </comment>
    <comment ref="E4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Using International Energy agency forecast up to 2040 scenario of new policies, middle points interpolated</t>
        </r>
      </text>
    </comment>
    <comment ref="F4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Using International Energy agency forecast up to 2040 scenario of sustainable development, middle points interpolated</t>
        </r>
      </text>
    </comment>
    <comment ref="P4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average cost of injection and production handling without fuel costs</t>
        </r>
      </text>
    </comment>
    <comment ref="Q4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average cost of injection and production handling without fuel costs</t>
        </r>
      </text>
    </comment>
    <comment ref="S2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careful with scenario selection only 1 per row case. Then vary discount rates</t>
        </r>
      </text>
    </comment>
    <comment ref="R5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careful with scenario selection only 1 per row case. Then vary discount rates</t>
        </r>
      </text>
    </comment>
    <comment ref="R8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careful with scenario selection only 1 per row case. Then vary discount rates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D23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55 C considering geothermal gradient of 30C every km and 1 km depth</t>
        </r>
      </text>
    </comment>
    <comment ref="G2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75C for gas separation</t>
        </r>
      </text>
    </comment>
    <comment ref="BC63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Polymer goes to waste
</t>
        </r>
      </text>
    </comment>
    <comment ref="BH63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Polymer goes to waste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A1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at 1 atm 55 C</t>
        </r>
      </text>
    </comment>
    <comment ref="E31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scenario 2 new policies
8% discount rate</t>
        </r>
      </text>
    </comment>
    <comment ref="G31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Energy from electricity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B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For the European Union inclusive taxes (energie site, 0.06 €+ 0.12 € (tax) + 0.035 € (VAT))   we obtain 0.215 €/ kW-hr</t>
        </r>
      </text>
    </comment>
    <comment ref="K4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Not including enex! check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B1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Price mean from Brownian motion simmulations</t>
        </r>
      </text>
    </comment>
    <comment ref="D11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Value of investment opportunity or opportunity cost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A1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F9 key recalculates the 1000 iteration runs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A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F9 key recalculates the 1000 iteration runs and replots</t>
        </r>
      </text>
    </comment>
  </commentList>
</comments>
</file>

<file path=xl/sharedStrings.xml><?xml version="1.0" encoding="utf-8"?>
<sst xmlns="http://schemas.openxmlformats.org/spreadsheetml/2006/main" count="885" uniqueCount="509">
  <si>
    <t>Depth</t>
  </si>
  <si>
    <t>m</t>
  </si>
  <si>
    <t>Injection rate</t>
  </si>
  <si>
    <t>m3/day</t>
  </si>
  <si>
    <t>X8</t>
  </si>
  <si>
    <t>BHP</t>
  </si>
  <si>
    <t>bar</t>
  </si>
  <si>
    <t>to</t>
  </si>
  <si>
    <t>almost constant lowest</t>
  </si>
  <si>
    <t>Wellhead injection P</t>
  </si>
  <si>
    <t>Pump discharge pressure</t>
  </si>
  <si>
    <t>psi</t>
  </si>
  <si>
    <t>Total</t>
  </si>
  <si>
    <t>BPD</t>
  </si>
  <si>
    <t>Hydraulic horse power</t>
  </si>
  <si>
    <t>Brake horse power</t>
  </si>
  <si>
    <t>Pump efficiency</t>
  </si>
  <si>
    <t>hp</t>
  </si>
  <si>
    <t>Water density</t>
  </si>
  <si>
    <t>kg/m3</t>
  </si>
  <si>
    <t>sg</t>
  </si>
  <si>
    <t>gpm</t>
  </si>
  <si>
    <t>Pump power requirement</t>
  </si>
  <si>
    <t>m3/s</t>
  </si>
  <si>
    <t>m3/hr</t>
  </si>
  <si>
    <t>W</t>
  </si>
  <si>
    <t>kW</t>
  </si>
  <si>
    <t>Data</t>
  </si>
  <si>
    <t>Calculated</t>
  </si>
  <si>
    <t>Ha for suction</t>
  </si>
  <si>
    <t>equivalent head</t>
  </si>
  <si>
    <t>L suction</t>
  </si>
  <si>
    <t>ft</t>
  </si>
  <si>
    <t>V</t>
  </si>
  <si>
    <t>N</t>
  </si>
  <si>
    <t>C</t>
  </si>
  <si>
    <t>K</t>
  </si>
  <si>
    <t>D suction</t>
  </si>
  <si>
    <t>in</t>
  </si>
  <si>
    <t>ft/s</t>
  </si>
  <si>
    <t>rpm</t>
  </si>
  <si>
    <t>Volume for t</t>
  </si>
  <si>
    <t>t for suction</t>
  </si>
  <si>
    <t>hrs</t>
  </si>
  <si>
    <t>m3</t>
  </si>
  <si>
    <t>Pore Volume</t>
  </si>
  <si>
    <t>OIP</t>
  </si>
  <si>
    <t>Variables</t>
  </si>
  <si>
    <t>Layer Thickness (m)</t>
  </si>
  <si>
    <t>Depth (m)</t>
  </si>
  <si>
    <t>Water density (kg/m^3)</t>
  </si>
  <si>
    <t>Oil density (kg/m^3)</t>
  </si>
  <si>
    <t>Pattern time (yrs)</t>
  </si>
  <si>
    <t>Time (day)</t>
  </si>
  <si>
    <t>fw</t>
  </si>
  <si>
    <t>WiD</t>
  </si>
  <si>
    <t>RF</t>
  </si>
  <si>
    <t>BHP_1</t>
  </si>
  <si>
    <t>BHP_2</t>
  </si>
  <si>
    <t>BHP_3</t>
  </si>
  <si>
    <t>BHP_4</t>
  </si>
  <si>
    <t>BHP_5</t>
  </si>
  <si>
    <t>BHP_6</t>
  </si>
  <si>
    <t>BHP_7</t>
  </si>
  <si>
    <t>BHP_8(bar)</t>
  </si>
  <si>
    <t>delP</t>
  </si>
  <si>
    <t>Injrate1</t>
  </si>
  <si>
    <t>injrate2</t>
  </si>
  <si>
    <t>Injrate3</t>
  </si>
  <si>
    <t>Injrate4</t>
  </si>
  <si>
    <t>Injrate5</t>
  </si>
  <si>
    <t>Injrate6</t>
  </si>
  <si>
    <t>Injrate7</t>
  </si>
  <si>
    <t>inj rate8 (m3/day)</t>
  </si>
  <si>
    <t>Qo (m3/d)</t>
  </si>
  <si>
    <t>Qo (m3/s)</t>
  </si>
  <si>
    <t>Qo (m3)</t>
  </si>
  <si>
    <t>inj vol (m3)</t>
  </si>
  <si>
    <t>cum oil (m3)</t>
  </si>
  <si>
    <t>cum water (m3)</t>
  </si>
  <si>
    <t>m^3 in barrel oil</t>
  </si>
  <si>
    <t>DeltaP0 (Pa)</t>
  </si>
  <si>
    <t>Porosity</t>
  </si>
  <si>
    <t>Seconds in a year</t>
  </si>
  <si>
    <t>E reverse osmosis (kJ/kg)</t>
  </si>
  <si>
    <t>5kwh/m3</t>
  </si>
  <si>
    <t>Oil exergy (kJ/kg)</t>
  </si>
  <si>
    <t>art lift</t>
  </si>
  <si>
    <t>kWh/kg crude</t>
  </si>
  <si>
    <t>kJ/kg crude</t>
  </si>
  <si>
    <t>pump_eff</t>
  </si>
  <si>
    <t>oil transport to refinery</t>
  </si>
  <si>
    <t>J/kg-km</t>
  </si>
  <si>
    <t>distance to refinery</t>
  </si>
  <si>
    <t>km</t>
  </si>
  <si>
    <t>transport exergy</t>
  </si>
  <si>
    <t>kJ/kg</t>
  </si>
  <si>
    <t>heat capacity of oil</t>
  </si>
  <si>
    <t>kJ/kg-K</t>
  </si>
  <si>
    <t>temp diff</t>
  </si>
  <si>
    <t>heating exergy</t>
  </si>
  <si>
    <t>CO2 emission (electicity)</t>
  </si>
  <si>
    <t>kg CO2/MWh</t>
  </si>
  <si>
    <t>otherenergy consumed</t>
  </si>
  <si>
    <t>total energy</t>
  </si>
  <si>
    <t>fractionlost water</t>
  </si>
  <si>
    <t>kgco2/mwh</t>
  </si>
  <si>
    <t>Revenues</t>
  </si>
  <si>
    <t>Year</t>
  </si>
  <si>
    <t>Expenses</t>
  </si>
  <si>
    <t>Operating costs ($ dollars)</t>
  </si>
  <si>
    <t>Cash Flow</t>
  </si>
  <si>
    <t>Discount factors at</t>
  </si>
  <si>
    <t>NPV</t>
  </si>
  <si>
    <t>Concept</t>
  </si>
  <si>
    <t>Operating expenses</t>
  </si>
  <si>
    <t>Average processing and injection cost of water</t>
  </si>
  <si>
    <t>Average cost of producing and processing oil</t>
  </si>
  <si>
    <t>Incremental oil production (km3)</t>
  </si>
  <si>
    <t>Incremental oil production (kbbls)</t>
  </si>
  <si>
    <t xml:space="preserve">Oil density </t>
  </si>
  <si>
    <t>Incremental water production (km3)</t>
  </si>
  <si>
    <t>Incremental water production (kbbls)</t>
  </si>
  <si>
    <t>Pa</t>
  </si>
  <si>
    <t xml:space="preserve">DeltaP0 </t>
  </si>
  <si>
    <t>Pw1 (W)</t>
  </si>
  <si>
    <t>Q(t)      (m3/s)</t>
  </si>
  <si>
    <t>Pw in (W)</t>
  </si>
  <si>
    <t>Pw out (W)</t>
  </si>
  <si>
    <t>Pw2 (W)</t>
  </si>
  <si>
    <t xml:space="preserve">Water density </t>
  </si>
  <si>
    <t>Fw</t>
  </si>
  <si>
    <t>Water cleaning exergy</t>
  </si>
  <si>
    <t>Layer Thickness</t>
  </si>
  <si>
    <t>kWh/m3</t>
  </si>
  <si>
    <t>$/bbl limit</t>
  </si>
  <si>
    <t>Cost for Exergy</t>
  </si>
  <si>
    <t>€/kwh</t>
  </si>
  <si>
    <t>~</t>
  </si>
  <si>
    <t>$/kwh</t>
  </si>
  <si>
    <t>Capital expenses ($)</t>
  </si>
  <si>
    <t>Revenues Forecast 1              ($ dollars)</t>
  </si>
  <si>
    <t xml:space="preserve">Oil Price forecast  IEA scenario 1 ($/bbl) </t>
  </si>
  <si>
    <t xml:space="preserve">Oil Price forecast  IEA scenario 2 ($/bbl) </t>
  </si>
  <si>
    <t xml:space="preserve">Oil Price forecast  IEA scenario 3 ($/bbl) </t>
  </si>
  <si>
    <t>Revenues Forecast 3              ($ dollars)</t>
  </si>
  <si>
    <t>$/bbl from</t>
  </si>
  <si>
    <t>Revenue scenario 1           ($ dollars)</t>
  </si>
  <si>
    <t>Revenue scenario 2           ($ dollars)</t>
  </si>
  <si>
    <t>Revenue scenario 3           ($ dollars)</t>
  </si>
  <si>
    <t>Undiscounted Cash Flow scenario 1                       ($ dollars)</t>
  </si>
  <si>
    <t>Undiscounted Cash Flow scenario 2                       ($ dollars)</t>
  </si>
  <si>
    <t>Undiscounted Cash Flow scenario 3                       ($ dollars)</t>
  </si>
  <si>
    <t>Site energy costs</t>
  </si>
  <si>
    <t>Equivalent $ from invested exergy</t>
  </si>
  <si>
    <t>Operating energy costs ($ dollars)</t>
  </si>
  <si>
    <t>Capex and Opex cost rate Z ($/hr)</t>
  </si>
  <si>
    <t>Cost rate of fuel Cf ($/hr)</t>
  </si>
  <si>
    <t>Cost rate of product Cp ($/hr)</t>
  </si>
  <si>
    <t>Product Exergy  (GJ)</t>
  </si>
  <si>
    <t>Levelled annual values</t>
  </si>
  <si>
    <t>Oil RF</t>
  </si>
  <si>
    <t>Capex and Opex cost rate Zk ($/hr)</t>
  </si>
  <si>
    <t>Input</t>
  </si>
  <si>
    <t>Gross</t>
  </si>
  <si>
    <t>m3/d</t>
  </si>
  <si>
    <t>Water Cut</t>
  </si>
  <si>
    <t>Water injection</t>
  </si>
  <si>
    <t>Assumes all PW is reinjected</t>
  </si>
  <si>
    <t>Number of producers</t>
  </si>
  <si>
    <t>Number of injectors</t>
  </si>
  <si>
    <t>Flow per injector</t>
  </si>
  <si>
    <t>Gross per producer</t>
  </si>
  <si>
    <t>Box</t>
  </si>
  <si>
    <t>Item</t>
  </si>
  <si>
    <t>Number</t>
  </si>
  <si>
    <t>Capacity per unit</t>
  </si>
  <si>
    <t>Total Cost (mln$)</t>
  </si>
  <si>
    <t>Separation of produced fluids</t>
  </si>
  <si>
    <t>FWKO</t>
  </si>
  <si>
    <t>Booster Pumps</t>
  </si>
  <si>
    <t>Export pumps</t>
  </si>
  <si>
    <t>Heaters</t>
  </si>
  <si>
    <t>Dehydration Tanks</t>
  </si>
  <si>
    <t>Water treatment Plant</t>
  </si>
  <si>
    <t>Nutshell Filter</t>
  </si>
  <si>
    <t>Backwash System</t>
  </si>
  <si>
    <t>Tanks</t>
  </si>
  <si>
    <t>Pumps</t>
  </si>
  <si>
    <t>Assuming 2 pumps (100%) per 45wells</t>
  </si>
  <si>
    <t>Manifolds</t>
  </si>
  <si>
    <t>Manifold for 11 wells</t>
  </si>
  <si>
    <t>Distribution system</t>
  </si>
  <si>
    <t>Assuming 0.3mln$ per well</t>
  </si>
  <si>
    <t xml:space="preserve">Production Gathering </t>
  </si>
  <si>
    <t>MSVs</t>
  </si>
  <si>
    <t>MSV per 7 wells</t>
  </si>
  <si>
    <t>Assuming 0.5mln$ per well (including artifitial lift)</t>
  </si>
  <si>
    <t>Producer well cost</t>
  </si>
  <si>
    <t>Injector well cost</t>
  </si>
  <si>
    <t>Total cost</t>
  </si>
  <si>
    <t>Revenues Forecast 2                              ($ dollars)</t>
  </si>
  <si>
    <t>PV</t>
  </si>
  <si>
    <t>Opex oil ($ dollars)</t>
  </si>
  <si>
    <t>Opex water ($ dollars)</t>
  </si>
  <si>
    <t>Discounted Cash Flows Scenario 1</t>
  </si>
  <si>
    <t>Discounted Revenue ($ dollars)</t>
  </si>
  <si>
    <t>Discounted Opex oil ($ dollars)</t>
  </si>
  <si>
    <t>Discounted Opex water ($ dollars)</t>
  </si>
  <si>
    <t>Discounted Enex ($ dollars)</t>
  </si>
  <si>
    <t>Discounted capex ($ dollars)</t>
  </si>
  <si>
    <t>PV 10%</t>
  </si>
  <si>
    <t>PV 15%</t>
  </si>
  <si>
    <t>Total costs</t>
  </si>
  <si>
    <t>Discounted Cash Flows Scenario 2</t>
  </si>
  <si>
    <t>Discounted Cash Flows Scenario 3</t>
  </si>
  <si>
    <t>Capex</t>
  </si>
  <si>
    <t>Oil opex%</t>
  </si>
  <si>
    <t>Water opex%</t>
  </si>
  <si>
    <t>enex%</t>
  </si>
  <si>
    <t>Sensibility analysis</t>
  </si>
  <si>
    <t>capex wells</t>
  </si>
  <si>
    <t>Capex pumps</t>
  </si>
  <si>
    <t xml:space="preserve">capex other </t>
  </si>
  <si>
    <t>Opex oil handling</t>
  </si>
  <si>
    <t>Normal</t>
  </si>
  <si>
    <t xml:space="preserve">opex water handling </t>
  </si>
  <si>
    <t>Enex</t>
  </si>
  <si>
    <t>Change NPV</t>
  </si>
  <si>
    <t>difference</t>
  </si>
  <si>
    <t>New NPV</t>
  </si>
  <si>
    <t>Required Exergy per barrel of oil produced (kWh/bbl)</t>
  </si>
  <si>
    <t xml:space="preserve">$/bbl revenue from </t>
  </si>
  <si>
    <t xml:space="preserve">$/bbl cost from </t>
  </si>
  <si>
    <t>ROI</t>
  </si>
  <si>
    <t>Undiscounted Total Opex ($ dollars)</t>
  </si>
  <si>
    <t>NPV% difference</t>
  </si>
  <si>
    <t>scenario 1</t>
  </si>
  <si>
    <t>scenario 3</t>
  </si>
  <si>
    <t>Expense               ($ dollars/ barrel)</t>
  </si>
  <si>
    <t>Pump and drive efficiency</t>
  </si>
  <si>
    <t>Water treatment efficiency</t>
  </si>
  <si>
    <t xml:space="preserve">Oil specific energy </t>
  </si>
  <si>
    <t>Sum</t>
  </si>
  <si>
    <t>EROI</t>
  </si>
  <si>
    <t>yD</t>
  </si>
  <si>
    <t>nk</t>
  </si>
  <si>
    <t>T0(K)</t>
  </si>
  <si>
    <t>P0 (Pa)</t>
  </si>
  <si>
    <t>T1 (K)</t>
  </si>
  <si>
    <t>T2 (K)</t>
  </si>
  <si>
    <t>Components</t>
  </si>
  <si>
    <t xml:space="preserve">Dehydration </t>
  </si>
  <si>
    <t>Exergy Fk (W)</t>
  </si>
  <si>
    <t>Exergy Dk (W)</t>
  </si>
  <si>
    <t>hw0 (J/kg)</t>
  </si>
  <si>
    <t>hw1 (J/kg)</t>
  </si>
  <si>
    <t>hw2 (J/kg)</t>
  </si>
  <si>
    <t>Sw0 (J/kg K)</t>
  </si>
  <si>
    <t>Sw1 (J/kg K)</t>
  </si>
  <si>
    <t>Sw2 (J/kg K)</t>
  </si>
  <si>
    <t>So0 (J/kg K)</t>
  </si>
  <si>
    <t>So1 (J/kg K)</t>
  </si>
  <si>
    <t>So2 (J/kg K)</t>
  </si>
  <si>
    <t>ho0 (J/kg)</t>
  </si>
  <si>
    <t>ho1 (J/kg)</t>
  </si>
  <si>
    <t>ho2 (J/kg)</t>
  </si>
  <si>
    <t>mw1 (kg/s)</t>
  </si>
  <si>
    <t>mw2 (kg/s)</t>
  </si>
  <si>
    <t>mo1 (kg/s)</t>
  </si>
  <si>
    <t>mo2 (kg/s)</t>
  </si>
  <si>
    <t>mg1 (kg/s)</t>
  </si>
  <si>
    <t>mg2 (kg/s)</t>
  </si>
  <si>
    <t>hg0 (J/kg)</t>
  </si>
  <si>
    <t>hg1 (J/kg)</t>
  </si>
  <si>
    <t>hg2 (J/kg)</t>
  </si>
  <si>
    <t>Sg0 (J/kg K)</t>
  </si>
  <si>
    <t>Sg1 (J/kg K)</t>
  </si>
  <si>
    <t>Sg2 (J/kg K)</t>
  </si>
  <si>
    <t>Average Oil prod rate</t>
  </si>
  <si>
    <t>Average gas prod rate</t>
  </si>
  <si>
    <t>GOR</t>
  </si>
  <si>
    <t>scf/bbl</t>
  </si>
  <si>
    <t>kg/s</t>
  </si>
  <si>
    <t>Gas density</t>
  </si>
  <si>
    <t>Heater and separator</t>
  </si>
  <si>
    <t>Water treatment</t>
  </si>
  <si>
    <t>P1 (Pa)</t>
  </si>
  <si>
    <t>P2 (Pa)</t>
  </si>
  <si>
    <t>Water Heat capacity</t>
  </si>
  <si>
    <t>Oil Heat capacity</t>
  </si>
  <si>
    <t>Gas heat capacity</t>
  </si>
  <si>
    <t>J/kg K</t>
  </si>
  <si>
    <t>water to Electric dehydrator</t>
  </si>
  <si>
    <t>kWh/kg</t>
  </si>
  <si>
    <t>of water emulsified</t>
  </si>
  <si>
    <t>Exergy of product</t>
  </si>
  <si>
    <t>Pump A.1</t>
  </si>
  <si>
    <t>Pump A.2</t>
  </si>
  <si>
    <t>Pump A.3</t>
  </si>
  <si>
    <t>Stream 1 and 2 initial conditions</t>
  </si>
  <si>
    <t>Water</t>
  </si>
  <si>
    <t>Oil</t>
  </si>
  <si>
    <t>Gas</t>
  </si>
  <si>
    <t>Fuel Exergy pump (kWh)</t>
  </si>
  <si>
    <t>Fuel Exergy cleaning (kWh)</t>
  </si>
  <si>
    <t>Fuel Heater Exergy (W)</t>
  </si>
  <si>
    <t>Fuel Exergy Pump total (W)</t>
  </si>
  <si>
    <t>Fuel Exergy pump (J)</t>
  </si>
  <si>
    <t>Fuel Heater Exergy (kWh)</t>
  </si>
  <si>
    <t>Fuel Exergy Analysis</t>
  </si>
  <si>
    <t>Fuel Coaleser Exergy (W)</t>
  </si>
  <si>
    <t>Fuel Coaleser Exergy (kWh)</t>
  </si>
  <si>
    <t>Fuel Exergy total (kWh)</t>
  </si>
  <si>
    <t xml:space="preserve">Exergy product per year basis </t>
  </si>
  <si>
    <t>Total Fuel exergy (kWh)</t>
  </si>
  <si>
    <t>Product Exergy total (kWh)</t>
  </si>
  <si>
    <t>mg2</t>
  </si>
  <si>
    <t>mo2</t>
  </si>
  <si>
    <t>Product Exergy (W)</t>
  </si>
  <si>
    <t>Product Exergy (kWh)</t>
  </si>
  <si>
    <t>scf</t>
  </si>
  <si>
    <t>Pump A tot</t>
  </si>
  <si>
    <t>Thermal efficiency heater</t>
  </si>
  <si>
    <t>Dehydrator eficiency</t>
  </si>
  <si>
    <t>Ch Exergy gas (J/kg)</t>
  </si>
  <si>
    <t>Ch Exergy oil (J/kg)</t>
  </si>
  <si>
    <t>Ph Exergy k (W)</t>
  </si>
  <si>
    <t>Ch Exergy k (W)</t>
  </si>
  <si>
    <t xml:space="preserve">Total Product Exergy </t>
  </si>
  <si>
    <t>Fuel Exergy (kWh)</t>
  </si>
  <si>
    <t>Fuel Exergy (GJ)</t>
  </si>
  <si>
    <t>Enex                       ($ dollars)</t>
  </si>
  <si>
    <t>Capex                     ($ dollars)</t>
  </si>
  <si>
    <t>Cost rate of Exergy destruction C L ($/hr)</t>
  </si>
  <si>
    <t>Exergy destruction (kWh)</t>
  </si>
  <si>
    <t>Exergy Destruction (kWh)</t>
  </si>
  <si>
    <t>Exergoeconomics</t>
  </si>
  <si>
    <t>Equivalent $ from fuel exergy</t>
  </si>
  <si>
    <t>Injection Pump tot</t>
  </si>
  <si>
    <t>kWh/bbl</t>
  </si>
  <si>
    <t>Net Exergy</t>
  </si>
  <si>
    <t xml:space="preserve">energy rate Ep (kWh/hr) </t>
  </si>
  <si>
    <t xml:space="preserve">exergy rate Ef (kWh/hr) </t>
  </si>
  <si>
    <t>Fuel cost per unit of exergy cf ($/kWh)</t>
  </si>
  <si>
    <t>Exergy destruction rate (kWh/hr)</t>
  </si>
  <si>
    <t>Product cost per unit of exergy cp ($/kWh)</t>
  </si>
  <si>
    <t>Equiv invested exergy per unit of exergy produced  (kWh/kWh)</t>
  </si>
  <si>
    <t>Exergy destruction cost per unit of exergy cd ($/kWh)</t>
  </si>
  <si>
    <t>Exergy Destruction rate (kWh/hr)</t>
  </si>
  <si>
    <t>Exergy Fuel (kWh)</t>
  </si>
  <si>
    <t>Product Exergy  (kWh)</t>
  </si>
  <si>
    <t xml:space="preserve">exergy rate Ep (kWh/hr) </t>
  </si>
  <si>
    <t>Cumulative total fuel exergy (kWh)</t>
  </si>
  <si>
    <t>Cumulative</t>
  </si>
  <si>
    <t>Cumulative Cash Flows from</t>
  </si>
  <si>
    <t>r</t>
  </si>
  <si>
    <t>I</t>
  </si>
  <si>
    <t>δ</t>
  </si>
  <si>
    <t>B1</t>
  </si>
  <si>
    <t>F(V)</t>
  </si>
  <si>
    <t>σ</t>
  </si>
  <si>
    <t>B2</t>
  </si>
  <si>
    <t>A1</t>
  </si>
  <si>
    <t>A2</t>
  </si>
  <si>
    <t>F(V)2</t>
  </si>
  <si>
    <t>P</t>
  </si>
  <si>
    <t>c</t>
  </si>
  <si>
    <t>P*</t>
  </si>
  <si>
    <t>Left hand</t>
  </si>
  <si>
    <t>Right hand</t>
  </si>
  <si>
    <t>Difference</t>
  </si>
  <si>
    <t>Iteration</t>
  </si>
  <si>
    <t>mean</t>
  </si>
  <si>
    <t>median</t>
  </si>
  <si>
    <t>std deviation</t>
  </si>
  <si>
    <t>Percentiles</t>
  </si>
  <si>
    <t>F(V) $</t>
  </si>
  <si>
    <t>NPV simulations</t>
  </si>
  <si>
    <t>Oil price simulations</t>
  </si>
  <si>
    <t>PDF</t>
  </si>
  <si>
    <t>Minimum</t>
  </si>
  <si>
    <t>Q1</t>
  </si>
  <si>
    <t>Median</t>
  </si>
  <si>
    <t>Q3</t>
  </si>
  <si>
    <t>Maximum</t>
  </si>
  <si>
    <t>Mean</t>
  </si>
  <si>
    <t>Range</t>
  </si>
  <si>
    <t>α</t>
  </si>
  <si>
    <t>µ</t>
  </si>
  <si>
    <t>NPV in millions</t>
  </si>
  <si>
    <t>Cases</t>
  </si>
  <si>
    <t>Probability</t>
  </si>
  <si>
    <t>V*</t>
  </si>
  <si>
    <t>v-F(V)-i</t>
  </si>
  <si>
    <t>%Vt</t>
  </si>
  <si>
    <t>Analitic Real Option</t>
  </si>
  <si>
    <t xml:space="preserve">Capital expenditures estimation </t>
  </si>
  <si>
    <t>Standard NPV Analysis</t>
  </si>
  <si>
    <t>Yearly cashflows</t>
  </si>
  <si>
    <t>Simulation plots</t>
  </si>
  <si>
    <t>Monte Carlo simulations</t>
  </si>
  <si>
    <t>Other Exergy (kWh)</t>
  </si>
  <si>
    <t>Other Exergy %</t>
  </si>
  <si>
    <t xml:space="preserve">CO2 from Energy (kg) </t>
  </si>
  <si>
    <t>CO2 emissions (kg/bbl)</t>
  </si>
  <si>
    <t>kg</t>
  </si>
  <si>
    <t>Polymer (kg/d)</t>
  </si>
  <si>
    <t>cum polymer</t>
  </si>
  <si>
    <t>w</t>
  </si>
  <si>
    <t>Thermodynamic variables of the material streams</t>
  </si>
  <si>
    <t>INITIAL PARAMETERS CONSIDERED FOR POLYMER FLOODING SIMULATION AND PROVIDED RESULTS</t>
  </si>
  <si>
    <t>N2 blanket generator</t>
  </si>
  <si>
    <t>$/barrel</t>
  </si>
  <si>
    <t>$/kg</t>
  </si>
  <si>
    <t>Average cost of inyected polymer</t>
  </si>
  <si>
    <t>Polymer injected (kg)</t>
  </si>
  <si>
    <t>Opex polymer ($ dollars)</t>
  </si>
  <si>
    <t>Discounted Opex polymer ($ dollars)</t>
  </si>
  <si>
    <t>Polymer opex%</t>
  </si>
  <si>
    <t>Polymer</t>
  </si>
  <si>
    <t>Ch Exergy Polymer (J/kg)</t>
  </si>
  <si>
    <t>mp1 (kg/s)</t>
  </si>
  <si>
    <t>mp2 (kg/s)</t>
  </si>
  <si>
    <t>hp0 (J/kg)</t>
  </si>
  <si>
    <t>hp1 (J/kg)</t>
  </si>
  <si>
    <t>hp2 (J/kg)</t>
  </si>
  <si>
    <t>Sp0 (J/kg K)</t>
  </si>
  <si>
    <t>Sp1 (J/kg K)</t>
  </si>
  <si>
    <t>Sp2 (J/kg K)</t>
  </si>
  <si>
    <t>mp2</t>
  </si>
  <si>
    <t>Physical Exergy (W)</t>
  </si>
  <si>
    <t>Chemical Exergy (W)</t>
  </si>
  <si>
    <t>Polymer injection</t>
  </si>
  <si>
    <t>cost/bbl</t>
  </si>
  <si>
    <t>V%</t>
  </si>
  <si>
    <t>π</t>
  </si>
  <si>
    <t>V* multiplier</t>
  </si>
  <si>
    <t>Return</t>
  </si>
  <si>
    <t>miup</t>
  </si>
  <si>
    <t>ExD/Exf</t>
  </si>
  <si>
    <t>Mixing plant</t>
  </si>
  <si>
    <t>PV 5%</t>
  </si>
  <si>
    <t>PV 20%</t>
  </si>
  <si>
    <t>Return discounted</t>
  </si>
  <si>
    <t>Ex RF</t>
  </si>
  <si>
    <t>Exergo ROI</t>
  </si>
  <si>
    <t>Standard NPV comparative</t>
  </si>
  <si>
    <t>total Capex</t>
  </si>
  <si>
    <t>Total Opex</t>
  </si>
  <si>
    <t>Waterflooding</t>
  </si>
  <si>
    <t>Polymerflooding</t>
  </si>
  <si>
    <t>year</t>
  </si>
  <si>
    <t>RF WF</t>
  </si>
  <si>
    <t>RF PF</t>
  </si>
  <si>
    <t>CF waterflooding</t>
  </si>
  <si>
    <t>CF polymerflooding</t>
  </si>
  <si>
    <t>cum WF</t>
  </si>
  <si>
    <t>cum Pol</t>
  </si>
  <si>
    <t>$/bbl waterflooding</t>
  </si>
  <si>
    <t>$/bbl polymerflooding</t>
  </si>
  <si>
    <t>WF</t>
  </si>
  <si>
    <t>PF</t>
  </si>
  <si>
    <t>bbl waterflooding</t>
  </si>
  <si>
    <t>bbl polymerflooding</t>
  </si>
  <si>
    <t>Exergy comparative</t>
  </si>
  <si>
    <t>Y/ED</t>
  </si>
  <si>
    <t xml:space="preserve"> WF</t>
  </si>
  <si>
    <t>cum PF</t>
  </si>
  <si>
    <t>Polymer flooding</t>
  </si>
  <si>
    <t>Total ExD</t>
  </si>
  <si>
    <t>Y/EF</t>
  </si>
  <si>
    <t>Total Ex F</t>
  </si>
  <si>
    <t>Total Ex P</t>
  </si>
  <si>
    <t>Y/EROI</t>
  </si>
  <si>
    <t>Y/ExD/ExF</t>
  </si>
  <si>
    <t>ExD/ExF</t>
  </si>
  <si>
    <t>Y/kg/bbl</t>
  </si>
  <si>
    <t>CO2 kg/bbl</t>
  </si>
  <si>
    <t>Y/ExP $/hr</t>
  </si>
  <si>
    <t>ExP $/hr</t>
  </si>
  <si>
    <t>Y/ExP $/MWh</t>
  </si>
  <si>
    <t>ExP $/MWh</t>
  </si>
  <si>
    <t>Y/ExRF 2</t>
  </si>
  <si>
    <t>RO comparative</t>
  </si>
  <si>
    <t>Y/OV</t>
  </si>
  <si>
    <t>V W</t>
  </si>
  <si>
    <t>V P</t>
  </si>
  <si>
    <t>A RO V</t>
  </si>
  <si>
    <t>I RO V</t>
  </si>
  <si>
    <t>rf</t>
  </si>
  <si>
    <t>Oil prod per day</t>
  </si>
  <si>
    <t>oil production</t>
  </si>
  <si>
    <t>Total Capex</t>
  </si>
  <si>
    <t>differential</t>
  </si>
  <si>
    <t>Increments</t>
  </si>
  <si>
    <t>Analytic option value</t>
  </si>
  <si>
    <t>Iterative option value</t>
  </si>
  <si>
    <t>ERF</t>
  </si>
  <si>
    <t>Exergy destroyed</t>
  </si>
  <si>
    <t>Exergy fuel</t>
  </si>
  <si>
    <t>Exergy product</t>
  </si>
  <si>
    <t>Oil volumes</t>
  </si>
  <si>
    <t>waterflooding</t>
  </si>
  <si>
    <t>additional oil</t>
  </si>
  <si>
    <t>comparative</t>
  </si>
  <si>
    <t>base case after y 4</t>
  </si>
  <si>
    <t>Y/EP MWh</t>
  </si>
  <si>
    <t>StDev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</si>
</sst>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_(&quot;$&quot;* #,##0_);_(&quot;$&quot;* \(#,##0\);_(&quot;$&quot;* &quot;-&quot;??_);_(@_)"/>
    <numFmt numFmtId="167" formatCode="0.000000000"/>
    <numFmt numFmtId="168" formatCode="_(* #,##0_);_(* \(#,##0\);_(* &quot;-&quot;??_);_(@_)"/>
    <numFmt numFmtId="169" formatCode="0.0%"/>
    <numFmt numFmtId="170" formatCode="0.0000000"/>
    <numFmt numFmtId="171" formatCode="0.0000"/>
    <numFmt numFmtId="172" formatCode="_(* #,##0.00000_);_(* \(#,##0.00000\);_(* &quot;-&quot;??_);_(@_)"/>
    <numFmt numFmtId="173" formatCode="_(* #,##0.000_);_(* \(#,##0.000\);_(* &quot;-&quot;??_);_(@_)"/>
    <numFmt numFmtId="174" formatCode="_(* #,##0.0000_);_(* \(#,##0.0000\);_(* &quot;-&quot;??_);_(@_)"/>
    <numFmt numFmtId="175" formatCode="0.00000"/>
    <numFmt numFmtId="176" formatCode="_(&quot;$&quot;* #,##0.0_);_(&quot;$&quot;* \(#,##0.0\);_(&quot;$&quot;* &quot;-&quot;??_);_(@_)"/>
    <numFmt numFmtId="177" formatCode="_(* #,##0.0_);_(* \(#,##0.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2"/>
      <name val="Calibri"/>
      <family val="2"/>
      <scheme val="minor"/>
    </font>
    <font>
      <sz val="11"/>
      <color theme="1"/>
      <name val="Calibri"/>
      <family val="2"/>
    </font>
    <font>
      <sz val="9"/>
      <color indexed="8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4"/>
      <color theme="1"/>
      <name val="Arial"/>
      <family val="2"/>
    </font>
    <font>
      <b/>
      <sz val="11"/>
      <color theme="2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92D050"/>
        <bgColor rgb="FF000000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ashed">
        <color rgb="FFBFBFB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18" applyNumberFormat="0" applyFont="0" applyProtection="0">
      <alignment wrapText="1"/>
    </xf>
  </cellStyleXfs>
  <cellXfs count="322">
    <xf numFmtId="0" fontId="0" fillId="0" borderId="0" xfId="0"/>
    <xf numFmtId="0" fontId="0" fillId="0" borderId="0" xfId="0" applyAlignment="1">
      <alignment wrapText="1"/>
    </xf>
    <xf numFmtId="0" fontId="4" fillId="2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3" borderId="0" xfId="0" applyFill="1"/>
    <xf numFmtId="1" fontId="0" fillId="3" borderId="0" xfId="0" applyNumberFormat="1" applyFill="1"/>
    <xf numFmtId="164" fontId="0" fillId="3" borderId="0" xfId="0" applyNumberFormat="1" applyFill="1"/>
    <xf numFmtId="0" fontId="0" fillId="4" borderId="0" xfId="0" applyFill="1"/>
    <xf numFmtId="9" fontId="0" fillId="4" borderId="0" xfId="1" applyFont="1" applyFill="1"/>
    <xf numFmtId="0" fontId="0" fillId="0" borderId="0" xfId="0" applyFill="1"/>
    <xf numFmtId="0" fontId="0" fillId="5" borderId="0" xfId="0" applyFill="1"/>
    <xf numFmtId="11" fontId="0" fillId="0" borderId="0" xfId="0" applyNumberFormat="1"/>
    <xf numFmtId="0" fontId="0" fillId="0" borderId="1" xfId="0" applyBorder="1"/>
    <xf numFmtId="0" fontId="5" fillId="0" borderId="0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9" fontId="4" fillId="0" borderId="1" xfId="1" applyFon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9" fontId="4" fillId="0" borderId="0" xfId="0" applyNumberFormat="1" applyFont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67" fontId="0" fillId="0" borderId="1" xfId="0" applyNumberFormat="1" applyBorder="1"/>
    <xf numFmtId="9" fontId="4" fillId="0" borderId="13" xfId="1" applyFon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165" fontId="0" fillId="0" borderId="15" xfId="0" applyNumberFormat="1" applyBorder="1" applyAlignment="1">
      <alignment horizontal="center" vertical="center" wrapText="1"/>
    </xf>
    <xf numFmtId="166" fontId="0" fillId="0" borderId="13" xfId="0" applyNumberFormat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5" fontId="0" fillId="0" borderId="1" xfId="0" applyNumberFormat="1" applyBorder="1"/>
    <xf numFmtId="168" fontId="0" fillId="0" borderId="1" xfId="3" applyNumberFormat="1" applyFont="1" applyBorder="1"/>
    <xf numFmtId="0" fontId="7" fillId="0" borderId="0" xfId="0" applyFont="1"/>
    <xf numFmtId="165" fontId="0" fillId="4" borderId="0" xfId="0" applyNumberFormat="1" applyFill="1"/>
    <xf numFmtId="166" fontId="0" fillId="0" borderId="1" xfId="2" applyNumberFormat="1" applyFont="1" applyBorder="1"/>
    <xf numFmtId="166" fontId="4" fillId="0" borderId="9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 wrapText="1"/>
    </xf>
    <xf numFmtId="166" fontId="0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6" borderId="0" xfId="0" applyFont="1" applyFill="1" applyAlignment="1">
      <alignment horizontal="right"/>
    </xf>
    <xf numFmtId="168" fontId="0" fillId="0" borderId="0" xfId="3" applyNumberFormat="1" applyFont="1" applyBorder="1"/>
    <xf numFmtId="164" fontId="0" fillId="0" borderId="1" xfId="2" applyNumberFormat="1" applyFont="1" applyBorder="1"/>
    <xf numFmtId="43" fontId="0" fillId="0" borderId="1" xfId="0" applyNumberFormat="1" applyBorder="1"/>
    <xf numFmtId="43" fontId="0" fillId="0" borderId="1" xfId="3" applyFont="1" applyBorder="1"/>
    <xf numFmtId="164" fontId="0" fillId="0" borderId="1" xfId="0" applyNumberFormat="1" applyBorder="1"/>
    <xf numFmtId="168" fontId="0" fillId="0" borderId="1" xfId="0" applyNumberFormat="1" applyBorder="1"/>
    <xf numFmtId="0" fontId="4" fillId="6" borderId="0" xfId="0" applyFont="1" applyFill="1" applyAlignment="1">
      <alignment horizontal="center" wrapText="1"/>
    </xf>
    <xf numFmtId="2" fontId="0" fillId="0" borderId="1" xfId="0" applyNumberFormat="1" applyBorder="1"/>
    <xf numFmtId="0" fontId="0" fillId="0" borderId="0" xfId="0" applyBorder="1"/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6" fontId="0" fillId="0" borderId="0" xfId="2" applyNumberFormat="1" applyFont="1" applyBorder="1"/>
    <xf numFmtId="44" fontId="6" fillId="0" borderId="0" xfId="2" applyFont="1" applyAlignment="1">
      <alignment horizontal="center" vertical="center" wrapText="1"/>
    </xf>
    <xf numFmtId="166" fontId="0" fillId="0" borderId="1" xfId="0" applyNumberFormat="1" applyBorder="1"/>
    <xf numFmtId="0" fontId="4" fillId="0" borderId="1" xfId="0" applyFont="1" applyBorder="1" applyAlignment="1">
      <alignment horizontal="center" wrapText="1"/>
    </xf>
    <xf numFmtId="9" fontId="0" fillId="0" borderId="1" xfId="1" applyFont="1" applyBorder="1" applyAlignment="1">
      <alignment horizontal="center" vertical="center" wrapText="1"/>
    </xf>
    <xf numFmtId="43" fontId="0" fillId="0" borderId="0" xfId="0" applyNumberFormat="1"/>
    <xf numFmtId="0" fontId="4" fillId="0" borderId="0" xfId="0" applyFont="1"/>
    <xf numFmtId="2" fontId="0" fillId="0" borderId="0" xfId="0" applyNumberFormat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4" fontId="0" fillId="0" borderId="1" xfId="2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4" fontId="0" fillId="0" borderId="0" xfId="2" applyFont="1" applyAlignment="1">
      <alignment horizontal="center" vertical="center" wrapText="1"/>
    </xf>
    <xf numFmtId="9" fontId="4" fillId="0" borderId="23" xfId="1" applyFont="1" applyBorder="1" applyAlignment="1">
      <alignment horizontal="center" vertical="center" wrapText="1"/>
    </xf>
    <xf numFmtId="166" fontId="0" fillId="0" borderId="23" xfId="0" applyNumberFormat="1" applyBorder="1" applyAlignment="1">
      <alignment horizontal="center" vertical="center" wrapText="1"/>
    </xf>
    <xf numFmtId="9" fontId="4" fillId="0" borderId="24" xfId="1" applyFont="1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165" fontId="0" fillId="0" borderId="24" xfId="0" applyNumberForma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44" fontId="0" fillId="0" borderId="13" xfId="2" applyFont="1" applyBorder="1" applyAlignment="1">
      <alignment horizontal="center" vertical="center" wrapText="1"/>
    </xf>
    <xf numFmtId="44" fontId="0" fillId="0" borderId="15" xfId="2" applyFont="1" applyBorder="1" applyAlignment="1">
      <alignment horizontal="center" vertical="center" wrapText="1"/>
    </xf>
    <xf numFmtId="44" fontId="0" fillId="0" borderId="14" xfId="2" applyFont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9" fontId="0" fillId="0" borderId="11" xfId="0" applyNumberForma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44" fontId="0" fillId="0" borderId="16" xfId="2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9" fontId="0" fillId="0" borderId="0" xfId="0" applyNumberFormat="1" applyBorder="1" applyAlignment="1">
      <alignment horizontal="center" vertical="center" wrapText="1"/>
    </xf>
    <xf numFmtId="9" fontId="4" fillId="0" borderId="0" xfId="1" applyFont="1" applyBorder="1" applyAlignment="1">
      <alignment horizontal="center" vertical="center" wrapText="1"/>
    </xf>
    <xf numFmtId="44" fontId="0" fillId="0" borderId="0" xfId="2" applyFont="1" applyBorder="1" applyAlignment="1">
      <alignment horizontal="center" vertical="center" wrapText="1"/>
    </xf>
    <xf numFmtId="166" fontId="0" fillId="0" borderId="0" xfId="0" applyNumberFormat="1" applyBorder="1" applyAlignment="1">
      <alignment horizontal="center" vertical="center" wrapText="1"/>
    </xf>
    <xf numFmtId="166" fontId="4" fillId="0" borderId="0" xfId="0" applyNumberFormat="1" applyFont="1" applyBorder="1" applyAlignment="1">
      <alignment horizontal="center" vertical="center" wrapText="1"/>
    </xf>
    <xf numFmtId="9" fontId="4" fillId="0" borderId="0" xfId="0" applyNumberFormat="1" applyFon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44" fontId="4" fillId="0" borderId="0" xfId="2" applyFont="1" applyBorder="1" applyAlignment="1">
      <alignment vertical="center" wrapText="1"/>
    </xf>
    <xf numFmtId="44" fontId="0" fillId="0" borderId="0" xfId="0" applyNumberFormat="1" applyBorder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9" fontId="0" fillId="0" borderId="0" xfId="1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9" fontId="0" fillId="0" borderId="0" xfId="1" applyFont="1"/>
    <xf numFmtId="9" fontId="0" fillId="0" borderId="0" xfId="0" applyNumberFormat="1"/>
    <xf numFmtId="0" fontId="4" fillId="0" borderId="1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0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2" fontId="1" fillId="0" borderId="0" xfId="1" applyNumberFormat="1" applyFont="1" applyAlignment="1">
      <alignment horizontal="center" vertical="center" wrapText="1"/>
    </xf>
    <xf numFmtId="44" fontId="0" fillId="0" borderId="0" xfId="0" applyNumberFormat="1" applyAlignment="1">
      <alignment horizontal="center" vertical="center" wrapText="1"/>
    </xf>
    <xf numFmtId="9" fontId="0" fillId="0" borderId="0" xfId="1" applyFont="1" applyAlignment="1">
      <alignment horizontal="center" vertical="center" wrapText="1"/>
    </xf>
    <xf numFmtId="44" fontId="6" fillId="0" borderId="0" xfId="0" applyNumberFormat="1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0" fontId="0" fillId="0" borderId="0" xfId="0" applyNumberFormat="1" applyFont="1" applyAlignment="1">
      <alignment horizontal="center" vertical="center" wrapText="1"/>
    </xf>
    <xf numFmtId="9" fontId="1" fillId="0" borderId="0" xfId="1" applyFont="1" applyAlignment="1">
      <alignment horizontal="center" vertical="center" wrapText="1"/>
    </xf>
    <xf numFmtId="168" fontId="4" fillId="0" borderId="1" xfId="3" applyNumberFormat="1" applyFont="1" applyFill="1" applyBorder="1" applyAlignment="1">
      <alignment horizontal="center" vertical="center" wrapText="1"/>
    </xf>
    <xf numFmtId="168" fontId="0" fillId="0" borderId="0" xfId="3" applyNumberFormat="1" applyFont="1"/>
    <xf numFmtId="0" fontId="4" fillId="0" borderId="1" xfId="3" applyNumberFormat="1" applyFont="1" applyFill="1" applyBorder="1" applyAlignment="1">
      <alignment horizontal="center" vertical="center" wrapText="1"/>
    </xf>
    <xf numFmtId="0" fontId="0" fillId="0" borderId="0" xfId="3" applyNumberFormat="1" applyFont="1"/>
    <xf numFmtId="164" fontId="0" fillId="0" borderId="1" xfId="3" applyNumberFormat="1" applyFont="1" applyBorder="1"/>
    <xf numFmtId="1" fontId="0" fillId="0" borderId="1" xfId="3" applyNumberFormat="1" applyFont="1" applyBorder="1"/>
    <xf numFmtId="168" fontId="0" fillId="0" borderId="0" xfId="0" applyNumberFormat="1"/>
    <xf numFmtId="168" fontId="0" fillId="0" borderId="0" xfId="0" applyNumberFormat="1" applyFill="1" applyBorder="1"/>
    <xf numFmtId="168" fontId="4" fillId="0" borderId="0" xfId="3" applyNumberFormat="1" applyFont="1"/>
    <xf numFmtId="10" fontId="0" fillId="0" borderId="1" xfId="1" applyNumberFormat="1" applyFont="1" applyBorder="1"/>
    <xf numFmtId="170" fontId="0" fillId="0" borderId="0" xfId="0" applyNumberFormat="1"/>
    <xf numFmtId="0" fontId="0" fillId="0" borderId="0" xfId="0" applyAlignment="1">
      <alignment horizontal="center"/>
    </xf>
    <xf numFmtId="0" fontId="4" fillId="2" borderId="10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3" applyNumberFormat="1" applyFont="1" applyBorder="1" applyAlignment="1">
      <alignment horizontal="center" vertical="center"/>
    </xf>
    <xf numFmtId="0" fontId="6" fillId="0" borderId="0" xfId="0" applyFont="1"/>
    <xf numFmtId="43" fontId="6" fillId="0" borderId="0" xfId="0" applyNumberFormat="1" applyFont="1"/>
    <xf numFmtId="1" fontId="6" fillId="0" borderId="0" xfId="0" applyNumberFormat="1" applyFont="1"/>
    <xf numFmtId="2" fontId="0" fillId="0" borderId="1" xfId="0" applyNumberForma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171" fontId="0" fillId="0" borderId="1" xfId="3" applyNumberFormat="1" applyFont="1" applyBorder="1" applyAlignment="1">
      <alignment horizontal="center" vertical="center"/>
    </xf>
    <xf numFmtId="172" fontId="0" fillId="0" borderId="1" xfId="3" applyNumberFormat="1" applyFont="1" applyBorder="1"/>
    <xf numFmtId="1" fontId="0" fillId="0" borderId="1" xfId="3" applyNumberFormat="1" applyFont="1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0" fontId="10" fillId="0" borderId="0" xfId="0" applyFont="1" applyAlignment="1"/>
    <xf numFmtId="0" fontId="0" fillId="0" borderId="9" xfId="0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0" fillId="0" borderId="13" xfId="0" applyNumberFormat="1" applyBorder="1"/>
    <xf numFmtId="1" fontId="0" fillId="0" borderId="14" xfId="0" applyNumberFormat="1" applyBorder="1"/>
    <xf numFmtId="1" fontId="0" fillId="0" borderId="15" xfId="0" applyNumberFormat="1" applyBorder="1"/>
    <xf numFmtId="0" fontId="0" fillId="4" borderId="0" xfId="0" applyFill="1" applyBorder="1"/>
    <xf numFmtId="0" fontId="4" fillId="0" borderId="1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1" xfId="0" applyNumberFormat="1" applyBorder="1"/>
    <xf numFmtId="173" fontId="0" fillId="0" borderId="1" xfId="0" applyNumberFormat="1" applyBorder="1"/>
    <xf numFmtId="173" fontId="0" fillId="0" borderId="0" xfId="0" applyNumberFormat="1" applyFill="1" applyBorder="1"/>
    <xf numFmtId="174" fontId="0" fillId="0" borderId="0" xfId="0" applyNumberFormat="1" applyFill="1" applyBorder="1"/>
    <xf numFmtId="0" fontId="0" fillId="0" borderId="2" xfId="0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2" fontId="0" fillId="0" borderId="1" xfId="3" applyNumberFormat="1" applyFont="1" applyBorder="1"/>
    <xf numFmtId="165" fontId="0" fillId="0" borderId="0" xfId="0" applyNumberFormat="1" applyAlignment="1">
      <alignment horizontal="center"/>
    </xf>
    <xf numFmtId="1" fontId="0" fillId="0" borderId="0" xfId="0" applyNumberFormat="1"/>
    <xf numFmtId="0" fontId="0" fillId="0" borderId="0" xfId="0" applyBorder="1" applyAlignment="1">
      <alignment horizontal="center"/>
    </xf>
    <xf numFmtId="0" fontId="10" fillId="0" borderId="34" xfId="0" applyFont="1" applyBorder="1" applyAlignment="1">
      <alignment horizontal="center"/>
    </xf>
    <xf numFmtId="1" fontId="0" fillId="0" borderId="16" xfId="0" applyNumberFormat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 wrapText="1"/>
    </xf>
    <xf numFmtId="1" fontId="0" fillId="0" borderId="16" xfId="0" applyNumberFormat="1" applyBorder="1"/>
    <xf numFmtId="164" fontId="0" fillId="0" borderId="0" xfId="0" applyNumberFormat="1"/>
    <xf numFmtId="43" fontId="0" fillId="0" borderId="1" xfId="3" applyNumberFormat="1" applyFont="1" applyFill="1" applyBorder="1"/>
    <xf numFmtId="165" fontId="0" fillId="0" borderId="1" xfId="2" applyNumberFormat="1" applyFont="1" applyBorder="1"/>
    <xf numFmtId="171" fontId="0" fillId="0" borderId="0" xfId="0" quotePrefix="1" applyNumberFormat="1"/>
    <xf numFmtId="0" fontId="0" fillId="0" borderId="0" xfId="0" applyNumberFormat="1"/>
    <xf numFmtId="1" fontId="4" fillId="0" borderId="0" xfId="0" applyNumberFormat="1" applyFont="1" applyAlignment="1">
      <alignment horizontal="center" vertical="center"/>
    </xf>
    <xf numFmtId="9" fontId="4" fillId="0" borderId="0" xfId="0" applyNumberFormat="1" applyFont="1"/>
    <xf numFmtId="166" fontId="0" fillId="0" borderId="0" xfId="2" applyNumberFormat="1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6" fontId="0" fillId="3" borderId="0" xfId="2" applyNumberFormat="1" applyFont="1" applyFill="1"/>
    <xf numFmtId="9" fontId="4" fillId="2" borderId="1" xfId="1" applyFont="1" applyFill="1" applyBorder="1" applyAlignment="1">
      <alignment horizontal="right" vertical="center" wrapText="1"/>
    </xf>
    <xf numFmtId="167" fontId="0" fillId="0" borderId="0" xfId="0" applyNumberFormat="1"/>
    <xf numFmtId="0" fontId="4" fillId="0" borderId="37" xfId="0" applyFont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4" fillId="0" borderId="25" xfId="0" applyFont="1" applyBorder="1" applyAlignment="1">
      <alignment vertical="center" wrapText="1"/>
    </xf>
    <xf numFmtId="9" fontId="4" fillId="0" borderId="14" xfId="1" applyFont="1" applyBorder="1" applyAlignment="1">
      <alignment horizontal="center" vertical="center" wrapText="1"/>
    </xf>
    <xf numFmtId="166" fontId="0" fillId="0" borderId="38" xfId="0" applyNumberFormat="1" applyBorder="1" applyAlignment="1">
      <alignment horizontal="center" vertical="center" wrapText="1"/>
    </xf>
    <xf numFmtId="166" fontId="0" fillId="0" borderId="15" xfId="0" applyNumberFormat="1" applyBorder="1" applyAlignment="1">
      <alignment horizontal="center" vertical="center" wrapText="1"/>
    </xf>
    <xf numFmtId="166" fontId="0" fillId="0" borderId="39" xfId="0" applyNumberFormat="1" applyBorder="1" applyAlignment="1">
      <alignment horizontal="center" vertical="center" wrapText="1"/>
    </xf>
    <xf numFmtId="166" fontId="0" fillId="0" borderId="40" xfId="0" applyNumberFormat="1" applyBorder="1" applyAlignment="1">
      <alignment horizontal="center" vertical="center" wrapText="1"/>
    </xf>
    <xf numFmtId="0" fontId="12" fillId="0" borderId="0" xfId="0" applyFont="1" applyAlignment="1"/>
    <xf numFmtId="166" fontId="4" fillId="0" borderId="0" xfId="2" applyNumberFormat="1" applyFont="1"/>
    <xf numFmtId="0" fontId="12" fillId="0" borderId="0" xfId="0" applyFont="1" applyAlignment="1">
      <alignment horizontal="center"/>
    </xf>
    <xf numFmtId="166" fontId="4" fillId="0" borderId="41" xfId="2" applyNumberFormat="1" applyFont="1" applyBorder="1"/>
    <xf numFmtId="166" fontId="0" fillId="0" borderId="0" xfId="0" applyNumberFormat="1"/>
    <xf numFmtId="11" fontId="0" fillId="3" borderId="0" xfId="0" applyNumberFormat="1" applyFill="1"/>
    <xf numFmtId="166" fontId="0" fillId="0" borderId="41" xfId="2" applyNumberFormat="1" applyFont="1" applyBorder="1"/>
    <xf numFmtId="171" fontId="0" fillId="3" borderId="0" xfId="0" applyNumberFormat="1" applyFill="1"/>
    <xf numFmtId="0" fontId="4" fillId="2" borderId="1" xfId="0" applyFont="1" applyFill="1" applyBorder="1" applyAlignment="1">
      <alignment horizontal="right" vertical="center" wrapText="1"/>
    </xf>
    <xf numFmtId="0" fontId="12" fillId="0" borderId="0" xfId="0" applyFont="1" applyAlignment="1">
      <alignment horizontal="center"/>
    </xf>
    <xf numFmtId="43" fontId="0" fillId="0" borderId="0" xfId="3" applyNumberFormat="1" applyFont="1"/>
    <xf numFmtId="168" fontId="0" fillId="0" borderId="0" xfId="3" applyNumberFormat="1" applyFont="1" applyFill="1" applyBorder="1"/>
    <xf numFmtId="9" fontId="0" fillId="4" borderId="0" xfId="1" applyFont="1" applyFill="1" applyBorder="1"/>
    <xf numFmtId="2" fontId="0" fillId="4" borderId="0" xfId="1" applyNumberFormat="1" applyFont="1" applyFill="1" applyBorder="1"/>
    <xf numFmtId="2" fontId="0" fillId="0" borderId="0" xfId="0" applyNumberFormat="1" applyFill="1" applyBorder="1"/>
    <xf numFmtId="172" fontId="0" fillId="0" borderId="0" xfId="3" applyNumberFormat="1" applyFont="1" applyFill="1" applyBorder="1"/>
    <xf numFmtId="172" fontId="0" fillId="0" borderId="0" xfId="0" applyNumberFormat="1"/>
    <xf numFmtId="0" fontId="4" fillId="0" borderId="1" xfId="0" applyFont="1" applyBorder="1" applyAlignment="1">
      <alignment horizontal="center" vertical="center" wrapText="1"/>
    </xf>
    <xf numFmtId="0" fontId="7" fillId="0" borderId="0" xfId="0" applyFont="1" applyFill="1" applyBorder="1"/>
    <xf numFmtId="0" fontId="7" fillId="7" borderId="0" xfId="0" applyFont="1" applyFill="1" applyBorder="1"/>
    <xf numFmtId="0" fontId="7" fillId="8" borderId="0" xfId="0" applyFont="1" applyFill="1" applyBorder="1"/>
    <xf numFmtId="0" fontId="7" fillId="8" borderId="0" xfId="0" applyFont="1" applyFill="1" applyBorder="1" applyAlignment="1">
      <alignment horizontal="center"/>
    </xf>
    <xf numFmtId="0" fontId="7" fillId="9" borderId="0" xfId="0" applyFont="1" applyFill="1" applyBorder="1"/>
    <xf numFmtId="165" fontId="0" fillId="3" borderId="0" xfId="0" applyNumberFormat="1" applyFill="1"/>
    <xf numFmtId="0" fontId="0" fillId="0" borderId="1" xfId="0" applyFill="1" applyBorder="1"/>
    <xf numFmtId="166" fontId="0" fillId="0" borderId="9" xfId="0" applyNumberFormat="1" applyBorder="1" applyAlignment="1">
      <alignment horizontal="center" vertical="center" wrapText="1"/>
    </xf>
    <xf numFmtId="166" fontId="6" fillId="0" borderId="0" xfId="0" applyNumberFormat="1" applyFont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43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5" fontId="0" fillId="0" borderId="1" xfId="0" applyNumberFormat="1" applyBorder="1"/>
    <xf numFmtId="164" fontId="0" fillId="0" borderId="13" xfId="0" applyNumberForma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175" fontId="0" fillId="0" borderId="16" xfId="0" applyNumberFormat="1" applyBorder="1"/>
    <xf numFmtId="0" fontId="0" fillId="0" borderId="16" xfId="0" applyBorder="1"/>
    <xf numFmtId="2" fontId="0" fillId="0" borderId="16" xfId="0" applyNumberFormat="1" applyFill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" fontId="0" fillId="0" borderId="17" xfId="0" applyNumberFormat="1" applyBorder="1"/>
    <xf numFmtId="44" fontId="0" fillId="0" borderId="0" xfId="2" applyFont="1"/>
    <xf numFmtId="2" fontId="0" fillId="3" borderId="0" xfId="0" applyNumberFormat="1" applyFill="1"/>
    <xf numFmtId="0" fontId="13" fillId="0" borderId="0" xfId="0" applyFont="1"/>
    <xf numFmtId="2" fontId="6" fillId="0" borderId="0" xfId="0" applyNumberFormat="1" applyFont="1"/>
    <xf numFmtId="166" fontId="6" fillId="0" borderId="0" xfId="2" applyNumberFormat="1" applyFont="1"/>
    <xf numFmtId="44" fontId="0" fillId="0" borderId="0" xfId="2" applyFont="1" applyBorder="1"/>
    <xf numFmtId="43" fontId="0" fillId="0" borderId="0" xfId="3" applyFont="1"/>
    <xf numFmtId="168" fontId="0" fillId="0" borderId="2" xfId="3" applyNumberFormat="1" applyFont="1" applyBorder="1" applyAlignment="1">
      <alignment horizontal="center" vertical="center"/>
    </xf>
    <xf numFmtId="168" fontId="0" fillId="0" borderId="2" xfId="3" applyNumberFormat="1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14" fillId="0" borderId="0" xfId="0" applyFont="1"/>
    <xf numFmtId="10" fontId="0" fillId="0" borderId="0" xfId="1" applyNumberFormat="1" applyFont="1"/>
    <xf numFmtId="44" fontId="6" fillId="0" borderId="0" xfId="0" applyNumberFormat="1" applyFont="1"/>
    <xf numFmtId="166" fontId="6" fillId="0" borderId="0" xfId="0" applyNumberFormat="1" applyFont="1"/>
    <xf numFmtId="0" fontId="15" fillId="0" borderId="0" xfId="0" applyFont="1"/>
    <xf numFmtId="166" fontId="15" fillId="0" borderId="0" xfId="2" applyNumberFormat="1" applyFont="1"/>
    <xf numFmtId="166" fontId="15" fillId="0" borderId="0" xfId="0" applyNumberFormat="1" applyFont="1"/>
    <xf numFmtId="176" fontId="0" fillId="0" borderId="0" xfId="2" applyNumberFormat="1" applyFont="1"/>
    <xf numFmtId="2" fontId="0" fillId="0" borderId="0" xfId="2" applyNumberFormat="1" applyFont="1"/>
    <xf numFmtId="177" fontId="0" fillId="0" borderId="0" xfId="3" applyNumberFormat="1" applyFont="1"/>
    <xf numFmtId="2" fontId="0" fillId="0" borderId="0" xfId="1" applyNumberFormat="1" applyFont="1"/>
    <xf numFmtId="171" fontId="0" fillId="0" borderId="0" xfId="1" applyNumberFormat="1" applyFont="1"/>
    <xf numFmtId="174" fontId="0" fillId="0" borderId="0" xfId="0" applyNumberFormat="1"/>
    <xf numFmtId="165" fontId="0" fillId="0" borderId="0" xfId="1" applyNumberFormat="1" applyFont="1"/>
    <xf numFmtId="168" fontId="6" fillId="0" borderId="0" xfId="0" applyNumberFormat="1" applyFont="1"/>
    <xf numFmtId="0" fontId="0" fillId="0" borderId="0" xfId="0" applyAlignment="1">
      <alignment horizontal="right" vertical="center" wrapText="1"/>
    </xf>
    <xf numFmtId="0" fontId="6" fillId="0" borderId="0" xfId="0" applyFont="1" applyBorder="1"/>
    <xf numFmtId="0" fontId="13" fillId="0" borderId="0" xfId="0" applyFont="1" applyFill="1" applyBorder="1" applyAlignment="1">
      <alignment horizontal="center" vertical="center" wrapText="1"/>
    </xf>
    <xf numFmtId="2" fontId="6" fillId="0" borderId="1" xfId="0" applyNumberFormat="1" applyFont="1" applyBorder="1"/>
    <xf numFmtId="43" fontId="6" fillId="0" borderId="1" xfId="0" applyNumberFormat="1" applyFont="1" applyBorder="1"/>
    <xf numFmtId="164" fontId="6" fillId="0" borderId="1" xfId="2" applyNumberFormat="1" applyFont="1" applyBorder="1"/>
    <xf numFmtId="164" fontId="6" fillId="0" borderId="1" xfId="0" applyNumberFormat="1" applyFont="1" applyBorder="1"/>
    <xf numFmtId="173" fontId="6" fillId="0" borderId="1" xfId="0" applyNumberFormat="1" applyFont="1" applyBorder="1"/>
    <xf numFmtId="168" fontId="6" fillId="0" borderId="1" xfId="0" applyNumberFormat="1" applyFont="1" applyBorder="1"/>
    <xf numFmtId="43" fontId="13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68" fontId="6" fillId="0" borderId="0" xfId="3" applyNumberFormat="1" applyFont="1" applyBorder="1"/>
    <xf numFmtId="166" fontId="6" fillId="0" borderId="0" xfId="2" applyNumberFormat="1" applyFont="1" applyBorder="1"/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4" fillId="0" borderId="22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5">
    <cellStyle name="Body: normal cell" xfId="4" xr:uid="{00000000-0005-0000-0000-000000000000}"/>
    <cellStyle name="Comma" xfId="3" builtinId="3"/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8775765665842E-2"/>
          <c:y val="3.3581176455169635E-2"/>
          <c:w val="0.85213213977551294"/>
          <c:h val="0.90970072239422084"/>
        </c:manualLayout>
      </c:layout>
      <c:scatterChart>
        <c:scatterStyle val="smoothMarker"/>
        <c:varyColors val="0"/>
        <c:ser>
          <c:idx val="4"/>
          <c:order val="0"/>
          <c:tx>
            <c:v>Cumulative NPV 5% discount rate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K'!$E$60:$E$81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K'!$Z$60:$Z$81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3041451.3367935568</c:v>
                </c:pt>
                <c:pt idx="2">
                  <c:v>15809492.457485856</c:v>
                </c:pt>
                <c:pt idx="3">
                  <c:v>21731602.778978832</c:v>
                </c:pt>
                <c:pt idx="4">
                  <c:v>35605045.16040574</c:v>
                </c:pt>
                <c:pt idx="5">
                  <c:v>55796806.100528277</c:v>
                </c:pt>
                <c:pt idx="6">
                  <c:v>68100877.406510472</c:v>
                </c:pt>
                <c:pt idx="7">
                  <c:v>75958313.933260351</c:v>
                </c:pt>
                <c:pt idx="8">
                  <c:v>80968735.631052241</c:v>
                </c:pt>
                <c:pt idx="9">
                  <c:v>84169560.141995981</c:v>
                </c:pt>
                <c:pt idx="10">
                  <c:v>86260626.450913802</c:v>
                </c:pt>
                <c:pt idx="11">
                  <c:v>87647209.936232299</c:v>
                </c:pt>
                <c:pt idx="12">
                  <c:v>88448119.199346453</c:v>
                </c:pt>
                <c:pt idx="13">
                  <c:v>88795390.057726935</c:v>
                </c:pt>
                <c:pt idx="14">
                  <c:v>88797224.550013095</c:v>
                </c:pt>
                <c:pt idx="15">
                  <c:v>88797224.550013095</c:v>
                </c:pt>
                <c:pt idx="16">
                  <c:v>88797224.550013095</c:v>
                </c:pt>
                <c:pt idx="17">
                  <c:v>88797224.550013095</c:v>
                </c:pt>
                <c:pt idx="18">
                  <c:v>88797224.550013095</c:v>
                </c:pt>
                <c:pt idx="19">
                  <c:v>88797224.550013095</c:v>
                </c:pt>
                <c:pt idx="20">
                  <c:v>88797224.550013095</c:v>
                </c:pt>
                <c:pt idx="21">
                  <c:v>88797224.550013095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306-48B3-A36E-83341353B410}"/>
            </c:ext>
          </c:extLst>
        </c:ser>
        <c:ser>
          <c:idx val="5"/>
          <c:order val="1"/>
          <c:tx>
            <c:v>Cumulative NPV 10% discount rate</c:v>
          </c:tx>
          <c:spPr>
            <a:ln w="127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K'!$E$60:$E$81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K'!$AA$60:$AA$81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1376162.5285722613</c:v>
                </c:pt>
                <c:pt idx="2">
                  <c:v>13009852.888541898</c:v>
                </c:pt>
                <c:pt idx="3">
                  <c:v>18160553.835888483</c:v>
                </c:pt>
                <c:pt idx="4">
                  <c:v>29678384.532998849</c:v>
                </c:pt>
                <c:pt idx="5">
                  <c:v>45679758.13656918</c:v>
                </c:pt>
                <c:pt idx="6">
                  <c:v>54987161.222935319</c:v>
                </c:pt>
                <c:pt idx="7">
                  <c:v>60660741.168318063</c:v>
                </c:pt>
                <c:pt idx="8">
                  <c:v>64114143.601913273</c:v>
                </c:pt>
                <c:pt idx="9">
                  <c:v>66220012.785176106</c:v>
                </c:pt>
                <c:pt idx="10">
                  <c:v>67533222.067604348</c:v>
                </c:pt>
                <c:pt idx="11">
                  <c:v>68364428.27209492</c:v>
                </c:pt>
                <c:pt idx="12">
                  <c:v>68822720.701962635</c:v>
                </c:pt>
                <c:pt idx="13">
                  <c:v>69012401.916326359</c:v>
                </c:pt>
                <c:pt idx="14">
                  <c:v>69013358.38000983</c:v>
                </c:pt>
                <c:pt idx="15">
                  <c:v>69013358.38000983</c:v>
                </c:pt>
                <c:pt idx="16">
                  <c:v>69013358.38000983</c:v>
                </c:pt>
                <c:pt idx="17">
                  <c:v>69013358.38000983</c:v>
                </c:pt>
                <c:pt idx="18">
                  <c:v>69013358.38000983</c:v>
                </c:pt>
                <c:pt idx="19">
                  <c:v>69013358.38000983</c:v>
                </c:pt>
                <c:pt idx="20">
                  <c:v>69013358.38000983</c:v>
                </c:pt>
                <c:pt idx="21">
                  <c:v>69013358.38000983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306-48B3-A36E-83341353B410}"/>
            </c:ext>
          </c:extLst>
        </c:ser>
        <c:ser>
          <c:idx val="6"/>
          <c:order val="2"/>
          <c:tx>
            <c:v>Cumulative NPV 15% discount rate</c:v>
          </c:tx>
          <c:spPr>
            <a:ln w="1270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K'!$E$60:$E$81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K'!$AB$60:$AB$81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-144318.55719501153</c:v>
                </c:pt>
                <c:pt idx="2">
                  <c:v>10499738.407314071</c:v>
                </c:pt>
                <c:pt idx="3">
                  <c:v>15007395.486902012</c:v>
                </c:pt>
                <c:pt idx="4">
                  <c:v>24649016.792508721</c:v>
                </c:pt>
                <c:pt idx="5">
                  <c:v>37461446.31146311</c:v>
                </c:pt>
                <c:pt idx="6">
                  <c:v>44589937.081843108</c:v>
                </c:pt>
                <c:pt idx="7">
                  <c:v>48746373.031425595</c:v>
                </c:pt>
                <c:pt idx="8">
                  <c:v>51166320.559028268</c:v>
                </c:pt>
                <c:pt idx="9">
                  <c:v>52577833.91713804</c:v>
                </c:pt>
                <c:pt idx="10">
                  <c:v>53419776.338270135</c:v>
                </c:pt>
                <c:pt idx="11">
                  <c:v>53929520.275605381</c:v>
                </c:pt>
                <c:pt idx="12">
                  <c:v>54198352.187829778</c:v>
                </c:pt>
                <c:pt idx="13">
                  <c:v>54304780.531625137</c:v>
                </c:pt>
                <c:pt idx="14">
                  <c:v>54305293.861230291</c:v>
                </c:pt>
                <c:pt idx="15">
                  <c:v>54305293.861230291</c:v>
                </c:pt>
                <c:pt idx="16">
                  <c:v>54305293.861230291</c:v>
                </c:pt>
                <c:pt idx="17">
                  <c:v>54305293.861230291</c:v>
                </c:pt>
                <c:pt idx="18">
                  <c:v>54305293.861230291</c:v>
                </c:pt>
                <c:pt idx="19">
                  <c:v>54305293.861230291</c:v>
                </c:pt>
                <c:pt idx="20">
                  <c:v>54305293.861230291</c:v>
                </c:pt>
                <c:pt idx="21">
                  <c:v>54305293.861230291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306-48B3-A36E-83341353B410}"/>
            </c:ext>
          </c:extLst>
        </c:ser>
        <c:ser>
          <c:idx val="0"/>
          <c:order val="3"/>
          <c:tx>
            <c:v>5% Discount rate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K'!$E$60:$E$81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K'!$V$60:$V$81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36636353.780868657</c:v>
                </c:pt>
                <c:pt idx="2">
                  <c:v>12768041.1206923</c:v>
                </c:pt>
                <c:pt idx="3">
                  <c:v>5922110.3214929774</c:v>
                </c:pt>
                <c:pt idx="4">
                  <c:v>13873442.381426908</c:v>
                </c:pt>
                <c:pt idx="5">
                  <c:v>20191760.940122537</c:v>
                </c:pt>
                <c:pt idx="6">
                  <c:v>12304071.305982199</c:v>
                </c:pt>
                <c:pt idx="7">
                  <c:v>7857436.5267498828</c:v>
                </c:pt>
                <c:pt idx="8">
                  <c:v>5010421.6977918893</c:v>
                </c:pt>
                <c:pt idx="9">
                  <c:v>3200824.5109437359</c:v>
                </c:pt>
                <c:pt idx="10">
                  <c:v>2091066.3089178251</c:v>
                </c:pt>
                <c:pt idx="11">
                  <c:v>1386583.4853185029</c:v>
                </c:pt>
                <c:pt idx="12">
                  <c:v>800909.26311415201</c:v>
                </c:pt>
                <c:pt idx="13">
                  <c:v>347270.85838047834</c:v>
                </c:pt>
                <c:pt idx="14">
                  <c:v>1834.4922861591913</c:v>
                </c:pt>
                <c:pt idx="15">
                  <c:v>-245414.71367076016</c:v>
                </c:pt>
                <c:pt idx="16">
                  <c:v>-413484.76991521567</c:v>
                </c:pt>
                <c:pt idx="17">
                  <c:v>-540056.00889136386</c:v>
                </c:pt>
                <c:pt idx="18">
                  <c:v>-626339.66497428715</c:v>
                </c:pt>
                <c:pt idx="19">
                  <c:v>-687618.91311456857</c:v>
                </c:pt>
                <c:pt idx="20">
                  <c:v>-728511.55058714258</c:v>
                </c:pt>
                <c:pt idx="21">
                  <c:v>-379465.82338247861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06-48B3-A36E-83341353B410}"/>
            </c:ext>
          </c:extLst>
        </c:ser>
        <c:ser>
          <c:idx val="1"/>
          <c:order val="4"/>
          <c:tx>
            <c:v>10% Discount rate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K'!$E$60:$E$81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K'!$W$60:$W$81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34971064.972647361</c:v>
                </c:pt>
                <c:pt idx="2">
                  <c:v>11633690.359969636</c:v>
                </c:pt>
                <c:pt idx="3">
                  <c:v>5150700.9473465867</c:v>
                </c:pt>
                <c:pt idx="4">
                  <c:v>11517830.697110366</c:v>
                </c:pt>
                <c:pt idx="5">
                  <c:v>16001373.603570333</c:v>
                </c:pt>
                <c:pt idx="6">
                  <c:v>9307403.0863661431</c:v>
                </c:pt>
                <c:pt idx="7">
                  <c:v>5673579.9453827403</c:v>
                </c:pt>
                <c:pt idx="8">
                  <c:v>3453402.4335952089</c:v>
                </c:pt>
                <c:pt idx="9">
                  <c:v>2105869.1832628306</c:v>
                </c:pt>
                <c:pt idx="10">
                  <c:v>1313209.2824282404</c:v>
                </c:pt>
                <c:pt idx="11">
                  <c:v>831206.20449056872</c:v>
                </c:pt>
                <c:pt idx="12">
                  <c:v>458292.42986771977</c:v>
                </c:pt>
                <c:pt idx="13">
                  <c:v>189681.21436372143</c:v>
                </c:pt>
                <c:pt idx="14">
                  <c:v>956.46368347830139</c:v>
                </c:pt>
                <c:pt idx="15">
                  <c:v>-122137.71918743476</c:v>
                </c:pt>
                <c:pt idx="16">
                  <c:v>-196428.87991087465</c:v>
                </c:pt>
                <c:pt idx="17">
                  <c:v>-244895.74480093154</c:v>
                </c:pt>
                <c:pt idx="18">
                  <c:v>-271112.14062353777</c:v>
                </c:pt>
                <c:pt idx="19">
                  <c:v>-284108.00979854737</c:v>
                </c:pt>
                <c:pt idx="20">
                  <c:v>-287321.89370552672</c:v>
                </c:pt>
                <c:pt idx="21">
                  <c:v>-142857.01107971394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06-48B3-A36E-83341353B410}"/>
            </c:ext>
          </c:extLst>
        </c:ser>
        <c:ser>
          <c:idx val="2"/>
          <c:order val="5"/>
          <c:tx>
            <c:v>15% Discount rate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K'!$E$60:$E$81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K'!$X$60:$X$81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33450583.886880089</c:v>
                </c:pt>
                <c:pt idx="2">
                  <c:v>10644056.964509083</c:v>
                </c:pt>
                <c:pt idx="3">
                  <c:v>4507657.0795879401</c:v>
                </c:pt>
                <c:pt idx="4">
                  <c:v>9641621.3056067098</c:v>
                </c:pt>
                <c:pt idx="5">
                  <c:v>12812429.518954387</c:v>
                </c:pt>
                <c:pt idx="6">
                  <c:v>7128490.7703799987</c:v>
                </c:pt>
                <c:pt idx="7">
                  <c:v>4156435.9495824883</c:v>
                </c:pt>
                <c:pt idx="8">
                  <c:v>2419947.5276026763</c:v>
                </c:pt>
                <c:pt idx="9">
                  <c:v>1411513.3581097759</c:v>
                </c:pt>
                <c:pt idx="10">
                  <c:v>841942.42113209306</c:v>
                </c:pt>
                <c:pt idx="11">
                  <c:v>509743.93733524508</c:v>
                </c:pt>
                <c:pt idx="12">
                  <c:v>268831.9122243959</c:v>
                </c:pt>
                <c:pt idx="13">
                  <c:v>106428.34379536146</c:v>
                </c:pt>
                <c:pt idx="14">
                  <c:v>513.32960515713785</c:v>
                </c:pt>
                <c:pt idx="15">
                  <c:v>-62700.712756533292</c:v>
                </c:pt>
                <c:pt idx="16">
                  <c:v>-96454.580617108033</c:v>
                </c:pt>
                <c:pt idx="17">
                  <c:v>-115025.35989194055</c:v>
                </c:pt>
                <c:pt idx="18">
                  <c:v>-121802.49166067055</c:v>
                </c:pt>
                <c:pt idx="19">
                  <c:v>-122091.52802998474</c:v>
                </c:pt>
                <c:pt idx="20">
                  <c:v>-118104.27452890354</c:v>
                </c:pt>
                <c:pt idx="21">
                  <c:v>-56168.561333548976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306-48B3-A36E-83341353B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6319374564594784"/>
              <c:y val="0.776088364858921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2"/>
        <c:minorUnit val="1"/>
      </c:valAx>
      <c:valAx>
        <c:axId val="206380160"/>
        <c:scaling>
          <c:orientation val="minMax"/>
          <c:max val="100000000"/>
          <c:min val="-4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Cash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flows ($/year)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2411122347114497E-2"/>
              <c:y val="0.311269211546204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40000000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5780589538108968"/>
          <c:y val="0.3553038372343868"/>
          <c:w val="0.45140904359004824"/>
          <c:h val="0.29021015258231442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581224959138978E-2"/>
          <c:y val="4.7311843979965788E-2"/>
          <c:w val="0.70809649460777779"/>
          <c:h val="0.77736915667400108"/>
        </c:manualLayout>
      </c:layout>
      <c:barChart>
        <c:barDir val="bar"/>
        <c:grouping val="clustered"/>
        <c:varyColors val="0"/>
        <c:ser>
          <c:idx val="4"/>
          <c:order val="0"/>
          <c:tx>
            <c:v>Opex water handling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'Appendix K'!$AD$10</c:f>
              <c:numCache>
                <c:formatCode>0.0%</c:formatCode>
                <c:ptCount val="1"/>
                <c:pt idx="0">
                  <c:v>3.013909618799171E-2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13-4D94-A16C-65C521C464A0}"/>
            </c:ext>
          </c:extLst>
        </c:ser>
        <c:ser>
          <c:idx val="0"/>
          <c:order val="1"/>
          <c:tx>
            <c:v>Capex wells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K'!$Z$10</c:f>
              <c:numCache>
                <c:formatCode>0.0%</c:formatCode>
                <c:ptCount val="1"/>
                <c:pt idx="0">
                  <c:v>2.5152616624841362E-2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3-4D94-A16C-65C521C464A0}"/>
            </c:ext>
          </c:extLst>
        </c:ser>
        <c:ser>
          <c:idx val="2"/>
          <c:order val="2"/>
          <c:tx>
            <c:v>Capex other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'Appendix K'!$AB$10</c:f>
              <c:numCache>
                <c:formatCode>0.0%</c:formatCode>
                <c:ptCount val="1"/>
                <c:pt idx="0">
                  <c:v>1.4815075272437528E-2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13-4D94-A16C-65C521C464A0}"/>
            </c:ext>
          </c:extLst>
        </c:ser>
        <c:ser>
          <c:idx val="3"/>
          <c:order val="3"/>
          <c:tx>
            <c:v>Opex oil handling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'Appendix K'!$AC$10</c:f>
              <c:numCache>
                <c:formatCode>0.0%</c:formatCode>
                <c:ptCount val="1"/>
                <c:pt idx="0">
                  <c:v>6.5708662920719307E-3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13-4D94-A16C-65C521C464A0}"/>
            </c:ext>
          </c:extLst>
        </c:ser>
        <c:ser>
          <c:idx val="6"/>
          <c:order val="4"/>
          <c:tx>
            <c:v>Opex polymer injection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'Appendix K'!$AE$10</c:f>
              <c:numCache>
                <c:formatCode>0.0%</c:formatCode>
                <c:ptCount val="1"/>
                <c:pt idx="0">
                  <c:v>6.3524286538833019E-3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2-4868-BA2F-034701F9B6EB}"/>
            </c:ext>
          </c:extLst>
        </c:ser>
        <c:ser>
          <c:idx val="5"/>
          <c:order val="5"/>
          <c:tx>
            <c:v>Enex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'Appendix K'!$AF$10</c:f>
              <c:numCache>
                <c:formatCode>0.0%</c:formatCode>
                <c:ptCount val="1"/>
                <c:pt idx="0">
                  <c:v>5.1589385887803596E-3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13-4D94-A16C-65C521C464A0}"/>
            </c:ext>
          </c:extLst>
        </c:ser>
        <c:ser>
          <c:idx val="1"/>
          <c:order val="6"/>
          <c:tx>
            <c:v>Capex pumps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'Appendix K'!$AA$10</c:f>
              <c:numCache>
                <c:formatCode>0.0%</c:formatCode>
                <c:ptCount val="1"/>
                <c:pt idx="0">
                  <c:v>2.28229318895945E-3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3-4D94-A16C-65C521C46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58919504"/>
        <c:axId val="658919832"/>
      </c:barChart>
      <c:catAx>
        <c:axId val="658919504"/>
        <c:scaling>
          <c:orientation val="minMax"/>
        </c:scaling>
        <c:delete val="1"/>
        <c:axPos val="r"/>
        <c:majorTickMark val="none"/>
        <c:minorTickMark val="none"/>
        <c:tickLblPos val="nextTo"/>
        <c:crossAx val="658919832"/>
        <c:crosses val="autoZero"/>
        <c:auto val="1"/>
        <c:lblAlgn val="ctr"/>
        <c:lblOffset val="100"/>
        <c:noMultiLvlLbl val="0"/>
      </c:catAx>
      <c:valAx>
        <c:axId val="658919832"/>
        <c:scaling>
          <c:orientation val="maxMin"/>
          <c:max val="3.5000000000000003E-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919504"/>
        <c:crosses val="autoZero"/>
        <c:crossBetween val="between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8493370740615864"/>
          <c:y val="4.904852024010728E-2"/>
          <c:w val="0.21333141863592517"/>
          <c:h val="0.783131583483729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49312152102387"/>
          <c:y val="8.4182571818828031E-2"/>
          <c:w val="0.81550678490235673"/>
          <c:h val="0.7547702425630215"/>
        </c:manualLayout>
      </c:layout>
      <c:barChart>
        <c:barDir val="col"/>
        <c:grouping val="clustered"/>
        <c:varyColors val="0"/>
        <c:ser>
          <c:idx val="0"/>
          <c:order val="0"/>
          <c:tx>
            <c:v>8%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K'!$AU$52</c:f>
              <c:numCache>
                <c:formatCode>_("$"* #,##0_);_("$"* \(#,##0\);_("$"* "-"??_);_(@_)</c:formatCode>
                <c:ptCount val="1"/>
                <c:pt idx="0">
                  <c:v>103198939.06649244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B-4379-ACE2-0D97340C5B5A}"/>
            </c:ext>
          </c:extLst>
        </c:ser>
        <c:ser>
          <c:idx val="1"/>
          <c:order val="1"/>
          <c:tx>
            <c:v>10%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K'!$AV$52</c:f>
              <c:numCache>
                <c:formatCode>_("$"* #,##0_);_("$"* \(#,##0\);_("$"* "-"??_);_(@_)</c:formatCode>
                <c:ptCount val="1"/>
                <c:pt idx="0">
                  <c:v>79514590.065542132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5-45BA-9295-42E284EC826D}"/>
            </c:ext>
          </c:extLst>
        </c:ser>
        <c:ser>
          <c:idx val="2"/>
          <c:order val="2"/>
          <c:tx>
            <c:v>12%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K'!$AW$52</c:f>
              <c:numCache>
                <c:formatCode>_("$"* #,##0_);_("$"* \(#,##0\);_("$"* "-"??_);_(@_)</c:formatCode>
                <c:ptCount val="1"/>
                <c:pt idx="0">
                  <c:v>62198238.994768374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5-45BA-9295-42E284EC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25489992"/>
        <c:axId val="625490320"/>
      </c:barChart>
      <c:catAx>
        <c:axId val="62548999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Discount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rate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9351787416332898"/>
              <c:y val="0.918298741426303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crossAx val="625490320"/>
        <c:crosses val="autoZero"/>
        <c:auto val="1"/>
        <c:lblAlgn val="ctr"/>
        <c:lblOffset val="100"/>
        <c:noMultiLvlLbl val="0"/>
      </c:catAx>
      <c:valAx>
        <c:axId val="625490320"/>
        <c:scaling>
          <c:orientation val="minMax"/>
          <c:max val="12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 ($)</a:t>
                </a:r>
              </a:p>
            </c:rich>
          </c:tx>
          <c:layout>
            <c:manualLayout>
              <c:xMode val="edge"/>
              <c:yMode val="edge"/>
              <c:x val="2.8977721283607729E-2"/>
              <c:y val="0.501264759827552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489992"/>
        <c:crosses val="autoZero"/>
        <c:crossBetween val="between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49312152102387"/>
          <c:y val="8.4182571818828031E-2"/>
          <c:w val="0.81550678490235673"/>
          <c:h val="0.75452366014242434"/>
        </c:manualLayout>
      </c:layout>
      <c:barChart>
        <c:barDir val="col"/>
        <c:grouping val="clustered"/>
        <c:varyColors val="0"/>
        <c:ser>
          <c:idx val="0"/>
          <c:order val="0"/>
          <c:tx>
            <c:v>8%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K'!$V$83</c:f>
              <c:numCache>
                <c:formatCode>_("$"* #,##0_);_("$"* \(#,##0\);_("$"* "-"??_);_(@_)</c:formatCode>
                <c:ptCount val="1"/>
                <c:pt idx="0">
                  <c:v>88797224.550013095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2-4F35-935D-C420A3ADB966}"/>
            </c:ext>
          </c:extLst>
        </c:ser>
        <c:ser>
          <c:idx val="1"/>
          <c:order val="1"/>
          <c:tx>
            <c:v>10%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K'!$W$83</c:f>
              <c:numCache>
                <c:formatCode>_("$"* #,##0_);_("$"* \(#,##0\);_("$"* "-"??_);_(@_)</c:formatCode>
                <c:ptCount val="1"/>
                <c:pt idx="0">
                  <c:v>69013358.38000983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2-4F35-935D-C420A3ADB966}"/>
            </c:ext>
          </c:extLst>
        </c:ser>
        <c:ser>
          <c:idx val="2"/>
          <c:order val="2"/>
          <c:tx>
            <c:v>12%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K'!$X$83</c:f>
              <c:numCache>
                <c:formatCode>_("$"* #,##0_);_("$"* \(#,##0\);_("$"* "-"??_);_(@_)</c:formatCode>
                <c:ptCount val="1"/>
                <c:pt idx="0">
                  <c:v>54305293.861230277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22-4F35-935D-C420A3ADB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25489992"/>
        <c:axId val="625490320"/>
      </c:barChart>
      <c:catAx>
        <c:axId val="62548999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Discount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rate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6498531488033529"/>
              <c:y val="0.922182167872037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crossAx val="625490320"/>
        <c:crosses val="autoZero"/>
        <c:auto val="1"/>
        <c:lblAlgn val="ctr"/>
        <c:lblOffset val="100"/>
        <c:noMultiLvlLbl val="0"/>
      </c:catAx>
      <c:valAx>
        <c:axId val="625490320"/>
        <c:scaling>
          <c:orientation val="minMax"/>
          <c:max val="12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 ($)</a:t>
                </a:r>
              </a:p>
            </c:rich>
          </c:tx>
          <c:layout>
            <c:manualLayout>
              <c:xMode val="edge"/>
              <c:yMode val="edge"/>
              <c:x val="1.8358301278078096E-2"/>
              <c:y val="0.340799551730247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489992"/>
        <c:crosses val="autoZero"/>
        <c:crossBetween val="between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46984183944288"/>
          <c:y val="2.8379772961816305E-2"/>
          <c:w val="0.85775146550241776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Exergy ROI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M'!$E$3:$E$23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M'!$I$32:$I$53</c:f>
              <c:numCache>
                <c:formatCode>_(* #,##0.00_);_(* \(#,##0.00\);_(* "-"??_);_(@_)</c:formatCode>
                <c:ptCount val="22"/>
                <c:pt idx="0">
                  <c:v>395899.95051265147</c:v>
                </c:pt>
                <c:pt idx="1">
                  <c:v>382.16593842526413</c:v>
                </c:pt>
                <c:pt idx="2">
                  <c:v>203.16599917161335</c:v>
                </c:pt>
                <c:pt idx="3">
                  <c:v>126.7189559820296</c:v>
                </c:pt>
                <c:pt idx="4">
                  <c:v>233.88329631429767</c:v>
                </c:pt>
                <c:pt idx="5">
                  <c:v>289.83439871519511</c:v>
                </c:pt>
                <c:pt idx="6">
                  <c:v>210.41867998543063</c:v>
                </c:pt>
                <c:pt idx="7">
                  <c:v>155.33811995591543</c:v>
                </c:pt>
                <c:pt idx="8">
                  <c:v>115.98731301216782</c:v>
                </c:pt>
                <c:pt idx="9">
                  <c:v>90.659306308703989</c:v>
                </c:pt>
                <c:pt idx="10">
                  <c:v>73.877980972515928</c:v>
                </c:pt>
                <c:pt idx="11">
                  <c:v>62.87266213144315</c:v>
                </c:pt>
                <c:pt idx="12">
                  <c:v>53.166026655857557</c:v>
                </c:pt>
                <c:pt idx="13">
                  <c:v>45.182232012797265</c:v>
                </c:pt>
                <c:pt idx="14">
                  <c:v>38.710896174284592</c:v>
                </c:pt>
                <c:pt idx="15">
                  <c:v>33.560882396910948</c:v>
                </c:pt>
                <c:pt idx="16">
                  <c:v>29.19621270335448</c:v>
                </c:pt>
                <c:pt idx="17">
                  <c:v>26.201722848782222</c:v>
                </c:pt>
                <c:pt idx="18">
                  <c:v>23.465655548032235</c:v>
                </c:pt>
                <c:pt idx="19">
                  <c:v>21.174662548035492</c:v>
                </c:pt>
                <c:pt idx="20">
                  <c:v>19.228649983050648</c:v>
                </c:pt>
                <c:pt idx="21">
                  <c:v>10.293613148259547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9-4057-850A-DA7DCD527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6140272624431644"/>
              <c:y val="0.943663436077305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4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ROI</a:t>
                </a:r>
              </a:p>
            </c:rich>
          </c:tx>
          <c:layout>
            <c:manualLayout>
              <c:xMode val="edge"/>
              <c:yMode val="edge"/>
              <c:x val="1.0186435028954714E-2"/>
              <c:y val="0.4285731698398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"/>
        <c:minorUnit val="1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2059427413637724"/>
          <c:y val="0.48576741361383891"/>
          <c:w val="0.20378516631681071"/>
          <c:h val="4.7407548560474334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503937007874014E-2"/>
          <c:y val="2.8379772961816305E-2"/>
          <c:w val="0.88493743120819579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Exergy Destruction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'Appendix L'!$A$64:$A$84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L'!$BL$64:$BL$84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23623759.004682131</c:v>
                </c:pt>
                <c:pt idx="2">
                  <c:v>11895970.005335914</c:v>
                </c:pt>
                <c:pt idx="3">
                  <c:v>8810537.9643520992</c:v>
                </c:pt>
                <c:pt idx="4">
                  <c:v>13609829.58640716</c:v>
                </c:pt>
                <c:pt idx="5">
                  <c:v>15930635.440543275</c:v>
                </c:pt>
                <c:pt idx="6">
                  <c:v>12363417.165349558</c:v>
                </c:pt>
                <c:pt idx="7">
                  <c:v>10458947.990848234</c:v>
                </c:pt>
                <c:pt idx="8">
                  <c:v>9290243.3850003406</c:v>
                </c:pt>
                <c:pt idx="9">
                  <c:v>8623810.8779892474</c:v>
                </c:pt>
                <c:pt idx="10">
                  <c:v>8144821.6514149746</c:v>
                </c:pt>
                <c:pt idx="11">
                  <c:v>7986145.1666676933</c:v>
                </c:pt>
                <c:pt idx="12">
                  <c:v>7746638.6454356397</c:v>
                </c:pt>
                <c:pt idx="13">
                  <c:v>7525358.7719374401</c:v>
                </c:pt>
                <c:pt idx="14">
                  <c:v>7319916.8311408693</c:v>
                </c:pt>
                <c:pt idx="15">
                  <c:v>7154890.7988259215</c:v>
                </c:pt>
                <c:pt idx="16">
                  <c:v>6941721.1394488001</c:v>
                </c:pt>
                <c:pt idx="17">
                  <c:v>6917415.8667530473</c:v>
                </c:pt>
                <c:pt idx="18">
                  <c:v>6827903.1279939711</c:v>
                </c:pt>
                <c:pt idx="19">
                  <c:v>6752043.1221483201</c:v>
                </c:pt>
                <c:pt idx="20">
                  <c:v>6686730.6176249906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4D-45CD-AD68-96CFA8D53398}"/>
            </c:ext>
          </c:extLst>
        </c:ser>
        <c:ser>
          <c:idx val="1"/>
          <c:order val="1"/>
          <c:tx>
            <c:v>Fuel Exergy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L'!$A$64:$A$84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L'!$BK$64:$BK$84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6795411.1676859828</c:v>
                </c:pt>
                <c:pt idx="2">
                  <c:v>4977793.5935480427</c:v>
                </c:pt>
                <c:pt idx="3">
                  <c:v>4425775.7445406504</c:v>
                </c:pt>
                <c:pt idx="4">
                  <c:v>4532231.4486212227</c:v>
                </c:pt>
                <c:pt idx="5">
                  <c:v>4880454.6181429774</c:v>
                </c:pt>
                <c:pt idx="6">
                  <c:v>4366872.4993704828</c:v>
                </c:pt>
                <c:pt idx="7">
                  <c:v>4129756.5501270546</c:v>
                </c:pt>
                <c:pt idx="8">
                  <c:v>4001957.2459484637</c:v>
                </c:pt>
                <c:pt idx="9">
                  <c:v>3943409.4394908915</c:v>
                </c:pt>
                <c:pt idx="10">
                  <c:v>3895207.9851804739</c:v>
                </c:pt>
                <c:pt idx="11">
                  <c:v>3909870.7142157569</c:v>
                </c:pt>
                <c:pt idx="12">
                  <c:v>3885821.3326822654</c:v>
                </c:pt>
                <c:pt idx="13">
                  <c:v>3850544.7226951844</c:v>
                </c:pt>
                <c:pt idx="14">
                  <c:v>3808391.3318598503</c:v>
                </c:pt>
                <c:pt idx="15">
                  <c:v>3772448.5014205845</c:v>
                </c:pt>
                <c:pt idx="16">
                  <c:v>3717849.1188789895</c:v>
                </c:pt>
                <c:pt idx="17">
                  <c:v>3715511.5129469689</c:v>
                </c:pt>
                <c:pt idx="18">
                  <c:v>3691799.7348369285</c:v>
                </c:pt>
                <c:pt idx="19">
                  <c:v>3670404.2382310373</c:v>
                </c:pt>
                <c:pt idx="20">
                  <c:v>3650850.6511242576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4D-45CD-AD68-96CFA8D5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2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(kWh)</a:t>
                </a:r>
              </a:p>
            </c:rich>
          </c:tx>
          <c:layout>
            <c:manualLayout>
              <c:xMode val="edge"/>
              <c:yMode val="edge"/>
              <c:x val="1.3601770577858096E-2"/>
              <c:y val="0.374018717610725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7236643806620944"/>
          <c:y val="0.46083231262758828"/>
          <c:w val="0.21906223012446024"/>
          <c:h val="0.165185476815398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8660088721956"/>
          <c:y val="2.8379772961816305E-2"/>
          <c:w val="0.8415753771479183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Product Exergy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L'!$A$64:$A$84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L'!$BJ$64:$BJ$84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2596974685.8842335</c:v>
                </c:pt>
                <c:pt idx="2">
                  <c:v>1011318409.1032439</c:v>
                </c:pt>
                <c:pt idx="3">
                  <c:v>560829681.75878096</c:v>
                </c:pt>
                <c:pt idx="4">
                  <c:v>1060013230.862856</c:v>
                </c:pt>
                <c:pt idx="5">
                  <c:v>1414523629.7062671</c:v>
                </c:pt>
                <c:pt idx="6">
                  <c:v>918871546.98221517</c:v>
                </c:pt>
                <c:pt idx="7">
                  <c:v>641508618.37236392</c:v>
                </c:pt>
                <c:pt idx="8">
                  <c:v>464176267.74713755</c:v>
                </c:pt>
                <c:pt idx="9">
                  <c:v>357506764.27543944</c:v>
                </c:pt>
                <c:pt idx="10">
                  <c:v>287770101.41315514</c:v>
                </c:pt>
                <c:pt idx="11">
                  <c:v>245823980.39251161</c:v>
                </c:pt>
                <c:pt idx="12">
                  <c:v>206593680.55328527</c:v>
                </c:pt>
                <c:pt idx="13">
                  <c:v>173976205.03646591</c:v>
                </c:pt>
                <c:pt idx="14">
                  <c:v>147426241.4386721</c:v>
                </c:pt>
                <c:pt idx="15">
                  <c:v>126606700.50457917</c:v>
                </c:pt>
                <c:pt idx="16">
                  <c:v>108547113.67377001</c:v>
                </c:pt>
                <c:pt idx="17">
                  <c:v>97352802.903696001</c:v>
                </c:pt>
                <c:pt idx="18">
                  <c:v>86630500.930000111</c:v>
                </c:pt>
                <c:pt idx="19">
                  <c:v>77719571.159421489</c:v>
                </c:pt>
                <c:pt idx="20">
                  <c:v>70200929.310860902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AD-4A5C-A1DB-87ED5B358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7302108762270817"/>
              <c:y val="0.934794914055234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300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(kWh)</a:t>
                </a:r>
              </a:p>
            </c:rich>
          </c:tx>
          <c:layout>
            <c:manualLayout>
              <c:xMode val="edge"/>
              <c:yMode val="edge"/>
              <c:x val="2.1201515548493362E-2"/>
              <c:y val="0.373594339293639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0000000"/>
        <c:min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5123590854515578"/>
          <c:y val="0.24602426826058588"/>
          <c:w val="0.25550324288197873"/>
          <c:h val="9.4815078759522997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latin typeface="Arial" panose="020B0604020202020204" pitchFamily="34" charset="0"/>
                <a:cs typeface="Arial" panose="020B0604020202020204" pitchFamily="34" charset="0"/>
              </a:rPr>
              <a:t>Exergy Destruction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1"/>
          <c:order val="0"/>
          <c:spPr>
            <a:ln w="15875"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158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87-4FD5-8B9A-C9B3A42381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58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87-4FD5-8B9A-C9B3A4238139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 w="158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87-4FD5-8B9A-C9B3A4238139}"/>
              </c:ext>
            </c:extLst>
          </c:dPt>
          <c:dPt>
            <c:idx val="3"/>
            <c:bubble3D val="0"/>
            <c:spPr>
              <a:solidFill>
                <a:srgbClr val="00B0F0"/>
              </a:solidFill>
              <a:ln w="158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487-4FD5-8B9A-C9B3A42381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'Appendix L'!$F$2:$I$2</c:f>
              <c:strCache>
                <c:ptCount val="4"/>
                <c:pt idx="0">
                  <c:v>Injection Pump tot</c:v>
                </c:pt>
                <c:pt idx="1">
                  <c:v>Heater and separator</c:v>
                </c:pt>
                <c:pt idx="2">
                  <c:v>Dehydration </c:v>
                </c:pt>
                <c:pt idx="3">
                  <c:v>Water treatment</c:v>
                </c:pt>
              </c:strCache>
            </c:strRef>
          </c:cat>
          <c:val>
            <c:numRef>
              <c:f>'Appendix L'!$F$8:$I$8</c:f>
              <c:numCache>
                <c:formatCode>0%</c:formatCode>
                <c:ptCount val="4"/>
                <c:pt idx="0">
                  <c:v>0.43537962432303307</c:v>
                </c:pt>
                <c:pt idx="1">
                  <c:v>0.15493622475917235</c:v>
                </c:pt>
                <c:pt idx="2">
                  <c:v>6.7822691464307694E-2</c:v>
                </c:pt>
                <c:pt idx="3">
                  <c:v>0.34186145945348689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87-4FD5-8B9A-C9B3A423813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155316577965909"/>
          <c:y val="0.29080782534076616"/>
          <c:w val="0.22489765606944359"/>
          <c:h val="0.24605673635898773"/>
        </c:manualLayout>
      </c:layout>
      <c:overlay val="0"/>
      <c:spPr>
        <a:noFill/>
        <a:ln w="0"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8930139226206"/>
          <c:y val="2.8379772961816305E-2"/>
          <c:w val="0.77151186237029323"/>
          <c:h val="0.89449623078527263"/>
        </c:manualLayout>
      </c:layout>
      <c:scatterChart>
        <c:scatterStyle val="smoothMarker"/>
        <c:varyColors val="0"/>
        <c:ser>
          <c:idx val="0"/>
          <c:order val="0"/>
          <c:tx>
            <c:v>Cumulative net Exergy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L'!$A$64:$A$84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L'!$BP$64:$BP$84</c:f>
              <c:numCache>
                <c:formatCode>General</c:formatCode>
                <c:ptCount val="21"/>
                <c:pt idx="0">
                  <c:v>0</c:v>
                </c:pt>
                <c:pt idx="1">
                  <c:v>2590179274.7165475</c:v>
                </c:pt>
                <c:pt idx="2">
                  <c:v>3596519890.2262435</c:v>
                </c:pt>
                <c:pt idx="3">
                  <c:v>4152923796.2404838</c:v>
                </c:pt>
                <c:pt idx="4">
                  <c:v>5208404795.6547184</c:v>
                </c:pt>
                <c:pt idx="5">
                  <c:v>6618047970.7428427</c:v>
                </c:pt>
                <c:pt idx="6">
                  <c:v>7532552645.225688</c:v>
                </c:pt>
                <c:pt idx="7">
                  <c:v>8169931507.047925</c:v>
                </c:pt>
                <c:pt idx="8">
                  <c:v>8630105817.5491142</c:v>
                </c:pt>
                <c:pt idx="9">
                  <c:v>8983669172.3850632</c:v>
                </c:pt>
                <c:pt idx="10">
                  <c:v>9267544065.8130379</c:v>
                </c:pt>
                <c:pt idx="11">
                  <c:v>9509458175.491333</c:v>
                </c:pt>
                <c:pt idx="12">
                  <c:v>9712166034.711937</c:v>
                </c:pt>
                <c:pt idx="13">
                  <c:v>9882291695.0257072</c:v>
                </c:pt>
                <c:pt idx="14">
                  <c:v>10025909545.132521</c:v>
                </c:pt>
                <c:pt idx="15">
                  <c:v>10148743797.135679</c:v>
                </c:pt>
                <c:pt idx="16">
                  <c:v>10253573061.690573</c:v>
                </c:pt>
                <c:pt idx="17">
                  <c:v>10347210353.081322</c:v>
                </c:pt>
                <c:pt idx="18">
                  <c:v>10430149054.276484</c:v>
                </c:pt>
                <c:pt idx="19">
                  <c:v>10504198221.197676</c:v>
                </c:pt>
                <c:pt idx="20">
                  <c:v>10570748299.857412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1A-47F2-A03A-05F83E419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scatterChart>
        <c:scatterStyle val="smoothMarker"/>
        <c:varyColors val="0"/>
        <c:ser>
          <c:idx val="1"/>
          <c:order val="1"/>
          <c:tx>
            <c:v>Cumulative cash flows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L'!$A$64:$A$84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K'!$AA$60:$AA$80</c:f>
              <c:numCache>
                <c:formatCode>_("$"* #,##0_);_("$"* \(#,##0\);_("$"* "-"??_);_(@_)</c:formatCode>
                <c:ptCount val="21"/>
                <c:pt idx="0">
                  <c:v>-33594902.4440751</c:v>
                </c:pt>
                <c:pt idx="1">
                  <c:v>1376162.5285722613</c:v>
                </c:pt>
                <c:pt idx="2">
                  <c:v>13009852.888541898</c:v>
                </c:pt>
                <c:pt idx="3">
                  <c:v>18160553.835888483</c:v>
                </c:pt>
                <c:pt idx="4">
                  <c:v>29678384.532998849</c:v>
                </c:pt>
                <c:pt idx="5">
                  <c:v>45679758.13656918</c:v>
                </c:pt>
                <c:pt idx="6">
                  <c:v>54987161.222935319</c:v>
                </c:pt>
                <c:pt idx="7">
                  <c:v>60660741.168318063</c:v>
                </c:pt>
                <c:pt idx="8">
                  <c:v>64114143.601913273</c:v>
                </c:pt>
                <c:pt idx="9">
                  <c:v>66220012.785176106</c:v>
                </c:pt>
                <c:pt idx="10">
                  <c:v>67533222.067604348</c:v>
                </c:pt>
                <c:pt idx="11">
                  <c:v>68364428.27209492</c:v>
                </c:pt>
                <c:pt idx="12">
                  <c:v>68822720.701962635</c:v>
                </c:pt>
                <c:pt idx="13">
                  <c:v>69012401.916326359</c:v>
                </c:pt>
                <c:pt idx="14">
                  <c:v>69013358.38000983</c:v>
                </c:pt>
                <c:pt idx="15">
                  <c:v>69013358.38000983</c:v>
                </c:pt>
                <c:pt idx="16">
                  <c:v>69013358.38000983</c:v>
                </c:pt>
                <c:pt idx="17">
                  <c:v>69013358.38000983</c:v>
                </c:pt>
                <c:pt idx="18">
                  <c:v>69013358.38000983</c:v>
                </c:pt>
                <c:pt idx="19">
                  <c:v>69013358.38000983</c:v>
                </c:pt>
                <c:pt idx="20">
                  <c:v>69013358.38000983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1A-47F2-A03A-05F83E419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273200"/>
        <c:axId val="452266968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587733305798341"/>
              <c:y val="0.650364766696158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12000000000"/>
          <c:min val="-8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(kWh)</a:t>
                </a:r>
              </a:p>
            </c:rich>
          </c:tx>
          <c:layout>
            <c:manualLayout>
              <c:xMode val="edge"/>
              <c:yMode val="edge"/>
              <c:x val="1.24633370623754E-2"/>
              <c:y val="0.378978093467403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40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valAx>
        <c:axId val="452266968"/>
        <c:scaling>
          <c:orientation val="minMax"/>
        </c:scaling>
        <c:delete val="0"/>
        <c:axPos val="r"/>
        <c:numFmt formatCode="&quot;$&quot;#,##0" sourceLinked="0"/>
        <c:majorTickMark val="in"/>
        <c:minorTickMark val="cross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273200"/>
        <c:crosses val="max"/>
        <c:crossBetween val="midCat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valAx>
        <c:axId val="45227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266968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4890066426963002"/>
          <c:y val="0.74778129052877595"/>
          <c:w val="0.3308771471245851"/>
          <c:h val="0.1150906178698661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99497052397247E-2"/>
          <c:y val="2.8379772961816305E-2"/>
          <c:w val="0.87684198375726596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Required Exergy per barrel of oil produced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N'!$A$34:$A$54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N'!$B$34:$B$54</c:f>
              <c:numCache>
                <c:formatCode>_(* #,##0_);_(* \(#,##0\);_(* "-"??_);_(@_)</c:formatCode>
                <c:ptCount val="21"/>
                <c:pt idx="0" formatCode="General">
                  <c:v>0</c:v>
                </c:pt>
                <c:pt idx="1">
                  <c:v>8.6550388993825464</c:v>
                </c:pt>
                <c:pt idx="2">
                  <c:v>16.284555960708261</c:v>
                </c:pt>
                <c:pt idx="3">
                  <c:v>26.104461842306311</c:v>
                </c:pt>
                <c:pt idx="4">
                  <c:v>14.122321173251397</c:v>
                </c:pt>
                <c:pt idx="5">
                  <c:v>11.400702145939103</c:v>
                </c:pt>
                <c:pt idx="6">
                  <c:v>15.69568752247552</c:v>
                </c:pt>
                <c:pt idx="7">
                  <c:v>21.247301122685506</c:v>
                </c:pt>
                <c:pt idx="8">
                  <c:v>28.431592736001594</c:v>
                </c:pt>
                <c:pt idx="9">
                  <c:v>36.340284413852011</c:v>
                </c:pt>
                <c:pt idx="10">
                  <c:v>44.553000135053857</c:v>
                </c:pt>
                <c:pt idx="11">
                  <c:v>52.299523250857618</c:v>
                </c:pt>
                <c:pt idx="12">
                  <c:v>61.775972132457106</c:v>
                </c:pt>
                <c:pt idx="13">
                  <c:v>72.594383636412232</c:v>
                </c:pt>
                <c:pt idx="14">
                  <c:v>84.604228107918104</c:v>
                </c:pt>
                <c:pt idx="15">
                  <c:v>97.43161124566663</c:v>
                </c:pt>
                <c:pt idx="16">
                  <c:v>111.81096101526967</c:v>
                </c:pt>
                <c:pt idx="17">
                  <c:v>124.37540893236957</c:v>
                </c:pt>
                <c:pt idx="18">
                  <c:v>138.62670241704956</c:v>
                </c:pt>
                <c:pt idx="19">
                  <c:v>153.33723332963484</c:v>
                </c:pt>
                <c:pt idx="20">
                  <c:v>168.52637171282768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A8-4A54-9278-B781F2E3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5788926907696748"/>
              <c:y val="0.9417224889165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kWh/bbl</a:t>
                </a:r>
              </a:p>
            </c:rich>
          </c:tx>
          <c:layout>
            <c:manualLayout>
              <c:xMode val="edge"/>
              <c:yMode val="edge"/>
              <c:x val="8.0921795770293129E-3"/>
              <c:y val="0.32809463394349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4999266191202543"/>
          <c:y val="0.65864917064914774"/>
          <c:w val="0.28463635239312363"/>
          <c:h val="9.4815078759522997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20835942410913"/>
          <c:y val="2.8379772961816305E-2"/>
          <c:w val="0.84523317423502131"/>
          <c:h val="0.80951582388271348"/>
        </c:manualLayout>
      </c:layout>
      <c:scatterChart>
        <c:scatterStyle val="smoothMarker"/>
        <c:varyColors val="0"/>
        <c:ser>
          <c:idx val="1"/>
          <c:order val="0"/>
          <c:tx>
            <c:v>Product Exergy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N'!$A$5:$A$25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N'!$P$5:$P$25</c:f>
              <c:numCache>
                <c:formatCode>_(* #,##0.00_);_(* \(#,##0.00\);_(* "-"??_);_(@_)</c:formatCode>
                <c:ptCount val="21"/>
                <c:pt idx="0">
                  <c:v>3835.0345255793495</c:v>
                </c:pt>
                <c:pt idx="1">
                  <c:v>342.06418685836957</c:v>
                </c:pt>
                <c:pt idx="2">
                  <c:v>337.86995165212352</c:v>
                </c:pt>
                <c:pt idx="3">
                  <c:v>343.97368936729856</c:v>
                </c:pt>
                <c:pt idx="4">
                  <c:v>385.87356793673263</c:v>
                </c:pt>
                <c:pt idx="5">
                  <c:v>356.05187278509197</c:v>
                </c:pt>
                <c:pt idx="6">
                  <c:v>359.30299353491858</c:v>
                </c:pt>
                <c:pt idx="7">
                  <c:v>367.39659425292018</c:v>
                </c:pt>
                <c:pt idx="8">
                  <c:v>376.25250873211553</c:v>
                </c:pt>
                <c:pt idx="9">
                  <c:v>384.27488841445955</c:v>
                </c:pt>
                <c:pt idx="10">
                  <c:v>384.97056778822764</c:v>
                </c:pt>
                <c:pt idx="11">
                  <c:v>397.36698966665904</c:v>
                </c:pt>
                <c:pt idx="12">
                  <c:v>401.31278002864423</c:v>
                </c:pt>
                <c:pt idx="13">
                  <c:v>403.42427646334465</c:v>
                </c:pt>
                <c:pt idx="14">
                  <c:v>403.35536708763408</c:v>
                </c:pt>
                <c:pt idx="15">
                  <c:v>403.11937691033575</c:v>
                </c:pt>
                <c:pt idx="16">
                  <c:v>396.40438962051303</c:v>
                </c:pt>
                <c:pt idx="17">
                  <c:v>402.77763875036408</c:v>
                </c:pt>
                <c:pt idx="18">
                  <c:v>402.64790001051858</c:v>
                </c:pt>
                <c:pt idx="19">
                  <c:v>402.5374145832692</c:v>
                </c:pt>
                <c:pt idx="20">
                  <c:v>402.44182499209427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6B-40FB-BAA2-D53D91CB88D0}"/>
            </c:ext>
          </c:extLst>
        </c:ser>
        <c:ser>
          <c:idx val="2"/>
          <c:order val="1"/>
          <c:tx>
            <c:v>Exergy Destruction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'Appendix N'!$A$5:$A$25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N'!$N$5:$N$25</c:f>
              <c:numCache>
                <c:formatCode>_(* #,##0.00_);_(* \(#,##0.00\);_(* "-"??_);_(@_)</c:formatCode>
                <c:ptCount val="21"/>
                <c:pt idx="0">
                  <c:v>0</c:v>
                </c:pt>
                <c:pt idx="1">
                  <c:v>285.59894906739908</c:v>
                </c:pt>
                <c:pt idx="2">
                  <c:v>143.81608494176868</c:v>
                </c:pt>
                <c:pt idx="3">
                  <c:v>106.51481768158338</c:v>
                </c:pt>
                <c:pt idx="4">
                  <c:v>164.53575513083678</c:v>
                </c:pt>
                <c:pt idx="5">
                  <c:v>192.5930898166238</c:v>
                </c:pt>
                <c:pt idx="6">
                  <c:v>149.46727777767501</c:v>
                </c:pt>
                <c:pt idx="7">
                  <c:v>126.44323682546948</c:v>
                </c:pt>
                <c:pt idx="8">
                  <c:v>112.31420650754959</c:v>
                </c:pt>
                <c:pt idx="9">
                  <c:v>104.25738440785761</c:v>
                </c:pt>
                <c:pt idx="10">
                  <c:v>98.466653995432338</c:v>
                </c:pt>
                <c:pt idx="11">
                  <c:v>96.548337893555782</c:v>
                </c:pt>
                <c:pt idx="12">
                  <c:v>93.652828726487755</c:v>
                </c:pt>
                <c:pt idx="13">
                  <c:v>90.977670242677988</c:v>
                </c:pt>
                <c:pt idx="14">
                  <c:v>88.493984120827577</c:v>
                </c:pt>
                <c:pt idx="15">
                  <c:v>86.498905294101888</c:v>
                </c:pt>
                <c:pt idx="16">
                  <c:v>83.921795077260668</c:v>
                </c:pt>
                <c:pt idx="17">
                  <c:v>83.627956982428771</c:v>
                </c:pt>
                <c:pt idx="18">
                  <c:v>82.545794566503773</c:v>
                </c:pt>
                <c:pt idx="19">
                  <c:v>81.628686584600004</c:v>
                </c:pt>
                <c:pt idx="20">
                  <c:v>80.839092403202983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6B-40FB-BAA2-D53D91CB88D0}"/>
            </c:ext>
          </c:extLst>
        </c:ser>
        <c:ser>
          <c:idx val="0"/>
          <c:order val="2"/>
          <c:tx>
            <c:v>Fuel Exergy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N'!$A$5:$A$25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N'!$I$5:$I$25</c:f>
              <c:numCache>
                <c:formatCode>0.0</c:formatCode>
                <c:ptCount val="21"/>
                <c:pt idx="0">
                  <c:v>0</c:v>
                </c:pt>
                <c:pt idx="1">
                  <c:v>82.152983680003359</c:v>
                </c:pt>
                <c:pt idx="2">
                  <c:v>60.178933365769062</c:v>
                </c:pt>
                <c:pt idx="3">
                  <c:v>53.505324923026699</c:v>
                </c:pt>
                <c:pt idx="4">
                  <c:v>54.792318970062801</c:v>
                </c:pt>
                <c:pt idx="5">
                  <c:v>59.002155822725456</c:v>
                </c:pt>
                <c:pt idx="6">
                  <c:v>52.793215350882619</c:v>
                </c:pt>
                <c:pt idx="7">
                  <c:v>49.926606954749722</c:v>
                </c:pt>
                <c:pt idx="8">
                  <c:v>48.381579892895743</c:v>
                </c:pt>
                <c:pt idx="9">
                  <c:v>47.673767389764045</c:v>
                </c:pt>
                <c:pt idx="10">
                  <c:v>47.091036898319096</c:v>
                </c:pt>
                <c:pt idx="11">
                  <c:v>47.268301659702196</c:v>
                </c:pt>
                <c:pt idx="12">
                  <c:v>46.977557155818424</c:v>
                </c:pt>
                <c:pt idx="13">
                  <c:v>46.551081304241457</c:v>
                </c:pt>
                <c:pt idx="14">
                  <c:v>46.041468751903253</c:v>
                </c:pt>
                <c:pt idx="15">
                  <c:v>45.606938641859053</c:v>
                </c:pt>
                <c:pt idx="16">
                  <c:v>44.946860528527566</c:v>
                </c:pt>
                <c:pt idx="17">
                  <c:v>44.918600089645402</c:v>
                </c:pt>
                <c:pt idx="18">
                  <c:v>44.631937035412385</c:v>
                </c:pt>
                <c:pt idx="19">
                  <c:v>44.373276618828953</c:v>
                </c:pt>
                <c:pt idx="20">
                  <c:v>44.136883929287578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6B-40FB-BAA2-D53D91CB8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4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Cost rate ($/hr)</a:t>
                </a:r>
              </a:p>
            </c:rich>
          </c:tx>
          <c:layout>
            <c:manualLayout>
              <c:xMode val="edge"/>
              <c:yMode val="edge"/>
              <c:x val="1.3531504039586235E-2"/>
              <c:y val="0.271243067561924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2054266625646926"/>
          <c:y val="0.35049924280861844"/>
          <c:w val="0.29066416909206516"/>
          <c:h val="0.1554081492076337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21411474184711E-2"/>
          <c:y val="2.8379772961816305E-2"/>
          <c:w val="0.88652003523631073"/>
          <c:h val="0.8538257059972767"/>
        </c:manualLayout>
      </c:layout>
      <c:scatterChart>
        <c:scatterStyle val="smoothMarker"/>
        <c:varyColors val="0"/>
        <c:ser>
          <c:idx val="0"/>
          <c:order val="0"/>
          <c:tx>
            <c:v>$/bbl at 5% discount rate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K'!$E$61:$E$81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'Appendix K'!$AD$61:$AD$81</c:f>
              <c:numCache>
                <c:formatCode>_("$"* #,##0_);_("$"* \(#,##0\);_("$"* "-"??_);_(@_)</c:formatCode>
                <c:ptCount val="21"/>
                <c:pt idx="0">
                  <c:v>46.663614035715291</c:v>
                </c:pt>
                <c:pt idx="1">
                  <c:v>41.771123052434405</c:v>
                </c:pt>
                <c:pt idx="2">
                  <c:v>34.931294176986974</c:v>
                </c:pt>
                <c:pt idx="3">
                  <c:v>43.230581918951472</c:v>
                </c:pt>
                <c:pt idx="4">
                  <c:v>47.169183546820484</c:v>
                </c:pt>
                <c:pt idx="5">
                  <c:v>44.225373971362444</c:v>
                </c:pt>
                <c:pt idx="6">
                  <c:v>40.427142586221976</c:v>
                </c:pt>
                <c:pt idx="7">
                  <c:v>35.597202317746131</c:v>
                </c:pt>
                <c:pt idx="8">
                  <c:v>29.497903935445795</c:v>
                </c:pt>
                <c:pt idx="9">
                  <c:v>23.918114998550752</c:v>
                </c:pt>
                <c:pt idx="10">
                  <c:v>18.547876642228392</c:v>
                </c:pt>
                <c:pt idx="11">
                  <c:v>12.733063925564061</c:v>
                </c:pt>
                <c:pt idx="12">
                  <c:v>6.547296871651259</c:v>
                </c:pt>
                <c:pt idx="13">
                  <c:v>4.0754843712960315E-2</c:v>
                </c:pt>
                <c:pt idx="14">
                  <c:v>-6.3385512244480156</c:v>
                </c:pt>
                <c:pt idx="15">
                  <c:v>-12.435549472319817</c:v>
                </c:pt>
                <c:pt idx="16">
                  <c:v>-18.078714878086821</c:v>
                </c:pt>
                <c:pt idx="17">
                  <c:v>-23.519685847562229</c:v>
                </c:pt>
                <c:pt idx="18">
                  <c:v>-28.727271667823914</c:v>
                </c:pt>
                <c:pt idx="19">
                  <c:v>-33.629707351165585</c:v>
                </c:pt>
                <c:pt idx="20">
                  <c:v>-41.795346013643119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889-4B4C-8477-36A6C0BA4817}"/>
            </c:ext>
          </c:extLst>
        </c:ser>
        <c:ser>
          <c:idx val="1"/>
          <c:order val="1"/>
          <c:tx>
            <c:v>$/bbl at 10% discount rate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K'!$E$61:$E$81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'Appendix K'!$AE$61:$AE$81</c:f>
              <c:numCache>
                <c:formatCode>_("$"* #,##0_);_("$"* \(#,##0\);_("$"* "-"??_);_(@_)</c:formatCode>
                <c:ptCount val="21"/>
                <c:pt idx="0">
                  <c:v>44.542540670455516</c:v>
                </c:pt>
                <c:pt idx="1">
                  <c:v>38.060052202734653</c:v>
                </c:pt>
                <c:pt idx="2">
                  <c:v>30.381171616554873</c:v>
                </c:pt>
                <c:pt idx="3">
                  <c:v>35.890337076444574</c:v>
                </c:pt>
                <c:pt idx="4">
                  <c:v>37.380183469202507</c:v>
                </c:pt>
                <c:pt idx="5">
                  <c:v>33.45424225529527</c:v>
                </c:pt>
                <c:pt idx="6">
                  <c:v>29.191024915754777</c:v>
                </c:pt>
                <c:pt idx="7">
                  <c:v>24.535153431788352</c:v>
                </c:pt>
                <c:pt idx="8">
                  <c:v>19.407101718984116</c:v>
                </c:pt>
                <c:pt idx="9">
                  <c:v>15.020800870986298</c:v>
                </c:pt>
                <c:pt idx="10">
                  <c:v>11.118775254707851</c:v>
                </c:pt>
                <c:pt idx="11">
                  <c:v>7.2860523343404537</c:v>
                </c:pt>
                <c:pt idx="12">
                  <c:v>3.5761688360672936</c:v>
                </c:pt>
                <c:pt idx="13">
                  <c:v>2.1248673669210464E-2</c:v>
                </c:pt>
                <c:pt idx="14">
                  <c:v>-3.1545630574758867</c:v>
                </c:pt>
                <c:pt idx="15">
                  <c:v>-5.9075961961668417</c:v>
                </c:pt>
                <c:pt idx="16">
                  <c:v>-8.1980392259710175</c:v>
                </c:pt>
                <c:pt idx="17">
                  <c:v>-10.180534194952338</c:v>
                </c:pt>
                <c:pt idx="18">
                  <c:v>-11.869434980372311</c:v>
                </c:pt>
                <c:pt idx="19">
                  <c:v>-13.263415237702207</c:v>
                </c:pt>
                <c:pt idx="20">
                  <c:v>-15.73464022485453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889-4B4C-8477-36A6C0BA4817}"/>
            </c:ext>
          </c:extLst>
        </c:ser>
        <c:ser>
          <c:idx val="2"/>
          <c:order val="2"/>
          <c:tx>
            <c:v>$/bbl at 15% discount rate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K'!$E$61:$E$81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'Appendix K'!$AF$61:$AF$81</c:f>
              <c:numCache>
                <c:formatCode>_("$"* #,##0_);_("$"* \(#,##0\);_("$"* "-"??_);_(@_)</c:formatCode>
                <c:ptCount val="21"/>
                <c:pt idx="0">
                  <c:v>42.60590846739224</c:v>
                </c:pt>
                <c:pt idx="1">
                  <c:v>34.822429614600331</c:v>
                </c:pt>
                <c:pt idx="2">
                  <c:v>26.588207066086657</c:v>
                </c:pt>
                <c:pt idx="3">
                  <c:v>30.043942103478773</c:v>
                </c:pt>
                <c:pt idx="4">
                  <c:v>29.93061583149829</c:v>
                </c:pt>
                <c:pt idx="5">
                  <c:v>25.622427108186749</c:v>
                </c:pt>
                <c:pt idx="6">
                  <c:v>21.385197094780043</c:v>
                </c:pt>
                <c:pt idx="7">
                  <c:v>17.192836638154766</c:v>
                </c:pt>
                <c:pt idx="8">
                  <c:v>13.008112534368355</c:v>
                </c:pt>
                <c:pt idx="9">
                  <c:v>9.6303381508821495</c:v>
                </c:pt>
                <c:pt idx="10">
                  <c:v>6.818678982496432</c:v>
                </c:pt>
                <c:pt idx="11">
                  <c:v>4.2739597120841122</c:v>
                </c:pt>
                <c:pt idx="12">
                  <c:v>2.0065546692747369</c:v>
                </c:pt>
                <c:pt idx="13">
                  <c:v>1.1404064213982393E-2</c:v>
                </c:pt>
                <c:pt idx="14">
                  <c:v>-1.6194288992381602</c:v>
                </c:pt>
                <c:pt idx="15">
                  <c:v>-2.9008703496911274</c:v>
                </c:pt>
                <c:pt idx="16">
                  <c:v>-3.850546334082221</c:v>
                </c:pt>
                <c:pt idx="17">
                  <c:v>-4.5738063538206468</c:v>
                </c:pt>
                <c:pt idx="18">
                  <c:v>-5.1007272010168325</c:v>
                </c:pt>
                <c:pt idx="19">
                  <c:v>-5.4519549980061006</c:v>
                </c:pt>
                <c:pt idx="20">
                  <c:v>-6.1865504384514542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889-4B4C-8477-36A6C0BA4817}"/>
            </c:ext>
          </c:extLst>
        </c:ser>
        <c:ser>
          <c:idx val="4"/>
          <c:order val="3"/>
          <c:tx>
            <c:v>Economic limit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2700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E785-45E0-9B9F-C4ACA49B29F4}"/>
              </c:ext>
            </c:extLst>
          </c:dPt>
          <c:xVal>
            <c:numRef>
              <c:f>'Appendix K'!$BH$28:$BI$28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xVal>
          <c:yVal>
            <c:numRef>
              <c:f>'Appendix K'!$BH$29:$BI$29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A889-4B4C-8477-36A6C0BA4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902378451837574"/>
              <c:y val="0.932107019835515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inorUnit val="1"/>
      </c:valAx>
      <c:valAx>
        <c:axId val="20638016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$/bbl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0186435028954714E-2"/>
              <c:y val="0.4285731698398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"/>
        <c:minorUnit val="5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4025514419617691"/>
          <c:y val="0.32299435642567087"/>
          <c:w val="0.3217567160278027"/>
          <c:h val="0.2176872821237902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7130769458251"/>
          <c:y val="2.8379772961816305E-2"/>
          <c:w val="0.84072829458957876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Fuel Exergy</c:v>
          </c:tx>
          <c:spPr>
            <a:ln w="1270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N'!$A$5:$A$25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N'!$J$5:$J$25</c:f>
              <c:numCache>
                <c:formatCode>0.000</c:formatCode>
                <c:ptCount val="21"/>
                <c:pt idx="0">
                  <c:v>0.10590383999999999</c:v>
                </c:pt>
                <c:pt idx="1">
                  <c:v>0.10590383999999999</c:v>
                </c:pt>
                <c:pt idx="2">
                  <c:v>0.10590384000000001</c:v>
                </c:pt>
                <c:pt idx="3">
                  <c:v>0.10590384</c:v>
                </c:pt>
                <c:pt idx="4">
                  <c:v>0.10590383999999999</c:v>
                </c:pt>
                <c:pt idx="5">
                  <c:v>0.10590384</c:v>
                </c:pt>
                <c:pt idx="6">
                  <c:v>0.10590384000000001</c:v>
                </c:pt>
                <c:pt idx="7">
                  <c:v>0.10590384</c:v>
                </c:pt>
                <c:pt idx="8">
                  <c:v>0.10590384</c:v>
                </c:pt>
                <c:pt idx="9">
                  <c:v>0.10590384</c:v>
                </c:pt>
                <c:pt idx="10">
                  <c:v>0.10590384</c:v>
                </c:pt>
                <c:pt idx="11">
                  <c:v>0.10590384</c:v>
                </c:pt>
                <c:pt idx="12">
                  <c:v>0.10590384</c:v>
                </c:pt>
                <c:pt idx="13">
                  <c:v>0.10590384</c:v>
                </c:pt>
                <c:pt idx="14">
                  <c:v>0.10590384</c:v>
                </c:pt>
                <c:pt idx="15">
                  <c:v>0.10590383999999999</c:v>
                </c:pt>
                <c:pt idx="16">
                  <c:v>0.10590384</c:v>
                </c:pt>
                <c:pt idx="17">
                  <c:v>0.10590384</c:v>
                </c:pt>
                <c:pt idx="18">
                  <c:v>0.10590384</c:v>
                </c:pt>
                <c:pt idx="19">
                  <c:v>0.10590384</c:v>
                </c:pt>
                <c:pt idx="20">
                  <c:v>0.10590384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7D-4F70-B7F0-DCA8B8EDAE7A}"/>
            </c:ext>
          </c:extLst>
        </c:ser>
        <c:ser>
          <c:idx val="2"/>
          <c:order val="1"/>
          <c:tx>
            <c:v>Exergy Destruction</c:v>
          </c:tx>
          <c:spPr>
            <a:ln w="12700" cap="rnd">
              <a:solidFill>
                <a:srgbClr val="FF0000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'Appendix N'!$A$5:$A$25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N'!$O$5:$O$25</c:f>
              <c:numCache>
                <c:formatCode>0.000</c:formatCode>
                <c:ptCount val="21"/>
                <c:pt idx="0">
                  <c:v>0.10590384000000001</c:v>
                </c:pt>
                <c:pt idx="1">
                  <c:v>0.10590384000000001</c:v>
                </c:pt>
                <c:pt idx="2">
                  <c:v>0.10590383999999999</c:v>
                </c:pt>
                <c:pt idx="3">
                  <c:v>0.10590384</c:v>
                </c:pt>
                <c:pt idx="4">
                  <c:v>0.10590384000000001</c:v>
                </c:pt>
                <c:pt idx="5">
                  <c:v>0.10590384</c:v>
                </c:pt>
                <c:pt idx="6">
                  <c:v>0.10590383999999999</c:v>
                </c:pt>
                <c:pt idx="7">
                  <c:v>0.10590383999999999</c:v>
                </c:pt>
                <c:pt idx="8">
                  <c:v>0.10590383999999999</c:v>
                </c:pt>
                <c:pt idx="9">
                  <c:v>0.10590383999999999</c:v>
                </c:pt>
                <c:pt idx="10">
                  <c:v>0.10590384</c:v>
                </c:pt>
                <c:pt idx="11">
                  <c:v>0.10590384</c:v>
                </c:pt>
                <c:pt idx="12">
                  <c:v>0.10590384</c:v>
                </c:pt>
                <c:pt idx="13">
                  <c:v>0.10590384</c:v>
                </c:pt>
                <c:pt idx="14">
                  <c:v>0.10590384</c:v>
                </c:pt>
                <c:pt idx="15">
                  <c:v>0.10590383999999999</c:v>
                </c:pt>
                <c:pt idx="16">
                  <c:v>0.10590384</c:v>
                </c:pt>
                <c:pt idx="17">
                  <c:v>0.10590383999999999</c:v>
                </c:pt>
                <c:pt idx="18">
                  <c:v>0.10590384000000001</c:v>
                </c:pt>
                <c:pt idx="19">
                  <c:v>0.10590383999999997</c:v>
                </c:pt>
                <c:pt idx="20">
                  <c:v>0.10590383999999999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7D-4F70-B7F0-DCA8B8EDAE7A}"/>
            </c:ext>
          </c:extLst>
        </c:ser>
        <c:ser>
          <c:idx val="1"/>
          <c:order val="2"/>
          <c:tx>
            <c:v>Product Exergy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N'!$A$5:$A$25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N'!$Q$5:$Q$25</c:f>
              <c:numCache>
                <c:formatCode>_(* #,##0.000_);_(* \(#,##0.000\);_(* "-"??_);_(@_)</c:formatCode>
                <c:ptCount val="21"/>
                <c:pt idx="0" formatCode="_(* #,##0.00_);_(* \(#,##0.00\);_(* &quot;-&quot;??_);_(@_)">
                  <c:v>0</c:v>
                </c:pt>
                <c:pt idx="1">
                  <c:v>1.1538357663502051E-3</c:v>
                </c:pt>
                <c:pt idx="2">
                  <c:v>2.9266161377375331E-3</c:v>
                </c:pt>
                <c:pt idx="3">
                  <c:v>5.3727711226124976E-3</c:v>
                </c:pt>
                <c:pt idx="4">
                  <c:v>3.1888776070976357E-3</c:v>
                </c:pt>
                <c:pt idx="5">
                  <c:v>2.2049927905729541E-3</c:v>
                </c:pt>
                <c:pt idx="6">
                  <c:v>3.425390887010246E-3</c:v>
                </c:pt>
                <c:pt idx="7">
                  <c:v>5.0169149306540772E-3</c:v>
                </c:pt>
                <c:pt idx="8">
                  <c:v>7.1006904176514896E-3</c:v>
                </c:pt>
                <c:pt idx="9">
                  <c:v>9.4159002259245513E-3</c:v>
                </c:pt>
                <c:pt idx="10">
                  <c:v>1.171887613502683E-2</c:v>
                </c:pt>
                <c:pt idx="11">
                  <c:v>1.4160273639381566E-2</c:v>
                </c:pt>
                <c:pt idx="12">
                  <c:v>1.7016493164921348E-2</c:v>
                </c:pt>
                <c:pt idx="13">
                  <c:v>2.0313103513656727E-2</c:v>
                </c:pt>
                <c:pt idx="14">
                  <c:v>2.396719187308002E-2</c:v>
                </c:pt>
                <c:pt idx="15">
                  <c:v>2.7892092027205294E-2</c:v>
                </c:pt>
                <c:pt idx="16">
                  <c:v>3.1990739647965519E-2</c:v>
                </c:pt>
                <c:pt idx="17">
                  <c:v>3.6242737858749791E-2</c:v>
                </c:pt>
                <c:pt idx="18">
                  <c:v>4.0715401229668706E-2</c:v>
                </c:pt>
                <c:pt idx="19">
                  <c:v>4.537116840900085E-2</c:v>
                </c:pt>
                <c:pt idx="20">
                  <c:v>5.0218571485282699E-2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7D-4F70-B7F0-DCA8B8EDA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0.1500000000000000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Cost per</a:t>
                </a:r>
                <a:r>
                  <a:rPr lang="en-US" sz="1000" b="1" baseline="0"/>
                  <a:t> unit of exergy</a:t>
                </a:r>
                <a:r>
                  <a:rPr lang="en-US" sz="1000" b="1"/>
                  <a:t> ($/kWh)</a:t>
                </a:r>
              </a:p>
            </c:rich>
          </c:tx>
          <c:layout>
            <c:manualLayout>
              <c:xMode val="edge"/>
              <c:yMode val="edge"/>
              <c:x val="1.0197658575435599E-2"/>
              <c:y val="0.31869220794663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>
                <a:alpha val="97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4.0000000000000008E-2"/>
        <c:minorUnit val="1.0000000000000002E-2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1350318843464846"/>
          <c:y val="0.37529666676885054"/>
          <c:w val="0.2983766788779999"/>
          <c:h val="0.1698097217893991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85877571755144"/>
          <c:y val="2.8379772961816305E-2"/>
          <c:w val="0.86558259249851832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Exergoeconomic ROI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N'!$A$6:$A$25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N'!$S$6:$S$25</c:f>
              <c:numCache>
                <c:formatCode>_(* #,##0.00_);_(* \(#,##0.00\);_(* "-"??_);_(@_)</c:formatCode>
                <c:ptCount val="20"/>
                <c:pt idx="0">
                  <c:v>33.377943219594812</c:v>
                </c:pt>
                <c:pt idx="1">
                  <c:v>18.546397534706632</c:v>
                </c:pt>
                <c:pt idx="2">
                  <c:v>11.172528623605849</c:v>
                </c:pt>
                <c:pt idx="3">
                  <c:v>16.924465199082587</c:v>
                </c:pt>
                <c:pt idx="4">
                  <c:v>22.070664410693951</c:v>
                </c:pt>
                <c:pt idx="5">
                  <c:v>15.876397740712727</c:v>
                </c:pt>
                <c:pt idx="6">
                  <c:v>11.503170989879123</c:v>
                </c:pt>
                <c:pt idx="7">
                  <c:v>8.3390374830726852</c:v>
                </c:pt>
                <c:pt idx="8">
                  <c:v>6.2910696533969741</c:v>
                </c:pt>
                <c:pt idx="9">
                  <c:v>4.9786347415063261</c:v>
                </c:pt>
                <c:pt idx="10">
                  <c:v>4.0331360482506584</c:v>
                </c:pt>
                <c:pt idx="11">
                  <c:v>3.2431733308579975</c:v>
                </c:pt>
                <c:pt idx="12">
                  <c:v>2.5930218528930196</c:v>
                </c:pt>
                <c:pt idx="13">
                  <c:v>2.0711242949920448</c:v>
                </c:pt>
                <c:pt idx="14">
                  <c:v>1.6567669520299557</c:v>
                </c:pt>
                <c:pt idx="15">
                  <c:v>1.325711650508884</c:v>
                </c:pt>
                <c:pt idx="16">
                  <c:v>1.0646937442507933</c:v>
                </c:pt>
                <c:pt idx="17">
                  <c:v>0.84471519234006498</c:v>
                </c:pt>
                <c:pt idx="18">
                  <c:v>0.66065361310008974</c:v>
                </c:pt>
                <c:pt idx="19">
                  <c:v>0.50445415457244858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30-41E4-A30F-2005B8E6E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3"/>
        <c:minorUnit val="1"/>
      </c:valAx>
      <c:valAx>
        <c:axId val="206380160"/>
        <c:scaling>
          <c:orientation val="minMax"/>
          <c:max val="4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ROI</a:t>
                </a:r>
              </a:p>
            </c:rich>
          </c:tx>
          <c:layout>
            <c:manualLayout>
              <c:xMode val="edge"/>
              <c:yMode val="edge"/>
              <c:x val="1.0186435028954714E-2"/>
              <c:y val="0.4285731698398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1518127169587677"/>
          <c:y val="0.18992420378986793"/>
          <c:w val="0.264502921005842"/>
          <c:h val="6.926349809864121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1544518473653"/>
          <c:y val="2.8379772961816305E-2"/>
          <c:w val="0.87192593233538118"/>
          <c:h val="0.8185826188599129"/>
        </c:manualLayout>
      </c:layout>
      <c:scatterChart>
        <c:scatterStyle val="smoothMarker"/>
        <c:varyColors val="0"/>
        <c:ser>
          <c:idx val="2"/>
          <c:order val="0"/>
          <c:tx>
            <c:v>Exergy Destruction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'Appendix N'!$A$5:$A$25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N'!$N$5:$N$25</c:f>
              <c:numCache>
                <c:formatCode>_(* #,##0.00_);_(* \(#,##0.00\);_(* "-"??_);_(@_)</c:formatCode>
                <c:ptCount val="21"/>
                <c:pt idx="0">
                  <c:v>0</c:v>
                </c:pt>
                <c:pt idx="1">
                  <c:v>285.59894906739908</c:v>
                </c:pt>
                <c:pt idx="2">
                  <c:v>143.81608494176868</c:v>
                </c:pt>
                <c:pt idx="3">
                  <c:v>106.51481768158338</c:v>
                </c:pt>
                <c:pt idx="4">
                  <c:v>164.53575513083678</c:v>
                </c:pt>
                <c:pt idx="5">
                  <c:v>192.5930898166238</c:v>
                </c:pt>
                <c:pt idx="6">
                  <c:v>149.46727777767501</c:v>
                </c:pt>
                <c:pt idx="7">
                  <c:v>126.44323682546948</c:v>
                </c:pt>
                <c:pt idx="8">
                  <c:v>112.31420650754959</c:v>
                </c:pt>
                <c:pt idx="9">
                  <c:v>104.25738440785761</c:v>
                </c:pt>
                <c:pt idx="10">
                  <c:v>98.466653995432338</c:v>
                </c:pt>
                <c:pt idx="11">
                  <c:v>96.548337893555782</c:v>
                </c:pt>
                <c:pt idx="12">
                  <c:v>93.652828726487755</c:v>
                </c:pt>
                <c:pt idx="13">
                  <c:v>90.977670242677988</c:v>
                </c:pt>
                <c:pt idx="14">
                  <c:v>88.493984120827577</c:v>
                </c:pt>
                <c:pt idx="15">
                  <c:v>86.498905294101888</c:v>
                </c:pt>
                <c:pt idx="16">
                  <c:v>83.921795077260668</c:v>
                </c:pt>
                <c:pt idx="17">
                  <c:v>83.627956982428771</c:v>
                </c:pt>
                <c:pt idx="18">
                  <c:v>82.545794566503773</c:v>
                </c:pt>
                <c:pt idx="19">
                  <c:v>81.628686584600004</c:v>
                </c:pt>
                <c:pt idx="20">
                  <c:v>80.839092403202983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42-4548-86E1-4EF7C00EC0AA}"/>
            </c:ext>
          </c:extLst>
        </c:ser>
        <c:ser>
          <c:idx val="0"/>
          <c:order val="1"/>
          <c:tx>
            <c:v>Fuel Exergy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N'!$A$5:$A$25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N'!$I$5:$I$25</c:f>
              <c:numCache>
                <c:formatCode>0.0</c:formatCode>
                <c:ptCount val="21"/>
                <c:pt idx="0">
                  <c:v>0</c:v>
                </c:pt>
                <c:pt idx="1">
                  <c:v>82.152983680003359</c:v>
                </c:pt>
                <c:pt idx="2">
                  <c:v>60.178933365769062</c:v>
                </c:pt>
                <c:pt idx="3">
                  <c:v>53.505324923026699</c:v>
                </c:pt>
                <c:pt idx="4">
                  <c:v>54.792318970062801</c:v>
                </c:pt>
                <c:pt idx="5">
                  <c:v>59.002155822725456</c:v>
                </c:pt>
                <c:pt idx="6">
                  <c:v>52.793215350882619</c:v>
                </c:pt>
                <c:pt idx="7">
                  <c:v>49.926606954749722</c:v>
                </c:pt>
                <c:pt idx="8">
                  <c:v>48.381579892895743</c:v>
                </c:pt>
                <c:pt idx="9">
                  <c:v>47.673767389764045</c:v>
                </c:pt>
                <c:pt idx="10">
                  <c:v>47.091036898319096</c:v>
                </c:pt>
                <c:pt idx="11">
                  <c:v>47.268301659702196</c:v>
                </c:pt>
                <c:pt idx="12">
                  <c:v>46.977557155818424</c:v>
                </c:pt>
                <c:pt idx="13">
                  <c:v>46.551081304241457</c:v>
                </c:pt>
                <c:pt idx="14">
                  <c:v>46.041468751903253</c:v>
                </c:pt>
                <c:pt idx="15">
                  <c:v>45.606938641859053</c:v>
                </c:pt>
                <c:pt idx="16">
                  <c:v>44.946860528527566</c:v>
                </c:pt>
                <c:pt idx="17">
                  <c:v>44.918600089645402</c:v>
                </c:pt>
                <c:pt idx="18">
                  <c:v>44.631937035412385</c:v>
                </c:pt>
                <c:pt idx="19">
                  <c:v>44.373276618828953</c:v>
                </c:pt>
                <c:pt idx="20">
                  <c:v>44.136883929287578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42-4548-86E1-4EF7C00EC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inorUnit val="1"/>
      </c:valAx>
      <c:valAx>
        <c:axId val="206380160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Cost rate ($/hr)</a:t>
                </a:r>
              </a:p>
            </c:rich>
          </c:tx>
          <c:layout>
            <c:manualLayout>
              <c:xMode val="edge"/>
              <c:yMode val="edge"/>
              <c:x val="1.1337741029550107E-2"/>
              <c:y val="0.37200657652667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inorUnit val="25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1159868477978718"/>
          <c:y val="0.440295176055014"/>
          <c:w val="0.24254945054945054"/>
          <c:h val="9.0147841827969102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04925448148769"/>
          <c:y val="2.8379772961816305E-2"/>
          <c:w val="0.77566594069358352"/>
          <c:h val="0.85531717027318876"/>
        </c:manualLayout>
      </c:layout>
      <c:scatterChart>
        <c:scatterStyle val="smoothMarker"/>
        <c:varyColors val="0"/>
        <c:ser>
          <c:idx val="1"/>
          <c:order val="0"/>
          <c:tx>
            <c:v>Exergy RF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M'!$E$3:$E$23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M'!$Y$3:$Y$23</c:f>
              <c:numCache>
                <c:formatCode>0.00%</c:formatCode>
                <c:ptCount val="21"/>
                <c:pt idx="0">
                  <c:v>1</c:v>
                </c:pt>
                <c:pt idx="1">
                  <c:v>0.98828668976339651</c:v>
                </c:pt>
                <c:pt idx="2">
                  <c:v>0.98331508311625981</c:v>
                </c:pt>
                <c:pt idx="3">
                  <c:v>0.97639869261665446</c:v>
                </c:pt>
                <c:pt idx="4">
                  <c:v>0.98288506170789891</c:v>
                </c:pt>
                <c:pt idx="5">
                  <c:v>0.98528756280797669</c:v>
                </c:pt>
                <c:pt idx="6">
                  <c:v>0.98179256967998829</c:v>
                </c:pt>
                <c:pt idx="7">
                  <c:v>0.97725875518556604</c:v>
                </c:pt>
                <c:pt idx="8">
                  <c:v>0.9713638943768883</c:v>
                </c:pt>
                <c:pt idx="9">
                  <c:v>0.96484760129518055</c:v>
                </c:pt>
                <c:pt idx="10">
                  <c:v>0.95816094313665523</c:v>
                </c:pt>
                <c:pt idx="11">
                  <c:v>0.95160758579415694</c:v>
                </c:pt>
                <c:pt idx="12">
                  <c:v>0.94369401838931077</c:v>
                </c:pt>
                <c:pt idx="13">
                  <c:v>0.93461230234187387</c:v>
                </c:pt>
                <c:pt idx="14">
                  <c:v>0.92451609662971701</c:v>
                </c:pt>
                <c:pt idx="15">
                  <c:v>0.91369067153083827</c:v>
                </c:pt>
                <c:pt idx="16">
                  <c:v>0.901797754932809</c:v>
                </c:pt>
                <c:pt idx="17">
                  <c:v>0.89077944278380583</c:v>
                </c:pt>
                <c:pt idx="18">
                  <c:v>0.87856813997495975</c:v>
                </c:pt>
                <c:pt idx="19">
                  <c:v>0.86589674640637926</c:v>
                </c:pt>
                <c:pt idx="20">
                  <c:v>0.85274295696325064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20-4204-B15E-CE764D19F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scatterChart>
        <c:scatterStyle val="smoothMarker"/>
        <c:varyColors val="0"/>
        <c:ser>
          <c:idx val="0"/>
          <c:order val="1"/>
          <c:tx>
            <c:v>Oil RF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M'!$A$32:$A$53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M'!$B$32:$B$53</c:f>
              <c:numCache>
                <c:formatCode>0%</c:formatCode>
                <c:ptCount val="22"/>
                <c:pt idx="0" formatCode="General">
                  <c:v>0</c:v>
                </c:pt>
                <c:pt idx="1">
                  <c:v>0.14304015954157315</c:v>
                </c:pt>
                <c:pt idx="2">
                  <c:v>0.2000833887082398</c:v>
                </c:pt>
                <c:pt idx="3">
                  <c:v>0.23146052418972127</c:v>
                </c:pt>
                <c:pt idx="4">
                  <c:v>0.28942253807861018</c:v>
                </c:pt>
                <c:pt idx="5">
                  <c:v>0.36872614918972113</c:v>
                </c:pt>
                <c:pt idx="6">
                  <c:v>0.42023441307861004</c:v>
                </c:pt>
                <c:pt idx="7">
                  <c:v>0.4562049964119434</c:v>
                </c:pt>
                <c:pt idx="8">
                  <c:v>0.48223028807861018</c:v>
                </c:pt>
                <c:pt idx="9">
                  <c:v>0.50227198946749962</c:v>
                </c:pt>
                <c:pt idx="10">
                  <c:v>0.51840779502305523</c:v>
                </c:pt>
                <c:pt idx="11">
                  <c:v>0.53220273252305528</c:v>
                </c:pt>
                <c:pt idx="12">
                  <c:v>0.54381001030083298</c:v>
                </c:pt>
                <c:pt idx="13">
                  <c:v>0.5535970936341662</c:v>
                </c:pt>
                <c:pt idx="14">
                  <c:v>0.56190151724527748</c:v>
                </c:pt>
                <c:pt idx="15">
                  <c:v>0.56904288530083291</c:v>
                </c:pt>
                <c:pt idx="16">
                  <c:v>0.57517445474527706</c:v>
                </c:pt>
                <c:pt idx="17">
                  <c:v>0.58068216307861054</c:v>
                </c:pt>
                <c:pt idx="18">
                  <c:v>0.58559140613416638</c:v>
                </c:pt>
                <c:pt idx="19">
                  <c:v>0.59000340960638875</c:v>
                </c:pt>
                <c:pt idx="20">
                  <c:v>0.5939959672452777</c:v>
                </c:pt>
                <c:pt idx="21">
                  <c:v>0.59570523113416651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20-4204-B15E-CE764D19F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880912"/>
        <c:axId val="687872712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1"/>
          <c:min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Recovery Factor</a:t>
                </a:r>
              </a:p>
            </c:rich>
          </c:tx>
          <c:layout>
            <c:manualLayout>
              <c:xMode val="edge"/>
              <c:yMode val="edge"/>
              <c:x val="1.4441782543139554E-2"/>
              <c:y val="0.2835181391427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.000000000000001E-2"/>
        <c:minorUnit val="1.0000000000000002E-2"/>
      </c:valAx>
      <c:valAx>
        <c:axId val="687872712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Oil Recovery Factor</a:t>
                </a:r>
              </a:p>
            </c:rich>
          </c:tx>
          <c:layout>
            <c:manualLayout>
              <c:xMode val="edge"/>
              <c:yMode val="edge"/>
              <c:x val="0.94527140224493211"/>
              <c:y val="0.304318007897553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880912"/>
        <c:crosses val="max"/>
        <c:crossBetween val="midCat"/>
        <c:majorUnit val="0.25"/>
      </c:valAx>
      <c:valAx>
        <c:axId val="68788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7872712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1423291804877931"/>
          <c:y val="0.14447878220704766"/>
          <c:w val="0.16579862318212726"/>
          <c:h val="0.1385664579273021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88398048193496"/>
          <c:y val="2.8379772961816305E-2"/>
          <c:w val="0.8645575998470123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Developed reserve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O'!$A$12:$A$31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O'!$C$12:$C$31</c:f>
              <c:numCache>
                <c:formatCode>0.00</c:formatCode>
                <c:ptCount val="20"/>
                <c:pt idx="0">
                  <c:v>26.149221894179433</c:v>
                </c:pt>
                <c:pt idx="1">
                  <c:v>28.575737106052902</c:v>
                </c:pt>
                <c:pt idx="2">
                  <c:v>31.206766451308901</c:v>
                </c:pt>
                <c:pt idx="3">
                  <c:v>33.60758068650992</c:v>
                </c:pt>
                <c:pt idx="4">
                  <c:v>37.302029360881036</c:v>
                </c:pt>
                <c:pt idx="5">
                  <c:v>40.454911373489516</c:v>
                </c:pt>
                <c:pt idx="6">
                  <c:v>43.928018398361097</c:v>
                </c:pt>
                <c:pt idx="7">
                  <c:v>48.101738415824002</c:v>
                </c:pt>
                <c:pt idx="8">
                  <c:v>53.098182793387636</c:v>
                </c:pt>
                <c:pt idx="9">
                  <c:v>56.984513704230096</c:v>
                </c:pt>
                <c:pt idx="10">
                  <c:v>59.975899541097483</c:v>
                </c:pt>
                <c:pt idx="11">
                  <c:v>64.391188311823882</c:v>
                </c:pt>
                <c:pt idx="12">
                  <c:v>67.724450855918562</c:v>
                </c:pt>
                <c:pt idx="13">
                  <c:v>70.153361527155354</c:v>
                </c:pt>
                <c:pt idx="14">
                  <c:v>74.516035505670501</c:v>
                </c:pt>
                <c:pt idx="15">
                  <c:v>77.66677987814856</c:v>
                </c:pt>
                <c:pt idx="16">
                  <c:v>81.617240872925777</c:v>
                </c:pt>
                <c:pt idx="17">
                  <c:v>83.977679163197095</c:v>
                </c:pt>
                <c:pt idx="18">
                  <c:v>85.894752932666847</c:v>
                </c:pt>
                <c:pt idx="19">
                  <c:v>87.334729000434223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DE-4C2C-9B74-31FBBECAF4E8}"/>
            </c:ext>
          </c:extLst>
        </c:ser>
        <c:ser>
          <c:idx val="1"/>
          <c:order val="1"/>
          <c:tx>
            <c:v>V*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O'!$M$25:$M$27</c:f>
              <c:numCache>
                <c:formatCode>General</c:formatCode>
                <c:ptCount val="3"/>
                <c:pt idx="0">
                  <c:v>1</c:v>
                </c:pt>
                <c:pt idx="1">
                  <c:v>21</c:v>
                </c:pt>
              </c:numCache>
            </c:numRef>
          </c:xVal>
          <c:yVal>
            <c:numRef>
              <c:f>'Appendix O'!$L$25:$L$26</c:f>
              <c:numCache>
                <c:formatCode>0</c:formatCode>
                <c:ptCount val="2"/>
                <c:pt idx="0">
                  <c:v>61.981590666064669</c:v>
                </c:pt>
                <c:pt idx="1">
                  <c:v>61.981590666064669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DE-4C2C-9B74-31FBBECAF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1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Value per barrel ($/bbl)</a:t>
                </a:r>
              </a:p>
            </c:rich>
          </c:tx>
          <c:layout>
            <c:manualLayout>
              <c:xMode val="edge"/>
              <c:yMode val="edge"/>
              <c:x val="4.421124577203576E-3"/>
              <c:y val="0.226697400100125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5597022093389412"/>
          <c:y val="0.61509737500713269"/>
          <c:w val="0.23843592163246416"/>
          <c:h val="0.1012277059268785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08915172165535"/>
          <c:y val="4.4221394177471209E-2"/>
          <c:w val="0.82452622965682421"/>
          <c:h val="0.81571316263719873"/>
        </c:manualLayout>
      </c:layout>
      <c:scatterChart>
        <c:scatterStyle val="smoothMarker"/>
        <c:varyColors val="0"/>
        <c:ser>
          <c:idx val="0"/>
          <c:order val="0"/>
          <c:tx>
            <c:v>Value of Undeveloped Reserve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O'!$A$12:$A$31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O'!$D$12:$D$31</c:f>
              <c:numCache>
                <c:formatCode>0.00</c:formatCode>
                <c:ptCount val="20"/>
                <c:pt idx="0">
                  <c:v>17.854702992347235</c:v>
                </c:pt>
                <c:pt idx="1">
                  <c:v>19.888677698595174</c:v>
                </c:pt>
                <c:pt idx="2">
                  <c:v>22.136545785644763</c:v>
                </c:pt>
                <c:pt idx="3">
                  <c:v>24.223835338569781</c:v>
                </c:pt>
                <c:pt idx="4">
                  <c:v>27.498590107635824</c:v>
                </c:pt>
                <c:pt idx="5">
                  <c:v>30.349524509024242</c:v>
                </c:pt>
                <c:pt idx="6">
                  <c:v>33.545911936940314</c:v>
                </c:pt>
                <c:pt idx="7">
                  <c:v>37.459617057473686</c:v>
                </c:pt>
                <c:pt idx="8">
                  <c:v>42.241744608552921</c:v>
                </c:pt>
                <c:pt idx="9">
                  <c:v>46.029637053609832</c:v>
                </c:pt>
                <c:pt idx="10">
                  <c:v>48.983674396485277</c:v>
                </c:pt>
                <c:pt idx="11">
                  <c:v>53.401905906136953</c:v>
                </c:pt>
                <c:pt idx="12">
                  <c:v>56.781228237990483</c:v>
                </c:pt>
                <c:pt idx="13">
                  <c:v>59.266509929412003</c:v>
                </c:pt>
                <c:pt idx="14">
                  <c:v>63.776907159546397</c:v>
                </c:pt>
                <c:pt idx="15">
                  <c:v>67.070160516103968</c:v>
                </c:pt>
                <c:pt idx="16">
                  <c:v>71.240108947237076</c:v>
                </c:pt>
                <c:pt idx="17">
                  <c:v>73.752697014718379</c:v>
                </c:pt>
                <c:pt idx="18">
                  <c:v>75.804605504233805</c:v>
                </c:pt>
                <c:pt idx="19">
                  <c:v>77.352383845087232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03-4B1A-867F-191245425733}"/>
            </c:ext>
          </c:extLst>
        </c:ser>
        <c:ser>
          <c:idx val="1"/>
          <c:order val="1"/>
          <c:tx>
            <c:v>Value of developed Reserve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O'!$A$12:$A$31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O'!$C$12:$C$31</c:f>
              <c:numCache>
                <c:formatCode>0.00</c:formatCode>
                <c:ptCount val="20"/>
                <c:pt idx="0">
                  <c:v>26.149221894179433</c:v>
                </c:pt>
                <c:pt idx="1">
                  <c:v>28.575737106052902</c:v>
                </c:pt>
                <c:pt idx="2">
                  <c:v>31.206766451308901</c:v>
                </c:pt>
                <c:pt idx="3">
                  <c:v>33.60758068650992</c:v>
                </c:pt>
                <c:pt idx="4">
                  <c:v>37.302029360881036</c:v>
                </c:pt>
                <c:pt idx="5">
                  <c:v>40.454911373489516</c:v>
                </c:pt>
                <c:pt idx="6">
                  <c:v>43.928018398361097</c:v>
                </c:pt>
                <c:pt idx="7">
                  <c:v>48.101738415824002</c:v>
                </c:pt>
                <c:pt idx="8">
                  <c:v>53.098182793387636</c:v>
                </c:pt>
                <c:pt idx="9">
                  <c:v>56.984513704230096</c:v>
                </c:pt>
                <c:pt idx="10">
                  <c:v>59.975899541097483</c:v>
                </c:pt>
                <c:pt idx="11">
                  <c:v>64.391188311823882</c:v>
                </c:pt>
                <c:pt idx="12">
                  <c:v>67.724450855918562</c:v>
                </c:pt>
                <c:pt idx="13">
                  <c:v>70.153361527155354</c:v>
                </c:pt>
                <c:pt idx="14">
                  <c:v>74.516035505670501</c:v>
                </c:pt>
                <c:pt idx="15">
                  <c:v>77.66677987814856</c:v>
                </c:pt>
                <c:pt idx="16">
                  <c:v>81.617240872925777</c:v>
                </c:pt>
                <c:pt idx="17">
                  <c:v>83.977679163197095</c:v>
                </c:pt>
                <c:pt idx="18">
                  <c:v>85.894752932666847</c:v>
                </c:pt>
                <c:pt idx="19">
                  <c:v>87.334729000434223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03-4B1A-867F-191245425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7593419948792753"/>
              <c:y val="0.925573228346456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100"/>
          <c:min val="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Value per barrel ($/bbl)</a:t>
                </a:r>
              </a:p>
            </c:rich>
          </c:tx>
          <c:layout>
            <c:manualLayout>
              <c:xMode val="edge"/>
              <c:yMode val="edge"/>
              <c:x val="2.8980717138667747E-2"/>
              <c:y val="0.19061754405003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7392726244729042"/>
          <c:y val="0.60845416435513699"/>
          <c:w val="0.36867957138315804"/>
          <c:h val="0.1131955677257136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29862309991999"/>
          <c:y val="2.8379772961816305E-2"/>
          <c:w val="0.82797726220051371"/>
          <c:h val="0.85531717027318876"/>
        </c:manualLayout>
      </c:layout>
      <c:scatterChart>
        <c:scatterStyle val="smoothMarker"/>
        <c:varyColors val="0"/>
        <c:ser>
          <c:idx val="1"/>
          <c:order val="0"/>
          <c:tx>
            <c:v>Option Value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O'!$A$12:$A$31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O'!$G$12:$G$31</c:f>
              <c:numCache>
                <c:formatCode>_("$"* #,##0.00_);_("$"* \(#,##0.00\);_("$"* "-"??_);_(@_)</c:formatCode>
                <c:ptCount val="20"/>
                <c:pt idx="0">
                  <c:v>75063439.239628762</c:v>
                </c:pt>
                <c:pt idx="1">
                  <c:v>83180863.888933331</c:v>
                </c:pt>
                <c:pt idx="2">
                  <c:v>92112146.176638871</c:v>
                </c:pt>
                <c:pt idx="3">
                  <c:v>100372231.05283593</c:v>
                </c:pt>
                <c:pt idx="4">
                  <c:v>113274820.54806162</c:v>
                </c:pt>
                <c:pt idx="5">
                  <c:v>124457751.21937712</c:v>
                </c:pt>
                <c:pt idx="6">
                  <c:v>136947206.0130496</c:v>
                </c:pt>
                <c:pt idx="7">
                  <c:v>152177612.5111329</c:v>
                </c:pt>
                <c:pt idx="8">
                  <c:v>170706358.51093608</c:v>
                </c:pt>
                <c:pt idx="9">
                  <c:v>185326864.04474872</c:v>
                </c:pt>
                <c:pt idx="10">
                  <c:v>196697906.73725131</c:v>
                </c:pt>
                <c:pt idx="11">
                  <c:v>213658937.67485717</c:v>
                </c:pt>
                <c:pt idx="12">
                  <c:v>226597332.76047343</c:v>
                </c:pt>
                <c:pt idx="13">
                  <c:v>236095056.08195776</c:v>
                </c:pt>
                <c:pt idx="14">
                  <c:v>253296278.22907138</c:v>
                </c:pt>
                <c:pt idx="15">
                  <c:v>265828496.60178334</c:v>
                </c:pt>
                <c:pt idx="16">
                  <c:v>281666257.70358163</c:v>
                </c:pt>
                <c:pt idx="17">
                  <c:v>291193623.57955217</c:v>
                </c:pt>
                <c:pt idx="18">
                  <c:v>298965852.3579917</c:v>
                </c:pt>
                <c:pt idx="19">
                  <c:v>304823749.36128211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A6-4C06-8E4E-431AB6C4377D}"/>
            </c:ext>
          </c:extLst>
        </c:ser>
        <c:ser>
          <c:idx val="0"/>
          <c:order val="1"/>
          <c:tx>
            <c:v>Discounted Option Value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O'!$A$12:$A$31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O'!$H$12:$H$31</c:f>
              <c:numCache>
                <c:formatCode>_("$"* #,##0_);_("$"* \(#,##0\);_("$"* "-"??_);_(@_)</c:formatCode>
                <c:ptCount val="20"/>
                <c:pt idx="0">
                  <c:v>75063439.239628762</c:v>
                </c:pt>
                <c:pt idx="1">
                  <c:v>75618967.171757564</c:v>
                </c:pt>
                <c:pt idx="2">
                  <c:v>76125740.641850293</c:v>
                </c:pt>
                <c:pt idx="3">
                  <c:v>75411142.789508566</c:v>
                </c:pt>
                <c:pt idx="4">
                  <c:v>77368226.588389859</c:v>
                </c:pt>
                <c:pt idx="5">
                  <c:v>77278471.552102789</c:v>
                </c:pt>
                <c:pt idx="6">
                  <c:v>77303127.588070378</c:v>
                </c:pt>
                <c:pt idx="7">
                  <c:v>78091177.27305457</c:v>
                </c:pt>
                <c:pt idx="8">
                  <c:v>79635776.094080284</c:v>
                </c:pt>
                <c:pt idx="9">
                  <c:v>78596681.66181919</c:v>
                </c:pt>
                <c:pt idx="10">
                  <c:v>75835557.987383068</c:v>
                </c:pt>
                <c:pt idx="11">
                  <c:v>74886154.224712431</c:v>
                </c:pt>
                <c:pt idx="12">
                  <c:v>72200893.428455412</c:v>
                </c:pt>
                <c:pt idx="13">
                  <c:v>68388327.978878811</c:v>
                </c:pt>
                <c:pt idx="14">
                  <c:v>66700826.657123126</c:v>
                </c:pt>
                <c:pt idx="15">
                  <c:v>63637228.5822246</c:v>
                </c:pt>
                <c:pt idx="16">
                  <c:v>61298784.245275736</c:v>
                </c:pt>
                <c:pt idx="17">
                  <c:v>57611106.042927049</c:v>
                </c:pt>
                <c:pt idx="18">
                  <c:v>53771636.429285012</c:v>
                </c:pt>
                <c:pt idx="19">
                  <c:v>49841118.814281479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A6-4C06-8E4E-431AB6C43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350000000"/>
          <c:min val="2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Option</a:t>
                </a:r>
                <a:r>
                  <a:rPr lang="en-US" sz="1000" b="1" baseline="0"/>
                  <a:t> Value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1.9410911366325879E-2"/>
              <c:y val="0.34402143713984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7179603351720076"/>
          <c:y val="0.48240200522392984"/>
          <c:w val="0.31890302749589455"/>
          <c:h val="9.6235193712422271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latin typeface="Arial" panose="020B0604020202020204" pitchFamily="34" charset="0"/>
                <a:cs typeface="Arial" panose="020B0604020202020204" pitchFamily="34" charset="0"/>
              </a:rPr>
              <a:t>Polymer</a:t>
            </a:r>
            <a:r>
              <a:rPr lang="en-US" sz="1000" b="1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000" b="1">
                <a:latin typeface="Arial" panose="020B0604020202020204" pitchFamily="34" charset="0"/>
                <a:cs typeface="Arial" panose="020B0604020202020204" pitchFamily="34" charset="0"/>
              </a:rPr>
              <a:t>flooding</a:t>
            </a:r>
          </a:p>
        </c:rich>
      </c:tx>
      <c:layout>
        <c:manualLayout>
          <c:xMode val="edge"/>
          <c:yMode val="edge"/>
          <c:x val="0.46160348983798777"/>
          <c:y val="3.4013110925592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'Appendix P'!$A$35:$A$1034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'Appendix P'!$AS$35:$AS$1034</c:f>
              <c:numCache>
                <c:formatCode>_("$"* #,##0_);_("$"* \(#,##0\);_("$"* "-"??_);_(@_)</c:formatCode>
                <c:ptCount val="1000"/>
                <c:pt idx="0">
                  <c:v>96876561.973595738</c:v>
                </c:pt>
                <c:pt idx="1">
                  <c:v>246551553.32835466</c:v>
                </c:pt>
                <c:pt idx="2">
                  <c:v>133587103.41064134</c:v>
                </c:pt>
                <c:pt idx="3">
                  <c:v>105679750.53950194</c:v>
                </c:pt>
                <c:pt idx="4">
                  <c:v>87062305.997011393</c:v>
                </c:pt>
                <c:pt idx="5">
                  <c:v>32709245.367569596</c:v>
                </c:pt>
                <c:pt idx="6">
                  <c:v>33949654.735848345</c:v>
                </c:pt>
                <c:pt idx="7">
                  <c:v>58129692.983298339</c:v>
                </c:pt>
                <c:pt idx="8">
                  <c:v>121440527.10545221</c:v>
                </c:pt>
                <c:pt idx="9">
                  <c:v>16194905.567400552</c:v>
                </c:pt>
                <c:pt idx="10">
                  <c:v>140907846.90704927</c:v>
                </c:pt>
                <c:pt idx="11">
                  <c:v>60564380.525852419</c:v>
                </c:pt>
                <c:pt idx="12">
                  <c:v>103919734.11315262</c:v>
                </c:pt>
                <c:pt idx="13">
                  <c:v>62557113.099624597</c:v>
                </c:pt>
                <c:pt idx="14">
                  <c:v>67803567.877475828</c:v>
                </c:pt>
                <c:pt idx="15">
                  <c:v>88718106.664158672</c:v>
                </c:pt>
                <c:pt idx="16">
                  <c:v>88050621.20103547</c:v>
                </c:pt>
                <c:pt idx="17">
                  <c:v>131382489.39715901</c:v>
                </c:pt>
                <c:pt idx="18">
                  <c:v>153113528.4907476</c:v>
                </c:pt>
                <c:pt idx="19">
                  <c:v>346093390.7382645</c:v>
                </c:pt>
                <c:pt idx="20">
                  <c:v>36517556.374924503</c:v>
                </c:pt>
                <c:pt idx="21">
                  <c:v>203950911.74842328</c:v>
                </c:pt>
                <c:pt idx="22">
                  <c:v>44492632.756686755</c:v>
                </c:pt>
                <c:pt idx="23">
                  <c:v>69547737.321769029</c:v>
                </c:pt>
                <c:pt idx="24">
                  <c:v>112810423.77155259</c:v>
                </c:pt>
                <c:pt idx="25">
                  <c:v>173916286.84276164</c:v>
                </c:pt>
                <c:pt idx="26">
                  <c:v>142314581.46178627</c:v>
                </c:pt>
                <c:pt idx="27">
                  <c:v>242498060.45677906</c:v>
                </c:pt>
                <c:pt idx="28">
                  <c:v>55135296.42174717</c:v>
                </c:pt>
                <c:pt idx="29">
                  <c:v>153487073.54876384</c:v>
                </c:pt>
                <c:pt idx="30">
                  <c:v>61717774.847787343</c:v>
                </c:pt>
                <c:pt idx="31">
                  <c:v>28797610.364579469</c:v>
                </c:pt>
                <c:pt idx="32">
                  <c:v>41724846.338019602</c:v>
                </c:pt>
                <c:pt idx="33">
                  <c:v>39898259.928013422</c:v>
                </c:pt>
                <c:pt idx="34">
                  <c:v>18995934.78804443</c:v>
                </c:pt>
                <c:pt idx="35">
                  <c:v>58534642.928059511</c:v>
                </c:pt>
                <c:pt idx="36">
                  <c:v>39727372.536385126</c:v>
                </c:pt>
                <c:pt idx="37">
                  <c:v>36667632.984383218</c:v>
                </c:pt>
                <c:pt idx="38">
                  <c:v>78139741.717587203</c:v>
                </c:pt>
                <c:pt idx="39">
                  <c:v>54014234.479517139</c:v>
                </c:pt>
                <c:pt idx="40">
                  <c:v>50859729.264329456</c:v>
                </c:pt>
                <c:pt idx="41">
                  <c:v>55780709.612105347</c:v>
                </c:pt>
                <c:pt idx="42">
                  <c:v>101155400.95503691</c:v>
                </c:pt>
                <c:pt idx="43">
                  <c:v>33619737.654029019</c:v>
                </c:pt>
                <c:pt idx="44">
                  <c:v>78662813.505804658</c:v>
                </c:pt>
                <c:pt idx="45">
                  <c:v>92510512.713588595</c:v>
                </c:pt>
                <c:pt idx="46">
                  <c:v>47938002.634131528</c:v>
                </c:pt>
                <c:pt idx="47">
                  <c:v>111369589.95762655</c:v>
                </c:pt>
                <c:pt idx="48">
                  <c:v>107878500.67613432</c:v>
                </c:pt>
                <c:pt idx="49">
                  <c:v>59018944.096013151</c:v>
                </c:pt>
                <c:pt idx="50">
                  <c:v>157302332.66400716</c:v>
                </c:pt>
                <c:pt idx="51">
                  <c:v>35513126.850814663</c:v>
                </c:pt>
                <c:pt idx="52">
                  <c:v>126176901.30658394</c:v>
                </c:pt>
                <c:pt idx="53">
                  <c:v>32842518.535528675</c:v>
                </c:pt>
                <c:pt idx="54">
                  <c:v>37604494.626958005</c:v>
                </c:pt>
                <c:pt idx="55">
                  <c:v>44896479.031974889</c:v>
                </c:pt>
                <c:pt idx="56">
                  <c:v>43428563.253940381</c:v>
                </c:pt>
                <c:pt idx="57">
                  <c:v>86123164.936917871</c:v>
                </c:pt>
                <c:pt idx="58">
                  <c:v>48372894.729525335</c:v>
                </c:pt>
                <c:pt idx="59">
                  <c:v>6788387.083201997</c:v>
                </c:pt>
                <c:pt idx="60">
                  <c:v>45344659.543464608</c:v>
                </c:pt>
                <c:pt idx="61">
                  <c:v>1376162.5285722539</c:v>
                </c:pt>
                <c:pt idx="62">
                  <c:v>189007503.66563517</c:v>
                </c:pt>
                <c:pt idx="63">
                  <c:v>84630405.944765747</c:v>
                </c:pt>
                <c:pt idx="64">
                  <c:v>113438978.34493491</c:v>
                </c:pt>
                <c:pt idx="65">
                  <c:v>93501069.289489985</c:v>
                </c:pt>
                <c:pt idx="66">
                  <c:v>72026290.867097884</c:v>
                </c:pt>
                <c:pt idx="67">
                  <c:v>99917546.690780997</c:v>
                </c:pt>
                <c:pt idx="68">
                  <c:v>163133442.73879948</c:v>
                </c:pt>
                <c:pt idx="69">
                  <c:v>370902199.42355883</c:v>
                </c:pt>
                <c:pt idx="70">
                  <c:v>110929142.76189813</c:v>
                </c:pt>
                <c:pt idx="71">
                  <c:v>116951341.89652023</c:v>
                </c:pt>
                <c:pt idx="72">
                  <c:v>146169324.12182489</c:v>
                </c:pt>
                <c:pt idx="73">
                  <c:v>98731351.107308567</c:v>
                </c:pt>
                <c:pt idx="74">
                  <c:v>64738847.229420133</c:v>
                </c:pt>
                <c:pt idx="75">
                  <c:v>107679616.01343963</c:v>
                </c:pt>
                <c:pt idx="76">
                  <c:v>67749917.765366524</c:v>
                </c:pt>
                <c:pt idx="77">
                  <c:v>40016327.630650036</c:v>
                </c:pt>
                <c:pt idx="78">
                  <c:v>131114208.68212524</c:v>
                </c:pt>
                <c:pt idx="79">
                  <c:v>40080342.98629988</c:v>
                </c:pt>
                <c:pt idx="80">
                  <c:v>92091198.910984844</c:v>
                </c:pt>
                <c:pt idx="81">
                  <c:v>61558346.304578342</c:v>
                </c:pt>
                <c:pt idx="82">
                  <c:v>147530545.99303198</c:v>
                </c:pt>
                <c:pt idx="83">
                  <c:v>57963228.229732893</c:v>
                </c:pt>
                <c:pt idx="84">
                  <c:v>104481947.49310651</c:v>
                </c:pt>
                <c:pt idx="85">
                  <c:v>113389455.20462888</c:v>
                </c:pt>
                <c:pt idx="86">
                  <c:v>25930179.624946684</c:v>
                </c:pt>
                <c:pt idx="87">
                  <c:v>100301120.72902131</c:v>
                </c:pt>
                <c:pt idx="88">
                  <c:v>34253364.497277535</c:v>
                </c:pt>
                <c:pt idx="89">
                  <c:v>82635054.330571115</c:v>
                </c:pt>
                <c:pt idx="90">
                  <c:v>116534609.06169334</c:v>
                </c:pt>
                <c:pt idx="91">
                  <c:v>49109189.688016854</c:v>
                </c:pt>
                <c:pt idx="92">
                  <c:v>54777738.609564148</c:v>
                </c:pt>
                <c:pt idx="93">
                  <c:v>102319620.9294174</c:v>
                </c:pt>
                <c:pt idx="94">
                  <c:v>47108907.444793932</c:v>
                </c:pt>
                <c:pt idx="95">
                  <c:v>56068537.166845106</c:v>
                </c:pt>
                <c:pt idx="96">
                  <c:v>123723904.5816355</c:v>
                </c:pt>
                <c:pt idx="97">
                  <c:v>57900090.131815501</c:v>
                </c:pt>
                <c:pt idx="98">
                  <c:v>159399755.27868938</c:v>
                </c:pt>
                <c:pt idx="99">
                  <c:v>151713041.56920421</c:v>
                </c:pt>
                <c:pt idx="100">
                  <c:v>70669544.166901022</c:v>
                </c:pt>
                <c:pt idx="101">
                  <c:v>127779002.02283159</c:v>
                </c:pt>
                <c:pt idx="102">
                  <c:v>37893820.733226858</c:v>
                </c:pt>
                <c:pt idx="103">
                  <c:v>42163692.945154659</c:v>
                </c:pt>
                <c:pt idx="104">
                  <c:v>95189006.484823793</c:v>
                </c:pt>
                <c:pt idx="105">
                  <c:v>37910020.407941021</c:v>
                </c:pt>
                <c:pt idx="106">
                  <c:v>120234263.67259338</c:v>
                </c:pt>
                <c:pt idx="107">
                  <c:v>76470783.979860008</c:v>
                </c:pt>
                <c:pt idx="108">
                  <c:v>91546960.895589143</c:v>
                </c:pt>
                <c:pt idx="109">
                  <c:v>119474928.60499313</c:v>
                </c:pt>
                <c:pt idx="110">
                  <c:v>167331622.04678336</c:v>
                </c:pt>
                <c:pt idx="111">
                  <c:v>39598662.713099398</c:v>
                </c:pt>
                <c:pt idx="112">
                  <c:v>24916211.514243528</c:v>
                </c:pt>
                <c:pt idx="113">
                  <c:v>118986468.3548395</c:v>
                </c:pt>
                <c:pt idx="114">
                  <c:v>105985792.8467018</c:v>
                </c:pt>
                <c:pt idx="115">
                  <c:v>15258503.107532248</c:v>
                </c:pt>
                <c:pt idx="116">
                  <c:v>70278952.454953969</c:v>
                </c:pt>
                <c:pt idx="117">
                  <c:v>152687295.75612852</c:v>
                </c:pt>
                <c:pt idx="118">
                  <c:v>38797478.040392004</c:v>
                </c:pt>
                <c:pt idx="119">
                  <c:v>162148916.75725073</c:v>
                </c:pt>
                <c:pt idx="120">
                  <c:v>174109740.00279921</c:v>
                </c:pt>
                <c:pt idx="121">
                  <c:v>68565910.371679604</c:v>
                </c:pt>
                <c:pt idx="122">
                  <c:v>75556897.634160876</c:v>
                </c:pt>
                <c:pt idx="123">
                  <c:v>91998562.651268423</c:v>
                </c:pt>
                <c:pt idx="124">
                  <c:v>146708359.4945133</c:v>
                </c:pt>
                <c:pt idx="125">
                  <c:v>6274087.9507575184</c:v>
                </c:pt>
                <c:pt idx="126">
                  <c:v>62081164.80064816</c:v>
                </c:pt>
                <c:pt idx="127">
                  <c:v>156496712.1987499</c:v>
                </c:pt>
                <c:pt idx="128">
                  <c:v>74125822.894547045</c:v>
                </c:pt>
                <c:pt idx="129">
                  <c:v>118667140.43911186</c:v>
                </c:pt>
                <c:pt idx="130">
                  <c:v>66294719.842612155</c:v>
                </c:pt>
                <c:pt idx="131">
                  <c:v>57895410.652349807</c:v>
                </c:pt>
                <c:pt idx="132">
                  <c:v>59527460.887411349</c:v>
                </c:pt>
                <c:pt idx="133">
                  <c:v>63029638.982465021</c:v>
                </c:pt>
                <c:pt idx="134">
                  <c:v>138721884.28459486</c:v>
                </c:pt>
                <c:pt idx="135">
                  <c:v>74025374.248564303</c:v>
                </c:pt>
                <c:pt idx="136">
                  <c:v>45797791.810804091</c:v>
                </c:pt>
                <c:pt idx="137">
                  <c:v>56912139.179073878</c:v>
                </c:pt>
                <c:pt idx="138">
                  <c:v>86250474.859455496</c:v>
                </c:pt>
                <c:pt idx="139">
                  <c:v>134952931.83691335</c:v>
                </c:pt>
                <c:pt idx="140">
                  <c:v>27224771.957679011</c:v>
                </c:pt>
                <c:pt idx="141">
                  <c:v>71197405.077672333</c:v>
                </c:pt>
                <c:pt idx="142">
                  <c:v>57599195.483960681</c:v>
                </c:pt>
                <c:pt idx="143">
                  <c:v>48333571.60977342</c:v>
                </c:pt>
                <c:pt idx="144">
                  <c:v>96688977.378104717</c:v>
                </c:pt>
                <c:pt idx="145">
                  <c:v>196836508.10497081</c:v>
                </c:pt>
                <c:pt idx="146">
                  <c:v>29175811.491632693</c:v>
                </c:pt>
                <c:pt idx="147">
                  <c:v>100770626.83646256</c:v>
                </c:pt>
                <c:pt idx="148">
                  <c:v>63417742.37574359</c:v>
                </c:pt>
                <c:pt idx="149">
                  <c:v>95796839.940604568</c:v>
                </c:pt>
                <c:pt idx="150">
                  <c:v>71325431.462343723</c:v>
                </c:pt>
                <c:pt idx="151">
                  <c:v>27105055.850870572</c:v>
                </c:pt>
                <c:pt idx="152">
                  <c:v>156692097.01730761</c:v>
                </c:pt>
                <c:pt idx="153">
                  <c:v>53322537.863882266</c:v>
                </c:pt>
                <c:pt idx="154">
                  <c:v>16683211.117154576</c:v>
                </c:pt>
                <c:pt idx="155">
                  <c:v>25069423.767220438</c:v>
                </c:pt>
                <c:pt idx="156">
                  <c:v>95765372.667070657</c:v>
                </c:pt>
                <c:pt idx="157">
                  <c:v>76203748.10973978</c:v>
                </c:pt>
                <c:pt idx="158">
                  <c:v>76492354.534866154</c:v>
                </c:pt>
                <c:pt idx="159">
                  <c:v>158279867.31080332</c:v>
                </c:pt>
                <c:pt idx="160">
                  <c:v>35025935.766273312</c:v>
                </c:pt>
                <c:pt idx="161">
                  <c:v>88123189.966506183</c:v>
                </c:pt>
                <c:pt idx="162">
                  <c:v>85959165.747538745</c:v>
                </c:pt>
                <c:pt idx="163">
                  <c:v>73015397.183470339</c:v>
                </c:pt>
                <c:pt idx="164">
                  <c:v>31667563.707169943</c:v>
                </c:pt>
                <c:pt idx="165">
                  <c:v>90434744.188257247</c:v>
                </c:pt>
                <c:pt idx="166">
                  <c:v>18147126.213098682</c:v>
                </c:pt>
                <c:pt idx="167">
                  <c:v>44580840.012883119</c:v>
                </c:pt>
                <c:pt idx="168">
                  <c:v>70863692.484526485</c:v>
                </c:pt>
                <c:pt idx="169">
                  <c:v>137783064.54520214</c:v>
                </c:pt>
                <c:pt idx="170">
                  <c:v>145389949.9077912</c:v>
                </c:pt>
                <c:pt idx="171">
                  <c:v>137832953.76277983</c:v>
                </c:pt>
                <c:pt idx="172">
                  <c:v>40766515.058282949</c:v>
                </c:pt>
                <c:pt idx="173">
                  <c:v>24342347.164802201</c:v>
                </c:pt>
                <c:pt idx="174">
                  <c:v>93027744.661247432</c:v>
                </c:pt>
                <c:pt idx="175">
                  <c:v>19550601.156050287</c:v>
                </c:pt>
                <c:pt idx="176">
                  <c:v>11557230.397118807</c:v>
                </c:pt>
                <c:pt idx="177">
                  <c:v>50582437.382613651</c:v>
                </c:pt>
                <c:pt idx="178">
                  <c:v>21078881.911391936</c:v>
                </c:pt>
                <c:pt idx="179">
                  <c:v>69050857.662452936</c:v>
                </c:pt>
                <c:pt idx="180">
                  <c:v>120074790.78307822</c:v>
                </c:pt>
                <c:pt idx="181">
                  <c:v>95642049.527412415</c:v>
                </c:pt>
                <c:pt idx="182">
                  <c:v>74020949.25522086</c:v>
                </c:pt>
                <c:pt idx="183">
                  <c:v>179278038.62022415</c:v>
                </c:pt>
                <c:pt idx="184">
                  <c:v>66948262.357909523</c:v>
                </c:pt>
                <c:pt idx="185">
                  <c:v>60721391.920013063</c:v>
                </c:pt>
                <c:pt idx="186">
                  <c:v>12350718.995289676</c:v>
                </c:pt>
                <c:pt idx="187">
                  <c:v>112196231.10497075</c:v>
                </c:pt>
                <c:pt idx="188">
                  <c:v>96631956.426786542</c:v>
                </c:pt>
                <c:pt idx="189">
                  <c:v>92998537.102062583</c:v>
                </c:pt>
                <c:pt idx="190">
                  <c:v>179201778.58532003</c:v>
                </c:pt>
                <c:pt idx="191">
                  <c:v>42905226.572153471</c:v>
                </c:pt>
                <c:pt idx="192">
                  <c:v>36892512.885704793</c:v>
                </c:pt>
                <c:pt idx="193">
                  <c:v>55465649.665697865</c:v>
                </c:pt>
                <c:pt idx="194">
                  <c:v>87852943.011579573</c:v>
                </c:pt>
                <c:pt idx="195">
                  <c:v>82312340.570672423</c:v>
                </c:pt>
                <c:pt idx="196">
                  <c:v>25134862.095765926</c:v>
                </c:pt>
                <c:pt idx="197">
                  <c:v>43183206.381998919</c:v>
                </c:pt>
                <c:pt idx="198">
                  <c:v>170999040.71261215</c:v>
                </c:pt>
                <c:pt idx="199">
                  <c:v>19790507.325177625</c:v>
                </c:pt>
                <c:pt idx="200">
                  <c:v>136017239.93524691</c:v>
                </c:pt>
                <c:pt idx="201">
                  <c:v>120260478.95277825</c:v>
                </c:pt>
                <c:pt idx="202">
                  <c:v>138813818.58620477</c:v>
                </c:pt>
                <c:pt idx="203">
                  <c:v>21523241.981166728</c:v>
                </c:pt>
                <c:pt idx="204">
                  <c:v>19979055.689788267</c:v>
                </c:pt>
                <c:pt idx="205">
                  <c:v>11803877.784671523</c:v>
                </c:pt>
                <c:pt idx="206">
                  <c:v>226472435.26920822</c:v>
                </c:pt>
                <c:pt idx="207">
                  <c:v>149732980.4508335</c:v>
                </c:pt>
                <c:pt idx="208">
                  <c:v>112139476.97493219</c:v>
                </c:pt>
                <c:pt idx="209">
                  <c:v>21925727.181420527</c:v>
                </c:pt>
                <c:pt idx="210">
                  <c:v>41520291.912290268</c:v>
                </c:pt>
                <c:pt idx="211">
                  <c:v>35335644.548521258</c:v>
                </c:pt>
                <c:pt idx="212">
                  <c:v>214499083.70947155</c:v>
                </c:pt>
                <c:pt idx="213">
                  <c:v>25367617.600105062</c:v>
                </c:pt>
                <c:pt idx="214">
                  <c:v>41070400.353872679</c:v>
                </c:pt>
                <c:pt idx="215">
                  <c:v>96744201.401188552</c:v>
                </c:pt>
                <c:pt idx="216">
                  <c:v>81463870.122489601</c:v>
                </c:pt>
                <c:pt idx="217">
                  <c:v>41107519.134743921</c:v>
                </c:pt>
                <c:pt idx="218">
                  <c:v>88927272.486826718</c:v>
                </c:pt>
                <c:pt idx="219">
                  <c:v>27170048.848133862</c:v>
                </c:pt>
                <c:pt idx="220">
                  <c:v>24965105.204803303</c:v>
                </c:pt>
                <c:pt idx="221">
                  <c:v>234862729.88054049</c:v>
                </c:pt>
                <c:pt idx="222">
                  <c:v>38759027.66020637</c:v>
                </c:pt>
                <c:pt idx="223">
                  <c:v>112694951.28139389</c:v>
                </c:pt>
                <c:pt idx="224">
                  <c:v>90286683.778943926</c:v>
                </c:pt>
                <c:pt idx="225">
                  <c:v>141448245.87338912</c:v>
                </c:pt>
                <c:pt idx="226">
                  <c:v>105756659.44860107</c:v>
                </c:pt>
                <c:pt idx="227">
                  <c:v>105867415.49808338</c:v>
                </c:pt>
                <c:pt idx="228">
                  <c:v>106825638.8500042</c:v>
                </c:pt>
                <c:pt idx="229">
                  <c:v>58142373.061627172</c:v>
                </c:pt>
                <c:pt idx="230">
                  <c:v>27151784.196536779</c:v>
                </c:pt>
                <c:pt idx="231">
                  <c:v>113425827.90910777</c:v>
                </c:pt>
                <c:pt idx="232">
                  <c:v>11767327.788925014</c:v>
                </c:pt>
                <c:pt idx="233">
                  <c:v>37856534.216266893</c:v>
                </c:pt>
                <c:pt idx="234">
                  <c:v>110439490.0693008</c:v>
                </c:pt>
                <c:pt idx="235">
                  <c:v>136701858.12874931</c:v>
                </c:pt>
                <c:pt idx="236">
                  <c:v>36574827.174034752</c:v>
                </c:pt>
                <c:pt idx="237">
                  <c:v>57430781.733290784</c:v>
                </c:pt>
                <c:pt idx="238">
                  <c:v>150033215.03473967</c:v>
                </c:pt>
                <c:pt idx="239">
                  <c:v>202962619.98511371</c:v>
                </c:pt>
                <c:pt idx="240">
                  <c:v>51394012.734769337</c:v>
                </c:pt>
                <c:pt idx="241">
                  <c:v>46454148.666491039</c:v>
                </c:pt>
                <c:pt idx="242">
                  <c:v>98067148.269379407</c:v>
                </c:pt>
                <c:pt idx="243">
                  <c:v>59526310.545232378</c:v>
                </c:pt>
                <c:pt idx="244">
                  <c:v>137897159.63136005</c:v>
                </c:pt>
                <c:pt idx="245">
                  <c:v>17366245.845629461</c:v>
                </c:pt>
                <c:pt idx="246">
                  <c:v>115302655.35804719</c:v>
                </c:pt>
                <c:pt idx="247">
                  <c:v>34637540.376448177</c:v>
                </c:pt>
                <c:pt idx="248">
                  <c:v>26363819.558440857</c:v>
                </c:pt>
                <c:pt idx="249">
                  <c:v>63038805.027877189</c:v>
                </c:pt>
                <c:pt idx="250">
                  <c:v>139986975.22134888</c:v>
                </c:pt>
                <c:pt idx="251">
                  <c:v>148283090.73926342</c:v>
                </c:pt>
                <c:pt idx="252">
                  <c:v>47374731.89634984</c:v>
                </c:pt>
                <c:pt idx="253">
                  <c:v>222726682.32465395</c:v>
                </c:pt>
                <c:pt idx="254">
                  <c:v>144672656.05194277</c:v>
                </c:pt>
                <c:pt idx="255">
                  <c:v>45364454.654673733</c:v>
                </c:pt>
                <c:pt idx="256">
                  <c:v>74387850.225582987</c:v>
                </c:pt>
                <c:pt idx="257">
                  <c:v>123492101.1788294</c:v>
                </c:pt>
                <c:pt idx="258">
                  <c:v>53038298.58734522</c:v>
                </c:pt>
                <c:pt idx="259">
                  <c:v>160511483.06100786</c:v>
                </c:pt>
                <c:pt idx="260">
                  <c:v>95110681.172963083</c:v>
                </c:pt>
                <c:pt idx="261">
                  <c:v>36917939.028132327</c:v>
                </c:pt>
                <c:pt idx="262">
                  <c:v>65309151.83154843</c:v>
                </c:pt>
                <c:pt idx="263">
                  <c:v>58157152.932235084</c:v>
                </c:pt>
                <c:pt idx="264">
                  <c:v>91145124.931193382</c:v>
                </c:pt>
                <c:pt idx="265">
                  <c:v>85339074.788224012</c:v>
                </c:pt>
                <c:pt idx="266">
                  <c:v>19739927.317958072</c:v>
                </c:pt>
                <c:pt idx="267">
                  <c:v>132490284.32302451</c:v>
                </c:pt>
                <c:pt idx="268">
                  <c:v>35746109.639724486</c:v>
                </c:pt>
                <c:pt idx="269">
                  <c:v>40432104.142128818</c:v>
                </c:pt>
                <c:pt idx="270">
                  <c:v>48796085.814439036</c:v>
                </c:pt>
                <c:pt idx="271">
                  <c:v>111902377.00633153</c:v>
                </c:pt>
                <c:pt idx="272">
                  <c:v>35736000.35946361</c:v>
                </c:pt>
                <c:pt idx="273">
                  <c:v>44396578.075878836</c:v>
                </c:pt>
                <c:pt idx="274">
                  <c:v>41154740.105786093</c:v>
                </c:pt>
                <c:pt idx="275">
                  <c:v>166753372.34083572</c:v>
                </c:pt>
                <c:pt idx="276">
                  <c:v>142365878.59064364</c:v>
                </c:pt>
                <c:pt idx="277">
                  <c:v>45824183.059171669</c:v>
                </c:pt>
                <c:pt idx="278">
                  <c:v>14086573.763379395</c:v>
                </c:pt>
                <c:pt idx="279">
                  <c:v>28926741.169851832</c:v>
                </c:pt>
                <c:pt idx="280">
                  <c:v>37930795.362290971</c:v>
                </c:pt>
                <c:pt idx="281">
                  <c:v>51854646.391869627</c:v>
                </c:pt>
                <c:pt idx="282">
                  <c:v>122903005.24566668</c:v>
                </c:pt>
                <c:pt idx="283">
                  <c:v>91158897.410144031</c:v>
                </c:pt>
                <c:pt idx="284">
                  <c:v>121024716.25582567</c:v>
                </c:pt>
                <c:pt idx="285">
                  <c:v>43886526.735720597</c:v>
                </c:pt>
                <c:pt idx="286">
                  <c:v>69955098.479663104</c:v>
                </c:pt>
                <c:pt idx="287">
                  <c:v>53596921.544375114</c:v>
                </c:pt>
                <c:pt idx="288">
                  <c:v>70086899.119813532</c:v>
                </c:pt>
                <c:pt idx="289">
                  <c:v>13981616.475359492</c:v>
                </c:pt>
                <c:pt idx="290">
                  <c:v>138621732.02556047</c:v>
                </c:pt>
                <c:pt idx="291">
                  <c:v>54079222.003637202</c:v>
                </c:pt>
                <c:pt idx="292">
                  <c:v>132748294.54422015</c:v>
                </c:pt>
                <c:pt idx="293">
                  <c:v>114912752.7622751</c:v>
                </c:pt>
                <c:pt idx="294">
                  <c:v>5565570.5279785246</c:v>
                </c:pt>
                <c:pt idx="295">
                  <c:v>35026688.606906541</c:v>
                </c:pt>
                <c:pt idx="296">
                  <c:v>98914893.07557255</c:v>
                </c:pt>
                <c:pt idx="297">
                  <c:v>25354896.030685402</c:v>
                </c:pt>
                <c:pt idx="298">
                  <c:v>46760219.658536144</c:v>
                </c:pt>
                <c:pt idx="299">
                  <c:v>59217972.249943741</c:v>
                </c:pt>
                <c:pt idx="300">
                  <c:v>102796062.67776886</c:v>
                </c:pt>
                <c:pt idx="301">
                  <c:v>132736266.24668348</c:v>
                </c:pt>
                <c:pt idx="302">
                  <c:v>90666710.597539455</c:v>
                </c:pt>
                <c:pt idx="303">
                  <c:v>114581143.1836783</c:v>
                </c:pt>
                <c:pt idx="304">
                  <c:v>46452769.147238694</c:v>
                </c:pt>
                <c:pt idx="305">
                  <c:v>18742260.189994566</c:v>
                </c:pt>
                <c:pt idx="306">
                  <c:v>76783524.910628527</c:v>
                </c:pt>
                <c:pt idx="307">
                  <c:v>123809585.6487079</c:v>
                </c:pt>
                <c:pt idx="308">
                  <c:v>86760830.362748176</c:v>
                </c:pt>
                <c:pt idx="309">
                  <c:v>197030870.12301373</c:v>
                </c:pt>
                <c:pt idx="310">
                  <c:v>42528101.910546891</c:v>
                </c:pt>
                <c:pt idx="311">
                  <c:v>102175595.13572082</c:v>
                </c:pt>
                <c:pt idx="312">
                  <c:v>38736684.319381841</c:v>
                </c:pt>
                <c:pt idx="313">
                  <c:v>35300887.166778199</c:v>
                </c:pt>
                <c:pt idx="314">
                  <c:v>105294561.06786704</c:v>
                </c:pt>
                <c:pt idx="315">
                  <c:v>159967152.9173938</c:v>
                </c:pt>
                <c:pt idx="316">
                  <c:v>20829642.616948016</c:v>
                </c:pt>
                <c:pt idx="317">
                  <c:v>56192597.268029444</c:v>
                </c:pt>
                <c:pt idx="318">
                  <c:v>85545083.367990434</c:v>
                </c:pt>
                <c:pt idx="319">
                  <c:v>103195002.128876</c:v>
                </c:pt>
                <c:pt idx="320">
                  <c:v>93009114.924075663</c:v>
                </c:pt>
                <c:pt idx="321">
                  <c:v>116334628.46115607</c:v>
                </c:pt>
                <c:pt idx="322">
                  <c:v>126727340.42344934</c:v>
                </c:pt>
                <c:pt idx="323">
                  <c:v>72383410.665047526</c:v>
                </c:pt>
                <c:pt idx="324">
                  <c:v>36313011.340083025</c:v>
                </c:pt>
                <c:pt idx="325">
                  <c:v>30702544.909312308</c:v>
                </c:pt>
                <c:pt idx="326">
                  <c:v>143354203.09696418</c:v>
                </c:pt>
                <c:pt idx="327">
                  <c:v>133192415.42312521</c:v>
                </c:pt>
                <c:pt idx="328">
                  <c:v>70004162.709796458</c:v>
                </c:pt>
                <c:pt idx="329">
                  <c:v>72419232.491953939</c:v>
                </c:pt>
                <c:pt idx="330">
                  <c:v>170722802.02663398</c:v>
                </c:pt>
                <c:pt idx="331">
                  <c:v>127471082.7428292</c:v>
                </c:pt>
                <c:pt idx="332">
                  <c:v>90195486.976047128</c:v>
                </c:pt>
                <c:pt idx="333">
                  <c:v>24030575.146450199</c:v>
                </c:pt>
                <c:pt idx="334">
                  <c:v>268844603.08978695</c:v>
                </c:pt>
                <c:pt idx="335">
                  <c:v>121617386.20223179</c:v>
                </c:pt>
                <c:pt idx="336">
                  <c:v>24371614.532297671</c:v>
                </c:pt>
                <c:pt idx="337">
                  <c:v>66431914.483221181</c:v>
                </c:pt>
                <c:pt idx="338">
                  <c:v>103493682.38974106</c:v>
                </c:pt>
                <c:pt idx="339">
                  <c:v>106440290.66479158</c:v>
                </c:pt>
                <c:pt idx="340">
                  <c:v>45859418.244524918</c:v>
                </c:pt>
                <c:pt idx="341">
                  <c:v>26210660.145463504</c:v>
                </c:pt>
                <c:pt idx="342">
                  <c:v>118573740.7481074</c:v>
                </c:pt>
                <c:pt idx="343">
                  <c:v>228622761.2982353</c:v>
                </c:pt>
                <c:pt idx="344">
                  <c:v>183075540.38614935</c:v>
                </c:pt>
                <c:pt idx="345">
                  <c:v>8170140.7464517429</c:v>
                </c:pt>
                <c:pt idx="346">
                  <c:v>135892320.23449764</c:v>
                </c:pt>
                <c:pt idx="347">
                  <c:v>39893343.629371084</c:v>
                </c:pt>
                <c:pt idx="348">
                  <c:v>37488511.236596458</c:v>
                </c:pt>
                <c:pt idx="349">
                  <c:v>105800268.76070258</c:v>
                </c:pt>
                <c:pt idx="350">
                  <c:v>92088970.121430486</c:v>
                </c:pt>
                <c:pt idx="351">
                  <c:v>45174206.216429166</c:v>
                </c:pt>
                <c:pt idx="352">
                  <c:v>72617095.442835212</c:v>
                </c:pt>
                <c:pt idx="353">
                  <c:v>53422463.572693489</c:v>
                </c:pt>
                <c:pt idx="354">
                  <c:v>79559887.948920995</c:v>
                </c:pt>
                <c:pt idx="355">
                  <c:v>54789149.393968292</c:v>
                </c:pt>
                <c:pt idx="356">
                  <c:v>76401322.741441011</c:v>
                </c:pt>
                <c:pt idx="357">
                  <c:v>115092849.36749417</c:v>
                </c:pt>
                <c:pt idx="358">
                  <c:v>59054139.823788725</c:v>
                </c:pt>
                <c:pt idx="359">
                  <c:v>139111021.9953382</c:v>
                </c:pt>
                <c:pt idx="360">
                  <c:v>99380655.714059621</c:v>
                </c:pt>
                <c:pt idx="361">
                  <c:v>94750464.463215232</c:v>
                </c:pt>
                <c:pt idx="362">
                  <c:v>43814458.687119402</c:v>
                </c:pt>
                <c:pt idx="363">
                  <c:v>54221599.530955397</c:v>
                </c:pt>
                <c:pt idx="364">
                  <c:v>13372169.631374814</c:v>
                </c:pt>
                <c:pt idx="365">
                  <c:v>38586893.723856427</c:v>
                </c:pt>
                <c:pt idx="366">
                  <c:v>43180391.20233614</c:v>
                </c:pt>
                <c:pt idx="367">
                  <c:v>156861196.92698714</c:v>
                </c:pt>
                <c:pt idx="368">
                  <c:v>42144184.276990928</c:v>
                </c:pt>
                <c:pt idx="369">
                  <c:v>81699096.957016647</c:v>
                </c:pt>
                <c:pt idx="370">
                  <c:v>84302469.594876736</c:v>
                </c:pt>
                <c:pt idx="371">
                  <c:v>41536466.724542849</c:v>
                </c:pt>
                <c:pt idx="372">
                  <c:v>74499036.740727514</c:v>
                </c:pt>
                <c:pt idx="373">
                  <c:v>102615580.06842011</c:v>
                </c:pt>
                <c:pt idx="374">
                  <c:v>78997945.437452704</c:v>
                </c:pt>
                <c:pt idx="375">
                  <c:v>14846379.22644119</c:v>
                </c:pt>
                <c:pt idx="376">
                  <c:v>69897768.737674385</c:v>
                </c:pt>
                <c:pt idx="377">
                  <c:v>39072197.829716362</c:v>
                </c:pt>
                <c:pt idx="378">
                  <c:v>79577722.043878376</c:v>
                </c:pt>
                <c:pt idx="379">
                  <c:v>103377638.14983514</c:v>
                </c:pt>
                <c:pt idx="380">
                  <c:v>60332428.057659067</c:v>
                </c:pt>
                <c:pt idx="381">
                  <c:v>35865104.682384469</c:v>
                </c:pt>
                <c:pt idx="382">
                  <c:v>79417684.633154362</c:v>
                </c:pt>
                <c:pt idx="383">
                  <c:v>164919477.97778076</c:v>
                </c:pt>
                <c:pt idx="384">
                  <c:v>97332791.485287666</c:v>
                </c:pt>
                <c:pt idx="385">
                  <c:v>46778573.287033699</c:v>
                </c:pt>
                <c:pt idx="386">
                  <c:v>82868828.534157336</c:v>
                </c:pt>
                <c:pt idx="387">
                  <c:v>93217704.176693469</c:v>
                </c:pt>
                <c:pt idx="388">
                  <c:v>25585405.517246194</c:v>
                </c:pt>
                <c:pt idx="389">
                  <c:v>45416725.093460999</c:v>
                </c:pt>
                <c:pt idx="390">
                  <c:v>134490849.82398221</c:v>
                </c:pt>
                <c:pt idx="391">
                  <c:v>189467947.08624417</c:v>
                </c:pt>
                <c:pt idx="392">
                  <c:v>51701529.748759232</c:v>
                </c:pt>
                <c:pt idx="393">
                  <c:v>115210158.94543684</c:v>
                </c:pt>
                <c:pt idx="394">
                  <c:v>86584916.166568011</c:v>
                </c:pt>
                <c:pt idx="395">
                  <c:v>221556365.25974938</c:v>
                </c:pt>
                <c:pt idx="396">
                  <c:v>121442997.17788383</c:v>
                </c:pt>
                <c:pt idx="397">
                  <c:v>74047773.125255823</c:v>
                </c:pt>
                <c:pt idx="398">
                  <c:v>304865278.39242953</c:v>
                </c:pt>
                <c:pt idx="399">
                  <c:v>60642999.573372506</c:v>
                </c:pt>
                <c:pt idx="400">
                  <c:v>105326263.09725854</c:v>
                </c:pt>
                <c:pt idx="401">
                  <c:v>236722465.74617267</c:v>
                </c:pt>
                <c:pt idx="402">
                  <c:v>106868016.36653736</c:v>
                </c:pt>
                <c:pt idx="403">
                  <c:v>27809257.995764859</c:v>
                </c:pt>
                <c:pt idx="404">
                  <c:v>79933261.729656249</c:v>
                </c:pt>
                <c:pt idx="405">
                  <c:v>77713979.354390383</c:v>
                </c:pt>
                <c:pt idx="406">
                  <c:v>60424217.661158018</c:v>
                </c:pt>
                <c:pt idx="407">
                  <c:v>32620928.637937881</c:v>
                </c:pt>
                <c:pt idx="408">
                  <c:v>75686422.455007881</c:v>
                </c:pt>
                <c:pt idx="409">
                  <c:v>9164128.8818343729</c:v>
                </c:pt>
                <c:pt idx="410">
                  <c:v>6768204.2288966551</c:v>
                </c:pt>
                <c:pt idx="411">
                  <c:v>66981475.471971937</c:v>
                </c:pt>
                <c:pt idx="412">
                  <c:v>230682957.43738991</c:v>
                </c:pt>
                <c:pt idx="413">
                  <c:v>17699114.494538486</c:v>
                </c:pt>
                <c:pt idx="414">
                  <c:v>98730618.613082916</c:v>
                </c:pt>
                <c:pt idx="415">
                  <c:v>81547306.937428623</c:v>
                </c:pt>
                <c:pt idx="416">
                  <c:v>57287952.640223958</c:v>
                </c:pt>
                <c:pt idx="417">
                  <c:v>64496247.897182263</c:v>
                </c:pt>
                <c:pt idx="418">
                  <c:v>56191978.767190836</c:v>
                </c:pt>
                <c:pt idx="419">
                  <c:v>87696425.677089483</c:v>
                </c:pt>
                <c:pt idx="420">
                  <c:v>89408394.104572207</c:v>
                </c:pt>
                <c:pt idx="421">
                  <c:v>59753005.400734954</c:v>
                </c:pt>
                <c:pt idx="422">
                  <c:v>38719059.903115846</c:v>
                </c:pt>
                <c:pt idx="423">
                  <c:v>64635041.575133659</c:v>
                </c:pt>
                <c:pt idx="424">
                  <c:v>43885759.50349351</c:v>
                </c:pt>
                <c:pt idx="425">
                  <c:v>194708085.0621368</c:v>
                </c:pt>
                <c:pt idx="426">
                  <c:v>59680332.490101717</c:v>
                </c:pt>
                <c:pt idx="427">
                  <c:v>75067078.965154767</c:v>
                </c:pt>
                <c:pt idx="428">
                  <c:v>101308632.9900395</c:v>
                </c:pt>
                <c:pt idx="429">
                  <c:v>76039896.579190344</c:v>
                </c:pt>
                <c:pt idx="430">
                  <c:v>21144870.454999484</c:v>
                </c:pt>
                <c:pt idx="431">
                  <c:v>226810509.95566979</c:v>
                </c:pt>
                <c:pt idx="432">
                  <c:v>90521461.690987319</c:v>
                </c:pt>
                <c:pt idx="433">
                  <c:v>74190796.832221597</c:v>
                </c:pt>
                <c:pt idx="434">
                  <c:v>34203339.887263857</c:v>
                </c:pt>
                <c:pt idx="435">
                  <c:v>79301297.982351184</c:v>
                </c:pt>
                <c:pt idx="436">
                  <c:v>116533859.88133442</c:v>
                </c:pt>
                <c:pt idx="437">
                  <c:v>54336935.02442079</c:v>
                </c:pt>
                <c:pt idx="438">
                  <c:v>171824716.18664637</c:v>
                </c:pt>
                <c:pt idx="439">
                  <c:v>18873233.302715875</c:v>
                </c:pt>
                <c:pt idx="440">
                  <c:v>121493240.21487087</c:v>
                </c:pt>
                <c:pt idx="441">
                  <c:v>33825137.417912625</c:v>
                </c:pt>
                <c:pt idx="442">
                  <c:v>96116059.316998959</c:v>
                </c:pt>
                <c:pt idx="443">
                  <c:v>63397347.076386966</c:v>
                </c:pt>
                <c:pt idx="444">
                  <c:v>217023788.65678176</c:v>
                </c:pt>
                <c:pt idx="445">
                  <c:v>78692775.436147809</c:v>
                </c:pt>
                <c:pt idx="446">
                  <c:v>70862116.864471138</c:v>
                </c:pt>
                <c:pt idx="447">
                  <c:v>151439673.24744537</c:v>
                </c:pt>
                <c:pt idx="448">
                  <c:v>61042215.074036993</c:v>
                </c:pt>
                <c:pt idx="449">
                  <c:v>95278580.726992577</c:v>
                </c:pt>
                <c:pt idx="450">
                  <c:v>116211406.70913562</c:v>
                </c:pt>
                <c:pt idx="451">
                  <c:v>147966410.02013701</c:v>
                </c:pt>
                <c:pt idx="452">
                  <c:v>63870546.575365163</c:v>
                </c:pt>
                <c:pt idx="453">
                  <c:v>173810273.14017197</c:v>
                </c:pt>
                <c:pt idx="454">
                  <c:v>124946029.23081145</c:v>
                </c:pt>
                <c:pt idx="455">
                  <c:v>108579495.47728318</c:v>
                </c:pt>
                <c:pt idx="456">
                  <c:v>237930376.61292732</c:v>
                </c:pt>
                <c:pt idx="457">
                  <c:v>72086351.866536975</c:v>
                </c:pt>
                <c:pt idx="458">
                  <c:v>93357609.442573041</c:v>
                </c:pt>
                <c:pt idx="459">
                  <c:v>85343198.304984778</c:v>
                </c:pt>
                <c:pt idx="460">
                  <c:v>45602760.438318335</c:v>
                </c:pt>
                <c:pt idx="461">
                  <c:v>23820996.71570535</c:v>
                </c:pt>
                <c:pt idx="462">
                  <c:v>164115371.90058121</c:v>
                </c:pt>
                <c:pt idx="463">
                  <c:v>21552316.242708392</c:v>
                </c:pt>
                <c:pt idx="464">
                  <c:v>100771045.79313499</c:v>
                </c:pt>
                <c:pt idx="465">
                  <c:v>102604299.23346388</c:v>
                </c:pt>
                <c:pt idx="466">
                  <c:v>122103615.96041554</c:v>
                </c:pt>
                <c:pt idx="467">
                  <c:v>40624302.225479715</c:v>
                </c:pt>
                <c:pt idx="468">
                  <c:v>76527777.404851437</c:v>
                </c:pt>
                <c:pt idx="469">
                  <c:v>18372009.57088618</c:v>
                </c:pt>
                <c:pt idx="470">
                  <c:v>43288451.889465384</c:v>
                </c:pt>
                <c:pt idx="471">
                  <c:v>48005875.824231721</c:v>
                </c:pt>
                <c:pt idx="472">
                  <c:v>107400639.05019021</c:v>
                </c:pt>
                <c:pt idx="473">
                  <c:v>132223755.58741292</c:v>
                </c:pt>
                <c:pt idx="474">
                  <c:v>366514263.40710968</c:v>
                </c:pt>
                <c:pt idx="475">
                  <c:v>70332214.38813886</c:v>
                </c:pt>
                <c:pt idx="476">
                  <c:v>39203327.514476605</c:v>
                </c:pt>
                <c:pt idx="477">
                  <c:v>51468721.308994196</c:v>
                </c:pt>
                <c:pt idx="478">
                  <c:v>29789458.746422969</c:v>
                </c:pt>
                <c:pt idx="479">
                  <c:v>18714978.392333604</c:v>
                </c:pt>
                <c:pt idx="480">
                  <c:v>62696823.179578118</c:v>
                </c:pt>
                <c:pt idx="481">
                  <c:v>95507112.944951653</c:v>
                </c:pt>
                <c:pt idx="482">
                  <c:v>94258168.616149008</c:v>
                </c:pt>
                <c:pt idx="483">
                  <c:v>40827559.464388452</c:v>
                </c:pt>
                <c:pt idx="484">
                  <c:v>33506275.817736387</c:v>
                </c:pt>
                <c:pt idx="485">
                  <c:v>45422704.115853913</c:v>
                </c:pt>
                <c:pt idx="486">
                  <c:v>2415330.8617846221</c:v>
                </c:pt>
                <c:pt idx="487">
                  <c:v>150420106.63934448</c:v>
                </c:pt>
                <c:pt idx="488">
                  <c:v>70812965.928406209</c:v>
                </c:pt>
                <c:pt idx="489">
                  <c:v>72106506.742292285</c:v>
                </c:pt>
                <c:pt idx="490">
                  <c:v>26797095.149366319</c:v>
                </c:pt>
                <c:pt idx="491">
                  <c:v>58119333.295480706</c:v>
                </c:pt>
                <c:pt idx="492">
                  <c:v>117725583.13339606</c:v>
                </c:pt>
                <c:pt idx="493">
                  <c:v>29154030.491341233</c:v>
                </c:pt>
                <c:pt idx="494">
                  <c:v>55731465.409268536</c:v>
                </c:pt>
                <c:pt idx="495">
                  <c:v>98273334.603839308</c:v>
                </c:pt>
                <c:pt idx="496">
                  <c:v>53274413.130348168</c:v>
                </c:pt>
                <c:pt idx="497">
                  <c:v>50115898.317204259</c:v>
                </c:pt>
                <c:pt idx="498">
                  <c:v>43277608.14307756</c:v>
                </c:pt>
                <c:pt idx="499">
                  <c:v>157668382.00850016</c:v>
                </c:pt>
                <c:pt idx="500">
                  <c:v>53401944.168122374</c:v>
                </c:pt>
                <c:pt idx="501">
                  <c:v>43799563.629480682</c:v>
                </c:pt>
                <c:pt idx="502">
                  <c:v>85932611.810325414</c:v>
                </c:pt>
                <c:pt idx="503">
                  <c:v>63480583.482633017</c:v>
                </c:pt>
                <c:pt idx="504">
                  <c:v>112761486.46022624</c:v>
                </c:pt>
                <c:pt idx="505">
                  <c:v>37381451.554300331</c:v>
                </c:pt>
                <c:pt idx="506">
                  <c:v>30901198.706869163</c:v>
                </c:pt>
                <c:pt idx="507">
                  <c:v>53413198.019956581</c:v>
                </c:pt>
                <c:pt idx="508">
                  <c:v>28733874.081519112</c:v>
                </c:pt>
                <c:pt idx="509">
                  <c:v>71358696.223946691</c:v>
                </c:pt>
                <c:pt idx="510">
                  <c:v>86994092.535814375</c:v>
                </c:pt>
                <c:pt idx="511">
                  <c:v>153714339.14683938</c:v>
                </c:pt>
                <c:pt idx="512">
                  <c:v>83448361.285785943</c:v>
                </c:pt>
                <c:pt idx="513">
                  <c:v>91805397.673425615</c:v>
                </c:pt>
                <c:pt idx="514">
                  <c:v>149549673.87515691</c:v>
                </c:pt>
                <c:pt idx="515">
                  <c:v>71000200.93982771</c:v>
                </c:pt>
                <c:pt idx="516">
                  <c:v>91750936.817274779</c:v>
                </c:pt>
                <c:pt idx="517">
                  <c:v>163198470.21220773</c:v>
                </c:pt>
                <c:pt idx="518">
                  <c:v>161221817.14887929</c:v>
                </c:pt>
                <c:pt idx="519">
                  <c:v>83251195.333598047</c:v>
                </c:pt>
                <c:pt idx="520">
                  <c:v>63792236.214060135</c:v>
                </c:pt>
                <c:pt idx="521">
                  <c:v>90295452.481494695</c:v>
                </c:pt>
                <c:pt idx="522">
                  <c:v>106313898.7324481</c:v>
                </c:pt>
                <c:pt idx="523">
                  <c:v>61210582.852958702</c:v>
                </c:pt>
                <c:pt idx="524">
                  <c:v>111097453.41548759</c:v>
                </c:pt>
                <c:pt idx="525">
                  <c:v>44588251.395833366</c:v>
                </c:pt>
                <c:pt idx="526">
                  <c:v>30441636.419619933</c:v>
                </c:pt>
                <c:pt idx="527">
                  <c:v>93078308.211641312</c:v>
                </c:pt>
                <c:pt idx="528">
                  <c:v>168490981.42384183</c:v>
                </c:pt>
                <c:pt idx="529">
                  <c:v>62289816.27741202</c:v>
                </c:pt>
                <c:pt idx="530">
                  <c:v>75883388.209250838</c:v>
                </c:pt>
                <c:pt idx="531">
                  <c:v>35518023.318018563</c:v>
                </c:pt>
                <c:pt idx="532">
                  <c:v>95153075.015849948</c:v>
                </c:pt>
                <c:pt idx="533">
                  <c:v>100083500.67487735</c:v>
                </c:pt>
                <c:pt idx="534">
                  <c:v>108099899.55467612</c:v>
                </c:pt>
                <c:pt idx="535">
                  <c:v>195949388.06173977</c:v>
                </c:pt>
                <c:pt idx="536">
                  <c:v>42134920.863106273</c:v>
                </c:pt>
                <c:pt idx="537">
                  <c:v>24390799.307542078</c:v>
                </c:pt>
                <c:pt idx="538">
                  <c:v>46640796.084170513</c:v>
                </c:pt>
                <c:pt idx="539">
                  <c:v>48581653.021256797</c:v>
                </c:pt>
                <c:pt idx="540">
                  <c:v>206015722.48526809</c:v>
                </c:pt>
                <c:pt idx="541">
                  <c:v>32340200.555826701</c:v>
                </c:pt>
                <c:pt idx="542">
                  <c:v>118294565.56832501</c:v>
                </c:pt>
                <c:pt idx="543">
                  <c:v>72800305.28639859</c:v>
                </c:pt>
                <c:pt idx="544">
                  <c:v>68810114.33723399</c:v>
                </c:pt>
                <c:pt idx="545">
                  <c:v>82188819.981564313</c:v>
                </c:pt>
                <c:pt idx="546">
                  <c:v>50405078.233706512</c:v>
                </c:pt>
                <c:pt idx="547">
                  <c:v>15146628.118307151</c:v>
                </c:pt>
                <c:pt idx="548">
                  <c:v>95596310.615800172</c:v>
                </c:pt>
                <c:pt idx="549">
                  <c:v>202162205.71908012</c:v>
                </c:pt>
                <c:pt idx="550">
                  <c:v>99298069.266392887</c:v>
                </c:pt>
                <c:pt idx="551">
                  <c:v>36685640.684323527</c:v>
                </c:pt>
                <c:pt idx="552">
                  <c:v>120952636.54060641</c:v>
                </c:pt>
                <c:pt idx="553">
                  <c:v>164597197.84825838</c:v>
                </c:pt>
                <c:pt idx="554">
                  <c:v>156025884.27662507</c:v>
                </c:pt>
                <c:pt idx="555">
                  <c:v>87325714.173172265</c:v>
                </c:pt>
                <c:pt idx="556">
                  <c:v>65071063.824213229</c:v>
                </c:pt>
                <c:pt idx="557">
                  <c:v>140233478.0675149</c:v>
                </c:pt>
                <c:pt idx="558">
                  <c:v>47652988.819907509</c:v>
                </c:pt>
                <c:pt idx="559">
                  <c:v>99098683.783161223</c:v>
                </c:pt>
                <c:pt idx="560">
                  <c:v>76296936.38003397</c:v>
                </c:pt>
                <c:pt idx="561">
                  <c:v>15775891.653698497</c:v>
                </c:pt>
                <c:pt idx="562">
                  <c:v>100981753.39618883</c:v>
                </c:pt>
                <c:pt idx="563">
                  <c:v>74982817.219207078</c:v>
                </c:pt>
                <c:pt idx="564">
                  <c:v>39422401.013269506</c:v>
                </c:pt>
                <c:pt idx="565">
                  <c:v>139260581.8655504</c:v>
                </c:pt>
                <c:pt idx="566">
                  <c:v>245566560.52410871</c:v>
                </c:pt>
                <c:pt idx="567">
                  <c:v>92758677.791173846</c:v>
                </c:pt>
                <c:pt idx="568">
                  <c:v>86905047.852103472</c:v>
                </c:pt>
                <c:pt idx="569">
                  <c:v>15073172.612779051</c:v>
                </c:pt>
                <c:pt idx="570">
                  <c:v>79819646.368560255</c:v>
                </c:pt>
                <c:pt idx="571">
                  <c:v>75136454.925091654</c:v>
                </c:pt>
                <c:pt idx="572">
                  <c:v>110866118.75344718</c:v>
                </c:pt>
                <c:pt idx="573">
                  <c:v>36788850.943129085</c:v>
                </c:pt>
                <c:pt idx="574">
                  <c:v>39607635.103116862</c:v>
                </c:pt>
                <c:pt idx="575">
                  <c:v>206846285.32910481</c:v>
                </c:pt>
                <c:pt idx="576">
                  <c:v>68364524.39623636</c:v>
                </c:pt>
                <c:pt idx="577">
                  <c:v>168760354.91056576</c:v>
                </c:pt>
                <c:pt idx="578">
                  <c:v>87979547.917204648</c:v>
                </c:pt>
                <c:pt idx="579">
                  <c:v>50208466.026349463</c:v>
                </c:pt>
                <c:pt idx="580">
                  <c:v>98917900.854895145</c:v>
                </c:pt>
                <c:pt idx="581">
                  <c:v>115157456.14697266</c:v>
                </c:pt>
                <c:pt idx="582">
                  <c:v>40852140.15355254</c:v>
                </c:pt>
                <c:pt idx="583">
                  <c:v>146550585.76168424</c:v>
                </c:pt>
                <c:pt idx="584">
                  <c:v>81958750.320730031</c:v>
                </c:pt>
                <c:pt idx="585">
                  <c:v>73349111.121970057</c:v>
                </c:pt>
                <c:pt idx="586">
                  <c:v>163266723.5507642</c:v>
                </c:pt>
                <c:pt idx="587">
                  <c:v>67682419.012945026</c:v>
                </c:pt>
                <c:pt idx="588">
                  <c:v>105608759.94011527</c:v>
                </c:pt>
                <c:pt idx="589">
                  <c:v>176979064.78672114</c:v>
                </c:pt>
                <c:pt idx="590">
                  <c:v>49160808.248591684</c:v>
                </c:pt>
                <c:pt idx="591">
                  <c:v>55683250.669198535</c:v>
                </c:pt>
                <c:pt idx="592">
                  <c:v>6868414.0666927099</c:v>
                </c:pt>
                <c:pt idx="593">
                  <c:v>104371846.44668409</c:v>
                </c:pt>
                <c:pt idx="594">
                  <c:v>46635824.196793295</c:v>
                </c:pt>
                <c:pt idx="595">
                  <c:v>287873084.55248588</c:v>
                </c:pt>
                <c:pt idx="596">
                  <c:v>72254234.898933023</c:v>
                </c:pt>
                <c:pt idx="597">
                  <c:v>119224287.07739523</c:v>
                </c:pt>
                <c:pt idx="598">
                  <c:v>48687860.644239552</c:v>
                </c:pt>
                <c:pt idx="599">
                  <c:v>57655440.258151703</c:v>
                </c:pt>
                <c:pt idx="600">
                  <c:v>71560760.654372424</c:v>
                </c:pt>
                <c:pt idx="601">
                  <c:v>125352219.67826325</c:v>
                </c:pt>
                <c:pt idx="602">
                  <c:v>57963755.313991226</c:v>
                </c:pt>
                <c:pt idx="603">
                  <c:v>94211094.215944856</c:v>
                </c:pt>
                <c:pt idx="604">
                  <c:v>141643519.34330118</c:v>
                </c:pt>
                <c:pt idx="605">
                  <c:v>63277466.666685425</c:v>
                </c:pt>
                <c:pt idx="606">
                  <c:v>95933566.826907933</c:v>
                </c:pt>
                <c:pt idx="607">
                  <c:v>60404096.393188052</c:v>
                </c:pt>
                <c:pt idx="608">
                  <c:v>75770563.515822947</c:v>
                </c:pt>
                <c:pt idx="609">
                  <c:v>63694074.001714863</c:v>
                </c:pt>
                <c:pt idx="610">
                  <c:v>78311691.775451601</c:v>
                </c:pt>
                <c:pt idx="611">
                  <c:v>92355304.261341989</c:v>
                </c:pt>
                <c:pt idx="612">
                  <c:v>42518625.131557204</c:v>
                </c:pt>
                <c:pt idx="613">
                  <c:v>140475902.75567317</c:v>
                </c:pt>
                <c:pt idx="614">
                  <c:v>119770115.46773103</c:v>
                </c:pt>
                <c:pt idx="615">
                  <c:v>35524260.506679885</c:v>
                </c:pt>
                <c:pt idx="616">
                  <c:v>63309741.807274722</c:v>
                </c:pt>
                <c:pt idx="617">
                  <c:v>329058147.16750509</c:v>
                </c:pt>
                <c:pt idx="618">
                  <c:v>59769672.811625145</c:v>
                </c:pt>
                <c:pt idx="619">
                  <c:v>87650618.673184723</c:v>
                </c:pt>
                <c:pt idx="620">
                  <c:v>95283055.380582362</c:v>
                </c:pt>
                <c:pt idx="621">
                  <c:v>14002822.289043434</c:v>
                </c:pt>
                <c:pt idx="622">
                  <c:v>80977646.255891353</c:v>
                </c:pt>
                <c:pt idx="623">
                  <c:v>44779201.627775081</c:v>
                </c:pt>
                <c:pt idx="624">
                  <c:v>171371914.65392804</c:v>
                </c:pt>
                <c:pt idx="625">
                  <c:v>82868522.819808245</c:v>
                </c:pt>
                <c:pt idx="626">
                  <c:v>43797456.327820487</c:v>
                </c:pt>
                <c:pt idx="627">
                  <c:v>68029296.560432285</c:v>
                </c:pt>
                <c:pt idx="628">
                  <c:v>139944004.71910533</c:v>
                </c:pt>
                <c:pt idx="629">
                  <c:v>22702646.19227691</c:v>
                </c:pt>
                <c:pt idx="630">
                  <c:v>28859441.426799431</c:v>
                </c:pt>
                <c:pt idx="631">
                  <c:v>30800671.282193065</c:v>
                </c:pt>
                <c:pt idx="632">
                  <c:v>16673122.270896487</c:v>
                </c:pt>
                <c:pt idx="633">
                  <c:v>30530807.066595264</c:v>
                </c:pt>
                <c:pt idx="634">
                  <c:v>49616059.077660225</c:v>
                </c:pt>
                <c:pt idx="635">
                  <c:v>119678546.83247596</c:v>
                </c:pt>
                <c:pt idx="636">
                  <c:v>187255196.18062887</c:v>
                </c:pt>
                <c:pt idx="637">
                  <c:v>100603466.23672608</c:v>
                </c:pt>
                <c:pt idx="638">
                  <c:v>77115466.572144389</c:v>
                </c:pt>
                <c:pt idx="639">
                  <c:v>64418776.347099967</c:v>
                </c:pt>
                <c:pt idx="640">
                  <c:v>77376223.990435839</c:v>
                </c:pt>
                <c:pt idx="641">
                  <c:v>144420769.944747</c:v>
                </c:pt>
                <c:pt idx="642">
                  <c:v>144502590.53769433</c:v>
                </c:pt>
                <c:pt idx="643">
                  <c:v>23313577.541775383</c:v>
                </c:pt>
                <c:pt idx="644">
                  <c:v>34726560.974642403</c:v>
                </c:pt>
                <c:pt idx="645">
                  <c:v>18521624.734896608</c:v>
                </c:pt>
                <c:pt idx="646">
                  <c:v>93777769.10124284</c:v>
                </c:pt>
                <c:pt idx="647">
                  <c:v>23695374.461436622</c:v>
                </c:pt>
                <c:pt idx="648">
                  <c:v>86646413.713591039</c:v>
                </c:pt>
                <c:pt idx="649">
                  <c:v>123628885.5070731</c:v>
                </c:pt>
                <c:pt idx="650">
                  <c:v>105821143.32403433</c:v>
                </c:pt>
                <c:pt idx="651">
                  <c:v>68561446.385980904</c:v>
                </c:pt>
                <c:pt idx="652">
                  <c:v>122141526.31944942</c:v>
                </c:pt>
                <c:pt idx="653">
                  <c:v>125664452.91581389</c:v>
                </c:pt>
                <c:pt idx="654">
                  <c:v>49984023.135169737</c:v>
                </c:pt>
                <c:pt idx="655">
                  <c:v>92849905.700537354</c:v>
                </c:pt>
                <c:pt idx="656">
                  <c:v>38875411.81862215</c:v>
                </c:pt>
                <c:pt idx="657">
                  <c:v>53579836.33995793</c:v>
                </c:pt>
                <c:pt idx="658">
                  <c:v>56276638.095308103</c:v>
                </c:pt>
                <c:pt idx="659">
                  <c:v>87736829.77409035</c:v>
                </c:pt>
                <c:pt idx="660">
                  <c:v>77267609.980262965</c:v>
                </c:pt>
                <c:pt idx="661">
                  <c:v>58509756.49994152</c:v>
                </c:pt>
                <c:pt idx="662">
                  <c:v>101211365.12094164</c:v>
                </c:pt>
                <c:pt idx="663">
                  <c:v>36781776.552000515</c:v>
                </c:pt>
                <c:pt idx="664">
                  <c:v>89860346.895684719</c:v>
                </c:pt>
                <c:pt idx="665">
                  <c:v>228404089.45170304</c:v>
                </c:pt>
                <c:pt idx="666">
                  <c:v>41104633.848453186</c:v>
                </c:pt>
                <c:pt idx="667">
                  <c:v>99347548.201610893</c:v>
                </c:pt>
                <c:pt idx="668">
                  <c:v>217684248.01246941</c:v>
                </c:pt>
                <c:pt idx="669">
                  <c:v>198773768.07142961</c:v>
                </c:pt>
                <c:pt idx="670">
                  <c:v>42221987.28098724</c:v>
                </c:pt>
                <c:pt idx="671">
                  <c:v>120736267.63390329</c:v>
                </c:pt>
                <c:pt idx="672">
                  <c:v>32398643.092141896</c:v>
                </c:pt>
                <c:pt idx="673">
                  <c:v>289184087.55194491</c:v>
                </c:pt>
                <c:pt idx="674">
                  <c:v>121794813.79775801</c:v>
                </c:pt>
                <c:pt idx="675">
                  <c:v>134610081.43971452</c:v>
                </c:pt>
                <c:pt idx="676">
                  <c:v>52672771.624834426</c:v>
                </c:pt>
                <c:pt idx="677">
                  <c:v>125489750.37815419</c:v>
                </c:pt>
                <c:pt idx="678">
                  <c:v>63170900.922114976</c:v>
                </c:pt>
                <c:pt idx="679">
                  <c:v>42873084.925590329</c:v>
                </c:pt>
                <c:pt idx="680">
                  <c:v>172092122.95789057</c:v>
                </c:pt>
                <c:pt idx="681">
                  <c:v>33176016.819177568</c:v>
                </c:pt>
                <c:pt idx="682">
                  <c:v>43635675.959931068</c:v>
                </c:pt>
                <c:pt idx="683">
                  <c:v>78504349.325518608</c:v>
                </c:pt>
                <c:pt idx="684">
                  <c:v>192945519.28552067</c:v>
                </c:pt>
                <c:pt idx="685">
                  <c:v>228342005.88674524</c:v>
                </c:pt>
                <c:pt idx="686">
                  <c:v>79625321.705540866</c:v>
                </c:pt>
                <c:pt idx="687">
                  <c:v>114480450.97106215</c:v>
                </c:pt>
                <c:pt idx="688">
                  <c:v>130933890.66011524</c:v>
                </c:pt>
                <c:pt idx="689">
                  <c:v>80840037.3816019</c:v>
                </c:pt>
                <c:pt idx="690">
                  <c:v>97106084.271655858</c:v>
                </c:pt>
                <c:pt idx="691">
                  <c:v>15630870.345541447</c:v>
                </c:pt>
                <c:pt idx="692">
                  <c:v>77945666.975011259</c:v>
                </c:pt>
                <c:pt idx="693">
                  <c:v>93520376.698750108</c:v>
                </c:pt>
                <c:pt idx="694">
                  <c:v>19466117.264860012</c:v>
                </c:pt>
                <c:pt idx="695">
                  <c:v>30422860.632531166</c:v>
                </c:pt>
                <c:pt idx="696">
                  <c:v>51469023.778448172</c:v>
                </c:pt>
                <c:pt idx="697">
                  <c:v>153871686.0312807</c:v>
                </c:pt>
                <c:pt idx="698">
                  <c:v>24182168.129178956</c:v>
                </c:pt>
                <c:pt idx="699">
                  <c:v>173353819.42301846</c:v>
                </c:pt>
                <c:pt idx="700">
                  <c:v>97103139.798060745</c:v>
                </c:pt>
                <c:pt idx="701">
                  <c:v>89652890.761328161</c:v>
                </c:pt>
                <c:pt idx="702">
                  <c:v>143939339.31439587</c:v>
                </c:pt>
                <c:pt idx="703">
                  <c:v>33811702.083481871</c:v>
                </c:pt>
                <c:pt idx="704">
                  <c:v>66726158.415211491</c:v>
                </c:pt>
                <c:pt idx="705">
                  <c:v>94878569.165881962</c:v>
                </c:pt>
                <c:pt idx="706">
                  <c:v>29570514.050302483</c:v>
                </c:pt>
                <c:pt idx="707">
                  <c:v>96253455.359775662</c:v>
                </c:pt>
                <c:pt idx="708">
                  <c:v>19793328.870964393</c:v>
                </c:pt>
                <c:pt idx="709">
                  <c:v>39856156.322622903</c:v>
                </c:pt>
                <c:pt idx="710">
                  <c:v>17439265.086183265</c:v>
                </c:pt>
                <c:pt idx="711">
                  <c:v>60373271.573122673</c:v>
                </c:pt>
                <c:pt idx="712">
                  <c:v>35113261.246532001</c:v>
                </c:pt>
                <c:pt idx="713">
                  <c:v>90147362.906372041</c:v>
                </c:pt>
                <c:pt idx="714">
                  <c:v>128380347.72019821</c:v>
                </c:pt>
                <c:pt idx="715">
                  <c:v>67856172.6030415</c:v>
                </c:pt>
                <c:pt idx="716">
                  <c:v>144836260.6710375</c:v>
                </c:pt>
                <c:pt idx="717">
                  <c:v>71895032.557897359</c:v>
                </c:pt>
                <c:pt idx="718">
                  <c:v>62352605.028782628</c:v>
                </c:pt>
                <c:pt idx="719">
                  <c:v>36593086.520753793</c:v>
                </c:pt>
                <c:pt idx="720">
                  <c:v>62755124.524119668</c:v>
                </c:pt>
                <c:pt idx="721">
                  <c:v>129880026.71961254</c:v>
                </c:pt>
                <c:pt idx="722">
                  <c:v>97840927.427635223</c:v>
                </c:pt>
                <c:pt idx="723">
                  <c:v>111643169.03057405</c:v>
                </c:pt>
                <c:pt idx="724">
                  <c:v>107659314.03472561</c:v>
                </c:pt>
                <c:pt idx="725">
                  <c:v>43919442.839251257</c:v>
                </c:pt>
                <c:pt idx="726">
                  <c:v>36473843.531815611</c:v>
                </c:pt>
                <c:pt idx="727">
                  <c:v>167868828.2622942</c:v>
                </c:pt>
                <c:pt idx="728">
                  <c:v>80733100.804519534</c:v>
                </c:pt>
                <c:pt idx="729">
                  <c:v>163378161.43466404</c:v>
                </c:pt>
                <c:pt idx="730">
                  <c:v>17079317.508371666</c:v>
                </c:pt>
                <c:pt idx="731">
                  <c:v>53826909.638471924</c:v>
                </c:pt>
                <c:pt idx="732">
                  <c:v>154866081.628178</c:v>
                </c:pt>
                <c:pt idx="733">
                  <c:v>52309351.000632755</c:v>
                </c:pt>
                <c:pt idx="734">
                  <c:v>1376162.5285722539</c:v>
                </c:pt>
                <c:pt idx="735">
                  <c:v>21278030.285902508</c:v>
                </c:pt>
                <c:pt idx="736">
                  <c:v>193371330.35593253</c:v>
                </c:pt>
                <c:pt idx="737">
                  <c:v>35117164.166849189</c:v>
                </c:pt>
                <c:pt idx="738">
                  <c:v>75818770.214695185</c:v>
                </c:pt>
                <c:pt idx="739">
                  <c:v>102942422.76071164</c:v>
                </c:pt>
                <c:pt idx="740">
                  <c:v>50102788.079039671</c:v>
                </c:pt>
                <c:pt idx="741">
                  <c:v>111170644.16630545</c:v>
                </c:pt>
                <c:pt idx="742">
                  <c:v>119130865.52431718</c:v>
                </c:pt>
                <c:pt idx="743">
                  <c:v>264888572.01115578</c:v>
                </c:pt>
                <c:pt idx="744">
                  <c:v>81912423.529221207</c:v>
                </c:pt>
                <c:pt idx="745">
                  <c:v>19580942.870535143</c:v>
                </c:pt>
                <c:pt idx="746">
                  <c:v>241291555.40845889</c:v>
                </c:pt>
                <c:pt idx="747">
                  <c:v>101379920.64558139</c:v>
                </c:pt>
                <c:pt idx="748">
                  <c:v>55539957.192670755</c:v>
                </c:pt>
                <c:pt idx="749">
                  <c:v>74380318.977725357</c:v>
                </c:pt>
                <c:pt idx="750">
                  <c:v>134180699.45189679</c:v>
                </c:pt>
                <c:pt idx="751">
                  <c:v>87944442.905157089</c:v>
                </c:pt>
                <c:pt idx="752">
                  <c:v>35533609.345577307</c:v>
                </c:pt>
                <c:pt idx="753">
                  <c:v>78109781.95491147</c:v>
                </c:pt>
                <c:pt idx="754">
                  <c:v>116568567.34735739</c:v>
                </c:pt>
                <c:pt idx="755">
                  <c:v>40664236.802480809</c:v>
                </c:pt>
                <c:pt idx="756">
                  <c:v>81789759.926753014</c:v>
                </c:pt>
                <c:pt idx="757">
                  <c:v>19413019.658978559</c:v>
                </c:pt>
                <c:pt idx="758">
                  <c:v>40825480.984077238</c:v>
                </c:pt>
                <c:pt idx="759">
                  <c:v>211408513.30001995</c:v>
                </c:pt>
                <c:pt idx="760">
                  <c:v>69228661.621654719</c:v>
                </c:pt>
                <c:pt idx="761">
                  <c:v>80952237.733641982</c:v>
                </c:pt>
                <c:pt idx="762">
                  <c:v>30510728.615361415</c:v>
                </c:pt>
                <c:pt idx="763">
                  <c:v>160330382.89257336</c:v>
                </c:pt>
                <c:pt idx="764">
                  <c:v>122520054.40981722</c:v>
                </c:pt>
                <c:pt idx="765">
                  <c:v>75973140.66470775</c:v>
                </c:pt>
                <c:pt idx="766">
                  <c:v>36211761.562907837</c:v>
                </c:pt>
                <c:pt idx="767">
                  <c:v>52117814.526547872</c:v>
                </c:pt>
                <c:pt idx="768">
                  <c:v>37362216.866413943</c:v>
                </c:pt>
                <c:pt idx="769">
                  <c:v>53723664.02106493</c:v>
                </c:pt>
                <c:pt idx="770">
                  <c:v>17165313.865594923</c:v>
                </c:pt>
                <c:pt idx="771">
                  <c:v>54785932.718381681</c:v>
                </c:pt>
                <c:pt idx="772">
                  <c:v>111596359.51086816</c:v>
                </c:pt>
                <c:pt idx="773">
                  <c:v>34337749.019073881</c:v>
                </c:pt>
                <c:pt idx="774">
                  <c:v>89102489.641941249</c:v>
                </c:pt>
                <c:pt idx="775">
                  <c:v>138817907.32617888</c:v>
                </c:pt>
                <c:pt idx="776">
                  <c:v>27611935.563490607</c:v>
                </c:pt>
                <c:pt idx="777">
                  <c:v>187121949.60455406</c:v>
                </c:pt>
                <c:pt idx="778">
                  <c:v>52436122.631474204</c:v>
                </c:pt>
                <c:pt idx="779">
                  <c:v>50973360.226535805</c:v>
                </c:pt>
                <c:pt idx="780">
                  <c:v>29775051.172268383</c:v>
                </c:pt>
                <c:pt idx="781">
                  <c:v>216735061.70082781</c:v>
                </c:pt>
                <c:pt idx="782">
                  <c:v>44669081.148898356</c:v>
                </c:pt>
                <c:pt idx="783">
                  <c:v>249853679.7600649</c:v>
                </c:pt>
                <c:pt idx="784">
                  <c:v>6439174.9251808226</c:v>
                </c:pt>
                <c:pt idx="785">
                  <c:v>215239843.00749236</c:v>
                </c:pt>
                <c:pt idx="786">
                  <c:v>25697232.601302363</c:v>
                </c:pt>
                <c:pt idx="787">
                  <c:v>16658319.98884967</c:v>
                </c:pt>
                <c:pt idx="788">
                  <c:v>8194334.2854148448</c:v>
                </c:pt>
                <c:pt idx="789">
                  <c:v>119237685.54330409</c:v>
                </c:pt>
                <c:pt idx="790">
                  <c:v>80361496.936378747</c:v>
                </c:pt>
                <c:pt idx="791">
                  <c:v>12794307.822339036</c:v>
                </c:pt>
                <c:pt idx="792">
                  <c:v>27761479.863522284</c:v>
                </c:pt>
                <c:pt idx="793">
                  <c:v>46573915.605920158</c:v>
                </c:pt>
                <c:pt idx="794">
                  <c:v>87923300.104577005</c:v>
                </c:pt>
                <c:pt idx="795">
                  <c:v>16855047.906106077</c:v>
                </c:pt>
                <c:pt idx="796">
                  <c:v>133209203.48182145</c:v>
                </c:pt>
                <c:pt idx="797">
                  <c:v>54408000.056631915</c:v>
                </c:pt>
                <c:pt idx="798">
                  <c:v>144061344.21524611</c:v>
                </c:pt>
                <c:pt idx="799">
                  <c:v>49202164.756332271</c:v>
                </c:pt>
                <c:pt idx="800">
                  <c:v>45528599.141729675</c:v>
                </c:pt>
                <c:pt idx="801">
                  <c:v>165251874.82359093</c:v>
                </c:pt>
                <c:pt idx="802">
                  <c:v>14685326.271348648</c:v>
                </c:pt>
                <c:pt idx="803">
                  <c:v>119051816.2972064</c:v>
                </c:pt>
                <c:pt idx="804">
                  <c:v>53474241.250223868</c:v>
                </c:pt>
                <c:pt idx="805">
                  <c:v>29088471.731664658</c:v>
                </c:pt>
                <c:pt idx="806">
                  <c:v>31061501.093801208</c:v>
                </c:pt>
                <c:pt idx="807">
                  <c:v>80446627.35078755</c:v>
                </c:pt>
                <c:pt idx="808">
                  <c:v>15883822.346849442</c:v>
                </c:pt>
                <c:pt idx="809">
                  <c:v>176578755.29221621</c:v>
                </c:pt>
                <c:pt idx="810">
                  <c:v>30233067.041778214</c:v>
                </c:pt>
                <c:pt idx="811">
                  <c:v>99746347.725432426</c:v>
                </c:pt>
                <c:pt idx="812">
                  <c:v>148288706.11455789</c:v>
                </c:pt>
                <c:pt idx="813">
                  <c:v>325587692.70508796</c:v>
                </c:pt>
                <c:pt idx="814">
                  <c:v>67785564.09825474</c:v>
                </c:pt>
                <c:pt idx="815">
                  <c:v>106068307.71154904</c:v>
                </c:pt>
                <c:pt idx="816">
                  <c:v>47534210.813479163</c:v>
                </c:pt>
                <c:pt idx="817">
                  <c:v>75790400.456227899</c:v>
                </c:pt>
                <c:pt idx="818">
                  <c:v>52443250.03851939</c:v>
                </c:pt>
                <c:pt idx="819">
                  <c:v>38245230.957564436</c:v>
                </c:pt>
                <c:pt idx="820">
                  <c:v>71231330.224691063</c:v>
                </c:pt>
                <c:pt idx="821">
                  <c:v>74276424.413325697</c:v>
                </c:pt>
                <c:pt idx="822">
                  <c:v>147549094.24228993</c:v>
                </c:pt>
                <c:pt idx="823">
                  <c:v>83815172.545713484</c:v>
                </c:pt>
                <c:pt idx="824">
                  <c:v>83866782.371423304</c:v>
                </c:pt>
                <c:pt idx="825">
                  <c:v>51359628.609119527</c:v>
                </c:pt>
                <c:pt idx="826">
                  <c:v>74175423.788733482</c:v>
                </c:pt>
                <c:pt idx="827">
                  <c:v>204530620.45563447</c:v>
                </c:pt>
                <c:pt idx="828">
                  <c:v>49942850.098778538</c:v>
                </c:pt>
                <c:pt idx="829">
                  <c:v>95698423.609559625</c:v>
                </c:pt>
                <c:pt idx="830">
                  <c:v>83831905.240793973</c:v>
                </c:pt>
                <c:pt idx="831">
                  <c:v>175194245.33937445</c:v>
                </c:pt>
                <c:pt idx="832">
                  <c:v>49149781.666408695</c:v>
                </c:pt>
                <c:pt idx="833">
                  <c:v>28423701.223696895</c:v>
                </c:pt>
                <c:pt idx="834">
                  <c:v>194330361.4505029</c:v>
                </c:pt>
                <c:pt idx="835">
                  <c:v>51074353.249069177</c:v>
                </c:pt>
                <c:pt idx="836">
                  <c:v>38039806.740009107</c:v>
                </c:pt>
                <c:pt idx="837">
                  <c:v>112257904.87504613</c:v>
                </c:pt>
                <c:pt idx="838">
                  <c:v>82092157.430875748</c:v>
                </c:pt>
                <c:pt idx="839">
                  <c:v>161048283.14615065</c:v>
                </c:pt>
                <c:pt idx="840">
                  <c:v>78401392.737591922</c:v>
                </c:pt>
                <c:pt idx="841">
                  <c:v>28352272.813155062</c:v>
                </c:pt>
                <c:pt idx="842">
                  <c:v>94929512.570357621</c:v>
                </c:pt>
                <c:pt idx="843">
                  <c:v>253388932.49430484</c:v>
                </c:pt>
                <c:pt idx="844">
                  <c:v>78917767.05908826</c:v>
                </c:pt>
                <c:pt idx="845">
                  <c:v>43122851.587603606</c:v>
                </c:pt>
                <c:pt idx="846">
                  <c:v>73815279.1038118</c:v>
                </c:pt>
                <c:pt idx="847">
                  <c:v>180426257.33940259</c:v>
                </c:pt>
                <c:pt idx="848">
                  <c:v>64164641.37249916</c:v>
                </c:pt>
                <c:pt idx="849">
                  <c:v>174296064.50064197</c:v>
                </c:pt>
                <c:pt idx="850">
                  <c:v>60782799.602899395</c:v>
                </c:pt>
                <c:pt idx="851">
                  <c:v>149754082.8703526</c:v>
                </c:pt>
                <c:pt idx="852">
                  <c:v>141147626.44011456</c:v>
                </c:pt>
                <c:pt idx="853">
                  <c:v>93201761.020648241</c:v>
                </c:pt>
                <c:pt idx="854">
                  <c:v>178348730.57135057</c:v>
                </c:pt>
                <c:pt idx="855">
                  <c:v>58775265.461590983</c:v>
                </c:pt>
                <c:pt idx="856">
                  <c:v>37509151.658345573</c:v>
                </c:pt>
                <c:pt idx="857">
                  <c:v>58886575.910855003</c:v>
                </c:pt>
                <c:pt idx="858">
                  <c:v>132491358.90586323</c:v>
                </c:pt>
                <c:pt idx="859">
                  <c:v>99628985.395165682</c:v>
                </c:pt>
                <c:pt idx="860">
                  <c:v>43479775.083089419</c:v>
                </c:pt>
                <c:pt idx="861">
                  <c:v>37545297.274027161</c:v>
                </c:pt>
                <c:pt idx="862">
                  <c:v>147372141.42412326</c:v>
                </c:pt>
                <c:pt idx="863">
                  <c:v>29037822.896290034</c:v>
                </c:pt>
                <c:pt idx="864">
                  <c:v>62780549.582752399</c:v>
                </c:pt>
                <c:pt idx="865">
                  <c:v>104349355.08608213</c:v>
                </c:pt>
                <c:pt idx="866">
                  <c:v>70653164.164668173</c:v>
                </c:pt>
                <c:pt idx="867">
                  <c:v>47211230.229991384</c:v>
                </c:pt>
                <c:pt idx="868">
                  <c:v>117583889.54989457</c:v>
                </c:pt>
                <c:pt idx="869">
                  <c:v>80511088.587805808</c:v>
                </c:pt>
                <c:pt idx="870">
                  <c:v>109976074.92423299</c:v>
                </c:pt>
                <c:pt idx="871">
                  <c:v>60773930.680583261</c:v>
                </c:pt>
                <c:pt idx="872">
                  <c:v>44366088.108398266</c:v>
                </c:pt>
                <c:pt idx="873">
                  <c:v>122558028.17979521</c:v>
                </c:pt>
                <c:pt idx="874">
                  <c:v>50668179.730660774</c:v>
                </c:pt>
                <c:pt idx="875">
                  <c:v>73877525.437007338</c:v>
                </c:pt>
                <c:pt idx="876">
                  <c:v>121100756.96996301</c:v>
                </c:pt>
                <c:pt idx="877">
                  <c:v>105248053.05414376</c:v>
                </c:pt>
                <c:pt idx="878">
                  <c:v>39437522.33453729</c:v>
                </c:pt>
                <c:pt idx="879">
                  <c:v>159786298.41933212</c:v>
                </c:pt>
                <c:pt idx="880">
                  <c:v>28937562.601700284</c:v>
                </c:pt>
                <c:pt idx="881">
                  <c:v>44016113.472206093</c:v>
                </c:pt>
                <c:pt idx="882">
                  <c:v>169230646.04652622</c:v>
                </c:pt>
                <c:pt idx="883">
                  <c:v>138977157.06361645</c:v>
                </c:pt>
                <c:pt idx="884">
                  <c:v>151222351.21858263</c:v>
                </c:pt>
                <c:pt idx="885">
                  <c:v>22662099.783431694</c:v>
                </c:pt>
                <c:pt idx="886">
                  <c:v>75412634.579674572</c:v>
                </c:pt>
                <c:pt idx="887">
                  <c:v>10865111.090659969</c:v>
                </c:pt>
                <c:pt idx="888">
                  <c:v>225150074.75496325</c:v>
                </c:pt>
                <c:pt idx="889">
                  <c:v>86318453.358933926</c:v>
                </c:pt>
                <c:pt idx="890">
                  <c:v>53081573.863198884</c:v>
                </c:pt>
                <c:pt idx="891">
                  <c:v>86587949.694634706</c:v>
                </c:pt>
                <c:pt idx="892">
                  <c:v>68373984.512678236</c:v>
                </c:pt>
                <c:pt idx="893">
                  <c:v>86998362.029764384</c:v>
                </c:pt>
                <c:pt idx="894">
                  <c:v>118436785.22425517</c:v>
                </c:pt>
                <c:pt idx="895">
                  <c:v>70114771.158672124</c:v>
                </c:pt>
                <c:pt idx="896">
                  <c:v>47183012.657569788</c:v>
                </c:pt>
                <c:pt idx="897">
                  <c:v>54403452.607652284</c:v>
                </c:pt>
                <c:pt idx="898">
                  <c:v>275972452.49916661</c:v>
                </c:pt>
                <c:pt idx="899">
                  <c:v>198212156.52798834</c:v>
                </c:pt>
                <c:pt idx="900">
                  <c:v>71492588.874474138</c:v>
                </c:pt>
                <c:pt idx="901">
                  <c:v>44712158.438356794</c:v>
                </c:pt>
                <c:pt idx="902">
                  <c:v>157429191.32268354</c:v>
                </c:pt>
                <c:pt idx="903">
                  <c:v>26529418.003801703</c:v>
                </c:pt>
                <c:pt idx="904">
                  <c:v>95111013.509724051</c:v>
                </c:pt>
                <c:pt idx="905">
                  <c:v>76915165.055728376</c:v>
                </c:pt>
                <c:pt idx="906">
                  <c:v>232376315.11186749</c:v>
                </c:pt>
                <c:pt idx="907">
                  <c:v>59994189.17389027</c:v>
                </c:pt>
                <c:pt idx="908">
                  <c:v>89100684.451987028</c:v>
                </c:pt>
                <c:pt idx="909">
                  <c:v>191690426.0979192</c:v>
                </c:pt>
                <c:pt idx="910">
                  <c:v>60701000.070959277</c:v>
                </c:pt>
                <c:pt idx="911">
                  <c:v>58132929.8915684</c:v>
                </c:pt>
                <c:pt idx="912">
                  <c:v>96869862.72079739</c:v>
                </c:pt>
                <c:pt idx="913">
                  <c:v>51533682.281897314</c:v>
                </c:pt>
                <c:pt idx="914">
                  <c:v>62646637.311300971</c:v>
                </c:pt>
                <c:pt idx="915">
                  <c:v>63674527.235972591</c:v>
                </c:pt>
                <c:pt idx="916">
                  <c:v>47941520.439661376</c:v>
                </c:pt>
                <c:pt idx="917">
                  <c:v>48215652.540063195</c:v>
                </c:pt>
                <c:pt idx="918">
                  <c:v>98280316.721317798</c:v>
                </c:pt>
                <c:pt idx="919">
                  <c:v>275955875.63194913</c:v>
                </c:pt>
                <c:pt idx="920">
                  <c:v>146306375.27417827</c:v>
                </c:pt>
                <c:pt idx="921">
                  <c:v>102119753.0139811</c:v>
                </c:pt>
                <c:pt idx="922">
                  <c:v>113370397.24163884</c:v>
                </c:pt>
                <c:pt idx="923">
                  <c:v>85165919.199354529</c:v>
                </c:pt>
                <c:pt idx="924">
                  <c:v>30153220.793926962</c:v>
                </c:pt>
                <c:pt idx="925">
                  <c:v>82117601.682901025</c:v>
                </c:pt>
                <c:pt idx="926">
                  <c:v>153142844.0953576</c:v>
                </c:pt>
                <c:pt idx="927">
                  <c:v>54435014.482424222</c:v>
                </c:pt>
                <c:pt idx="928">
                  <c:v>68057626.180523127</c:v>
                </c:pt>
                <c:pt idx="929">
                  <c:v>223468620.77054262</c:v>
                </c:pt>
                <c:pt idx="930">
                  <c:v>44658336.841717206</c:v>
                </c:pt>
                <c:pt idx="931">
                  <c:v>209933707.45145792</c:v>
                </c:pt>
                <c:pt idx="932">
                  <c:v>56671587.639742576</c:v>
                </c:pt>
                <c:pt idx="933">
                  <c:v>135403737.68002173</c:v>
                </c:pt>
                <c:pt idx="934">
                  <c:v>150257683.22672951</c:v>
                </c:pt>
                <c:pt idx="935">
                  <c:v>129547443.29533291</c:v>
                </c:pt>
                <c:pt idx="936">
                  <c:v>69605899.890368372</c:v>
                </c:pt>
                <c:pt idx="937">
                  <c:v>89230899.687425017</c:v>
                </c:pt>
                <c:pt idx="938">
                  <c:v>95360967.078265071</c:v>
                </c:pt>
                <c:pt idx="939">
                  <c:v>92035126.780320883</c:v>
                </c:pt>
                <c:pt idx="940">
                  <c:v>114924324.47770905</c:v>
                </c:pt>
                <c:pt idx="941">
                  <c:v>33055964.56852717</c:v>
                </c:pt>
                <c:pt idx="942">
                  <c:v>19508159.191661797</c:v>
                </c:pt>
                <c:pt idx="943">
                  <c:v>25797586.342790462</c:v>
                </c:pt>
                <c:pt idx="944">
                  <c:v>100107448.79520297</c:v>
                </c:pt>
                <c:pt idx="945">
                  <c:v>108486870.35692707</c:v>
                </c:pt>
                <c:pt idx="946">
                  <c:v>68026567.607569456</c:v>
                </c:pt>
                <c:pt idx="947">
                  <c:v>37325178.702554174</c:v>
                </c:pt>
                <c:pt idx="948">
                  <c:v>34589781.72260005</c:v>
                </c:pt>
                <c:pt idx="949">
                  <c:v>13775772.674640194</c:v>
                </c:pt>
                <c:pt idx="950">
                  <c:v>79680818.767617017</c:v>
                </c:pt>
                <c:pt idx="951">
                  <c:v>205751050.58384055</c:v>
                </c:pt>
                <c:pt idx="952">
                  <c:v>164456508.84407952</c:v>
                </c:pt>
                <c:pt idx="953">
                  <c:v>119008098.53960994</c:v>
                </c:pt>
                <c:pt idx="954">
                  <c:v>12495288.763212375</c:v>
                </c:pt>
                <c:pt idx="955">
                  <c:v>19253547.561452113</c:v>
                </c:pt>
                <c:pt idx="956">
                  <c:v>70115200.190077305</c:v>
                </c:pt>
                <c:pt idx="957">
                  <c:v>36049575.035262324</c:v>
                </c:pt>
                <c:pt idx="958">
                  <c:v>87080674.943504959</c:v>
                </c:pt>
                <c:pt idx="959">
                  <c:v>86547900.913125604</c:v>
                </c:pt>
                <c:pt idx="960">
                  <c:v>70303889.380413592</c:v>
                </c:pt>
                <c:pt idx="961">
                  <c:v>136762312.75417387</c:v>
                </c:pt>
                <c:pt idx="962">
                  <c:v>33411619.10629753</c:v>
                </c:pt>
                <c:pt idx="963">
                  <c:v>90054393.288350672</c:v>
                </c:pt>
                <c:pt idx="964">
                  <c:v>167244528.13732576</c:v>
                </c:pt>
                <c:pt idx="965">
                  <c:v>76217073.74986586</c:v>
                </c:pt>
                <c:pt idx="966">
                  <c:v>32966863.359960161</c:v>
                </c:pt>
                <c:pt idx="967">
                  <c:v>46114331.834401049</c:v>
                </c:pt>
                <c:pt idx="968">
                  <c:v>37804884.88808047</c:v>
                </c:pt>
                <c:pt idx="969">
                  <c:v>61207385.982323684</c:v>
                </c:pt>
                <c:pt idx="970">
                  <c:v>57911687.222106807</c:v>
                </c:pt>
                <c:pt idx="971">
                  <c:v>302854520.32757366</c:v>
                </c:pt>
                <c:pt idx="972">
                  <c:v>58625938.183075733</c:v>
                </c:pt>
                <c:pt idx="973">
                  <c:v>157644825.0671356</c:v>
                </c:pt>
                <c:pt idx="974">
                  <c:v>33811618.810294755</c:v>
                </c:pt>
                <c:pt idx="975">
                  <c:v>103904708.87929815</c:v>
                </c:pt>
                <c:pt idx="976">
                  <c:v>52906770.450005718</c:v>
                </c:pt>
                <c:pt idx="977">
                  <c:v>55360075.441597603</c:v>
                </c:pt>
                <c:pt idx="978">
                  <c:v>86872189.75769946</c:v>
                </c:pt>
                <c:pt idx="979">
                  <c:v>140428935.08550212</c:v>
                </c:pt>
                <c:pt idx="980">
                  <c:v>103733450.32233441</c:v>
                </c:pt>
                <c:pt idx="981">
                  <c:v>159295890.92994732</c:v>
                </c:pt>
                <c:pt idx="982">
                  <c:v>53718776.302274607</c:v>
                </c:pt>
                <c:pt idx="983">
                  <c:v>172204504.91355008</c:v>
                </c:pt>
                <c:pt idx="984">
                  <c:v>87422680.76376611</c:v>
                </c:pt>
                <c:pt idx="985">
                  <c:v>151019223.88943964</c:v>
                </c:pt>
                <c:pt idx="986">
                  <c:v>46154643.326046728</c:v>
                </c:pt>
                <c:pt idx="987">
                  <c:v>192034731.10956275</c:v>
                </c:pt>
                <c:pt idx="988">
                  <c:v>163341506.29089227</c:v>
                </c:pt>
                <c:pt idx="989">
                  <c:v>175148032.03008977</c:v>
                </c:pt>
                <c:pt idx="990">
                  <c:v>77355883.886413306</c:v>
                </c:pt>
                <c:pt idx="991">
                  <c:v>105499442.66449949</c:v>
                </c:pt>
                <c:pt idx="992">
                  <c:v>137577954.39941344</c:v>
                </c:pt>
                <c:pt idx="993">
                  <c:v>119658563.8753185</c:v>
                </c:pt>
                <c:pt idx="994">
                  <c:v>12979310.160400368</c:v>
                </c:pt>
                <c:pt idx="995">
                  <c:v>97822545.260448128</c:v>
                </c:pt>
                <c:pt idx="996">
                  <c:v>97212223.174999624</c:v>
                </c:pt>
                <c:pt idx="997">
                  <c:v>24204544.296555653</c:v>
                </c:pt>
                <c:pt idx="998">
                  <c:v>130211694.55963042</c:v>
                </c:pt>
                <c:pt idx="999">
                  <c:v>141700878.07261211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03-4FBD-A582-573784CEF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888272"/>
        <c:axId val="558884008"/>
      </c:scatterChart>
      <c:valAx>
        <c:axId val="558888272"/>
        <c:scaling>
          <c:orientation val="minMax"/>
          <c:max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Iteration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884008"/>
        <c:crosses val="autoZero"/>
        <c:crossBetween val="midCat"/>
        <c:majorUnit val="250"/>
        <c:minorUnit val="50"/>
      </c:valAx>
      <c:valAx>
        <c:axId val="558884008"/>
        <c:scaling>
          <c:orientation val="minMax"/>
          <c:max val="30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888272"/>
        <c:crosses val="autoZero"/>
        <c:crossBetween val="midCat"/>
        <c:majorUnit val="100000000"/>
        <c:minorUnit val="1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72983862729133"/>
          <c:y val="4.0085751267392944E-2"/>
          <c:w val="0.78336253226224806"/>
          <c:h val="0.8186483886510433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'Appendix P'!$AS$35:$AS$1034</c:f>
              <c:numCache>
                <c:formatCode>_("$"* #,##0_);_("$"* \(#,##0\);_("$"* "-"??_);_(@_)</c:formatCode>
                <c:ptCount val="1000"/>
                <c:pt idx="0">
                  <c:v>96876561.973595738</c:v>
                </c:pt>
                <c:pt idx="1">
                  <c:v>246551553.32835466</c:v>
                </c:pt>
                <c:pt idx="2">
                  <c:v>133587103.41064134</c:v>
                </c:pt>
                <c:pt idx="3">
                  <c:v>105679750.53950194</c:v>
                </c:pt>
                <c:pt idx="4">
                  <c:v>87062305.997011393</c:v>
                </c:pt>
                <c:pt idx="5">
                  <c:v>32709245.367569596</c:v>
                </c:pt>
                <c:pt idx="6">
                  <c:v>33949654.735848345</c:v>
                </c:pt>
                <c:pt idx="7">
                  <c:v>58129692.983298339</c:v>
                </c:pt>
                <c:pt idx="8">
                  <c:v>121440527.10545221</c:v>
                </c:pt>
                <c:pt idx="9">
                  <c:v>16194905.567400552</c:v>
                </c:pt>
                <c:pt idx="10">
                  <c:v>140907846.90704927</c:v>
                </c:pt>
                <c:pt idx="11">
                  <c:v>60564380.525852419</c:v>
                </c:pt>
                <c:pt idx="12">
                  <c:v>103919734.11315262</c:v>
                </c:pt>
                <c:pt idx="13">
                  <c:v>62557113.099624597</c:v>
                </c:pt>
                <c:pt idx="14">
                  <c:v>67803567.877475828</c:v>
                </c:pt>
                <c:pt idx="15">
                  <c:v>88718106.664158672</c:v>
                </c:pt>
                <c:pt idx="16">
                  <c:v>88050621.20103547</c:v>
                </c:pt>
                <c:pt idx="17">
                  <c:v>131382489.39715901</c:v>
                </c:pt>
                <c:pt idx="18">
                  <c:v>153113528.4907476</c:v>
                </c:pt>
                <c:pt idx="19">
                  <c:v>346093390.7382645</c:v>
                </c:pt>
                <c:pt idx="20">
                  <c:v>36517556.374924503</c:v>
                </c:pt>
                <c:pt idx="21">
                  <c:v>203950911.74842328</c:v>
                </c:pt>
                <c:pt idx="22">
                  <c:v>44492632.756686755</c:v>
                </c:pt>
                <c:pt idx="23">
                  <c:v>69547737.321769029</c:v>
                </c:pt>
                <c:pt idx="24">
                  <c:v>112810423.77155259</c:v>
                </c:pt>
                <c:pt idx="25">
                  <c:v>173916286.84276164</c:v>
                </c:pt>
                <c:pt idx="26">
                  <c:v>142314581.46178627</c:v>
                </c:pt>
                <c:pt idx="27">
                  <c:v>242498060.45677906</c:v>
                </c:pt>
                <c:pt idx="28">
                  <c:v>55135296.42174717</c:v>
                </c:pt>
                <c:pt idx="29">
                  <c:v>153487073.54876384</c:v>
                </c:pt>
                <c:pt idx="30">
                  <c:v>61717774.847787343</c:v>
                </c:pt>
                <c:pt idx="31">
                  <c:v>28797610.364579469</c:v>
                </c:pt>
                <c:pt idx="32">
                  <c:v>41724846.338019602</c:v>
                </c:pt>
                <c:pt idx="33">
                  <c:v>39898259.928013422</c:v>
                </c:pt>
                <c:pt idx="34">
                  <c:v>18995934.78804443</c:v>
                </c:pt>
                <c:pt idx="35">
                  <c:v>58534642.928059511</c:v>
                </c:pt>
                <c:pt idx="36">
                  <c:v>39727372.536385126</c:v>
                </c:pt>
                <c:pt idx="37">
                  <c:v>36667632.984383218</c:v>
                </c:pt>
                <c:pt idx="38">
                  <c:v>78139741.717587203</c:v>
                </c:pt>
                <c:pt idx="39">
                  <c:v>54014234.479517139</c:v>
                </c:pt>
                <c:pt idx="40">
                  <c:v>50859729.264329456</c:v>
                </c:pt>
                <c:pt idx="41">
                  <c:v>55780709.612105347</c:v>
                </c:pt>
                <c:pt idx="42">
                  <c:v>101155400.95503691</c:v>
                </c:pt>
                <c:pt idx="43">
                  <c:v>33619737.654029019</c:v>
                </c:pt>
                <c:pt idx="44">
                  <c:v>78662813.505804658</c:v>
                </c:pt>
                <c:pt idx="45">
                  <c:v>92510512.713588595</c:v>
                </c:pt>
                <c:pt idx="46">
                  <c:v>47938002.634131528</c:v>
                </c:pt>
                <c:pt idx="47">
                  <c:v>111369589.95762655</c:v>
                </c:pt>
                <c:pt idx="48">
                  <c:v>107878500.67613432</c:v>
                </c:pt>
                <c:pt idx="49">
                  <c:v>59018944.096013151</c:v>
                </c:pt>
                <c:pt idx="50">
                  <c:v>157302332.66400716</c:v>
                </c:pt>
                <c:pt idx="51">
                  <c:v>35513126.850814663</c:v>
                </c:pt>
                <c:pt idx="52">
                  <c:v>126176901.30658394</c:v>
                </c:pt>
                <c:pt idx="53">
                  <c:v>32842518.535528675</c:v>
                </c:pt>
                <c:pt idx="54">
                  <c:v>37604494.626958005</c:v>
                </c:pt>
                <c:pt idx="55">
                  <c:v>44896479.031974889</c:v>
                </c:pt>
                <c:pt idx="56">
                  <c:v>43428563.253940381</c:v>
                </c:pt>
                <c:pt idx="57">
                  <c:v>86123164.936917871</c:v>
                </c:pt>
                <c:pt idx="58">
                  <c:v>48372894.729525335</c:v>
                </c:pt>
                <c:pt idx="59">
                  <c:v>6788387.083201997</c:v>
                </c:pt>
                <c:pt idx="60">
                  <c:v>45344659.543464608</c:v>
                </c:pt>
                <c:pt idx="61">
                  <c:v>1376162.5285722539</c:v>
                </c:pt>
                <c:pt idx="62">
                  <c:v>189007503.66563517</c:v>
                </c:pt>
                <c:pt idx="63">
                  <c:v>84630405.944765747</c:v>
                </c:pt>
                <c:pt idx="64">
                  <c:v>113438978.34493491</c:v>
                </c:pt>
                <c:pt idx="65">
                  <c:v>93501069.289489985</c:v>
                </c:pt>
                <c:pt idx="66">
                  <c:v>72026290.867097884</c:v>
                </c:pt>
                <c:pt idx="67">
                  <c:v>99917546.690780997</c:v>
                </c:pt>
                <c:pt idx="68">
                  <c:v>163133442.73879948</c:v>
                </c:pt>
                <c:pt idx="69">
                  <c:v>370902199.42355883</c:v>
                </c:pt>
                <c:pt idx="70">
                  <c:v>110929142.76189813</c:v>
                </c:pt>
                <c:pt idx="71">
                  <c:v>116951341.89652023</c:v>
                </c:pt>
                <c:pt idx="72">
                  <c:v>146169324.12182489</c:v>
                </c:pt>
                <c:pt idx="73">
                  <c:v>98731351.107308567</c:v>
                </c:pt>
                <c:pt idx="74">
                  <c:v>64738847.229420133</c:v>
                </c:pt>
                <c:pt idx="75">
                  <c:v>107679616.01343963</c:v>
                </c:pt>
                <c:pt idx="76">
                  <c:v>67749917.765366524</c:v>
                </c:pt>
                <c:pt idx="77">
                  <c:v>40016327.630650036</c:v>
                </c:pt>
                <c:pt idx="78">
                  <c:v>131114208.68212524</c:v>
                </c:pt>
                <c:pt idx="79">
                  <c:v>40080342.98629988</c:v>
                </c:pt>
                <c:pt idx="80">
                  <c:v>92091198.910984844</c:v>
                </c:pt>
                <c:pt idx="81">
                  <c:v>61558346.304578342</c:v>
                </c:pt>
                <c:pt idx="82">
                  <c:v>147530545.99303198</c:v>
                </c:pt>
                <c:pt idx="83">
                  <c:v>57963228.229732893</c:v>
                </c:pt>
                <c:pt idx="84">
                  <c:v>104481947.49310651</c:v>
                </c:pt>
                <c:pt idx="85">
                  <c:v>113389455.20462888</c:v>
                </c:pt>
                <c:pt idx="86">
                  <c:v>25930179.624946684</c:v>
                </c:pt>
                <c:pt idx="87">
                  <c:v>100301120.72902131</c:v>
                </c:pt>
                <c:pt idx="88">
                  <c:v>34253364.497277535</c:v>
                </c:pt>
                <c:pt idx="89">
                  <c:v>82635054.330571115</c:v>
                </c:pt>
                <c:pt idx="90">
                  <c:v>116534609.06169334</c:v>
                </c:pt>
                <c:pt idx="91">
                  <c:v>49109189.688016854</c:v>
                </c:pt>
                <c:pt idx="92">
                  <c:v>54777738.609564148</c:v>
                </c:pt>
                <c:pt idx="93">
                  <c:v>102319620.9294174</c:v>
                </c:pt>
                <c:pt idx="94">
                  <c:v>47108907.444793932</c:v>
                </c:pt>
                <c:pt idx="95">
                  <c:v>56068537.166845106</c:v>
                </c:pt>
                <c:pt idx="96">
                  <c:v>123723904.5816355</c:v>
                </c:pt>
                <c:pt idx="97">
                  <c:v>57900090.131815501</c:v>
                </c:pt>
                <c:pt idx="98">
                  <c:v>159399755.27868938</c:v>
                </c:pt>
                <c:pt idx="99">
                  <c:v>151713041.56920421</c:v>
                </c:pt>
                <c:pt idx="100">
                  <c:v>70669544.166901022</c:v>
                </c:pt>
                <c:pt idx="101">
                  <c:v>127779002.02283159</c:v>
                </c:pt>
                <c:pt idx="102">
                  <c:v>37893820.733226858</c:v>
                </c:pt>
                <c:pt idx="103">
                  <c:v>42163692.945154659</c:v>
                </c:pt>
                <c:pt idx="104">
                  <c:v>95189006.484823793</c:v>
                </c:pt>
                <c:pt idx="105">
                  <c:v>37910020.407941021</c:v>
                </c:pt>
                <c:pt idx="106">
                  <c:v>120234263.67259338</c:v>
                </c:pt>
                <c:pt idx="107">
                  <c:v>76470783.979860008</c:v>
                </c:pt>
                <c:pt idx="108">
                  <c:v>91546960.895589143</c:v>
                </c:pt>
                <c:pt idx="109">
                  <c:v>119474928.60499313</c:v>
                </c:pt>
                <c:pt idx="110">
                  <c:v>167331622.04678336</c:v>
                </c:pt>
                <c:pt idx="111">
                  <c:v>39598662.713099398</c:v>
                </c:pt>
                <c:pt idx="112">
                  <c:v>24916211.514243528</c:v>
                </c:pt>
                <c:pt idx="113">
                  <c:v>118986468.3548395</c:v>
                </c:pt>
                <c:pt idx="114">
                  <c:v>105985792.8467018</c:v>
                </c:pt>
                <c:pt idx="115">
                  <c:v>15258503.107532248</c:v>
                </c:pt>
                <c:pt idx="116">
                  <c:v>70278952.454953969</c:v>
                </c:pt>
                <c:pt idx="117">
                  <c:v>152687295.75612852</c:v>
                </c:pt>
                <c:pt idx="118">
                  <c:v>38797478.040392004</c:v>
                </c:pt>
                <c:pt idx="119">
                  <c:v>162148916.75725073</c:v>
                </c:pt>
                <c:pt idx="120">
                  <c:v>174109740.00279921</c:v>
                </c:pt>
                <c:pt idx="121">
                  <c:v>68565910.371679604</c:v>
                </c:pt>
                <c:pt idx="122">
                  <c:v>75556897.634160876</c:v>
                </c:pt>
                <c:pt idx="123">
                  <c:v>91998562.651268423</c:v>
                </c:pt>
                <c:pt idx="124">
                  <c:v>146708359.4945133</c:v>
                </c:pt>
                <c:pt idx="125">
                  <c:v>6274087.9507575184</c:v>
                </c:pt>
                <c:pt idx="126">
                  <c:v>62081164.80064816</c:v>
                </c:pt>
                <c:pt idx="127">
                  <c:v>156496712.1987499</c:v>
                </c:pt>
                <c:pt idx="128">
                  <c:v>74125822.894547045</c:v>
                </c:pt>
                <c:pt idx="129">
                  <c:v>118667140.43911186</c:v>
                </c:pt>
                <c:pt idx="130">
                  <c:v>66294719.842612155</c:v>
                </c:pt>
                <c:pt idx="131">
                  <c:v>57895410.652349807</c:v>
                </c:pt>
                <c:pt idx="132">
                  <c:v>59527460.887411349</c:v>
                </c:pt>
                <c:pt idx="133">
                  <c:v>63029638.982465021</c:v>
                </c:pt>
                <c:pt idx="134">
                  <c:v>138721884.28459486</c:v>
                </c:pt>
                <c:pt idx="135">
                  <c:v>74025374.248564303</c:v>
                </c:pt>
                <c:pt idx="136">
                  <c:v>45797791.810804091</c:v>
                </c:pt>
                <c:pt idx="137">
                  <c:v>56912139.179073878</c:v>
                </c:pt>
                <c:pt idx="138">
                  <c:v>86250474.859455496</c:v>
                </c:pt>
                <c:pt idx="139">
                  <c:v>134952931.83691335</c:v>
                </c:pt>
                <c:pt idx="140">
                  <c:v>27224771.957679011</c:v>
                </c:pt>
                <c:pt idx="141">
                  <c:v>71197405.077672333</c:v>
                </c:pt>
                <c:pt idx="142">
                  <c:v>57599195.483960681</c:v>
                </c:pt>
                <c:pt idx="143">
                  <c:v>48333571.60977342</c:v>
                </c:pt>
                <c:pt idx="144">
                  <c:v>96688977.378104717</c:v>
                </c:pt>
                <c:pt idx="145">
                  <c:v>196836508.10497081</c:v>
                </c:pt>
                <c:pt idx="146">
                  <c:v>29175811.491632693</c:v>
                </c:pt>
                <c:pt idx="147">
                  <c:v>100770626.83646256</c:v>
                </c:pt>
                <c:pt idx="148">
                  <c:v>63417742.37574359</c:v>
                </c:pt>
                <c:pt idx="149">
                  <c:v>95796839.940604568</c:v>
                </c:pt>
                <c:pt idx="150">
                  <c:v>71325431.462343723</c:v>
                </c:pt>
                <c:pt idx="151">
                  <c:v>27105055.850870572</c:v>
                </c:pt>
                <c:pt idx="152">
                  <c:v>156692097.01730761</c:v>
                </c:pt>
                <c:pt idx="153">
                  <c:v>53322537.863882266</c:v>
                </c:pt>
                <c:pt idx="154">
                  <c:v>16683211.117154576</c:v>
                </c:pt>
                <c:pt idx="155">
                  <c:v>25069423.767220438</c:v>
                </c:pt>
                <c:pt idx="156">
                  <c:v>95765372.667070657</c:v>
                </c:pt>
                <c:pt idx="157">
                  <c:v>76203748.10973978</c:v>
                </c:pt>
                <c:pt idx="158">
                  <c:v>76492354.534866154</c:v>
                </c:pt>
                <c:pt idx="159">
                  <c:v>158279867.31080332</c:v>
                </c:pt>
                <c:pt idx="160">
                  <c:v>35025935.766273312</c:v>
                </c:pt>
                <c:pt idx="161">
                  <c:v>88123189.966506183</c:v>
                </c:pt>
                <c:pt idx="162">
                  <c:v>85959165.747538745</c:v>
                </c:pt>
                <c:pt idx="163">
                  <c:v>73015397.183470339</c:v>
                </c:pt>
                <c:pt idx="164">
                  <c:v>31667563.707169943</c:v>
                </c:pt>
                <c:pt idx="165">
                  <c:v>90434744.188257247</c:v>
                </c:pt>
                <c:pt idx="166">
                  <c:v>18147126.213098682</c:v>
                </c:pt>
                <c:pt idx="167">
                  <c:v>44580840.012883119</c:v>
                </c:pt>
                <c:pt idx="168">
                  <c:v>70863692.484526485</c:v>
                </c:pt>
                <c:pt idx="169">
                  <c:v>137783064.54520214</c:v>
                </c:pt>
                <c:pt idx="170">
                  <c:v>145389949.9077912</c:v>
                </c:pt>
                <c:pt idx="171">
                  <c:v>137832953.76277983</c:v>
                </c:pt>
                <c:pt idx="172">
                  <c:v>40766515.058282949</c:v>
                </c:pt>
                <c:pt idx="173">
                  <c:v>24342347.164802201</c:v>
                </c:pt>
                <c:pt idx="174">
                  <c:v>93027744.661247432</c:v>
                </c:pt>
                <c:pt idx="175">
                  <c:v>19550601.156050287</c:v>
                </c:pt>
                <c:pt idx="176">
                  <c:v>11557230.397118807</c:v>
                </c:pt>
                <c:pt idx="177">
                  <c:v>50582437.382613651</c:v>
                </c:pt>
                <c:pt idx="178">
                  <c:v>21078881.911391936</c:v>
                </c:pt>
                <c:pt idx="179">
                  <c:v>69050857.662452936</c:v>
                </c:pt>
                <c:pt idx="180">
                  <c:v>120074790.78307822</c:v>
                </c:pt>
                <c:pt idx="181">
                  <c:v>95642049.527412415</c:v>
                </c:pt>
                <c:pt idx="182">
                  <c:v>74020949.25522086</c:v>
                </c:pt>
                <c:pt idx="183">
                  <c:v>179278038.62022415</c:v>
                </c:pt>
                <c:pt idx="184">
                  <c:v>66948262.357909523</c:v>
                </c:pt>
                <c:pt idx="185">
                  <c:v>60721391.920013063</c:v>
                </c:pt>
                <c:pt idx="186">
                  <c:v>12350718.995289676</c:v>
                </c:pt>
                <c:pt idx="187">
                  <c:v>112196231.10497075</c:v>
                </c:pt>
                <c:pt idx="188">
                  <c:v>96631956.426786542</c:v>
                </c:pt>
                <c:pt idx="189">
                  <c:v>92998537.102062583</c:v>
                </c:pt>
                <c:pt idx="190">
                  <c:v>179201778.58532003</c:v>
                </c:pt>
                <c:pt idx="191">
                  <c:v>42905226.572153471</c:v>
                </c:pt>
                <c:pt idx="192">
                  <c:v>36892512.885704793</c:v>
                </c:pt>
                <c:pt idx="193">
                  <c:v>55465649.665697865</c:v>
                </c:pt>
                <c:pt idx="194">
                  <c:v>87852943.011579573</c:v>
                </c:pt>
                <c:pt idx="195">
                  <c:v>82312340.570672423</c:v>
                </c:pt>
                <c:pt idx="196">
                  <c:v>25134862.095765926</c:v>
                </c:pt>
                <c:pt idx="197">
                  <c:v>43183206.381998919</c:v>
                </c:pt>
                <c:pt idx="198">
                  <c:v>170999040.71261215</c:v>
                </c:pt>
                <c:pt idx="199">
                  <c:v>19790507.325177625</c:v>
                </c:pt>
                <c:pt idx="200">
                  <c:v>136017239.93524691</c:v>
                </c:pt>
                <c:pt idx="201">
                  <c:v>120260478.95277825</c:v>
                </c:pt>
                <c:pt idx="202">
                  <c:v>138813818.58620477</c:v>
                </c:pt>
                <c:pt idx="203">
                  <c:v>21523241.981166728</c:v>
                </c:pt>
                <c:pt idx="204">
                  <c:v>19979055.689788267</c:v>
                </c:pt>
                <c:pt idx="205">
                  <c:v>11803877.784671523</c:v>
                </c:pt>
                <c:pt idx="206">
                  <c:v>226472435.26920822</c:v>
                </c:pt>
                <c:pt idx="207">
                  <c:v>149732980.4508335</c:v>
                </c:pt>
                <c:pt idx="208">
                  <c:v>112139476.97493219</c:v>
                </c:pt>
                <c:pt idx="209">
                  <c:v>21925727.181420527</c:v>
                </c:pt>
                <c:pt idx="210">
                  <c:v>41520291.912290268</c:v>
                </c:pt>
                <c:pt idx="211">
                  <c:v>35335644.548521258</c:v>
                </c:pt>
                <c:pt idx="212">
                  <c:v>214499083.70947155</c:v>
                </c:pt>
                <c:pt idx="213">
                  <c:v>25367617.600105062</c:v>
                </c:pt>
                <c:pt idx="214">
                  <c:v>41070400.353872679</c:v>
                </c:pt>
                <c:pt idx="215">
                  <c:v>96744201.401188552</c:v>
                </c:pt>
                <c:pt idx="216">
                  <c:v>81463870.122489601</c:v>
                </c:pt>
                <c:pt idx="217">
                  <c:v>41107519.134743921</c:v>
                </c:pt>
                <c:pt idx="218">
                  <c:v>88927272.486826718</c:v>
                </c:pt>
                <c:pt idx="219">
                  <c:v>27170048.848133862</c:v>
                </c:pt>
                <c:pt idx="220">
                  <c:v>24965105.204803303</c:v>
                </c:pt>
                <c:pt idx="221">
                  <c:v>234862729.88054049</c:v>
                </c:pt>
                <c:pt idx="222">
                  <c:v>38759027.66020637</c:v>
                </c:pt>
                <c:pt idx="223">
                  <c:v>112694951.28139389</c:v>
                </c:pt>
                <c:pt idx="224">
                  <c:v>90286683.778943926</c:v>
                </c:pt>
                <c:pt idx="225">
                  <c:v>141448245.87338912</c:v>
                </c:pt>
                <c:pt idx="226">
                  <c:v>105756659.44860107</c:v>
                </c:pt>
                <c:pt idx="227">
                  <c:v>105867415.49808338</c:v>
                </c:pt>
                <c:pt idx="228">
                  <c:v>106825638.8500042</c:v>
                </c:pt>
                <c:pt idx="229">
                  <c:v>58142373.061627172</c:v>
                </c:pt>
                <c:pt idx="230">
                  <c:v>27151784.196536779</c:v>
                </c:pt>
                <c:pt idx="231">
                  <c:v>113425827.90910777</c:v>
                </c:pt>
                <c:pt idx="232">
                  <c:v>11767327.788925014</c:v>
                </c:pt>
                <c:pt idx="233">
                  <c:v>37856534.216266893</c:v>
                </c:pt>
                <c:pt idx="234">
                  <c:v>110439490.0693008</c:v>
                </c:pt>
                <c:pt idx="235">
                  <c:v>136701858.12874931</c:v>
                </c:pt>
                <c:pt idx="236">
                  <c:v>36574827.174034752</c:v>
                </c:pt>
                <c:pt idx="237">
                  <c:v>57430781.733290784</c:v>
                </c:pt>
                <c:pt idx="238">
                  <c:v>150033215.03473967</c:v>
                </c:pt>
                <c:pt idx="239">
                  <c:v>202962619.98511371</c:v>
                </c:pt>
                <c:pt idx="240">
                  <c:v>51394012.734769337</c:v>
                </c:pt>
                <c:pt idx="241">
                  <c:v>46454148.666491039</c:v>
                </c:pt>
                <c:pt idx="242">
                  <c:v>98067148.269379407</c:v>
                </c:pt>
                <c:pt idx="243">
                  <c:v>59526310.545232378</c:v>
                </c:pt>
                <c:pt idx="244">
                  <c:v>137897159.63136005</c:v>
                </c:pt>
                <c:pt idx="245">
                  <c:v>17366245.845629461</c:v>
                </c:pt>
                <c:pt idx="246">
                  <c:v>115302655.35804719</c:v>
                </c:pt>
                <c:pt idx="247">
                  <c:v>34637540.376448177</c:v>
                </c:pt>
                <c:pt idx="248">
                  <c:v>26363819.558440857</c:v>
                </c:pt>
                <c:pt idx="249">
                  <c:v>63038805.027877189</c:v>
                </c:pt>
                <c:pt idx="250">
                  <c:v>139986975.22134888</c:v>
                </c:pt>
                <c:pt idx="251">
                  <c:v>148283090.73926342</c:v>
                </c:pt>
                <c:pt idx="252">
                  <c:v>47374731.89634984</c:v>
                </c:pt>
                <c:pt idx="253">
                  <c:v>222726682.32465395</c:v>
                </c:pt>
                <c:pt idx="254">
                  <c:v>144672656.05194277</c:v>
                </c:pt>
                <c:pt idx="255">
                  <c:v>45364454.654673733</c:v>
                </c:pt>
                <c:pt idx="256">
                  <c:v>74387850.225582987</c:v>
                </c:pt>
                <c:pt idx="257">
                  <c:v>123492101.1788294</c:v>
                </c:pt>
                <c:pt idx="258">
                  <c:v>53038298.58734522</c:v>
                </c:pt>
                <c:pt idx="259">
                  <c:v>160511483.06100786</c:v>
                </c:pt>
                <c:pt idx="260">
                  <c:v>95110681.172963083</c:v>
                </c:pt>
                <c:pt idx="261">
                  <c:v>36917939.028132327</c:v>
                </c:pt>
                <c:pt idx="262">
                  <c:v>65309151.83154843</c:v>
                </c:pt>
                <c:pt idx="263">
                  <c:v>58157152.932235084</c:v>
                </c:pt>
                <c:pt idx="264">
                  <c:v>91145124.931193382</c:v>
                </c:pt>
                <c:pt idx="265">
                  <c:v>85339074.788224012</c:v>
                </c:pt>
                <c:pt idx="266">
                  <c:v>19739927.317958072</c:v>
                </c:pt>
                <c:pt idx="267">
                  <c:v>132490284.32302451</c:v>
                </c:pt>
                <c:pt idx="268">
                  <c:v>35746109.639724486</c:v>
                </c:pt>
                <c:pt idx="269">
                  <c:v>40432104.142128818</c:v>
                </c:pt>
                <c:pt idx="270">
                  <c:v>48796085.814439036</c:v>
                </c:pt>
                <c:pt idx="271">
                  <c:v>111902377.00633153</c:v>
                </c:pt>
                <c:pt idx="272">
                  <c:v>35736000.35946361</c:v>
                </c:pt>
                <c:pt idx="273">
                  <c:v>44396578.075878836</c:v>
                </c:pt>
                <c:pt idx="274">
                  <c:v>41154740.105786093</c:v>
                </c:pt>
                <c:pt idx="275">
                  <c:v>166753372.34083572</c:v>
                </c:pt>
                <c:pt idx="276">
                  <c:v>142365878.59064364</c:v>
                </c:pt>
                <c:pt idx="277">
                  <c:v>45824183.059171669</c:v>
                </c:pt>
                <c:pt idx="278">
                  <c:v>14086573.763379395</c:v>
                </c:pt>
                <c:pt idx="279">
                  <c:v>28926741.169851832</c:v>
                </c:pt>
                <c:pt idx="280">
                  <c:v>37930795.362290971</c:v>
                </c:pt>
                <c:pt idx="281">
                  <c:v>51854646.391869627</c:v>
                </c:pt>
                <c:pt idx="282">
                  <c:v>122903005.24566668</c:v>
                </c:pt>
                <c:pt idx="283">
                  <c:v>91158897.410144031</c:v>
                </c:pt>
                <c:pt idx="284">
                  <c:v>121024716.25582567</c:v>
                </c:pt>
                <c:pt idx="285">
                  <c:v>43886526.735720597</c:v>
                </c:pt>
                <c:pt idx="286">
                  <c:v>69955098.479663104</c:v>
                </c:pt>
                <c:pt idx="287">
                  <c:v>53596921.544375114</c:v>
                </c:pt>
                <c:pt idx="288">
                  <c:v>70086899.119813532</c:v>
                </c:pt>
                <c:pt idx="289">
                  <c:v>13981616.475359492</c:v>
                </c:pt>
                <c:pt idx="290">
                  <c:v>138621732.02556047</c:v>
                </c:pt>
                <c:pt idx="291">
                  <c:v>54079222.003637202</c:v>
                </c:pt>
                <c:pt idx="292">
                  <c:v>132748294.54422015</c:v>
                </c:pt>
                <c:pt idx="293">
                  <c:v>114912752.7622751</c:v>
                </c:pt>
                <c:pt idx="294">
                  <c:v>5565570.5279785246</c:v>
                </c:pt>
                <c:pt idx="295">
                  <c:v>35026688.606906541</c:v>
                </c:pt>
                <c:pt idx="296">
                  <c:v>98914893.07557255</c:v>
                </c:pt>
                <c:pt idx="297">
                  <c:v>25354896.030685402</c:v>
                </c:pt>
                <c:pt idx="298">
                  <c:v>46760219.658536144</c:v>
                </c:pt>
                <c:pt idx="299">
                  <c:v>59217972.249943741</c:v>
                </c:pt>
                <c:pt idx="300">
                  <c:v>102796062.67776886</c:v>
                </c:pt>
                <c:pt idx="301">
                  <c:v>132736266.24668348</c:v>
                </c:pt>
                <c:pt idx="302">
                  <c:v>90666710.597539455</c:v>
                </c:pt>
                <c:pt idx="303">
                  <c:v>114581143.1836783</c:v>
                </c:pt>
                <c:pt idx="304">
                  <c:v>46452769.147238694</c:v>
                </c:pt>
                <c:pt idx="305">
                  <c:v>18742260.189994566</c:v>
                </c:pt>
                <c:pt idx="306">
                  <c:v>76783524.910628527</c:v>
                </c:pt>
                <c:pt idx="307">
                  <c:v>123809585.6487079</c:v>
                </c:pt>
                <c:pt idx="308">
                  <c:v>86760830.362748176</c:v>
                </c:pt>
                <c:pt idx="309">
                  <c:v>197030870.12301373</c:v>
                </c:pt>
                <c:pt idx="310">
                  <c:v>42528101.910546891</c:v>
                </c:pt>
                <c:pt idx="311">
                  <c:v>102175595.13572082</c:v>
                </c:pt>
                <c:pt idx="312">
                  <c:v>38736684.319381841</c:v>
                </c:pt>
                <c:pt idx="313">
                  <c:v>35300887.166778199</c:v>
                </c:pt>
                <c:pt idx="314">
                  <c:v>105294561.06786704</c:v>
                </c:pt>
                <c:pt idx="315">
                  <c:v>159967152.9173938</c:v>
                </c:pt>
                <c:pt idx="316">
                  <c:v>20829642.616948016</c:v>
                </c:pt>
                <c:pt idx="317">
                  <c:v>56192597.268029444</c:v>
                </c:pt>
                <c:pt idx="318">
                  <c:v>85545083.367990434</c:v>
                </c:pt>
                <c:pt idx="319">
                  <c:v>103195002.128876</c:v>
                </c:pt>
                <c:pt idx="320">
                  <c:v>93009114.924075663</c:v>
                </c:pt>
                <c:pt idx="321">
                  <c:v>116334628.46115607</c:v>
                </c:pt>
                <c:pt idx="322">
                  <c:v>126727340.42344934</c:v>
                </c:pt>
                <c:pt idx="323">
                  <c:v>72383410.665047526</c:v>
                </c:pt>
                <c:pt idx="324">
                  <c:v>36313011.340083025</c:v>
                </c:pt>
                <c:pt idx="325">
                  <c:v>30702544.909312308</c:v>
                </c:pt>
                <c:pt idx="326">
                  <c:v>143354203.09696418</c:v>
                </c:pt>
                <c:pt idx="327">
                  <c:v>133192415.42312521</c:v>
                </c:pt>
                <c:pt idx="328">
                  <c:v>70004162.709796458</c:v>
                </c:pt>
                <c:pt idx="329">
                  <c:v>72419232.491953939</c:v>
                </c:pt>
                <c:pt idx="330">
                  <c:v>170722802.02663398</c:v>
                </c:pt>
                <c:pt idx="331">
                  <c:v>127471082.7428292</c:v>
                </c:pt>
                <c:pt idx="332">
                  <c:v>90195486.976047128</c:v>
                </c:pt>
                <c:pt idx="333">
                  <c:v>24030575.146450199</c:v>
                </c:pt>
                <c:pt idx="334">
                  <c:v>268844603.08978695</c:v>
                </c:pt>
                <c:pt idx="335">
                  <c:v>121617386.20223179</c:v>
                </c:pt>
                <c:pt idx="336">
                  <c:v>24371614.532297671</c:v>
                </c:pt>
                <c:pt idx="337">
                  <c:v>66431914.483221181</c:v>
                </c:pt>
                <c:pt idx="338">
                  <c:v>103493682.38974106</c:v>
                </c:pt>
                <c:pt idx="339">
                  <c:v>106440290.66479158</c:v>
                </c:pt>
                <c:pt idx="340">
                  <c:v>45859418.244524918</c:v>
                </c:pt>
                <c:pt idx="341">
                  <c:v>26210660.145463504</c:v>
                </c:pt>
                <c:pt idx="342">
                  <c:v>118573740.7481074</c:v>
                </c:pt>
                <c:pt idx="343">
                  <c:v>228622761.2982353</c:v>
                </c:pt>
                <c:pt idx="344">
                  <c:v>183075540.38614935</c:v>
                </c:pt>
                <c:pt idx="345">
                  <c:v>8170140.7464517429</c:v>
                </c:pt>
                <c:pt idx="346">
                  <c:v>135892320.23449764</c:v>
                </c:pt>
                <c:pt idx="347">
                  <c:v>39893343.629371084</c:v>
                </c:pt>
                <c:pt idx="348">
                  <c:v>37488511.236596458</c:v>
                </c:pt>
                <c:pt idx="349">
                  <c:v>105800268.76070258</c:v>
                </c:pt>
                <c:pt idx="350">
                  <c:v>92088970.121430486</c:v>
                </c:pt>
                <c:pt idx="351">
                  <c:v>45174206.216429166</c:v>
                </c:pt>
                <c:pt idx="352">
                  <c:v>72617095.442835212</c:v>
                </c:pt>
                <c:pt idx="353">
                  <c:v>53422463.572693489</c:v>
                </c:pt>
                <c:pt idx="354">
                  <c:v>79559887.948920995</c:v>
                </c:pt>
                <c:pt idx="355">
                  <c:v>54789149.393968292</c:v>
                </c:pt>
                <c:pt idx="356">
                  <c:v>76401322.741441011</c:v>
                </c:pt>
                <c:pt idx="357">
                  <c:v>115092849.36749417</c:v>
                </c:pt>
                <c:pt idx="358">
                  <c:v>59054139.823788725</c:v>
                </c:pt>
                <c:pt idx="359">
                  <c:v>139111021.9953382</c:v>
                </c:pt>
                <c:pt idx="360">
                  <c:v>99380655.714059621</c:v>
                </c:pt>
                <c:pt idx="361">
                  <c:v>94750464.463215232</c:v>
                </c:pt>
                <c:pt idx="362">
                  <c:v>43814458.687119402</c:v>
                </c:pt>
                <c:pt idx="363">
                  <c:v>54221599.530955397</c:v>
                </c:pt>
                <c:pt idx="364">
                  <c:v>13372169.631374814</c:v>
                </c:pt>
                <c:pt idx="365">
                  <c:v>38586893.723856427</c:v>
                </c:pt>
                <c:pt idx="366">
                  <c:v>43180391.20233614</c:v>
                </c:pt>
                <c:pt idx="367">
                  <c:v>156861196.92698714</c:v>
                </c:pt>
                <c:pt idx="368">
                  <c:v>42144184.276990928</c:v>
                </c:pt>
                <c:pt idx="369">
                  <c:v>81699096.957016647</c:v>
                </c:pt>
                <c:pt idx="370">
                  <c:v>84302469.594876736</c:v>
                </c:pt>
                <c:pt idx="371">
                  <c:v>41536466.724542849</c:v>
                </c:pt>
                <c:pt idx="372">
                  <c:v>74499036.740727514</c:v>
                </c:pt>
                <c:pt idx="373">
                  <c:v>102615580.06842011</c:v>
                </c:pt>
                <c:pt idx="374">
                  <c:v>78997945.437452704</c:v>
                </c:pt>
                <c:pt idx="375">
                  <c:v>14846379.22644119</c:v>
                </c:pt>
                <c:pt idx="376">
                  <c:v>69897768.737674385</c:v>
                </c:pt>
                <c:pt idx="377">
                  <c:v>39072197.829716362</c:v>
                </c:pt>
                <c:pt idx="378">
                  <c:v>79577722.043878376</c:v>
                </c:pt>
                <c:pt idx="379">
                  <c:v>103377638.14983514</c:v>
                </c:pt>
                <c:pt idx="380">
                  <c:v>60332428.057659067</c:v>
                </c:pt>
                <c:pt idx="381">
                  <c:v>35865104.682384469</c:v>
                </c:pt>
                <c:pt idx="382">
                  <c:v>79417684.633154362</c:v>
                </c:pt>
                <c:pt idx="383">
                  <c:v>164919477.97778076</c:v>
                </c:pt>
                <c:pt idx="384">
                  <c:v>97332791.485287666</c:v>
                </c:pt>
                <c:pt idx="385">
                  <c:v>46778573.287033699</c:v>
                </c:pt>
                <c:pt idx="386">
                  <c:v>82868828.534157336</c:v>
                </c:pt>
                <c:pt idx="387">
                  <c:v>93217704.176693469</c:v>
                </c:pt>
                <c:pt idx="388">
                  <c:v>25585405.517246194</c:v>
                </c:pt>
                <c:pt idx="389">
                  <c:v>45416725.093460999</c:v>
                </c:pt>
                <c:pt idx="390">
                  <c:v>134490849.82398221</c:v>
                </c:pt>
                <c:pt idx="391">
                  <c:v>189467947.08624417</c:v>
                </c:pt>
                <c:pt idx="392">
                  <c:v>51701529.748759232</c:v>
                </c:pt>
                <c:pt idx="393">
                  <c:v>115210158.94543684</c:v>
                </c:pt>
                <c:pt idx="394">
                  <c:v>86584916.166568011</c:v>
                </c:pt>
                <c:pt idx="395">
                  <c:v>221556365.25974938</c:v>
                </c:pt>
                <c:pt idx="396">
                  <c:v>121442997.17788383</c:v>
                </c:pt>
                <c:pt idx="397">
                  <c:v>74047773.125255823</c:v>
                </c:pt>
                <c:pt idx="398">
                  <c:v>304865278.39242953</c:v>
                </c:pt>
                <c:pt idx="399">
                  <c:v>60642999.573372506</c:v>
                </c:pt>
                <c:pt idx="400">
                  <c:v>105326263.09725854</c:v>
                </c:pt>
                <c:pt idx="401">
                  <c:v>236722465.74617267</c:v>
                </c:pt>
                <c:pt idx="402">
                  <c:v>106868016.36653736</c:v>
                </c:pt>
                <c:pt idx="403">
                  <c:v>27809257.995764859</c:v>
                </c:pt>
                <c:pt idx="404">
                  <c:v>79933261.729656249</c:v>
                </c:pt>
                <c:pt idx="405">
                  <c:v>77713979.354390383</c:v>
                </c:pt>
                <c:pt idx="406">
                  <c:v>60424217.661158018</c:v>
                </c:pt>
                <c:pt idx="407">
                  <c:v>32620928.637937881</c:v>
                </c:pt>
                <c:pt idx="408">
                  <c:v>75686422.455007881</c:v>
                </c:pt>
                <c:pt idx="409">
                  <c:v>9164128.8818343729</c:v>
                </c:pt>
                <c:pt idx="410">
                  <c:v>6768204.2288966551</c:v>
                </c:pt>
                <c:pt idx="411">
                  <c:v>66981475.471971937</c:v>
                </c:pt>
                <c:pt idx="412">
                  <c:v>230682957.43738991</c:v>
                </c:pt>
                <c:pt idx="413">
                  <c:v>17699114.494538486</c:v>
                </c:pt>
                <c:pt idx="414">
                  <c:v>98730618.613082916</c:v>
                </c:pt>
                <c:pt idx="415">
                  <c:v>81547306.937428623</c:v>
                </c:pt>
                <c:pt idx="416">
                  <c:v>57287952.640223958</c:v>
                </c:pt>
                <c:pt idx="417">
                  <c:v>64496247.897182263</c:v>
                </c:pt>
                <c:pt idx="418">
                  <c:v>56191978.767190836</c:v>
                </c:pt>
                <c:pt idx="419">
                  <c:v>87696425.677089483</c:v>
                </c:pt>
                <c:pt idx="420">
                  <c:v>89408394.104572207</c:v>
                </c:pt>
                <c:pt idx="421">
                  <c:v>59753005.400734954</c:v>
                </c:pt>
                <c:pt idx="422">
                  <c:v>38719059.903115846</c:v>
                </c:pt>
                <c:pt idx="423">
                  <c:v>64635041.575133659</c:v>
                </c:pt>
                <c:pt idx="424">
                  <c:v>43885759.50349351</c:v>
                </c:pt>
                <c:pt idx="425">
                  <c:v>194708085.0621368</c:v>
                </c:pt>
                <c:pt idx="426">
                  <c:v>59680332.490101717</c:v>
                </c:pt>
                <c:pt idx="427">
                  <c:v>75067078.965154767</c:v>
                </c:pt>
                <c:pt idx="428">
                  <c:v>101308632.9900395</c:v>
                </c:pt>
                <c:pt idx="429">
                  <c:v>76039896.579190344</c:v>
                </c:pt>
                <c:pt idx="430">
                  <c:v>21144870.454999484</c:v>
                </c:pt>
                <c:pt idx="431">
                  <c:v>226810509.95566979</c:v>
                </c:pt>
                <c:pt idx="432">
                  <c:v>90521461.690987319</c:v>
                </c:pt>
                <c:pt idx="433">
                  <c:v>74190796.832221597</c:v>
                </c:pt>
                <c:pt idx="434">
                  <c:v>34203339.887263857</c:v>
                </c:pt>
                <c:pt idx="435">
                  <c:v>79301297.982351184</c:v>
                </c:pt>
                <c:pt idx="436">
                  <c:v>116533859.88133442</c:v>
                </c:pt>
                <c:pt idx="437">
                  <c:v>54336935.02442079</c:v>
                </c:pt>
                <c:pt idx="438">
                  <c:v>171824716.18664637</c:v>
                </c:pt>
                <c:pt idx="439">
                  <c:v>18873233.302715875</c:v>
                </c:pt>
                <c:pt idx="440">
                  <c:v>121493240.21487087</c:v>
                </c:pt>
                <c:pt idx="441">
                  <c:v>33825137.417912625</c:v>
                </c:pt>
                <c:pt idx="442">
                  <c:v>96116059.316998959</c:v>
                </c:pt>
                <c:pt idx="443">
                  <c:v>63397347.076386966</c:v>
                </c:pt>
                <c:pt idx="444">
                  <c:v>217023788.65678176</c:v>
                </c:pt>
                <c:pt idx="445">
                  <c:v>78692775.436147809</c:v>
                </c:pt>
                <c:pt idx="446">
                  <c:v>70862116.864471138</c:v>
                </c:pt>
                <c:pt idx="447">
                  <c:v>151439673.24744537</c:v>
                </c:pt>
                <c:pt idx="448">
                  <c:v>61042215.074036993</c:v>
                </c:pt>
                <c:pt idx="449">
                  <c:v>95278580.726992577</c:v>
                </c:pt>
                <c:pt idx="450">
                  <c:v>116211406.70913562</c:v>
                </c:pt>
                <c:pt idx="451">
                  <c:v>147966410.02013701</c:v>
                </c:pt>
                <c:pt idx="452">
                  <c:v>63870546.575365163</c:v>
                </c:pt>
                <c:pt idx="453">
                  <c:v>173810273.14017197</c:v>
                </c:pt>
                <c:pt idx="454">
                  <c:v>124946029.23081145</c:v>
                </c:pt>
                <c:pt idx="455">
                  <c:v>108579495.47728318</c:v>
                </c:pt>
                <c:pt idx="456">
                  <c:v>237930376.61292732</c:v>
                </c:pt>
                <c:pt idx="457">
                  <c:v>72086351.866536975</c:v>
                </c:pt>
                <c:pt idx="458">
                  <c:v>93357609.442573041</c:v>
                </c:pt>
                <c:pt idx="459">
                  <c:v>85343198.304984778</c:v>
                </c:pt>
                <c:pt idx="460">
                  <c:v>45602760.438318335</c:v>
                </c:pt>
                <c:pt idx="461">
                  <c:v>23820996.71570535</c:v>
                </c:pt>
                <c:pt idx="462">
                  <c:v>164115371.90058121</c:v>
                </c:pt>
                <c:pt idx="463">
                  <c:v>21552316.242708392</c:v>
                </c:pt>
                <c:pt idx="464">
                  <c:v>100771045.79313499</c:v>
                </c:pt>
                <c:pt idx="465">
                  <c:v>102604299.23346388</c:v>
                </c:pt>
                <c:pt idx="466">
                  <c:v>122103615.96041554</c:v>
                </c:pt>
                <c:pt idx="467">
                  <c:v>40624302.225479715</c:v>
                </c:pt>
                <c:pt idx="468">
                  <c:v>76527777.404851437</c:v>
                </c:pt>
                <c:pt idx="469">
                  <c:v>18372009.57088618</c:v>
                </c:pt>
                <c:pt idx="470">
                  <c:v>43288451.889465384</c:v>
                </c:pt>
                <c:pt idx="471">
                  <c:v>48005875.824231721</c:v>
                </c:pt>
                <c:pt idx="472">
                  <c:v>107400639.05019021</c:v>
                </c:pt>
                <c:pt idx="473">
                  <c:v>132223755.58741292</c:v>
                </c:pt>
                <c:pt idx="474">
                  <c:v>366514263.40710968</c:v>
                </c:pt>
                <c:pt idx="475">
                  <c:v>70332214.38813886</c:v>
                </c:pt>
                <c:pt idx="476">
                  <c:v>39203327.514476605</c:v>
                </c:pt>
                <c:pt idx="477">
                  <c:v>51468721.308994196</c:v>
                </c:pt>
                <c:pt idx="478">
                  <c:v>29789458.746422969</c:v>
                </c:pt>
                <c:pt idx="479">
                  <c:v>18714978.392333604</c:v>
                </c:pt>
                <c:pt idx="480">
                  <c:v>62696823.179578118</c:v>
                </c:pt>
                <c:pt idx="481">
                  <c:v>95507112.944951653</c:v>
                </c:pt>
                <c:pt idx="482">
                  <c:v>94258168.616149008</c:v>
                </c:pt>
                <c:pt idx="483">
                  <c:v>40827559.464388452</c:v>
                </c:pt>
                <c:pt idx="484">
                  <c:v>33506275.817736387</c:v>
                </c:pt>
                <c:pt idx="485">
                  <c:v>45422704.115853913</c:v>
                </c:pt>
                <c:pt idx="486">
                  <c:v>2415330.8617846221</c:v>
                </c:pt>
                <c:pt idx="487">
                  <c:v>150420106.63934448</c:v>
                </c:pt>
                <c:pt idx="488">
                  <c:v>70812965.928406209</c:v>
                </c:pt>
                <c:pt idx="489">
                  <c:v>72106506.742292285</c:v>
                </c:pt>
                <c:pt idx="490">
                  <c:v>26797095.149366319</c:v>
                </c:pt>
                <c:pt idx="491">
                  <c:v>58119333.295480706</c:v>
                </c:pt>
                <c:pt idx="492">
                  <c:v>117725583.13339606</c:v>
                </c:pt>
                <c:pt idx="493">
                  <c:v>29154030.491341233</c:v>
                </c:pt>
                <c:pt idx="494">
                  <c:v>55731465.409268536</c:v>
                </c:pt>
                <c:pt idx="495">
                  <c:v>98273334.603839308</c:v>
                </c:pt>
                <c:pt idx="496">
                  <c:v>53274413.130348168</c:v>
                </c:pt>
                <c:pt idx="497">
                  <c:v>50115898.317204259</c:v>
                </c:pt>
                <c:pt idx="498">
                  <c:v>43277608.14307756</c:v>
                </c:pt>
                <c:pt idx="499">
                  <c:v>157668382.00850016</c:v>
                </c:pt>
                <c:pt idx="500">
                  <c:v>53401944.168122374</c:v>
                </c:pt>
                <c:pt idx="501">
                  <c:v>43799563.629480682</c:v>
                </c:pt>
                <c:pt idx="502">
                  <c:v>85932611.810325414</c:v>
                </c:pt>
                <c:pt idx="503">
                  <c:v>63480583.482633017</c:v>
                </c:pt>
                <c:pt idx="504">
                  <c:v>112761486.46022624</c:v>
                </c:pt>
                <c:pt idx="505">
                  <c:v>37381451.554300331</c:v>
                </c:pt>
                <c:pt idx="506">
                  <c:v>30901198.706869163</c:v>
                </c:pt>
                <c:pt idx="507">
                  <c:v>53413198.019956581</c:v>
                </c:pt>
                <c:pt idx="508">
                  <c:v>28733874.081519112</c:v>
                </c:pt>
                <c:pt idx="509">
                  <c:v>71358696.223946691</c:v>
                </c:pt>
                <c:pt idx="510">
                  <c:v>86994092.535814375</c:v>
                </c:pt>
                <c:pt idx="511">
                  <c:v>153714339.14683938</c:v>
                </c:pt>
                <c:pt idx="512">
                  <c:v>83448361.285785943</c:v>
                </c:pt>
                <c:pt idx="513">
                  <c:v>91805397.673425615</c:v>
                </c:pt>
                <c:pt idx="514">
                  <c:v>149549673.87515691</c:v>
                </c:pt>
                <c:pt idx="515">
                  <c:v>71000200.93982771</c:v>
                </c:pt>
                <c:pt idx="516">
                  <c:v>91750936.817274779</c:v>
                </c:pt>
                <c:pt idx="517">
                  <c:v>163198470.21220773</c:v>
                </c:pt>
                <c:pt idx="518">
                  <c:v>161221817.14887929</c:v>
                </c:pt>
                <c:pt idx="519">
                  <c:v>83251195.333598047</c:v>
                </c:pt>
                <c:pt idx="520">
                  <c:v>63792236.214060135</c:v>
                </c:pt>
                <c:pt idx="521">
                  <c:v>90295452.481494695</c:v>
                </c:pt>
                <c:pt idx="522">
                  <c:v>106313898.7324481</c:v>
                </c:pt>
                <c:pt idx="523">
                  <c:v>61210582.852958702</c:v>
                </c:pt>
                <c:pt idx="524">
                  <c:v>111097453.41548759</c:v>
                </c:pt>
                <c:pt idx="525">
                  <c:v>44588251.395833366</c:v>
                </c:pt>
                <c:pt idx="526">
                  <c:v>30441636.419619933</c:v>
                </c:pt>
                <c:pt idx="527">
                  <c:v>93078308.211641312</c:v>
                </c:pt>
                <c:pt idx="528">
                  <c:v>168490981.42384183</c:v>
                </c:pt>
                <c:pt idx="529">
                  <c:v>62289816.27741202</c:v>
                </c:pt>
                <c:pt idx="530">
                  <c:v>75883388.209250838</c:v>
                </c:pt>
                <c:pt idx="531">
                  <c:v>35518023.318018563</c:v>
                </c:pt>
                <c:pt idx="532">
                  <c:v>95153075.015849948</c:v>
                </c:pt>
                <c:pt idx="533">
                  <c:v>100083500.67487735</c:v>
                </c:pt>
                <c:pt idx="534">
                  <c:v>108099899.55467612</c:v>
                </c:pt>
                <c:pt idx="535">
                  <c:v>195949388.06173977</c:v>
                </c:pt>
                <c:pt idx="536">
                  <c:v>42134920.863106273</c:v>
                </c:pt>
                <c:pt idx="537">
                  <c:v>24390799.307542078</c:v>
                </c:pt>
                <c:pt idx="538">
                  <c:v>46640796.084170513</c:v>
                </c:pt>
                <c:pt idx="539">
                  <c:v>48581653.021256797</c:v>
                </c:pt>
                <c:pt idx="540">
                  <c:v>206015722.48526809</c:v>
                </c:pt>
                <c:pt idx="541">
                  <c:v>32340200.555826701</c:v>
                </c:pt>
                <c:pt idx="542">
                  <c:v>118294565.56832501</c:v>
                </c:pt>
                <c:pt idx="543">
                  <c:v>72800305.28639859</c:v>
                </c:pt>
                <c:pt idx="544">
                  <c:v>68810114.33723399</c:v>
                </c:pt>
                <c:pt idx="545">
                  <c:v>82188819.981564313</c:v>
                </c:pt>
                <c:pt idx="546">
                  <c:v>50405078.233706512</c:v>
                </c:pt>
                <c:pt idx="547">
                  <c:v>15146628.118307151</c:v>
                </c:pt>
                <c:pt idx="548">
                  <c:v>95596310.615800172</c:v>
                </c:pt>
                <c:pt idx="549">
                  <c:v>202162205.71908012</c:v>
                </c:pt>
                <c:pt idx="550">
                  <c:v>99298069.266392887</c:v>
                </c:pt>
                <c:pt idx="551">
                  <c:v>36685640.684323527</c:v>
                </c:pt>
                <c:pt idx="552">
                  <c:v>120952636.54060641</c:v>
                </c:pt>
                <c:pt idx="553">
                  <c:v>164597197.84825838</c:v>
                </c:pt>
                <c:pt idx="554">
                  <c:v>156025884.27662507</c:v>
                </c:pt>
                <c:pt idx="555">
                  <c:v>87325714.173172265</c:v>
                </c:pt>
                <c:pt idx="556">
                  <c:v>65071063.824213229</c:v>
                </c:pt>
                <c:pt idx="557">
                  <c:v>140233478.0675149</c:v>
                </c:pt>
                <c:pt idx="558">
                  <c:v>47652988.819907509</c:v>
                </c:pt>
                <c:pt idx="559">
                  <c:v>99098683.783161223</c:v>
                </c:pt>
                <c:pt idx="560">
                  <c:v>76296936.38003397</c:v>
                </c:pt>
                <c:pt idx="561">
                  <c:v>15775891.653698497</c:v>
                </c:pt>
                <c:pt idx="562">
                  <c:v>100981753.39618883</c:v>
                </c:pt>
                <c:pt idx="563">
                  <c:v>74982817.219207078</c:v>
                </c:pt>
                <c:pt idx="564">
                  <c:v>39422401.013269506</c:v>
                </c:pt>
                <c:pt idx="565">
                  <c:v>139260581.8655504</c:v>
                </c:pt>
                <c:pt idx="566">
                  <c:v>245566560.52410871</c:v>
                </c:pt>
                <c:pt idx="567">
                  <c:v>92758677.791173846</c:v>
                </c:pt>
                <c:pt idx="568">
                  <c:v>86905047.852103472</c:v>
                </c:pt>
                <c:pt idx="569">
                  <c:v>15073172.612779051</c:v>
                </c:pt>
                <c:pt idx="570">
                  <c:v>79819646.368560255</c:v>
                </c:pt>
                <c:pt idx="571">
                  <c:v>75136454.925091654</c:v>
                </c:pt>
                <c:pt idx="572">
                  <c:v>110866118.75344718</c:v>
                </c:pt>
                <c:pt idx="573">
                  <c:v>36788850.943129085</c:v>
                </c:pt>
                <c:pt idx="574">
                  <c:v>39607635.103116862</c:v>
                </c:pt>
                <c:pt idx="575">
                  <c:v>206846285.32910481</c:v>
                </c:pt>
                <c:pt idx="576">
                  <c:v>68364524.39623636</c:v>
                </c:pt>
                <c:pt idx="577">
                  <c:v>168760354.91056576</c:v>
                </c:pt>
                <c:pt idx="578">
                  <c:v>87979547.917204648</c:v>
                </c:pt>
                <c:pt idx="579">
                  <c:v>50208466.026349463</c:v>
                </c:pt>
                <c:pt idx="580">
                  <c:v>98917900.854895145</c:v>
                </c:pt>
                <c:pt idx="581">
                  <c:v>115157456.14697266</c:v>
                </c:pt>
                <c:pt idx="582">
                  <c:v>40852140.15355254</c:v>
                </c:pt>
                <c:pt idx="583">
                  <c:v>146550585.76168424</c:v>
                </c:pt>
                <c:pt idx="584">
                  <c:v>81958750.320730031</c:v>
                </c:pt>
                <c:pt idx="585">
                  <c:v>73349111.121970057</c:v>
                </c:pt>
                <c:pt idx="586">
                  <c:v>163266723.5507642</c:v>
                </c:pt>
                <c:pt idx="587">
                  <c:v>67682419.012945026</c:v>
                </c:pt>
                <c:pt idx="588">
                  <c:v>105608759.94011527</c:v>
                </c:pt>
                <c:pt idx="589">
                  <c:v>176979064.78672114</c:v>
                </c:pt>
                <c:pt idx="590">
                  <c:v>49160808.248591684</c:v>
                </c:pt>
                <c:pt idx="591">
                  <c:v>55683250.669198535</c:v>
                </c:pt>
                <c:pt idx="592">
                  <c:v>6868414.0666927099</c:v>
                </c:pt>
                <c:pt idx="593">
                  <c:v>104371846.44668409</c:v>
                </c:pt>
                <c:pt idx="594">
                  <c:v>46635824.196793295</c:v>
                </c:pt>
                <c:pt idx="595">
                  <c:v>287873084.55248588</c:v>
                </c:pt>
                <c:pt idx="596">
                  <c:v>72254234.898933023</c:v>
                </c:pt>
                <c:pt idx="597">
                  <c:v>119224287.07739523</c:v>
                </c:pt>
                <c:pt idx="598">
                  <c:v>48687860.644239552</c:v>
                </c:pt>
                <c:pt idx="599">
                  <c:v>57655440.258151703</c:v>
                </c:pt>
                <c:pt idx="600">
                  <c:v>71560760.654372424</c:v>
                </c:pt>
                <c:pt idx="601">
                  <c:v>125352219.67826325</c:v>
                </c:pt>
                <c:pt idx="602">
                  <c:v>57963755.313991226</c:v>
                </c:pt>
                <c:pt idx="603">
                  <c:v>94211094.215944856</c:v>
                </c:pt>
                <c:pt idx="604">
                  <c:v>141643519.34330118</c:v>
                </c:pt>
                <c:pt idx="605">
                  <c:v>63277466.666685425</c:v>
                </c:pt>
                <c:pt idx="606">
                  <c:v>95933566.826907933</c:v>
                </c:pt>
                <c:pt idx="607">
                  <c:v>60404096.393188052</c:v>
                </c:pt>
                <c:pt idx="608">
                  <c:v>75770563.515822947</c:v>
                </c:pt>
                <c:pt idx="609">
                  <c:v>63694074.001714863</c:v>
                </c:pt>
                <c:pt idx="610">
                  <c:v>78311691.775451601</c:v>
                </c:pt>
                <c:pt idx="611">
                  <c:v>92355304.261341989</c:v>
                </c:pt>
                <c:pt idx="612">
                  <c:v>42518625.131557204</c:v>
                </c:pt>
                <c:pt idx="613">
                  <c:v>140475902.75567317</c:v>
                </c:pt>
                <c:pt idx="614">
                  <c:v>119770115.46773103</c:v>
                </c:pt>
                <c:pt idx="615">
                  <c:v>35524260.506679885</c:v>
                </c:pt>
                <c:pt idx="616">
                  <c:v>63309741.807274722</c:v>
                </c:pt>
                <c:pt idx="617">
                  <c:v>329058147.16750509</c:v>
                </c:pt>
                <c:pt idx="618">
                  <c:v>59769672.811625145</c:v>
                </c:pt>
                <c:pt idx="619">
                  <c:v>87650618.673184723</c:v>
                </c:pt>
                <c:pt idx="620">
                  <c:v>95283055.380582362</c:v>
                </c:pt>
                <c:pt idx="621">
                  <c:v>14002822.289043434</c:v>
                </c:pt>
                <c:pt idx="622">
                  <c:v>80977646.255891353</c:v>
                </c:pt>
                <c:pt idx="623">
                  <c:v>44779201.627775081</c:v>
                </c:pt>
                <c:pt idx="624">
                  <c:v>171371914.65392804</c:v>
                </c:pt>
                <c:pt idx="625">
                  <c:v>82868522.819808245</c:v>
                </c:pt>
                <c:pt idx="626">
                  <c:v>43797456.327820487</c:v>
                </c:pt>
                <c:pt idx="627">
                  <c:v>68029296.560432285</c:v>
                </c:pt>
                <c:pt idx="628">
                  <c:v>139944004.71910533</c:v>
                </c:pt>
                <c:pt idx="629">
                  <c:v>22702646.19227691</c:v>
                </c:pt>
                <c:pt idx="630">
                  <c:v>28859441.426799431</c:v>
                </c:pt>
                <c:pt idx="631">
                  <c:v>30800671.282193065</c:v>
                </c:pt>
                <c:pt idx="632">
                  <c:v>16673122.270896487</c:v>
                </c:pt>
                <c:pt idx="633">
                  <c:v>30530807.066595264</c:v>
                </c:pt>
                <c:pt idx="634">
                  <c:v>49616059.077660225</c:v>
                </c:pt>
                <c:pt idx="635">
                  <c:v>119678546.83247596</c:v>
                </c:pt>
                <c:pt idx="636">
                  <c:v>187255196.18062887</c:v>
                </c:pt>
                <c:pt idx="637">
                  <c:v>100603466.23672608</c:v>
                </c:pt>
                <c:pt idx="638">
                  <c:v>77115466.572144389</c:v>
                </c:pt>
                <c:pt idx="639">
                  <c:v>64418776.347099967</c:v>
                </c:pt>
                <c:pt idx="640">
                  <c:v>77376223.990435839</c:v>
                </c:pt>
                <c:pt idx="641">
                  <c:v>144420769.944747</c:v>
                </c:pt>
                <c:pt idx="642">
                  <c:v>144502590.53769433</c:v>
                </c:pt>
                <c:pt idx="643">
                  <c:v>23313577.541775383</c:v>
                </c:pt>
                <c:pt idx="644">
                  <c:v>34726560.974642403</c:v>
                </c:pt>
                <c:pt idx="645">
                  <c:v>18521624.734896608</c:v>
                </c:pt>
                <c:pt idx="646">
                  <c:v>93777769.10124284</c:v>
                </c:pt>
                <c:pt idx="647">
                  <c:v>23695374.461436622</c:v>
                </c:pt>
                <c:pt idx="648">
                  <c:v>86646413.713591039</c:v>
                </c:pt>
                <c:pt idx="649">
                  <c:v>123628885.5070731</c:v>
                </c:pt>
                <c:pt idx="650">
                  <c:v>105821143.32403433</c:v>
                </c:pt>
                <c:pt idx="651">
                  <c:v>68561446.385980904</c:v>
                </c:pt>
                <c:pt idx="652">
                  <c:v>122141526.31944942</c:v>
                </c:pt>
                <c:pt idx="653">
                  <c:v>125664452.91581389</c:v>
                </c:pt>
                <c:pt idx="654">
                  <c:v>49984023.135169737</c:v>
                </c:pt>
                <c:pt idx="655">
                  <c:v>92849905.700537354</c:v>
                </c:pt>
                <c:pt idx="656">
                  <c:v>38875411.81862215</c:v>
                </c:pt>
                <c:pt idx="657">
                  <c:v>53579836.33995793</c:v>
                </c:pt>
                <c:pt idx="658">
                  <c:v>56276638.095308103</c:v>
                </c:pt>
                <c:pt idx="659">
                  <c:v>87736829.77409035</c:v>
                </c:pt>
                <c:pt idx="660">
                  <c:v>77267609.980262965</c:v>
                </c:pt>
                <c:pt idx="661">
                  <c:v>58509756.49994152</c:v>
                </c:pt>
                <c:pt idx="662">
                  <c:v>101211365.12094164</c:v>
                </c:pt>
                <c:pt idx="663">
                  <c:v>36781776.552000515</c:v>
                </c:pt>
                <c:pt idx="664">
                  <c:v>89860346.895684719</c:v>
                </c:pt>
                <c:pt idx="665">
                  <c:v>228404089.45170304</c:v>
                </c:pt>
                <c:pt idx="666">
                  <c:v>41104633.848453186</c:v>
                </c:pt>
                <c:pt idx="667">
                  <c:v>99347548.201610893</c:v>
                </c:pt>
                <c:pt idx="668">
                  <c:v>217684248.01246941</c:v>
                </c:pt>
                <c:pt idx="669">
                  <c:v>198773768.07142961</c:v>
                </c:pt>
                <c:pt idx="670">
                  <c:v>42221987.28098724</c:v>
                </c:pt>
                <c:pt idx="671">
                  <c:v>120736267.63390329</c:v>
                </c:pt>
                <c:pt idx="672">
                  <c:v>32398643.092141896</c:v>
                </c:pt>
                <c:pt idx="673">
                  <c:v>289184087.55194491</c:v>
                </c:pt>
                <c:pt idx="674">
                  <c:v>121794813.79775801</c:v>
                </c:pt>
                <c:pt idx="675">
                  <c:v>134610081.43971452</c:v>
                </c:pt>
                <c:pt idx="676">
                  <c:v>52672771.624834426</c:v>
                </c:pt>
                <c:pt idx="677">
                  <c:v>125489750.37815419</c:v>
                </c:pt>
                <c:pt idx="678">
                  <c:v>63170900.922114976</c:v>
                </c:pt>
                <c:pt idx="679">
                  <c:v>42873084.925590329</c:v>
                </c:pt>
                <c:pt idx="680">
                  <c:v>172092122.95789057</c:v>
                </c:pt>
                <c:pt idx="681">
                  <c:v>33176016.819177568</c:v>
                </c:pt>
                <c:pt idx="682">
                  <c:v>43635675.959931068</c:v>
                </c:pt>
                <c:pt idx="683">
                  <c:v>78504349.325518608</c:v>
                </c:pt>
                <c:pt idx="684">
                  <c:v>192945519.28552067</c:v>
                </c:pt>
                <c:pt idx="685">
                  <c:v>228342005.88674524</c:v>
                </c:pt>
                <c:pt idx="686">
                  <c:v>79625321.705540866</c:v>
                </c:pt>
                <c:pt idx="687">
                  <c:v>114480450.97106215</c:v>
                </c:pt>
                <c:pt idx="688">
                  <c:v>130933890.66011524</c:v>
                </c:pt>
                <c:pt idx="689">
                  <c:v>80840037.3816019</c:v>
                </c:pt>
                <c:pt idx="690">
                  <c:v>97106084.271655858</c:v>
                </c:pt>
                <c:pt idx="691">
                  <c:v>15630870.345541447</c:v>
                </c:pt>
                <c:pt idx="692">
                  <c:v>77945666.975011259</c:v>
                </c:pt>
                <c:pt idx="693">
                  <c:v>93520376.698750108</c:v>
                </c:pt>
                <c:pt idx="694">
                  <c:v>19466117.264860012</c:v>
                </c:pt>
                <c:pt idx="695">
                  <c:v>30422860.632531166</c:v>
                </c:pt>
                <c:pt idx="696">
                  <c:v>51469023.778448172</c:v>
                </c:pt>
                <c:pt idx="697">
                  <c:v>153871686.0312807</c:v>
                </c:pt>
                <c:pt idx="698">
                  <c:v>24182168.129178956</c:v>
                </c:pt>
                <c:pt idx="699">
                  <c:v>173353819.42301846</c:v>
                </c:pt>
                <c:pt idx="700">
                  <c:v>97103139.798060745</c:v>
                </c:pt>
                <c:pt idx="701">
                  <c:v>89652890.761328161</c:v>
                </c:pt>
                <c:pt idx="702">
                  <c:v>143939339.31439587</c:v>
                </c:pt>
                <c:pt idx="703">
                  <c:v>33811702.083481871</c:v>
                </c:pt>
                <c:pt idx="704">
                  <c:v>66726158.415211491</c:v>
                </c:pt>
                <c:pt idx="705">
                  <c:v>94878569.165881962</c:v>
                </c:pt>
                <c:pt idx="706">
                  <c:v>29570514.050302483</c:v>
                </c:pt>
                <c:pt idx="707">
                  <c:v>96253455.359775662</c:v>
                </c:pt>
                <c:pt idx="708">
                  <c:v>19793328.870964393</c:v>
                </c:pt>
                <c:pt idx="709">
                  <c:v>39856156.322622903</c:v>
                </c:pt>
                <c:pt idx="710">
                  <c:v>17439265.086183265</c:v>
                </c:pt>
                <c:pt idx="711">
                  <c:v>60373271.573122673</c:v>
                </c:pt>
                <c:pt idx="712">
                  <c:v>35113261.246532001</c:v>
                </c:pt>
                <c:pt idx="713">
                  <c:v>90147362.906372041</c:v>
                </c:pt>
                <c:pt idx="714">
                  <c:v>128380347.72019821</c:v>
                </c:pt>
                <c:pt idx="715">
                  <c:v>67856172.6030415</c:v>
                </c:pt>
                <c:pt idx="716">
                  <c:v>144836260.6710375</c:v>
                </c:pt>
                <c:pt idx="717">
                  <c:v>71895032.557897359</c:v>
                </c:pt>
                <c:pt idx="718">
                  <c:v>62352605.028782628</c:v>
                </c:pt>
                <c:pt idx="719">
                  <c:v>36593086.520753793</c:v>
                </c:pt>
                <c:pt idx="720">
                  <c:v>62755124.524119668</c:v>
                </c:pt>
                <c:pt idx="721">
                  <c:v>129880026.71961254</c:v>
                </c:pt>
                <c:pt idx="722">
                  <c:v>97840927.427635223</c:v>
                </c:pt>
                <c:pt idx="723">
                  <c:v>111643169.03057405</c:v>
                </c:pt>
                <c:pt idx="724">
                  <c:v>107659314.03472561</c:v>
                </c:pt>
                <c:pt idx="725">
                  <c:v>43919442.839251257</c:v>
                </c:pt>
                <c:pt idx="726">
                  <c:v>36473843.531815611</c:v>
                </c:pt>
                <c:pt idx="727">
                  <c:v>167868828.2622942</c:v>
                </c:pt>
                <c:pt idx="728">
                  <c:v>80733100.804519534</c:v>
                </c:pt>
                <c:pt idx="729">
                  <c:v>163378161.43466404</c:v>
                </c:pt>
                <c:pt idx="730">
                  <c:v>17079317.508371666</c:v>
                </c:pt>
                <c:pt idx="731">
                  <c:v>53826909.638471924</c:v>
                </c:pt>
                <c:pt idx="732">
                  <c:v>154866081.628178</c:v>
                </c:pt>
                <c:pt idx="733">
                  <c:v>52309351.000632755</c:v>
                </c:pt>
                <c:pt idx="734">
                  <c:v>1376162.5285722539</c:v>
                </c:pt>
                <c:pt idx="735">
                  <c:v>21278030.285902508</c:v>
                </c:pt>
                <c:pt idx="736">
                  <c:v>193371330.35593253</c:v>
                </c:pt>
                <c:pt idx="737">
                  <c:v>35117164.166849189</c:v>
                </c:pt>
                <c:pt idx="738">
                  <c:v>75818770.214695185</c:v>
                </c:pt>
                <c:pt idx="739">
                  <c:v>102942422.76071164</c:v>
                </c:pt>
                <c:pt idx="740">
                  <c:v>50102788.079039671</c:v>
                </c:pt>
                <c:pt idx="741">
                  <c:v>111170644.16630545</c:v>
                </c:pt>
                <c:pt idx="742">
                  <c:v>119130865.52431718</c:v>
                </c:pt>
                <c:pt idx="743">
                  <c:v>264888572.01115578</c:v>
                </c:pt>
                <c:pt idx="744">
                  <c:v>81912423.529221207</c:v>
                </c:pt>
                <c:pt idx="745">
                  <c:v>19580942.870535143</c:v>
                </c:pt>
                <c:pt idx="746">
                  <c:v>241291555.40845889</c:v>
                </c:pt>
                <c:pt idx="747">
                  <c:v>101379920.64558139</c:v>
                </c:pt>
                <c:pt idx="748">
                  <c:v>55539957.192670755</c:v>
                </c:pt>
                <c:pt idx="749">
                  <c:v>74380318.977725357</c:v>
                </c:pt>
                <c:pt idx="750">
                  <c:v>134180699.45189679</c:v>
                </c:pt>
                <c:pt idx="751">
                  <c:v>87944442.905157089</c:v>
                </c:pt>
                <c:pt idx="752">
                  <c:v>35533609.345577307</c:v>
                </c:pt>
                <c:pt idx="753">
                  <c:v>78109781.95491147</c:v>
                </c:pt>
                <c:pt idx="754">
                  <c:v>116568567.34735739</c:v>
                </c:pt>
                <c:pt idx="755">
                  <c:v>40664236.802480809</c:v>
                </c:pt>
                <c:pt idx="756">
                  <c:v>81789759.926753014</c:v>
                </c:pt>
                <c:pt idx="757">
                  <c:v>19413019.658978559</c:v>
                </c:pt>
                <c:pt idx="758">
                  <c:v>40825480.984077238</c:v>
                </c:pt>
                <c:pt idx="759">
                  <c:v>211408513.30001995</c:v>
                </c:pt>
                <c:pt idx="760">
                  <c:v>69228661.621654719</c:v>
                </c:pt>
                <c:pt idx="761">
                  <c:v>80952237.733641982</c:v>
                </c:pt>
                <c:pt idx="762">
                  <c:v>30510728.615361415</c:v>
                </c:pt>
                <c:pt idx="763">
                  <c:v>160330382.89257336</c:v>
                </c:pt>
                <c:pt idx="764">
                  <c:v>122520054.40981722</c:v>
                </c:pt>
                <c:pt idx="765">
                  <c:v>75973140.66470775</c:v>
                </c:pt>
                <c:pt idx="766">
                  <c:v>36211761.562907837</c:v>
                </c:pt>
                <c:pt idx="767">
                  <c:v>52117814.526547872</c:v>
                </c:pt>
                <c:pt idx="768">
                  <c:v>37362216.866413943</c:v>
                </c:pt>
                <c:pt idx="769">
                  <c:v>53723664.02106493</c:v>
                </c:pt>
                <c:pt idx="770">
                  <c:v>17165313.865594923</c:v>
                </c:pt>
                <c:pt idx="771">
                  <c:v>54785932.718381681</c:v>
                </c:pt>
                <c:pt idx="772">
                  <c:v>111596359.51086816</c:v>
                </c:pt>
                <c:pt idx="773">
                  <c:v>34337749.019073881</c:v>
                </c:pt>
                <c:pt idx="774">
                  <c:v>89102489.641941249</c:v>
                </c:pt>
                <c:pt idx="775">
                  <c:v>138817907.32617888</c:v>
                </c:pt>
                <c:pt idx="776">
                  <c:v>27611935.563490607</c:v>
                </c:pt>
                <c:pt idx="777">
                  <c:v>187121949.60455406</c:v>
                </c:pt>
                <c:pt idx="778">
                  <c:v>52436122.631474204</c:v>
                </c:pt>
                <c:pt idx="779">
                  <c:v>50973360.226535805</c:v>
                </c:pt>
                <c:pt idx="780">
                  <c:v>29775051.172268383</c:v>
                </c:pt>
                <c:pt idx="781">
                  <c:v>216735061.70082781</c:v>
                </c:pt>
                <c:pt idx="782">
                  <c:v>44669081.148898356</c:v>
                </c:pt>
                <c:pt idx="783">
                  <c:v>249853679.7600649</c:v>
                </c:pt>
                <c:pt idx="784">
                  <c:v>6439174.9251808226</c:v>
                </c:pt>
                <c:pt idx="785">
                  <c:v>215239843.00749236</c:v>
                </c:pt>
                <c:pt idx="786">
                  <c:v>25697232.601302363</c:v>
                </c:pt>
                <c:pt idx="787">
                  <c:v>16658319.98884967</c:v>
                </c:pt>
                <c:pt idx="788">
                  <c:v>8194334.2854148448</c:v>
                </c:pt>
                <c:pt idx="789">
                  <c:v>119237685.54330409</c:v>
                </c:pt>
                <c:pt idx="790">
                  <c:v>80361496.936378747</c:v>
                </c:pt>
                <c:pt idx="791">
                  <c:v>12794307.822339036</c:v>
                </c:pt>
                <c:pt idx="792">
                  <c:v>27761479.863522284</c:v>
                </c:pt>
                <c:pt idx="793">
                  <c:v>46573915.605920158</c:v>
                </c:pt>
                <c:pt idx="794">
                  <c:v>87923300.104577005</c:v>
                </c:pt>
                <c:pt idx="795">
                  <c:v>16855047.906106077</c:v>
                </c:pt>
                <c:pt idx="796">
                  <c:v>133209203.48182145</c:v>
                </c:pt>
                <c:pt idx="797">
                  <c:v>54408000.056631915</c:v>
                </c:pt>
                <c:pt idx="798">
                  <c:v>144061344.21524611</c:v>
                </c:pt>
                <c:pt idx="799">
                  <c:v>49202164.756332271</c:v>
                </c:pt>
                <c:pt idx="800">
                  <c:v>45528599.141729675</c:v>
                </c:pt>
                <c:pt idx="801">
                  <c:v>165251874.82359093</c:v>
                </c:pt>
                <c:pt idx="802">
                  <c:v>14685326.271348648</c:v>
                </c:pt>
                <c:pt idx="803">
                  <c:v>119051816.2972064</c:v>
                </c:pt>
                <c:pt idx="804">
                  <c:v>53474241.250223868</c:v>
                </c:pt>
                <c:pt idx="805">
                  <c:v>29088471.731664658</c:v>
                </c:pt>
                <c:pt idx="806">
                  <c:v>31061501.093801208</c:v>
                </c:pt>
                <c:pt idx="807">
                  <c:v>80446627.35078755</c:v>
                </c:pt>
                <c:pt idx="808">
                  <c:v>15883822.346849442</c:v>
                </c:pt>
                <c:pt idx="809">
                  <c:v>176578755.29221621</c:v>
                </c:pt>
                <c:pt idx="810">
                  <c:v>30233067.041778214</c:v>
                </c:pt>
                <c:pt idx="811">
                  <c:v>99746347.725432426</c:v>
                </c:pt>
                <c:pt idx="812">
                  <c:v>148288706.11455789</c:v>
                </c:pt>
                <c:pt idx="813">
                  <c:v>325587692.70508796</c:v>
                </c:pt>
                <c:pt idx="814">
                  <c:v>67785564.09825474</c:v>
                </c:pt>
                <c:pt idx="815">
                  <c:v>106068307.71154904</c:v>
                </c:pt>
                <c:pt idx="816">
                  <c:v>47534210.813479163</c:v>
                </c:pt>
                <c:pt idx="817">
                  <c:v>75790400.456227899</c:v>
                </c:pt>
                <c:pt idx="818">
                  <c:v>52443250.03851939</c:v>
                </c:pt>
                <c:pt idx="819">
                  <c:v>38245230.957564436</c:v>
                </c:pt>
                <c:pt idx="820">
                  <c:v>71231330.224691063</c:v>
                </c:pt>
                <c:pt idx="821">
                  <c:v>74276424.413325697</c:v>
                </c:pt>
                <c:pt idx="822">
                  <c:v>147549094.24228993</c:v>
                </c:pt>
                <c:pt idx="823">
                  <c:v>83815172.545713484</c:v>
                </c:pt>
                <c:pt idx="824">
                  <c:v>83866782.371423304</c:v>
                </c:pt>
                <c:pt idx="825">
                  <c:v>51359628.609119527</c:v>
                </c:pt>
                <c:pt idx="826">
                  <c:v>74175423.788733482</c:v>
                </c:pt>
                <c:pt idx="827">
                  <c:v>204530620.45563447</c:v>
                </c:pt>
                <c:pt idx="828">
                  <c:v>49942850.098778538</c:v>
                </c:pt>
                <c:pt idx="829">
                  <c:v>95698423.609559625</c:v>
                </c:pt>
                <c:pt idx="830">
                  <c:v>83831905.240793973</c:v>
                </c:pt>
                <c:pt idx="831">
                  <c:v>175194245.33937445</c:v>
                </c:pt>
                <c:pt idx="832">
                  <c:v>49149781.666408695</c:v>
                </c:pt>
                <c:pt idx="833">
                  <c:v>28423701.223696895</c:v>
                </c:pt>
                <c:pt idx="834">
                  <c:v>194330361.4505029</c:v>
                </c:pt>
                <c:pt idx="835">
                  <c:v>51074353.249069177</c:v>
                </c:pt>
                <c:pt idx="836">
                  <c:v>38039806.740009107</c:v>
                </c:pt>
                <c:pt idx="837">
                  <c:v>112257904.87504613</c:v>
                </c:pt>
                <c:pt idx="838">
                  <c:v>82092157.430875748</c:v>
                </c:pt>
                <c:pt idx="839">
                  <c:v>161048283.14615065</c:v>
                </c:pt>
                <c:pt idx="840">
                  <c:v>78401392.737591922</c:v>
                </c:pt>
                <c:pt idx="841">
                  <c:v>28352272.813155062</c:v>
                </c:pt>
                <c:pt idx="842">
                  <c:v>94929512.570357621</c:v>
                </c:pt>
                <c:pt idx="843">
                  <c:v>253388932.49430484</c:v>
                </c:pt>
                <c:pt idx="844">
                  <c:v>78917767.05908826</c:v>
                </c:pt>
                <c:pt idx="845">
                  <c:v>43122851.587603606</c:v>
                </c:pt>
                <c:pt idx="846">
                  <c:v>73815279.1038118</c:v>
                </c:pt>
                <c:pt idx="847">
                  <c:v>180426257.33940259</c:v>
                </c:pt>
                <c:pt idx="848">
                  <c:v>64164641.37249916</c:v>
                </c:pt>
                <c:pt idx="849">
                  <c:v>174296064.50064197</c:v>
                </c:pt>
                <c:pt idx="850">
                  <c:v>60782799.602899395</c:v>
                </c:pt>
                <c:pt idx="851">
                  <c:v>149754082.8703526</c:v>
                </c:pt>
                <c:pt idx="852">
                  <c:v>141147626.44011456</c:v>
                </c:pt>
                <c:pt idx="853">
                  <c:v>93201761.020648241</c:v>
                </c:pt>
                <c:pt idx="854">
                  <c:v>178348730.57135057</c:v>
                </c:pt>
                <c:pt idx="855">
                  <c:v>58775265.461590983</c:v>
                </c:pt>
                <c:pt idx="856">
                  <c:v>37509151.658345573</c:v>
                </c:pt>
                <c:pt idx="857">
                  <c:v>58886575.910855003</c:v>
                </c:pt>
                <c:pt idx="858">
                  <c:v>132491358.90586323</c:v>
                </c:pt>
                <c:pt idx="859">
                  <c:v>99628985.395165682</c:v>
                </c:pt>
                <c:pt idx="860">
                  <c:v>43479775.083089419</c:v>
                </c:pt>
                <c:pt idx="861">
                  <c:v>37545297.274027161</c:v>
                </c:pt>
                <c:pt idx="862">
                  <c:v>147372141.42412326</c:v>
                </c:pt>
                <c:pt idx="863">
                  <c:v>29037822.896290034</c:v>
                </c:pt>
                <c:pt idx="864">
                  <c:v>62780549.582752399</c:v>
                </c:pt>
                <c:pt idx="865">
                  <c:v>104349355.08608213</c:v>
                </c:pt>
                <c:pt idx="866">
                  <c:v>70653164.164668173</c:v>
                </c:pt>
                <c:pt idx="867">
                  <c:v>47211230.229991384</c:v>
                </c:pt>
                <c:pt idx="868">
                  <c:v>117583889.54989457</c:v>
                </c:pt>
                <c:pt idx="869">
                  <c:v>80511088.587805808</c:v>
                </c:pt>
                <c:pt idx="870">
                  <c:v>109976074.92423299</c:v>
                </c:pt>
                <c:pt idx="871">
                  <c:v>60773930.680583261</c:v>
                </c:pt>
                <c:pt idx="872">
                  <c:v>44366088.108398266</c:v>
                </c:pt>
                <c:pt idx="873">
                  <c:v>122558028.17979521</c:v>
                </c:pt>
                <c:pt idx="874">
                  <c:v>50668179.730660774</c:v>
                </c:pt>
                <c:pt idx="875">
                  <c:v>73877525.437007338</c:v>
                </c:pt>
                <c:pt idx="876">
                  <c:v>121100756.96996301</c:v>
                </c:pt>
                <c:pt idx="877">
                  <c:v>105248053.05414376</c:v>
                </c:pt>
                <c:pt idx="878">
                  <c:v>39437522.33453729</c:v>
                </c:pt>
                <c:pt idx="879">
                  <c:v>159786298.41933212</c:v>
                </c:pt>
                <c:pt idx="880">
                  <c:v>28937562.601700284</c:v>
                </c:pt>
                <c:pt idx="881">
                  <c:v>44016113.472206093</c:v>
                </c:pt>
                <c:pt idx="882">
                  <c:v>169230646.04652622</c:v>
                </c:pt>
                <c:pt idx="883">
                  <c:v>138977157.06361645</c:v>
                </c:pt>
                <c:pt idx="884">
                  <c:v>151222351.21858263</c:v>
                </c:pt>
                <c:pt idx="885">
                  <c:v>22662099.783431694</c:v>
                </c:pt>
                <c:pt idx="886">
                  <c:v>75412634.579674572</c:v>
                </c:pt>
                <c:pt idx="887">
                  <c:v>10865111.090659969</c:v>
                </c:pt>
                <c:pt idx="888">
                  <c:v>225150074.75496325</c:v>
                </c:pt>
                <c:pt idx="889">
                  <c:v>86318453.358933926</c:v>
                </c:pt>
                <c:pt idx="890">
                  <c:v>53081573.863198884</c:v>
                </c:pt>
                <c:pt idx="891">
                  <c:v>86587949.694634706</c:v>
                </c:pt>
                <c:pt idx="892">
                  <c:v>68373984.512678236</c:v>
                </c:pt>
                <c:pt idx="893">
                  <c:v>86998362.029764384</c:v>
                </c:pt>
                <c:pt idx="894">
                  <c:v>118436785.22425517</c:v>
                </c:pt>
                <c:pt idx="895">
                  <c:v>70114771.158672124</c:v>
                </c:pt>
                <c:pt idx="896">
                  <c:v>47183012.657569788</c:v>
                </c:pt>
                <c:pt idx="897">
                  <c:v>54403452.607652284</c:v>
                </c:pt>
                <c:pt idx="898">
                  <c:v>275972452.49916661</c:v>
                </c:pt>
                <c:pt idx="899">
                  <c:v>198212156.52798834</c:v>
                </c:pt>
                <c:pt idx="900">
                  <c:v>71492588.874474138</c:v>
                </c:pt>
                <c:pt idx="901">
                  <c:v>44712158.438356794</c:v>
                </c:pt>
                <c:pt idx="902">
                  <c:v>157429191.32268354</c:v>
                </c:pt>
                <c:pt idx="903">
                  <c:v>26529418.003801703</c:v>
                </c:pt>
                <c:pt idx="904">
                  <c:v>95111013.509724051</c:v>
                </c:pt>
                <c:pt idx="905">
                  <c:v>76915165.055728376</c:v>
                </c:pt>
                <c:pt idx="906">
                  <c:v>232376315.11186749</c:v>
                </c:pt>
                <c:pt idx="907">
                  <c:v>59994189.17389027</c:v>
                </c:pt>
                <c:pt idx="908">
                  <c:v>89100684.451987028</c:v>
                </c:pt>
                <c:pt idx="909">
                  <c:v>191690426.0979192</c:v>
                </c:pt>
                <c:pt idx="910">
                  <c:v>60701000.070959277</c:v>
                </c:pt>
                <c:pt idx="911">
                  <c:v>58132929.8915684</c:v>
                </c:pt>
                <c:pt idx="912">
                  <c:v>96869862.72079739</c:v>
                </c:pt>
                <c:pt idx="913">
                  <c:v>51533682.281897314</c:v>
                </c:pt>
                <c:pt idx="914">
                  <c:v>62646637.311300971</c:v>
                </c:pt>
                <c:pt idx="915">
                  <c:v>63674527.235972591</c:v>
                </c:pt>
                <c:pt idx="916">
                  <c:v>47941520.439661376</c:v>
                </c:pt>
                <c:pt idx="917">
                  <c:v>48215652.540063195</c:v>
                </c:pt>
                <c:pt idx="918">
                  <c:v>98280316.721317798</c:v>
                </c:pt>
                <c:pt idx="919">
                  <c:v>275955875.63194913</c:v>
                </c:pt>
                <c:pt idx="920">
                  <c:v>146306375.27417827</c:v>
                </c:pt>
                <c:pt idx="921">
                  <c:v>102119753.0139811</c:v>
                </c:pt>
                <c:pt idx="922">
                  <c:v>113370397.24163884</c:v>
                </c:pt>
                <c:pt idx="923">
                  <c:v>85165919.199354529</c:v>
                </c:pt>
                <c:pt idx="924">
                  <c:v>30153220.793926962</c:v>
                </c:pt>
                <c:pt idx="925">
                  <c:v>82117601.682901025</c:v>
                </c:pt>
                <c:pt idx="926">
                  <c:v>153142844.0953576</c:v>
                </c:pt>
                <c:pt idx="927">
                  <c:v>54435014.482424222</c:v>
                </c:pt>
                <c:pt idx="928">
                  <c:v>68057626.180523127</c:v>
                </c:pt>
                <c:pt idx="929">
                  <c:v>223468620.77054262</c:v>
                </c:pt>
                <c:pt idx="930">
                  <c:v>44658336.841717206</c:v>
                </c:pt>
                <c:pt idx="931">
                  <c:v>209933707.45145792</c:v>
                </c:pt>
                <c:pt idx="932">
                  <c:v>56671587.639742576</c:v>
                </c:pt>
                <c:pt idx="933">
                  <c:v>135403737.68002173</c:v>
                </c:pt>
                <c:pt idx="934">
                  <c:v>150257683.22672951</c:v>
                </c:pt>
                <c:pt idx="935">
                  <c:v>129547443.29533291</c:v>
                </c:pt>
                <c:pt idx="936">
                  <c:v>69605899.890368372</c:v>
                </c:pt>
                <c:pt idx="937">
                  <c:v>89230899.687425017</c:v>
                </c:pt>
                <c:pt idx="938">
                  <c:v>95360967.078265071</c:v>
                </c:pt>
                <c:pt idx="939">
                  <c:v>92035126.780320883</c:v>
                </c:pt>
                <c:pt idx="940">
                  <c:v>114924324.47770905</c:v>
                </c:pt>
                <c:pt idx="941">
                  <c:v>33055964.56852717</c:v>
                </c:pt>
                <c:pt idx="942">
                  <c:v>19508159.191661797</c:v>
                </c:pt>
                <c:pt idx="943">
                  <c:v>25797586.342790462</c:v>
                </c:pt>
                <c:pt idx="944">
                  <c:v>100107448.79520297</c:v>
                </c:pt>
                <c:pt idx="945">
                  <c:v>108486870.35692707</c:v>
                </c:pt>
                <c:pt idx="946">
                  <c:v>68026567.607569456</c:v>
                </c:pt>
                <c:pt idx="947">
                  <c:v>37325178.702554174</c:v>
                </c:pt>
                <c:pt idx="948">
                  <c:v>34589781.72260005</c:v>
                </c:pt>
                <c:pt idx="949">
                  <c:v>13775772.674640194</c:v>
                </c:pt>
                <c:pt idx="950">
                  <c:v>79680818.767617017</c:v>
                </c:pt>
                <c:pt idx="951">
                  <c:v>205751050.58384055</c:v>
                </c:pt>
                <c:pt idx="952">
                  <c:v>164456508.84407952</c:v>
                </c:pt>
                <c:pt idx="953">
                  <c:v>119008098.53960994</c:v>
                </c:pt>
                <c:pt idx="954">
                  <c:v>12495288.763212375</c:v>
                </c:pt>
                <c:pt idx="955">
                  <c:v>19253547.561452113</c:v>
                </c:pt>
                <c:pt idx="956">
                  <c:v>70115200.190077305</c:v>
                </c:pt>
                <c:pt idx="957">
                  <c:v>36049575.035262324</c:v>
                </c:pt>
                <c:pt idx="958">
                  <c:v>87080674.943504959</c:v>
                </c:pt>
                <c:pt idx="959">
                  <c:v>86547900.913125604</c:v>
                </c:pt>
                <c:pt idx="960">
                  <c:v>70303889.380413592</c:v>
                </c:pt>
                <c:pt idx="961">
                  <c:v>136762312.75417387</c:v>
                </c:pt>
                <c:pt idx="962">
                  <c:v>33411619.10629753</c:v>
                </c:pt>
                <c:pt idx="963">
                  <c:v>90054393.288350672</c:v>
                </c:pt>
                <c:pt idx="964">
                  <c:v>167244528.13732576</c:v>
                </c:pt>
                <c:pt idx="965">
                  <c:v>76217073.74986586</c:v>
                </c:pt>
                <c:pt idx="966">
                  <c:v>32966863.359960161</c:v>
                </c:pt>
                <c:pt idx="967">
                  <c:v>46114331.834401049</c:v>
                </c:pt>
                <c:pt idx="968">
                  <c:v>37804884.88808047</c:v>
                </c:pt>
                <c:pt idx="969">
                  <c:v>61207385.982323684</c:v>
                </c:pt>
                <c:pt idx="970">
                  <c:v>57911687.222106807</c:v>
                </c:pt>
                <c:pt idx="971">
                  <c:v>302854520.32757366</c:v>
                </c:pt>
                <c:pt idx="972">
                  <c:v>58625938.183075733</c:v>
                </c:pt>
                <c:pt idx="973">
                  <c:v>157644825.0671356</c:v>
                </c:pt>
                <c:pt idx="974">
                  <c:v>33811618.810294755</c:v>
                </c:pt>
                <c:pt idx="975">
                  <c:v>103904708.87929815</c:v>
                </c:pt>
                <c:pt idx="976">
                  <c:v>52906770.450005718</c:v>
                </c:pt>
                <c:pt idx="977">
                  <c:v>55360075.441597603</c:v>
                </c:pt>
                <c:pt idx="978">
                  <c:v>86872189.75769946</c:v>
                </c:pt>
                <c:pt idx="979">
                  <c:v>140428935.08550212</c:v>
                </c:pt>
                <c:pt idx="980">
                  <c:v>103733450.32233441</c:v>
                </c:pt>
                <c:pt idx="981">
                  <c:v>159295890.92994732</c:v>
                </c:pt>
                <c:pt idx="982">
                  <c:v>53718776.302274607</c:v>
                </c:pt>
                <c:pt idx="983">
                  <c:v>172204504.91355008</c:v>
                </c:pt>
                <c:pt idx="984">
                  <c:v>87422680.76376611</c:v>
                </c:pt>
                <c:pt idx="985">
                  <c:v>151019223.88943964</c:v>
                </c:pt>
                <c:pt idx="986">
                  <c:v>46154643.326046728</c:v>
                </c:pt>
                <c:pt idx="987">
                  <c:v>192034731.10956275</c:v>
                </c:pt>
                <c:pt idx="988">
                  <c:v>163341506.29089227</c:v>
                </c:pt>
                <c:pt idx="989">
                  <c:v>175148032.03008977</c:v>
                </c:pt>
                <c:pt idx="990">
                  <c:v>77355883.886413306</c:v>
                </c:pt>
                <c:pt idx="991">
                  <c:v>105499442.66449949</c:v>
                </c:pt>
                <c:pt idx="992">
                  <c:v>137577954.39941344</c:v>
                </c:pt>
                <c:pt idx="993">
                  <c:v>119658563.8753185</c:v>
                </c:pt>
                <c:pt idx="994">
                  <c:v>12979310.160400368</c:v>
                </c:pt>
                <c:pt idx="995">
                  <c:v>97822545.260448128</c:v>
                </c:pt>
                <c:pt idx="996">
                  <c:v>97212223.174999624</c:v>
                </c:pt>
                <c:pt idx="997">
                  <c:v>24204544.296555653</c:v>
                </c:pt>
                <c:pt idx="998">
                  <c:v>130211694.55963042</c:v>
                </c:pt>
                <c:pt idx="999">
                  <c:v>141700878.07261211</c:v>
                </c:pt>
              </c:numCache>
            </c:numRef>
          </c:xVal>
          <c:yVal>
            <c:numRef>
              <c:f>'Appendix P'!$AU$35:$AU$1034</c:f>
              <c:numCache>
                <c:formatCode>0.000000000</c:formatCode>
                <c:ptCount val="1000"/>
                <c:pt idx="0">
                  <c:v>6.9367243827770873E-9</c:v>
                </c:pt>
                <c:pt idx="1">
                  <c:v>1.392617517275282E-10</c:v>
                </c:pt>
                <c:pt idx="2">
                  <c:v>5.0635470158063754E-9</c:v>
                </c:pt>
                <c:pt idx="3">
                  <c:v>6.68248196872932E-9</c:v>
                </c:pt>
                <c:pt idx="4">
                  <c:v>7.0293378672811875E-9</c:v>
                </c:pt>
                <c:pt idx="5">
                  <c:v>4.402157614503287E-9</c:v>
                </c:pt>
                <c:pt idx="6">
                  <c:v>4.4951675577399781E-9</c:v>
                </c:pt>
                <c:pt idx="7">
                  <c:v>6.1420187144113192E-9</c:v>
                </c:pt>
                <c:pt idx="8">
                  <c:v>5.8857517541976132E-9</c:v>
                </c:pt>
                <c:pt idx="9">
                  <c:v>3.1842353728082935E-9</c:v>
                </c:pt>
                <c:pt idx="10">
                  <c:v>4.5233627311981698E-9</c:v>
                </c:pt>
                <c:pt idx="11">
                  <c:v>6.2746906778390139E-9</c:v>
                </c:pt>
                <c:pt idx="12">
                  <c:v>6.7455249827734778E-9</c:v>
                </c:pt>
                <c:pt idx="13">
                  <c:v>6.3766693909862487E-9</c:v>
                </c:pt>
                <c:pt idx="14">
                  <c:v>6.6140414086502815E-9</c:v>
                </c:pt>
                <c:pt idx="15">
                  <c:v>7.0283507185810063E-9</c:v>
                </c:pt>
                <c:pt idx="16">
                  <c:v>7.0294685168294644E-9</c:v>
                </c:pt>
                <c:pt idx="17">
                  <c:v>5.2214747041793003E-9</c:v>
                </c:pt>
                <c:pt idx="18">
                  <c:v>3.6116607524833047E-9</c:v>
                </c:pt>
                <c:pt idx="19">
                  <c:v>2.2000853680864804E-13</c:v>
                </c:pt>
                <c:pt idx="20">
                  <c:v>4.6868883863859158E-9</c:v>
                </c:pt>
                <c:pt idx="21">
                  <c:v>8.5994096596407527E-10</c:v>
                </c:pt>
                <c:pt idx="22">
                  <c:v>5.2668228411923528E-9</c:v>
                </c:pt>
                <c:pt idx="23">
                  <c:v>6.6822354952100755E-9</c:v>
                </c:pt>
                <c:pt idx="24">
                  <c:v>6.3700327580361E-9</c:v>
                </c:pt>
                <c:pt idx="25">
                  <c:v>2.2120877137263034E-9</c:v>
                </c:pt>
                <c:pt idx="26">
                  <c:v>4.4179338250505881E-9</c:v>
                </c:pt>
                <c:pt idx="27">
                  <c:v>1.6966666268841762E-10</c:v>
                </c:pt>
                <c:pt idx="28">
                  <c:v>5.9676071716693665E-9</c:v>
                </c:pt>
                <c:pt idx="29">
                  <c:v>3.5842512153476554E-9</c:v>
                </c:pt>
                <c:pt idx="30">
                  <c:v>6.3344674511037219E-9</c:v>
                </c:pt>
                <c:pt idx="31">
                  <c:v>4.108393971538124E-9</c:v>
                </c:pt>
                <c:pt idx="32">
                  <c:v>5.069174509271458E-9</c:v>
                </c:pt>
                <c:pt idx="33">
                  <c:v>4.9363822153498961E-9</c:v>
                </c:pt>
                <c:pt idx="34">
                  <c:v>3.3841736508037985E-9</c:v>
                </c:pt>
                <c:pt idx="35">
                  <c:v>6.1646758857020104E-9</c:v>
                </c:pt>
                <c:pt idx="36">
                  <c:v>4.9238771914074832E-9</c:v>
                </c:pt>
                <c:pt idx="37">
                  <c:v>4.6980452580258808E-9</c:v>
                </c:pt>
                <c:pt idx="38">
                  <c:v>6.932331896387079E-9</c:v>
                </c:pt>
                <c:pt idx="39">
                  <c:v>5.8993646973824044E-9</c:v>
                </c:pt>
                <c:pt idx="40">
                  <c:v>5.699552323878385E-9</c:v>
                </c:pt>
                <c:pt idx="41">
                  <c:v>6.0061897590852392E-9</c:v>
                </c:pt>
                <c:pt idx="42">
                  <c:v>6.8324659740233839E-9</c:v>
                </c:pt>
                <c:pt idx="43">
                  <c:v>4.4704476285769619E-9</c:v>
                </c:pt>
                <c:pt idx="44">
                  <c:v>6.9427154681951222E-9</c:v>
                </c:pt>
                <c:pt idx="45">
                  <c:v>7.0035890831852106E-9</c:v>
                </c:pt>
                <c:pt idx="46">
                  <c:v>5.5053325163984193E-9</c:v>
                </c:pt>
                <c:pt idx="47">
                  <c:v>6.4401576350020722E-9</c:v>
                </c:pt>
                <c:pt idx="48">
                  <c:v>6.5956320834242114E-9</c:v>
                </c:pt>
                <c:pt idx="49">
                  <c:v>6.1914686090947593E-9</c:v>
                </c:pt>
                <c:pt idx="50">
                  <c:v>3.3077218600999634E-9</c:v>
                </c:pt>
                <c:pt idx="51">
                  <c:v>4.6120665488116119E-9</c:v>
                </c:pt>
                <c:pt idx="52">
                  <c:v>5.5806808405527575E-9</c:v>
                </c:pt>
                <c:pt idx="53">
                  <c:v>4.4121589485654358E-9</c:v>
                </c:pt>
                <c:pt idx="54">
                  <c:v>4.767541782292153E-9</c:v>
                </c:pt>
                <c:pt idx="55">
                  <c:v>5.2952457804045142E-9</c:v>
                </c:pt>
                <c:pt idx="56">
                  <c:v>5.1914024261321022E-9</c:v>
                </c:pt>
                <c:pt idx="57">
                  <c:v>7.0272386559798456E-9</c:v>
                </c:pt>
                <c:pt idx="58">
                  <c:v>5.5347460605620837E-9</c:v>
                </c:pt>
                <c:pt idx="59">
                  <c:v>2.5494478045602412E-9</c:v>
                </c:pt>
                <c:pt idx="60">
                  <c:v>5.3266528079646132E-9</c:v>
                </c:pt>
                <c:pt idx="61">
                  <c:v>2.2155499856643697E-9</c:v>
                </c:pt>
                <c:pt idx="62">
                  <c:v>1.4250513963283436E-9</c:v>
                </c:pt>
                <c:pt idx="63">
                  <c:v>7.0199458459031443E-9</c:v>
                </c:pt>
                <c:pt idx="64">
                  <c:v>6.3384008709246369E-9</c:v>
                </c:pt>
                <c:pt idx="65">
                  <c:v>6.991991190473774E-9</c:v>
                </c:pt>
                <c:pt idx="66">
                  <c:v>6.7693459646235353E-9</c:v>
                </c:pt>
                <c:pt idx="67">
                  <c:v>6.8664769933184717E-9</c:v>
                </c:pt>
                <c:pt idx="68">
                  <c:v>2.9003022683354111E-9</c:v>
                </c:pt>
                <c:pt idx="69">
                  <c:v>2.7305551407593508E-14</c:v>
                </c:pt>
                <c:pt idx="70">
                  <c:v>6.4609165460117212E-9</c:v>
                </c:pt>
                <c:pt idx="71">
                  <c:v>6.1506077471280999E-9</c:v>
                </c:pt>
                <c:pt idx="72">
                  <c:v>4.1284402583985339E-9</c:v>
                </c:pt>
                <c:pt idx="73">
                  <c:v>6.8961484056355794E-9</c:v>
                </c:pt>
                <c:pt idx="74">
                  <c:v>6.4810518061974624E-9</c:v>
                </c:pt>
                <c:pt idx="75">
                  <c:v>6.6038490682684433E-9</c:v>
                </c:pt>
                <c:pt idx="76">
                  <c:v>6.6118558424337238E-9</c:v>
                </c:pt>
                <c:pt idx="77">
                  <c:v>4.9450144092563448E-9</c:v>
                </c:pt>
                <c:pt idx="78">
                  <c:v>5.2404863890702662E-9</c:v>
                </c:pt>
                <c:pt idx="79">
                  <c:v>4.9496920676169965E-9</c:v>
                </c:pt>
                <c:pt idx="80">
                  <c:v>7.0078611990145841E-9</c:v>
                </c:pt>
                <c:pt idx="81">
                  <c:v>6.3263266130889964E-9</c:v>
                </c:pt>
                <c:pt idx="82">
                  <c:v>4.0263690464749716E-9</c:v>
                </c:pt>
                <c:pt idx="83">
                  <c:v>6.1326385273994429E-9</c:v>
                </c:pt>
                <c:pt idx="84">
                  <c:v>6.7260255063080214E-9</c:v>
                </c:pt>
                <c:pt idx="85">
                  <c:v>6.3409156308837145E-9</c:v>
                </c:pt>
                <c:pt idx="86">
                  <c:v>3.8938095143792897E-9</c:v>
                </c:pt>
                <c:pt idx="87">
                  <c:v>6.8562687075320502E-9</c:v>
                </c:pt>
                <c:pt idx="88">
                  <c:v>4.5179096748621347E-9</c:v>
                </c:pt>
                <c:pt idx="89">
                  <c:v>7.0026389296017234E-9</c:v>
                </c:pt>
                <c:pt idx="90">
                  <c:v>6.1738310812730184E-9</c:v>
                </c:pt>
                <c:pt idx="91">
                  <c:v>5.5841557955592997E-9</c:v>
                </c:pt>
                <c:pt idx="92">
                  <c:v>5.9460082239897723E-9</c:v>
                </c:pt>
                <c:pt idx="93">
                  <c:v>6.7976799933478959E-9</c:v>
                </c:pt>
                <c:pt idx="94">
                  <c:v>5.4488032093644677E-9</c:v>
                </c:pt>
                <c:pt idx="95">
                  <c:v>6.0232251470344179E-9</c:v>
                </c:pt>
                <c:pt idx="96">
                  <c:v>5.7416418360771443E-9</c:v>
                </c:pt>
                <c:pt idx="97">
                  <c:v>6.1290706887851754E-9</c:v>
                </c:pt>
                <c:pt idx="98">
                  <c:v>3.1588100698688421E-9</c:v>
                </c:pt>
                <c:pt idx="99">
                  <c:v>3.7148700460488031E-9</c:v>
                </c:pt>
                <c:pt idx="100">
                  <c:v>6.723110820022048E-9</c:v>
                </c:pt>
                <c:pt idx="101">
                  <c:v>5.472475746293993E-9</c:v>
                </c:pt>
                <c:pt idx="102">
                  <c:v>4.7889473289152577E-9</c:v>
                </c:pt>
                <c:pt idx="103">
                  <c:v>5.1008198324046583E-9</c:v>
                </c:pt>
                <c:pt idx="104">
                  <c:v>6.9673802457884282E-9</c:v>
                </c:pt>
                <c:pt idx="105">
                  <c:v>4.7901450047018444E-9</c:v>
                </c:pt>
                <c:pt idx="106">
                  <c:v>5.9594408578756318E-9</c:v>
                </c:pt>
                <c:pt idx="107">
                  <c:v>6.8953875287805518E-9</c:v>
                </c:pt>
                <c:pt idx="108">
                  <c:v>7.0128390259832663E-9</c:v>
                </c:pt>
                <c:pt idx="109">
                  <c:v>6.0049085469302174E-9</c:v>
                </c:pt>
                <c:pt idx="110">
                  <c:v>2.6212285561018343E-9</c:v>
                </c:pt>
                <c:pt idx="111">
                  <c:v>4.9144500939456258E-9</c:v>
                </c:pt>
                <c:pt idx="112">
                  <c:v>3.8183086979132779E-9</c:v>
                </c:pt>
                <c:pt idx="113">
                  <c:v>6.0337689406222257E-9</c:v>
                </c:pt>
                <c:pt idx="114">
                  <c:v>6.6709250922870875E-9</c:v>
                </c:pt>
                <c:pt idx="115">
                  <c:v>3.1183699458328471E-9</c:v>
                </c:pt>
                <c:pt idx="116">
                  <c:v>6.7091479897419627E-9</c:v>
                </c:pt>
                <c:pt idx="117">
                  <c:v>3.6429996725205495E-9</c:v>
                </c:pt>
                <c:pt idx="118">
                  <c:v>4.8556117599061058E-9</c:v>
                </c:pt>
                <c:pt idx="119">
                  <c:v>2.9675861863349776E-9</c:v>
                </c:pt>
                <c:pt idx="120">
                  <c:v>2.2006379761584364E-9</c:v>
                </c:pt>
                <c:pt idx="121">
                  <c:v>6.6445337281118815E-9</c:v>
                </c:pt>
                <c:pt idx="122">
                  <c:v>6.8727221097692533E-9</c:v>
                </c:pt>
                <c:pt idx="123">
                  <c:v>7.0087537585017559E-9</c:v>
                </c:pt>
                <c:pt idx="124">
                  <c:v>4.0879960963107508E-9</c:v>
                </c:pt>
                <c:pt idx="125">
                  <c:v>2.5166497374698763E-9</c:v>
                </c:pt>
                <c:pt idx="126">
                  <c:v>6.3528748857039464E-9</c:v>
                </c:pt>
                <c:pt idx="127">
                  <c:v>3.3655450186099833E-9</c:v>
                </c:pt>
                <c:pt idx="128">
                  <c:v>6.8338182281246158E-9</c:v>
                </c:pt>
                <c:pt idx="129">
                  <c:v>6.0524688061123419E-9</c:v>
                </c:pt>
                <c:pt idx="130">
                  <c:v>6.5506162430579391E-9</c:v>
                </c:pt>
                <c:pt idx="131">
                  <c:v>6.1288060391487768E-9</c:v>
                </c:pt>
                <c:pt idx="132">
                  <c:v>6.2192388622135494E-9</c:v>
                </c:pt>
                <c:pt idx="133">
                  <c:v>6.3999356486630491E-9</c:v>
                </c:pt>
                <c:pt idx="134">
                  <c:v>4.6864885148277691E-9</c:v>
                </c:pt>
                <c:pt idx="135">
                  <c:v>6.8309326646506708E-9</c:v>
                </c:pt>
                <c:pt idx="136">
                  <c:v>5.3582564728389238E-9</c:v>
                </c:pt>
                <c:pt idx="137">
                  <c:v>6.072533615238295E-9</c:v>
                </c:pt>
                <c:pt idx="138">
                  <c:v>7.0276359479458623E-9</c:v>
                </c:pt>
                <c:pt idx="139">
                  <c:v>4.9643516084311619E-9</c:v>
                </c:pt>
                <c:pt idx="140">
                  <c:v>3.9905276692457358E-9</c:v>
                </c:pt>
                <c:pt idx="141">
                  <c:v>6.7415194946131856E-9</c:v>
                </c:pt>
                <c:pt idx="142">
                  <c:v>6.1119921477085099E-9</c:v>
                </c:pt>
                <c:pt idx="143">
                  <c:v>5.5320933853255797E-9</c:v>
                </c:pt>
                <c:pt idx="144">
                  <c:v>6.9404285038754774E-9</c:v>
                </c:pt>
                <c:pt idx="145">
                  <c:v>1.1032144240948094E-9</c:v>
                </c:pt>
                <c:pt idx="146">
                  <c:v>4.1367772957711246E-9</c:v>
                </c:pt>
                <c:pt idx="147">
                  <c:v>6.843368580682175E-9</c:v>
                </c:pt>
                <c:pt idx="148">
                  <c:v>6.4187757392862681E-9</c:v>
                </c:pt>
                <c:pt idx="149">
                  <c:v>6.9570316526519882E-9</c:v>
                </c:pt>
                <c:pt idx="150">
                  <c:v>6.7459039484261959E-9</c:v>
                </c:pt>
                <c:pt idx="151">
                  <c:v>3.9815707887527071E-9</c:v>
                </c:pt>
                <c:pt idx="152">
                  <c:v>3.3514911876618616E-9</c:v>
                </c:pt>
                <c:pt idx="153">
                  <c:v>5.8565087318962007E-9</c:v>
                </c:pt>
                <c:pt idx="154">
                  <c:v>3.2187845829247316E-9</c:v>
                </c:pt>
                <c:pt idx="155">
                  <c:v>3.8297008057893709E-9</c:v>
                </c:pt>
                <c:pt idx="156">
                  <c:v>6.9575866074124018E-9</c:v>
                </c:pt>
                <c:pt idx="157">
                  <c:v>6.8889417486124692E-9</c:v>
                </c:pt>
                <c:pt idx="158">
                  <c:v>6.8959018028766425E-9</c:v>
                </c:pt>
                <c:pt idx="159">
                  <c:v>3.2380156951977432E-9</c:v>
                </c:pt>
                <c:pt idx="160">
                  <c:v>4.5756898997994901E-9</c:v>
                </c:pt>
                <c:pt idx="161">
                  <c:v>7.0293940948091864E-9</c:v>
                </c:pt>
                <c:pt idx="162">
                  <c:v>7.0266747865410604E-9</c:v>
                </c:pt>
                <c:pt idx="163">
                  <c:v>6.8008027467099338E-9</c:v>
                </c:pt>
                <c:pt idx="164">
                  <c:v>4.3239412114975539E-9</c:v>
                </c:pt>
                <c:pt idx="165">
                  <c:v>7.0210144168610346E-9</c:v>
                </c:pt>
                <c:pt idx="166">
                  <c:v>3.3231493815010116E-9</c:v>
                </c:pt>
                <c:pt idx="167">
                  <c:v>5.2730406608917154E-9</c:v>
                </c:pt>
                <c:pt idx="168">
                  <c:v>6.7299434082713138E-9</c:v>
                </c:pt>
                <c:pt idx="169">
                  <c:v>4.7561742074717486E-9</c:v>
                </c:pt>
                <c:pt idx="170">
                  <c:v>4.1869577851675741E-9</c:v>
                </c:pt>
                <c:pt idx="171">
                  <c:v>4.7524778711024853E-9</c:v>
                </c:pt>
                <c:pt idx="172">
                  <c:v>4.9997104585040905E-9</c:v>
                </c:pt>
                <c:pt idx="173">
                  <c:v>3.7756947479139213E-9</c:v>
                </c:pt>
                <c:pt idx="174">
                  <c:v>6.997796656126144E-9</c:v>
                </c:pt>
                <c:pt idx="175">
                  <c:v>3.4242411208214708E-9</c:v>
                </c:pt>
                <c:pt idx="176">
                  <c:v>2.8634526780731345E-9</c:v>
                </c:pt>
                <c:pt idx="177">
                  <c:v>5.6814757065551822E-9</c:v>
                </c:pt>
                <c:pt idx="178">
                  <c:v>3.5353633224867576E-9</c:v>
                </c:pt>
                <c:pt idx="179">
                  <c:v>6.6633781117489777E-9</c:v>
                </c:pt>
                <c:pt idx="180">
                  <c:v>5.9690498224137025E-9</c:v>
                </c:pt>
                <c:pt idx="181">
                  <c:v>6.9597413275013179E-9</c:v>
                </c:pt>
                <c:pt idx="182">
                  <c:v>6.8308050848615666E-9</c:v>
                </c:pt>
                <c:pt idx="183">
                  <c:v>1.907520775121935E-9</c:v>
                </c:pt>
                <c:pt idx="184">
                  <c:v>6.5785840702560297E-9</c:v>
                </c:pt>
                <c:pt idx="185">
                  <c:v>6.2829473866358331E-9</c:v>
                </c:pt>
                <c:pt idx="186">
                  <c:v>2.9173316085431271E-9</c:v>
                </c:pt>
                <c:pt idx="187">
                  <c:v>6.4003359033566995E-9</c:v>
                </c:pt>
                <c:pt idx="188">
                  <c:v>6.9415398239084412E-9</c:v>
                </c:pt>
                <c:pt idx="189">
                  <c:v>6.9981391068906086E-9</c:v>
                </c:pt>
                <c:pt idx="190">
                  <c:v>1.9116635523187538E-9</c:v>
                </c:pt>
                <c:pt idx="191">
                  <c:v>5.1540411492792627E-9</c:v>
                </c:pt>
                <c:pt idx="192">
                  <c:v>4.7147511094592343E-9</c:v>
                </c:pt>
                <c:pt idx="193">
                  <c:v>5.9874212603385777E-9</c:v>
                </c:pt>
                <c:pt idx="194">
                  <c:v>7.029612946709472E-9</c:v>
                </c:pt>
                <c:pt idx="195">
                  <c:v>6.999030965077535E-9</c:v>
                </c:pt>
                <c:pt idx="196">
                  <c:v>3.8345683124204534E-9</c:v>
                </c:pt>
                <c:pt idx="197">
                  <c:v>5.1739074522538877E-9</c:v>
                </c:pt>
                <c:pt idx="198">
                  <c:v>2.3887824013383282E-9</c:v>
                </c:pt>
                <c:pt idx="199">
                  <c:v>3.4416160243578013E-9</c:v>
                </c:pt>
                <c:pt idx="200">
                  <c:v>4.8864412013082563E-9</c:v>
                </c:pt>
                <c:pt idx="201">
                  <c:v>5.9578582470254873E-9</c:v>
                </c:pt>
                <c:pt idx="202">
                  <c:v>4.6796508010180061E-9</c:v>
                </c:pt>
                <c:pt idx="203">
                  <c:v>3.5678590102746174E-9</c:v>
                </c:pt>
                <c:pt idx="204">
                  <c:v>3.455289918447461E-9</c:v>
                </c:pt>
                <c:pt idx="205">
                  <c:v>2.8801532206347041E-9</c:v>
                </c:pt>
                <c:pt idx="206">
                  <c:v>3.5235048831755691E-10</c:v>
                </c:pt>
                <c:pt idx="207">
                  <c:v>3.8618285944507613E-9</c:v>
                </c:pt>
                <c:pt idx="208">
                  <c:v>6.4031054611295224E-9</c:v>
                </c:pt>
                <c:pt idx="209">
                  <c:v>3.5973597847502761E-9</c:v>
                </c:pt>
                <c:pt idx="210">
                  <c:v>5.0543879308935983E-9</c:v>
                </c:pt>
                <c:pt idx="211">
                  <c:v>4.5988205189328575E-9</c:v>
                </c:pt>
                <c:pt idx="212">
                  <c:v>5.7742749945614888E-10</c:v>
                </c:pt>
                <c:pt idx="213">
                  <c:v>3.851890077732743E-9</c:v>
                </c:pt>
                <c:pt idx="214">
                  <c:v>5.0217887520113309E-9</c:v>
                </c:pt>
                <c:pt idx="215">
                  <c:v>6.9393456971869485E-9</c:v>
                </c:pt>
                <c:pt idx="216">
                  <c:v>6.9884756698438525E-9</c:v>
                </c:pt>
                <c:pt idx="217">
                  <c:v>5.0244823566258672E-9</c:v>
                </c:pt>
                <c:pt idx="218">
                  <c:v>7.0278004161378125E-9</c:v>
                </c:pt>
                <c:pt idx="219">
                  <c:v>3.9864331172642975E-9</c:v>
                </c:pt>
                <c:pt idx="220">
                  <c:v>3.821943531611189E-9</c:v>
                </c:pt>
                <c:pt idx="221">
                  <c:v>2.4273317907634319E-10</c:v>
                </c:pt>
                <c:pt idx="222">
                  <c:v>4.852781456563633E-9</c:v>
                </c:pt>
                <c:pt idx="223">
                  <c:v>6.3757759895717357E-9</c:v>
                </c:pt>
                <c:pt idx="224">
                  <c:v>7.0219000425841425E-9</c:v>
                </c:pt>
                <c:pt idx="225">
                  <c:v>4.4828935063820693E-9</c:v>
                </c:pt>
                <c:pt idx="226">
                  <c:v>6.6795940995558277E-9</c:v>
                </c:pt>
                <c:pt idx="227">
                  <c:v>6.6754159492070784E-9</c:v>
                </c:pt>
                <c:pt idx="228">
                  <c:v>6.6383212469268539E-9</c:v>
                </c:pt>
                <c:pt idx="229">
                  <c:v>6.1427316506103258E-9</c:v>
                </c:pt>
                <c:pt idx="230">
                  <c:v>3.9850666102540488E-9</c:v>
                </c:pt>
                <c:pt idx="231">
                  <c:v>6.3390690168370523E-9</c:v>
                </c:pt>
                <c:pt idx="232">
                  <c:v>2.8776757101286523E-9</c:v>
                </c:pt>
                <c:pt idx="233">
                  <c:v>4.7861903147062895E-9</c:v>
                </c:pt>
                <c:pt idx="234">
                  <c:v>6.4836147090301959E-9</c:v>
                </c:pt>
                <c:pt idx="235">
                  <c:v>4.8360735937458426E-9</c:v>
                </c:pt>
                <c:pt idx="236">
                  <c:v>4.6911467061553604E-9</c:v>
                </c:pt>
                <c:pt idx="237">
                  <c:v>6.1023790192004186E-9</c:v>
                </c:pt>
                <c:pt idx="238">
                  <c:v>3.8394776682670577E-9</c:v>
                </c:pt>
                <c:pt idx="239">
                  <c:v>8.9105835754069987E-10</c:v>
                </c:pt>
                <c:pt idx="240">
                  <c:v>5.7341584985610833E-9</c:v>
                </c:pt>
                <c:pt idx="241">
                  <c:v>5.4037558732204362E-9</c:v>
                </c:pt>
                <c:pt idx="242">
                  <c:v>6.9114998263858211E-9</c:v>
                </c:pt>
                <c:pt idx="243">
                  <c:v>6.219176464841675E-9</c:v>
                </c:pt>
                <c:pt idx="244">
                  <c:v>4.7477196291289458E-9</c:v>
                </c:pt>
                <c:pt idx="245">
                  <c:v>3.2673354748839414E-9</c:v>
                </c:pt>
                <c:pt idx="246">
                  <c:v>6.2410301440607538E-9</c:v>
                </c:pt>
                <c:pt idx="247">
                  <c:v>4.546655539689213E-9</c:v>
                </c:pt>
                <c:pt idx="248">
                  <c:v>3.92617007623259E-9</c:v>
                </c:pt>
                <c:pt idx="249">
                  <c:v>6.4003834181775595E-9</c:v>
                </c:pt>
                <c:pt idx="250">
                  <c:v>4.5922087284772868E-9</c:v>
                </c:pt>
                <c:pt idx="251">
                  <c:v>3.9700462205440339E-9</c:v>
                </c:pt>
                <c:pt idx="252">
                  <c:v>5.4669912071231913E-9</c:v>
                </c:pt>
                <c:pt idx="253">
                  <c:v>4.1320365861790041E-10</c:v>
                </c:pt>
                <c:pt idx="254">
                  <c:v>4.2408399902583502E-9</c:v>
                </c:pt>
                <c:pt idx="255">
                  <c:v>5.3280366096797328E-9</c:v>
                </c:pt>
                <c:pt idx="256">
                  <c:v>6.8412502857088463E-9</c:v>
                </c:pt>
                <c:pt idx="257">
                  <c:v>5.7565341535449936E-9</c:v>
                </c:pt>
                <c:pt idx="258">
                  <c:v>5.838736836857119E-9</c:v>
                </c:pt>
                <c:pt idx="259">
                  <c:v>3.0809111724306995E-9</c:v>
                </c:pt>
                <c:pt idx="260">
                  <c:v>6.968656739745461E-9</c:v>
                </c:pt>
                <c:pt idx="261">
                  <c:v>4.7166390375961373E-9</c:v>
                </c:pt>
                <c:pt idx="262">
                  <c:v>6.5070322227963941E-9</c:v>
                </c:pt>
                <c:pt idx="263">
                  <c:v>6.143562364787094E-9</c:v>
                </c:pt>
                <c:pt idx="264">
                  <c:v>7.016102555902584E-9</c:v>
                </c:pt>
                <c:pt idx="265">
                  <c:v>7.0240129662944966E-9</c:v>
                </c:pt>
                <c:pt idx="266">
                  <c:v>3.4379506224864304E-9</c:v>
                </c:pt>
                <c:pt idx="267">
                  <c:v>5.1424814210917667E-9</c:v>
                </c:pt>
                <c:pt idx="268">
                  <c:v>4.6294439450049505E-9</c:v>
                </c:pt>
                <c:pt idx="269">
                  <c:v>4.9753616667115872E-9</c:v>
                </c:pt>
                <c:pt idx="270">
                  <c:v>5.5632054391893169E-9</c:v>
                </c:pt>
                <c:pt idx="271">
                  <c:v>6.4146193406262761E-9</c:v>
                </c:pt>
                <c:pt idx="272">
                  <c:v>4.628690190024709E-9</c:v>
                </c:pt>
                <c:pt idx="273">
                  <c:v>5.2600457343196956E-9</c:v>
                </c:pt>
                <c:pt idx="274">
                  <c:v>5.0279080280863065E-9</c:v>
                </c:pt>
                <c:pt idx="275">
                  <c:v>2.6588755688351714E-9</c:v>
                </c:pt>
                <c:pt idx="276">
                  <c:v>4.4140848536383378E-9</c:v>
                </c:pt>
                <c:pt idx="277">
                  <c:v>5.3600923647007533E-9</c:v>
                </c:pt>
                <c:pt idx="278">
                  <c:v>3.0366889802422392E-9</c:v>
                </c:pt>
                <c:pt idx="279">
                  <c:v>4.1180836094056931E-9</c:v>
                </c:pt>
                <c:pt idx="280">
                  <c:v>4.791680807431714E-9</c:v>
                </c:pt>
                <c:pt idx="281">
                  <c:v>5.7637528153771645E-9</c:v>
                </c:pt>
                <c:pt idx="282">
                  <c:v>5.7941199349259318E-9</c:v>
                </c:pt>
                <c:pt idx="283">
                  <c:v>7.0159964982862831E-9</c:v>
                </c:pt>
                <c:pt idx="284">
                  <c:v>5.9113512521940877E-9</c:v>
                </c:pt>
                <c:pt idx="285">
                  <c:v>5.2239543305206548E-9</c:v>
                </c:pt>
                <c:pt idx="286">
                  <c:v>6.6973523106401129E-9</c:v>
                </c:pt>
                <c:pt idx="287">
                  <c:v>5.8735759556214101E-9</c:v>
                </c:pt>
                <c:pt idx="288">
                  <c:v>6.702176696130638E-9</c:v>
                </c:pt>
                <c:pt idx="289">
                  <c:v>3.0294158791299097E-9</c:v>
                </c:pt>
                <c:pt idx="290">
                  <c:v>4.6939348002481042E-9</c:v>
                </c:pt>
                <c:pt idx="291">
                  <c:v>5.9033621912248467E-9</c:v>
                </c:pt>
                <c:pt idx="292">
                  <c:v>5.1239754646732879E-9</c:v>
                </c:pt>
                <c:pt idx="293">
                  <c:v>6.2618352939444644E-9</c:v>
                </c:pt>
                <c:pt idx="294">
                  <c:v>2.4718233370887732E-9</c:v>
                </c:pt>
                <c:pt idx="295">
                  <c:v>4.5757461496816273E-9</c:v>
                </c:pt>
                <c:pt idx="296">
                  <c:v>6.8917458217553231E-9</c:v>
                </c:pt>
                <c:pt idx="297">
                  <c:v>3.8509429882306237E-9</c:v>
                </c:pt>
                <c:pt idx="298">
                  <c:v>5.4248568617825257E-9</c:v>
                </c:pt>
                <c:pt idx="299">
                  <c:v>6.2023821074944219E-9</c:v>
                </c:pt>
                <c:pt idx="300">
                  <c:v>6.7826722629790768E-9</c:v>
                </c:pt>
                <c:pt idx="301">
                  <c:v>5.124839074565319E-9</c:v>
                </c:pt>
                <c:pt idx="302">
                  <c:v>7.0195310644233328E-9</c:v>
                </c:pt>
                <c:pt idx="303">
                  <c:v>6.2793512590034927E-9</c:v>
                </c:pt>
                <c:pt idx="304">
                  <c:v>5.4036605973512785E-9</c:v>
                </c:pt>
                <c:pt idx="305">
                  <c:v>3.3658983647929143E-9</c:v>
                </c:pt>
                <c:pt idx="306">
                  <c:v>6.9027499081887278E-9</c:v>
                </c:pt>
                <c:pt idx="307">
                  <c:v>5.7361227494743733E-9</c:v>
                </c:pt>
                <c:pt idx="308">
                  <c:v>7.0288736973087843E-9</c:v>
                </c:pt>
                <c:pt idx="309">
                  <c:v>1.0959604477192368E-9</c:v>
                </c:pt>
                <c:pt idx="310">
                  <c:v>5.1270145288018522E-9</c:v>
                </c:pt>
                <c:pt idx="311">
                  <c:v>6.8021289144785898E-9</c:v>
                </c:pt>
                <c:pt idx="312">
                  <c:v>4.8511365151289899E-9</c:v>
                </c:pt>
                <c:pt idx="313">
                  <c:v>4.5962256668796794E-9</c:v>
                </c:pt>
                <c:pt idx="314">
                  <c:v>6.6967792726642668E-9</c:v>
                </c:pt>
                <c:pt idx="315">
                  <c:v>3.1189589810301535E-9</c:v>
                </c:pt>
                <c:pt idx="316">
                  <c:v>3.5171719957037773E-9</c:v>
                </c:pt>
                <c:pt idx="317">
                  <c:v>6.0305348329836782E-9</c:v>
                </c:pt>
                <c:pt idx="318">
                  <c:v>7.024990205355773E-9</c:v>
                </c:pt>
                <c:pt idx="319">
                  <c:v>6.7697642783885033E-9</c:v>
                </c:pt>
                <c:pt idx="320">
                  <c:v>6.9980152969318795E-9</c:v>
                </c:pt>
                <c:pt idx="321">
                  <c:v>6.184888125215143E-9</c:v>
                </c:pt>
                <c:pt idx="322">
                  <c:v>5.5437634893683507E-9</c:v>
                </c:pt>
                <c:pt idx="323">
                  <c:v>6.7809242988222275E-9</c:v>
                </c:pt>
                <c:pt idx="324">
                  <c:v>4.6716723124183643E-9</c:v>
                </c:pt>
                <c:pt idx="325">
                  <c:v>4.2514434647276268E-9</c:v>
                </c:pt>
                <c:pt idx="326">
                  <c:v>4.339886915566342E-9</c:v>
                </c:pt>
                <c:pt idx="327">
                  <c:v>5.0920299265461621E-9</c:v>
                </c:pt>
                <c:pt idx="328">
                  <c:v>6.6991520568639983E-9</c:v>
                </c:pt>
                <c:pt idx="329">
                  <c:v>6.7820719655764244E-9</c:v>
                </c:pt>
                <c:pt idx="330">
                  <c:v>2.405898901514752E-9</c:v>
                </c:pt>
                <c:pt idx="331">
                  <c:v>5.4934481758003453E-9</c:v>
                </c:pt>
                <c:pt idx="332">
                  <c:v>7.0224218056211245E-9</c:v>
                </c:pt>
                <c:pt idx="333">
                  <c:v>3.7525820750831698E-9</c:v>
                </c:pt>
                <c:pt idx="334">
                  <c:v>4.290921263953349E-11</c:v>
                </c:pt>
                <c:pt idx="335">
                  <c:v>5.8748014124430406E-9</c:v>
                </c:pt>
                <c:pt idx="336">
                  <c:v>3.7778658743143399E-9</c:v>
                </c:pt>
                <c:pt idx="337">
                  <c:v>6.5565496065900486E-9</c:v>
                </c:pt>
                <c:pt idx="338">
                  <c:v>6.7598976662196199E-9</c:v>
                </c:pt>
                <c:pt idx="339">
                  <c:v>6.6534420052530721E-9</c:v>
                </c:pt>
                <c:pt idx="340">
                  <c:v>5.3625426527425682E-9</c:v>
                </c:pt>
                <c:pt idx="341">
                  <c:v>3.9147359934824521E-9</c:v>
                </c:pt>
                <c:pt idx="342">
                  <c:v>6.0579129914007395E-9</c:v>
                </c:pt>
                <c:pt idx="343">
                  <c:v>3.2092277751027351E-10</c:v>
                </c:pt>
                <c:pt idx="344">
                  <c:v>1.7082828567136083E-9</c:v>
                </c:pt>
                <c:pt idx="345">
                  <c:v>2.6386244869898861E-9</c:v>
                </c:pt>
                <c:pt idx="346">
                  <c:v>4.8956111606906019E-9</c:v>
                </c:pt>
                <c:pt idx="347">
                  <c:v>4.9360226374058618E-9</c:v>
                </c:pt>
                <c:pt idx="348">
                  <c:v>4.7589530078454033E-9</c:v>
                </c:pt>
                <c:pt idx="349">
                  <c:v>6.6779517098689602E-9</c:v>
                </c:pt>
                <c:pt idx="350">
                  <c:v>7.0078828915070534E-9</c:v>
                </c:pt>
                <c:pt idx="351">
                  <c:v>5.3147251629277626E-9</c:v>
                </c:pt>
                <c:pt idx="352">
                  <c:v>6.7883659098834511E-9</c:v>
                </c:pt>
                <c:pt idx="353">
                  <c:v>5.8627344318806739E-9</c:v>
                </c:pt>
                <c:pt idx="354">
                  <c:v>6.9591831205122785E-9</c:v>
                </c:pt>
                <c:pt idx="355">
                  <c:v>5.9466999511136338E-9</c:v>
                </c:pt>
                <c:pt idx="356">
                  <c:v>6.8937249629765973E-9</c:v>
                </c:pt>
                <c:pt idx="357">
                  <c:v>6.2522534339212708E-9</c:v>
                </c:pt>
                <c:pt idx="358">
                  <c:v>6.1934026751986037E-9</c:v>
                </c:pt>
                <c:pt idx="359">
                  <c:v>4.6575305313831839E-9</c:v>
                </c:pt>
                <c:pt idx="360">
                  <c:v>6.8802632456239058E-9</c:v>
                </c:pt>
                <c:pt idx="361">
                  <c:v>6.9743592814479912E-9</c:v>
                </c:pt>
                <c:pt idx="362">
                  <c:v>5.2188407877411461E-9</c:v>
                </c:pt>
                <c:pt idx="363">
                  <c:v>5.912102448971907E-9</c:v>
                </c:pt>
                <c:pt idx="364">
                  <c:v>2.9873247571324267E-9</c:v>
                </c:pt>
                <c:pt idx="365">
                  <c:v>4.8401037814864421E-9</c:v>
                </c:pt>
                <c:pt idx="366">
                  <c:v>5.1737064994831606E-9</c:v>
                </c:pt>
                <c:pt idx="367">
                  <c:v>3.3393434342755356E-9</c:v>
                </c:pt>
                <c:pt idx="368">
                  <c:v>5.0994153477861925E-9</c:v>
                </c:pt>
                <c:pt idx="369">
                  <c:v>6.9915569555123515E-9</c:v>
                </c:pt>
                <c:pt idx="370">
                  <c:v>7.0176942197222081E-9</c:v>
                </c:pt>
                <c:pt idx="371">
                  <c:v>5.0555579751568484E-9</c:v>
                </c:pt>
                <c:pt idx="372">
                  <c:v>6.8443622932431988E-9</c:v>
                </c:pt>
                <c:pt idx="373">
                  <c:v>6.7884097857336103E-9</c:v>
                </c:pt>
                <c:pt idx="374">
                  <c:v>6.949066106313903E-9</c:v>
                </c:pt>
                <c:pt idx="375">
                  <c:v>3.0895485097232669E-9</c:v>
                </c:pt>
                <c:pt idx="376">
                  <c:v>6.695243646222528E-9</c:v>
                </c:pt>
                <c:pt idx="377">
                  <c:v>4.8758166390272684E-9</c:v>
                </c:pt>
                <c:pt idx="378">
                  <c:v>6.9594932688200461E-9</c:v>
                </c:pt>
                <c:pt idx="379">
                  <c:v>6.763751620064622E-9</c:v>
                </c:pt>
                <c:pt idx="380">
                  <c:v>6.2624252020078577E-9</c:v>
                </c:pt>
                <c:pt idx="381">
                  <c:v>4.638314467010191E-9</c:v>
                </c:pt>
                <c:pt idx="382">
                  <c:v>6.9566860140171577E-9</c:v>
                </c:pt>
                <c:pt idx="383">
                  <c:v>2.779975628204324E-9</c:v>
                </c:pt>
                <c:pt idx="384">
                  <c:v>6.9274078431911636E-9</c:v>
                </c:pt>
                <c:pt idx="385">
                  <c:v>5.4261197877310365E-9</c:v>
                </c:pt>
                <c:pt idx="386">
                  <c:v>7.0051122256520279E-9</c:v>
                </c:pt>
                <c:pt idx="387">
                  <c:v>6.9955246262926067E-9</c:v>
                </c:pt>
                <c:pt idx="388">
                  <c:v>3.8681098789800707E-9</c:v>
                </c:pt>
                <c:pt idx="389">
                  <c:v>5.3316892495545231E-9</c:v>
                </c:pt>
                <c:pt idx="390">
                  <c:v>4.9980156202314005E-9</c:v>
                </c:pt>
                <c:pt idx="391">
                  <c:v>1.4044977803318813E-9</c:v>
                </c:pt>
                <c:pt idx="392">
                  <c:v>5.7539406871470905E-9</c:v>
                </c:pt>
                <c:pt idx="393">
                  <c:v>6.245986151785676E-9</c:v>
                </c:pt>
                <c:pt idx="394">
                  <c:v>7.0285112286211533E-9</c:v>
                </c:pt>
                <c:pt idx="395">
                  <c:v>4.3390398708435958E-10</c:v>
                </c:pt>
                <c:pt idx="396">
                  <c:v>5.8855990712483444E-9</c:v>
                </c:pt>
                <c:pt idx="397">
                  <c:v>6.8315778602081373E-9</c:v>
                </c:pt>
                <c:pt idx="398">
                  <c:v>4.6218020183391749E-12</c:v>
                </c:pt>
                <c:pt idx="399">
                  <c:v>6.2788296433449091E-9</c:v>
                </c:pt>
                <c:pt idx="400">
                  <c:v>6.6956130640482606E-9</c:v>
                </c:pt>
                <c:pt idx="401">
                  <c:v>2.2282826802580548E-10</c:v>
                </c:pt>
                <c:pt idx="402">
                  <c:v>6.6366418099917182E-9</c:v>
                </c:pt>
                <c:pt idx="403">
                  <c:v>4.0342899353750577E-9</c:v>
                </c:pt>
                <c:pt idx="404">
                  <c:v>6.9655357037900657E-9</c:v>
                </c:pt>
                <c:pt idx="405">
                  <c:v>6.9234572690372594E-9</c:v>
                </c:pt>
                <c:pt idx="406">
                  <c:v>6.2672886171736643E-9</c:v>
                </c:pt>
                <c:pt idx="407">
                  <c:v>4.3955291236637751E-9</c:v>
                </c:pt>
                <c:pt idx="408">
                  <c:v>6.8760383841030896E-9</c:v>
                </c:pt>
                <c:pt idx="409">
                  <c:v>2.7037066971532473E-9</c:v>
                </c:pt>
                <c:pt idx="410">
                  <c:v>2.548156619699871E-9</c:v>
                </c:pt>
                <c:pt idx="411">
                  <c:v>6.5799852827855074E-9</c:v>
                </c:pt>
                <c:pt idx="412">
                  <c:v>2.9305018818294481E-10</c:v>
                </c:pt>
                <c:pt idx="413">
                  <c:v>3.2910881057692885E-9</c:v>
                </c:pt>
                <c:pt idx="414">
                  <c:v>6.8961658369491679E-9</c:v>
                </c:pt>
                <c:pt idx="415">
                  <c:v>6.9895822134439515E-9</c:v>
                </c:pt>
                <c:pt idx="416">
                  <c:v>6.0941960651240945E-9</c:v>
                </c:pt>
                <c:pt idx="417">
                  <c:v>6.4698335010660324E-9</c:v>
                </c:pt>
                <c:pt idx="418">
                  <c:v>6.0304984400759826E-9</c:v>
                </c:pt>
                <c:pt idx="419">
                  <c:v>7.0296668043156788E-9</c:v>
                </c:pt>
                <c:pt idx="420">
                  <c:v>7.0261725059860545E-9</c:v>
                </c:pt>
                <c:pt idx="421">
                  <c:v>6.2314355870140241E-9</c:v>
                </c:pt>
                <c:pt idx="422">
                  <c:v>4.8498388491577807E-9</c:v>
                </c:pt>
                <c:pt idx="423">
                  <c:v>6.4762637202618587E-9</c:v>
                </c:pt>
                <c:pt idx="424">
                  <c:v>5.2238999100306978E-9</c:v>
                </c:pt>
                <c:pt idx="425">
                  <c:v>1.1849533351927914E-9</c:v>
                </c:pt>
                <c:pt idx="426">
                  <c:v>6.2275137999004407E-9</c:v>
                </c:pt>
                <c:pt idx="427">
                  <c:v>6.8598724639095513E-9</c:v>
                </c:pt>
                <c:pt idx="428">
                  <c:v>6.8280415802705058E-9</c:v>
                </c:pt>
                <c:pt idx="429">
                  <c:v>6.8849141784544672E-9</c:v>
                </c:pt>
                <c:pt idx="430">
                  <c:v>3.5401839550544752E-9</c:v>
                </c:pt>
                <c:pt idx="431">
                  <c:v>3.4724586331017775E-10</c:v>
                </c:pt>
                <c:pt idx="432">
                  <c:v>7.0204735768976757E-9</c:v>
                </c:pt>
                <c:pt idx="433">
                  <c:v>6.8356739615332058E-9</c:v>
                </c:pt>
                <c:pt idx="434">
                  <c:v>4.5141647718173481E-9</c:v>
                </c:pt>
                <c:pt idx="435">
                  <c:v>6.9546104234793446E-9</c:v>
                </c:pt>
                <c:pt idx="436">
                  <c:v>6.1738726100428671E-9</c:v>
                </c:pt>
                <c:pt idx="437">
                  <c:v>5.9191648255122497E-9</c:v>
                </c:pt>
                <c:pt idx="438">
                  <c:v>2.3380135828716862E-9</c:v>
                </c:pt>
                <c:pt idx="439">
                  <c:v>3.3753300252013459E-9</c:v>
                </c:pt>
                <c:pt idx="440">
                  <c:v>5.8824918318827351E-9</c:v>
                </c:pt>
                <c:pt idx="441">
                  <c:v>4.4858395533747924E-9</c:v>
                </c:pt>
                <c:pt idx="442">
                  <c:v>6.9512836138555093E-9</c:v>
                </c:pt>
                <c:pt idx="443">
                  <c:v>6.4177917626603539E-9</c:v>
                </c:pt>
                <c:pt idx="444">
                  <c:v>5.2224167272945453E-10</c:v>
                </c:pt>
                <c:pt idx="445">
                  <c:v>6.94329285635846E-9</c:v>
                </c:pt>
                <c:pt idx="446">
                  <c:v>6.7298882471437293E-9</c:v>
                </c:pt>
                <c:pt idx="447">
                  <c:v>3.7350921000889819E-9</c:v>
                </c:pt>
                <c:pt idx="448">
                  <c:v>6.2997022793460301E-9</c:v>
                </c:pt>
                <c:pt idx="449">
                  <c:v>6.9659044467017334E-9</c:v>
                </c:pt>
                <c:pt idx="450">
                  <c:v>6.1916727037732084E-9</c:v>
                </c:pt>
                <c:pt idx="451">
                  <c:v>3.9937365297193624E-9</c:v>
                </c:pt>
                <c:pt idx="452">
                  <c:v>6.440446056462911E-9</c:v>
                </c:pt>
                <c:pt idx="453">
                  <c:v>2.2183765656184828E-9</c:v>
                </c:pt>
                <c:pt idx="454">
                  <c:v>5.6621983931703486E-9</c:v>
                </c:pt>
                <c:pt idx="455">
                  <c:v>6.5661086386253515E-9</c:v>
                </c:pt>
                <c:pt idx="456">
                  <c:v>2.1066167223348921E-10</c:v>
                </c:pt>
                <c:pt idx="457">
                  <c:v>6.771310599711891E-9</c:v>
                </c:pt>
                <c:pt idx="458">
                  <c:v>6.9938016392936062E-9</c:v>
                </c:pt>
                <c:pt idx="459">
                  <c:v>7.0240334333867611E-9</c:v>
                </c:pt>
                <c:pt idx="460">
                  <c:v>5.3446728765305071E-9</c:v>
                </c:pt>
                <c:pt idx="461">
                  <c:v>3.7370615267050078E-9</c:v>
                </c:pt>
                <c:pt idx="462">
                  <c:v>2.8338657174865871E-9</c:v>
                </c:pt>
                <c:pt idx="463">
                  <c:v>3.569987939566063E-9</c:v>
                </c:pt>
                <c:pt idx="464">
                  <c:v>6.8433568711307441E-9</c:v>
                </c:pt>
                <c:pt idx="465">
                  <c:v>6.7887662834682309E-9</c:v>
                </c:pt>
                <c:pt idx="466">
                  <c:v>5.8445085319831221E-9</c:v>
                </c:pt>
                <c:pt idx="467">
                  <c:v>4.9893624436196033E-9</c:v>
                </c:pt>
                <c:pt idx="468">
                  <c:v>6.896744258378931E-9</c:v>
                </c:pt>
                <c:pt idx="469">
                  <c:v>3.3392819166402198E-9</c:v>
                </c:pt>
                <c:pt idx="470">
                  <c:v>5.1814165274041833E-9</c:v>
                </c:pt>
                <c:pt idx="471">
                  <c:v>5.5099340530646709E-9</c:v>
                </c:pt>
                <c:pt idx="472">
                  <c:v>6.6152554341675368E-9</c:v>
                </c:pt>
                <c:pt idx="473">
                  <c:v>5.1615565315913273E-9</c:v>
                </c:pt>
                <c:pt idx="474">
                  <c:v>4.004700301117118E-14</c:v>
                </c:pt>
                <c:pt idx="475">
                  <c:v>6.711069001691132E-9</c:v>
                </c:pt>
                <c:pt idx="476">
                  <c:v>4.8854501217818434E-9</c:v>
                </c:pt>
                <c:pt idx="477">
                  <c:v>5.7389736414157165E-9</c:v>
                </c:pt>
                <c:pt idx="478">
                  <c:v>4.1828529758995358E-9</c:v>
                </c:pt>
                <c:pt idx="479">
                  <c:v>3.363934807174541E-9</c:v>
                </c:pt>
                <c:pt idx="480">
                  <c:v>6.383585703671785E-9</c:v>
                </c:pt>
                <c:pt idx="481">
                  <c:v>6.9620620582398402E-9</c:v>
                </c:pt>
                <c:pt idx="482">
                  <c:v>6.9817053902334666E-9</c:v>
                </c:pt>
                <c:pt idx="483">
                  <c:v>5.0041492525886304E-9</c:v>
                </c:pt>
                <c:pt idx="484">
                  <c:v>4.4619427989936666E-9</c:v>
                </c:pt>
                <c:pt idx="485">
                  <c:v>5.3321069328036525E-9</c:v>
                </c:pt>
                <c:pt idx="486">
                  <c:v>2.2776835238559354E-9</c:v>
                </c:pt>
                <c:pt idx="487">
                  <c:v>3.8107089427296342E-9</c:v>
                </c:pt>
                <c:pt idx="488">
                  <c:v>6.7281651371339513E-9</c:v>
                </c:pt>
                <c:pt idx="489">
                  <c:v>6.771968307105211E-9</c:v>
                </c:pt>
                <c:pt idx="490">
                  <c:v>3.9585412117124666E-9</c:v>
                </c:pt>
                <c:pt idx="491">
                  <c:v>6.1414360757960818E-9</c:v>
                </c:pt>
                <c:pt idx="492">
                  <c:v>6.1068188839393552E-9</c:v>
                </c:pt>
                <c:pt idx="493">
                  <c:v>4.1351423455897081E-9</c:v>
                </c:pt>
                <c:pt idx="494">
                  <c:v>6.0032645479200684E-9</c:v>
                </c:pt>
                <c:pt idx="495">
                  <c:v>6.9068319402764146E-9</c:v>
                </c:pt>
                <c:pt idx="496">
                  <c:v>5.853506287366174E-9</c:v>
                </c:pt>
                <c:pt idx="497">
                  <c:v>5.6508869285553715E-9</c:v>
                </c:pt>
                <c:pt idx="498">
                  <c:v>5.1806431658508458E-9</c:v>
                </c:pt>
                <c:pt idx="499">
                  <c:v>3.2815595585494913E-9</c:v>
                </c:pt>
                <c:pt idx="500">
                  <c:v>5.8614569484851523E-9</c:v>
                </c:pt>
                <c:pt idx="501">
                  <c:v>5.2177834934281588E-9</c:v>
                </c:pt>
                <c:pt idx="502">
                  <c:v>7.0265779722270306E-9</c:v>
                </c:pt>
                <c:pt idx="503">
                  <c:v>6.4218032590206359E-9</c:v>
                </c:pt>
                <c:pt idx="504">
                  <c:v>6.3724693323230732E-9</c:v>
                </c:pt>
                <c:pt idx="505">
                  <c:v>4.7510211706338375E-9</c:v>
                </c:pt>
                <c:pt idx="506">
                  <c:v>4.2663682778301243E-9</c:v>
                </c:pt>
                <c:pt idx="507">
                  <c:v>5.862157643706089E-9</c:v>
                </c:pt>
                <c:pt idx="508">
                  <c:v>4.1036119434351632E-9</c:v>
                </c:pt>
                <c:pt idx="509">
                  <c:v>6.7470379963525947E-9</c:v>
                </c:pt>
                <c:pt idx="510">
                  <c:v>7.0292502027929877E-9</c:v>
                </c:pt>
                <c:pt idx="511">
                  <c:v>3.5676014477325987E-9</c:v>
                </c:pt>
                <c:pt idx="512">
                  <c:v>7.0107343456554609E-9</c:v>
                </c:pt>
                <c:pt idx="513">
                  <c:v>7.0105552026517305E-9</c:v>
                </c:pt>
                <c:pt idx="514">
                  <c:v>3.8754854230975371E-9</c:v>
                </c:pt>
                <c:pt idx="515">
                  <c:v>6.7347044628576281E-9</c:v>
                </c:pt>
                <c:pt idx="516">
                  <c:v>7.0110485061802771E-9</c:v>
                </c:pt>
                <c:pt idx="517">
                  <c:v>2.8958816049962563E-9</c:v>
                </c:pt>
                <c:pt idx="518">
                  <c:v>3.0315376606924238E-9</c:v>
                </c:pt>
                <c:pt idx="519">
                  <c:v>7.008903139095545E-9</c:v>
                </c:pt>
                <c:pt idx="520">
                  <c:v>6.4367223568322298E-9</c:v>
                </c:pt>
                <c:pt idx="521">
                  <c:v>7.021848920809265E-9</c:v>
                </c:pt>
                <c:pt idx="522">
                  <c:v>6.658342163420705E-9</c:v>
                </c:pt>
                <c:pt idx="523">
                  <c:v>6.308432441075157E-9</c:v>
                </c:pt>
                <c:pt idx="524">
                  <c:v>6.4530218207035361E-9</c:v>
                </c:pt>
                <c:pt idx="525">
                  <c:v>5.273562850846206E-9</c:v>
                </c:pt>
                <c:pt idx="526">
                  <c:v>4.2318419849981742E-9</c:v>
                </c:pt>
                <c:pt idx="527">
                  <c:v>6.9971994701828203E-9</c:v>
                </c:pt>
                <c:pt idx="528">
                  <c:v>2.5465499005107493E-9</c:v>
                </c:pt>
                <c:pt idx="529">
                  <c:v>6.3633503301616559E-9</c:v>
                </c:pt>
                <c:pt idx="530">
                  <c:v>6.881015745243966E-9</c:v>
                </c:pt>
                <c:pt idx="531">
                  <c:v>4.6124318875125388E-9</c:v>
                </c:pt>
                <c:pt idx="532">
                  <c:v>6.9679674517927265E-9</c:v>
                </c:pt>
                <c:pt idx="533">
                  <c:v>6.8620969699433709E-9</c:v>
                </c:pt>
                <c:pt idx="534">
                  <c:v>6.5864017958602771E-9</c:v>
                </c:pt>
                <c:pt idx="535">
                  <c:v>1.1367686791617051E-9</c:v>
                </c:pt>
                <c:pt idx="536">
                  <c:v>5.0987483726650167E-9</c:v>
                </c:pt>
                <c:pt idx="537">
                  <c:v>3.7792891808207296E-9</c:v>
                </c:pt>
                <c:pt idx="538">
                  <c:v>5.4166325821723265E-9</c:v>
                </c:pt>
                <c:pt idx="539">
                  <c:v>5.5488052659656832E-9</c:v>
                </c:pt>
                <c:pt idx="540">
                  <c:v>7.9760972191341754E-10</c:v>
                </c:pt>
                <c:pt idx="541">
                  <c:v>4.3744553173433408E-9</c:v>
                </c:pt>
                <c:pt idx="542">
                  <c:v>6.0741169936768556E-9</c:v>
                </c:pt>
                <c:pt idx="543">
                  <c:v>6.7941253126462256E-9</c:v>
                </c:pt>
                <c:pt idx="544">
                  <c:v>6.654077218418395E-9</c:v>
                </c:pt>
                <c:pt idx="545">
                  <c:v>6.997590608640116E-9</c:v>
                </c:pt>
                <c:pt idx="546">
                  <c:v>5.6698727844985961E-9</c:v>
                </c:pt>
                <c:pt idx="547">
                  <c:v>3.1105358284329362E-9</c:v>
                </c:pt>
                <c:pt idx="548">
                  <c:v>6.9605322982128242E-9</c:v>
                </c:pt>
                <c:pt idx="549">
                  <c:v>9.1687980533505261E-10</c:v>
                </c:pt>
                <c:pt idx="550">
                  <c:v>6.8823316873385894E-9</c:v>
                </c:pt>
                <c:pt idx="551">
                  <c:v>4.6993835466842459E-9</c:v>
                </c:pt>
                <c:pt idx="552">
                  <c:v>5.9157678700938055E-9</c:v>
                </c:pt>
                <c:pt idx="553">
                  <c:v>2.8015177750112312E-9</c:v>
                </c:pt>
                <c:pt idx="554">
                  <c:v>3.3994882335796609E-9</c:v>
                </c:pt>
                <c:pt idx="555">
                  <c:v>7.0295810674744183E-9</c:v>
                </c:pt>
                <c:pt idx="556">
                  <c:v>6.4962531742576542E-9</c:v>
                </c:pt>
                <c:pt idx="557">
                  <c:v>4.5737957252887149E-9</c:v>
                </c:pt>
                <c:pt idx="558">
                  <c:v>5.485965948052769E-9</c:v>
                </c:pt>
                <c:pt idx="559">
                  <c:v>6.8872679018610903E-9</c:v>
                </c:pt>
                <c:pt idx="560">
                  <c:v>6.8912077980234862E-9</c:v>
                </c:pt>
                <c:pt idx="561">
                  <c:v>3.1546983601534077E-9</c:v>
                </c:pt>
                <c:pt idx="562">
                  <c:v>6.8374230553171206E-9</c:v>
                </c:pt>
                <c:pt idx="563">
                  <c:v>6.8576129097408408E-9</c:v>
                </c:pt>
                <c:pt idx="564">
                  <c:v>4.9015285243825499E-9</c:v>
                </c:pt>
                <c:pt idx="565">
                  <c:v>4.646390462793083E-9</c:v>
                </c:pt>
                <c:pt idx="566">
                  <c:v>1.4617608356581214E-10</c:v>
                </c:pt>
                <c:pt idx="567">
                  <c:v>7.0008818824674417E-9</c:v>
                </c:pt>
                <c:pt idx="568">
                  <c:v>7.0291204880324501E-9</c:v>
                </c:pt>
                <c:pt idx="569">
                  <c:v>3.1053962033871529E-9</c:v>
                </c:pt>
                <c:pt idx="570">
                  <c:v>6.963633943160244E-9</c:v>
                </c:pt>
                <c:pt idx="571">
                  <c:v>6.8617220469238696E-9</c:v>
                </c:pt>
                <c:pt idx="572">
                  <c:v>6.463860584158307E-9</c:v>
                </c:pt>
                <c:pt idx="573">
                  <c:v>4.7070520981771136E-9</c:v>
                </c:pt>
                <c:pt idx="574">
                  <c:v>4.9151074931071611E-9</c:v>
                </c:pt>
                <c:pt idx="575">
                  <c:v>7.7354148780484951E-10</c:v>
                </c:pt>
                <c:pt idx="576">
                  <c:v>6.6365814082804533E-9</c:v>
                </c:pt>
                <c:pt idx="577">
                  <c:v>2.5293542691238395E-9</c:v>
                </c:pt>
                <c:pt idx="578">
                  <c:v>7.0295302646670686E-9</c:v>
                </c:pt>
                <c:pt idx="579">
                  <c:v>5.6569734361922508E-9</c:v>
                </c:pt>
                <c:pt idx="580">
                  <c:v>6.8916730978524677E-9</c:v>
                </c:pt>
                <c:pt idx="581">
                  <c:v>6.2488043324207451E-9</c:v>
                </c:pt>
                <c:pt idx="582">
                  <c:v>5.0059360943264027E-9</c:v>
                </c:pt>
                <c:pt idx="583">
                  <c:v>4.0998310577483069E-9</c:v>
                </c:pt>
                <c:pt idx="584">
                  <c:v>6.994820248100444E-9</c:v>
                </c:pt>
                <c:pt idx="585">
                  <c:v>6.8109820871579257E-9</c:v>
                </c:pt>
                <c:pt idx="586">
                  <c:v>2.8912448069359366E-9</c:v>
                </c:pt>
                <c:pt idx="587">
                  <c:v>6.6090987541454453E-9</c:v>
                </c:pt>
                <c:pt idx="588">
                  <c:v>6.6851378213442509E-9</c:v>
                </c:pt>
                <c:pt idx="589">
                  <c:v>2.0348307410969272E-9</c:v>
                </c:pt>
                <c:pt idx="590">
                  <c:v>5.5876009250803208E-9</c:v>
                </c:pt>
                <c:pt idx="591">
                  <c:v>6.0003974921083794E-9</c:v>
                </c:pt>
                <c:pt idx="592">
                  <c:v>2.5545707413615957E-9</c:v>
                </c:pt>
                <c:pt idx="593">
                  <c:v>6.729891749601265E-9</c:v>
                </c:pt>
                <c:pt idx="594">
                  <c:v>5.4162899362813114E-9</c:v>
                </c:pt>
                <c:pt idx="595">
                  <c:v>1.3903602784754002E-11</c:v>
                </c:pt>
                <c:pt idx="596">
                  <c:v>6.7767649293716917E-9</c:v>
                </c:pt>
                <c:pt idx="597">
                  <c:v>6.0197559778034018E-9</c:v>
                </c:pt>
                <c:pt idx="598">
                  <c:v>5.5559428580568006E-9</c:v>
                </c:pt>
                <c:pt idx="599">
                  <c:v>6.115193999436912E-9</c:v>
                </c:pt>
                <c:pt idx="600">
                  <c:v>6.7538809286431633E-9</c:v>
                </c:pt>
                <c:pt idx="601">
                  <c:v>5.6354596920434223E-9</c:v>
                </c:pt>
                <c:pt idx="602">
                  <c:v>6.1326682889265186E-9</c:v>
                </c:pt>
                <c:pt idx="603">
                  <c:v>6.9823807232969694E-9</c:v>
                </c:pt>
                <c:pt idx="604">
                  <c:v>4.4682595010764332E-9</c:v>
                </c:pt>
                <c:pt idx="605">
                  <c:v>6.4119944091661204E-9</c:v>
                </c:pt>
                <c:pt idx="606">
                  <c:v>6.9545960313560872E-9</c:v>
                </c:pt>
                <c:pt idx="607">
                  <c:v>6.2662235839980808E-9</c:v>
                </c:pt>
                <c:pt idx="608">
                  <c:v>6.8781743405643778E-9</c:v>
                </c:pt>
                <c:pt idx="609">
                  <c:v>6.4320404338819918E-9</c:v>
                </c:pt>
                <c:pt idx="610">
                  <c:v>6.9358085959116849E-9</c:v>
                </c:pt>
                <c:pt idx="611">
                  <c:v>7.0052146768232482E-9</c:v>
                </c:pt>
                <c:pt idx="612">
                  <c:v>5.1263342886665078E-9</c:v>
                </c:pt>
                <c:pt idx="613">
                  <c:v>4.5556755268179866E-9</c:v>
                </c:pt>
                <c:pt idx="614">
                  <c:v>5.9873195414856118E-9</c:v>
                </c:pt>
                <c:pt idx="615">
                  <c:v>4.6128972532593646E-9</c:v>
                </c:pt>
                <c:pt idx="616">
                  <c:v>6.4135575178634988E-9</c:v>
                </c:pt>
                <c:pt idx="617">
                  <c:v>8.2532244665416737E-13</c:v>
                </c:pt>
                <c:pt idx="618">
                  <c:v>6.232333949722316E-9</c:v>
                </c:pt>
                <c:pt idx="619">
                  <c:v>7.0296724522861392E-9</c:v>
                </c:pt>
                <c:pt idx="620">
                  <c:v>6.9658302767134395E-9</c:v>
                </c:pt>
                <c:pt idx="621">
                  <c:v>3.0308847834500363E-9</c:v>
                </c:pt>
                <c:pt idx="622">
                  <c:v>6.9817306025632121E-9</c:v>
                </c:pt>
                <c:pt idx="623">
                  <c:v>5.2870035448641728E-9</c:v>
                </c:pt>
                <c:pt idx="624">
                  <c:v>2.365782184680474E-9</c:v>
                </c:pt>
                <c:pt idx="625">
                  <c:v>7.0051090682906348E-9</c:v>
                </c:pt>
                <c:pt idx="626">
                  <c:v>5.2176338993301846E-9</c:v>
                </c:pt>
                <c:pt idx="627">
                  <c:v>6.6231800821085808E-9</c:v>
                </c:pt>
                <c:pt idx="628">
                  <c:v>4.5954171972478053E-9</c:v>
                </c:pt>
                <c:pt idx="629">
                  <c:v>3.6544770092269436E-9</c:v>
                </c:pt>
                <c:pt idx="630">
                  <c:v>4.1130334216904045E-9</c:v>
                </c:pt>
                <c:pt idx="631">
                  <c:v>4.2588156612479137E-9</c:v>
                </c:pt>
                <c:pt idx="632">
                  <c:v>3.2180693959460032E-9</c:v>
                </c:pt>
                <c:pt idx="633">
                  <c:v>4.2385410696050648E-9</c:v>
                </c:pt>
                <c:pt idx="634">
                  <c:v>5.6178762364467107E-9</c:v>
                </c:pt>
                <c:pt idx="635">
                  <c:v>5.9927875778654099E-9</c:v>
                </c:pt>
                <c:pt idx="636">
                  <c:v>1.5051543153904851E-9</c:v>
                </c:pt>
                <c:pt idx="637">
                  <c:v>6.8480124227925831E-9</c:v>
                </c:pt>
                <c:pt idx="638">
                  <c:v>6.9103433204830721E-9</c:v>
                </c:pt>
                <c:pt idx="639">
                  <c:v>6.4662302532573152E-9</c:v>
                </c:pt>
                <c:pt idx="640">
                  <c:v>6.916148254449765E-9</c:v>
                </c:pt>
                <c:pt idx="641">
                  <c:v>4.2597639596222866E-9</c:v>
                </c:pt>
                <c:pt idx="642">
                  <c:v>4.2536168013608079E-9</c:v>
                </c:pt>
                <c:pt idx="643">
                  <c:v>3.6995404465761724E-9</c:v>
                </c:pt>
                <c:pt idx="644">
                  <c:v>4.5533127653098557E-9</c:v>
                </c:pt>
                <c:pt idx="645">
                  <c:v>3.3500291321234118E-9</c:v>
                </c:pt>
                <c:pt idx="646">
                  <c:v>6.9883744588328717E-9</c:v>
                </c:pt>
                <c:pt idx="647">
                  <c:v>3.7277648583167078E-9</c:v>
                </c:pt>
                <c:pt idx="648">
                  <c:v>7.0286456191454344E-9</c:v>
                </c:pt>
                <c:pt idx="649">
                  <c:v>5.7477533130582631E-9</c:v>
                </c:pt>
                <c:pt idx="650">
                  <c:v>6.6771642912408905E-9</c:v>
                </c:pt>
                <c:pt idx="651">
                  <c:v>6.6443582579849257E-9</c:v>
                </c:pt>
                <c:pt idx="652">
                  <c:v>5.8421352096712505E-9</c:v>
                </c:pt>
                <c:pt idx="653">
                  <c:v>5.6147963382108364E-9</c:v>
                </c:pt>
                <c:pt idx="654">
                  <c:v>5.6422012601532348E-9</c:v>
                </c:pt>
                <c:pt idx="655">
                  <c:v>6.9998533055135916E-9</c:v>
                </c:pt>
                <c:pt idx="656">
                  <c:v>4.8613466255458049E-9</c:v>
                </c:pt>
                <c:pt idx="657">
                  <c:v>5.8725157782629113E-9</c:v>
                </c:pt>
                <c:pt idx="658">
                  <c:v>6.0354752149569724E-9</c:v>
                </c:pt>
                <c:pt idx="659">
                  <c:v>7.0296580211274825E-9</c:v>
                </c:pt>
                <c:pt idx="660">
                  <c:v>6.9137474535651034E-9</c:v>
                </c:pt>
                <c:pt idx="661">
                  <c:v>6.1632901192242128E-9</c:v>
                </c:pt>
                <c:pt idx="662">
                  <c:v>6.8308555153478353E-9</c:v>
                </c:pt>
                <c:pt idx="663">
                  <c:v>4.7065265666020427E-9</c:v>
                </c:pt>
                <c:pt idx="664">
                  <c:v>7.0241837593545901E-9</c:v>
                </c:pt>
                <c:pt idx="665">
                  <c:v>3.2400754501984698E-10</c:v>
                </c:pt>
                <c:pt idx="666">
                  <c:v>5.0242730048505782E-9</c:v>
                </c:pt>
                <c:pt idx="667">
                  <c:v>6.8810941242645474E-9</c:v>
                </c:pt>
                <c:pt idx="668">
                  <c:v>5.0853073133943934E-10</c:v>
                </c:pt>
                <c:pt idx="669">
                  <c:v>1.0324654666710906E-9</c:v>
                </c:pt>
                <c:pt idx="670">
                  <c:v>5.1050153185748427E-9</c:v>
                </c:pt>
                <c:pt idx="671">
                  <c:v>5.9289880576537327E-9</c:v>
                </c:pt>
                <c:pt idx="672">
                  <c:v>4.3788429922919103E-9</c:v>
                </c:pt>
                <c:pt idx="673">
                  <c:v>1.2811789451929794E-11</c:v>
                </c:pt>
                <c:pt idx="674">
                  <c:v>5.8637791192538078E-9</c:v>
                </c:pt>
                <c:pt idx="675">
                  <c:v>4.9893391250272302E-9</c:v>
                </c:pt>
                <c:pt idx="676">
                  <c:v>5.8157472811567556E-9</c:v>
                </c:pt>
                <c:pt idx="677">
                  <c:v>5.6263696493464791E-9</c:v>
                </c:pt>
                <c:pt idx="678">
                  <c:v>6.4068213408150576E-9</c:v>
                </c:pt>
                <c:pt idx="679">
                  <c:v>5.1517410448616969E-9</c:v>
                </c:pt>
                <c:pt idx="680">
                  <c:v>2.3216984486492809E-9</c:v>
                </c:pt>
                <c:pt idx="681">
                  <c:v>4.4371784006858891E-9</c:v>
                </c:pt>
                <c:pt idx="682">
                  <c:v>5.2061407252436802E-9</c:v>
                </c:pt>
                <c:pt idx="683">
                  <c:v>6.9396303783063274E-9</c:v>
                </c:pt>
                <c:pt idx="684">
                  <c:v>1.255869294456984E-9</c:v>
                </c:pt>
                <c:pt idx="685">
                  <c:v>3.2488786031857453E-10</c:v>
                </c:pt>
                <c:pt idx="686">
                  <c:v>6.9603177648299326E-9</c:v>
                </c:pt>
                <c:pt idx="687">
                  <c:v>6.2846371481605909E-9</c:v>
                </c:pt>
                <c:pt idx="688">
                  <c:v>5.2532375201419864E-9</c:v>
                </c:pt>
                <c:pt idx="689">
                  <c:v>6.9797298064375614E-9</c:v>
                </c:pt>
                <c:pt idx="690">
                  <c:v>6.9320918029137834E-9</c:v>
                </c:pt>
                <c:pt idx="691">
                  <c:v>3.1444995799026506E-9</c:v>
                </c:pt>
                <c:pt idx="692">
                  <c:v>6.9283335394392136E-9</c:v>
                </c:pt>
                <c:pt idx="693">
                  <c:v>6.991744157578571E-9</c:v>
                </c:pt>
                <c:pt idx="694">
                  <c:v>3.4181288447038724E-9</c:v>
                </c:pt>
                <c:pt idx="695">
                  <c:v>4.2304314434462471E-9</c:v>
                </c:pt>
                <c:pt idx="696">
                  <c:v>5.7389931242831099E-9</c:v>
                </c:pt>
                <c:pt idx="697">
                  <c:v>3.5560859367521208E-9</c:v>
                </c:pt>
                <c:pt idx="698">
                  <c:v>3.7638166181444897E-9</c:v>
                </c:pt>
                <c:pt idx="699">
                  <c:v>2.2455692596839808E-9</c:v>
                </c:pt>
                <c:pt idx="700">
                  <c:v>6.9321519312961271E-9</c:v>
                </c:pt>
                <c:pt idx="701">
                  <c:v>7.0251518861801426E-9</c:v>
                </c:pt>
                <c:pt idx="702">
                  <c:v>4.2959331968695352E-9</c:v>
                </c:pt>
                <c:pt idx="703">
                  <c:v>4.4848329352287205E-9</c:v>
                </c:pt>
                <c:pt idx="704">
                  <c:v>6.5691636653809107E-9</c:v>
                </c:pt>
                <c:pt idx="705">
                  <c:v>6.9723629244745217E-9</c:v>
                </c:pt>
                <c:pt idx="706">
                  <c:v>4.166410826216813E-9</c:v>
                </c:pt>
                <c:pt idx="707">
                  <c:v>6.9487433687755068E-9</c:v>
                </c:pt>
                <c:pt idx="708">
                  <c:v>3.441820528989905E-9</c:v>
                </c:pt>
                <c:pt idx="709">
                  <c:v>4.9333024079271736E-9</c:v>
                </c:pt>
                <c:pt idx="710">
                  <c:v>3.2725408542114439E-9</c:v>
                </c:pt>
                <c:pt idx="711">
                  <c:v>6.264590827814645E-9</c:v>
                </c:pt>
                <c:pt idx="712">
                  <c:v>4.5822138207944574E-9</c:v>
                </c:pt>
                <c:pt idx="713">
                  <c:v>7.022689843089388E-9</c:v>
                </c:pt>
                <c:pt idx="714">
                  <c:v>5.4312875276300516E-9</c:v>
                </c:pt>
                <c:pt idx="715">
                  <c:v>6.616179348819464E-9</c:v>
                </c:pt>
                <c:pt idx="716">
                  <c:v>4.2285489620561975E-9</c:v>
                </c:pt>
                <c:pt idx="717">
                  <c:v>6.7650280282049997E-9</c:v>
                </c:pt>
                <c:pt idx="718">
                  <c:v>6.3664892032078115E-9</c:v>
                </c:pt>
                <c:pt idx="719">
                  <c:v>4.6925041723205682E-9</c:v>
                </c:pt>
                <c:pt idx="720">
                  <c:v>6.3864626692327652E-9</c:v>
                </c:pt>
                <c:pt idx="721">
                  <c:v>5.3273083608857847E-9</c:v>
                </c:pt>
                <c:pt idx="722">
                  <c:v>6.9165198708509485E-9</c:v>
                </c:pt>
                <c:pt idx="723">
                  <c:v>6.4271021415574147E-9</c:v>
                </c:pt>
                <c:pt idx="724">
                  <c:v>6.6046838640315784E-9</c:v>
                </c:pt>
                <c:pt idx="725">
                  <c:v>5.2262887345382483E-9</c:v>
                </c:pt>
                <c:pt idx="726">
                  <c:v>4.6836375480964326E-9</c:v>
                </c:pt>
                <c:pt idx="727">
                  <c:v>2.5864908522846519E-9</c:v>
                </c:pt>
                <c:pt idx="728">
                  <c:v>6.9781470431814404E-9</c:v>
                </c:pt>
                <c:pt idx="729">
                  <c:v>2.8836812486075168E-9</c:v>
                </c:pt>
                <c:pt idx="730">
                  <c:v>3.2469089982550406E-9</c:v>
                </c:pt>
                <c:pt idx="731">
                  <c:v>5.8878139635286884E-9</c:v>
                </c:pt>
                <c:pt idx="732">
                  <c:v>3.4835459793257836E-9</c:v>
                </c:pt>
                <c:pt idx="733">
                  <c:v>5.792741698908745E-9</c:v>
                </c:pt>
                <c:pt idx="734">
                  <c:v>2.2155499856643697E-9</c:v>
                </c:pt>
                <c:pt idx="735">
                  <c:v>3.5499170322955684E-9</c:v>
                </c:pt>
                <c:pt idx="736">
                  <c:v>1.2384669434445976E-9</c:v>
                </c:pt>
                <c:pt idx="737">
                  <c:v>4.5825053643197958E-9</c:v>
                </c:pt>
                <c:pt idx="738">
                  <c:v>6.8793915731054374E-9</c:v>
                </c:pt>
                <c:pt idx="739">
                  <c:v>6.7779727161065349E-9</c:v>
                </c:pt>
                <c:pt idx="740">
                  <c:v>5.6500242191258687E-9</c:v>
                </c:pt>
                <c:pt idx="741">
                  <c:v>6.4495740710259383E-9</c:v>
                </c:pt>
                <c:pt idx="742">
                  <c:v>6.0252693773220974E-9</c:v>
                </c:pt>
                <c:pt idx="743">
                  <c:v>5.3477528538845614E-11</c:v>
                </c:pt>
                <c:pt idx="744">
                  <c:v>6.9942486378304141E-9</c:v>
                </c:pt>
                <c:pt idx="745">
                  <c:v>3.4264371092359173E-9</c:v>
                </c:pt>
                <c:pt idx="746">
                  <c:v>1.7976127112351634E-10</c:v>
                </c:pt>
                <c:pt idx="747">
                  <c:v>6.8259672490616154E-9</c:v>
                </c:pt>
                <c:pt idx="748">
                  <c:v>5.9918591981710025E-9</c:v>
                </c:pt>
                <c:pt idx="749">
                  <c:v>6.8410385946692475E-9</c:v>
                </c:pt>
                <c:pt idx="750">
                  <c:v>5.020552229260875E-9</c:v>
                </c:pt>
                <c:pt idx="751">
                  <c:v>7.0295566960501804E-9</c:v>
                </c:pt>
                <c:pt idx="752">
                  <c:v>4.6135947673390033E-9</c:v>
                </c:pt>
                <c:pt idx="753">
                  <c:v>6.9317198014079752E-9</c:v>
                </c:pt>
                <c:pt idx="754">
                  <c:v>6.1719478602888278E-9</c:v>
                </c:pt>
                <c:pt idx="755">
                  <c:v>4.9922692554593986E-9</c:v>
                </c:pt>
                <c:pt idx="756">
                  <c:v>6.9927128564021534E-9</c:v>
                </c:pt>
                <c:pt idx="757">
                  <c:v>3.4142890292192836E-9</c:v>
                </c:pt>
                <c:pt idx="758">
                  <c:v>5.0039981480169452E-9</c:v>
                </c:pt>
                <c:pt idx="759">
                  <c:v>6.512253010158515E-10</c:v>
                </c:pt>
                <c:pt idx="760">
                  <c:v>6.6701786840383815E-9</c:v>
                </c:pt>
                <c:pt idx="761">
                  <c:v>6.9813642161216195E-9</c:v>
                </c:pt>
                <c:pt idx="762">
                  <c:v>4.2370326325069894E-9</c:v>
                </c:pt>
                <c:pt idx="763">
                  <c:v>3.0935495736322161E-9</c:v>
                </c:pt>
                <c:pt idx="764">
                  <c:v>5.8183484152700575E-9</c:v>
                </c:pt>
                <c:pt idx="765">
                  <c:v>6.8832575022465776E-9</c:v>
                </c:pt>
                <c:pt idx="766">
                  <c:v>4.6641362262519615E-9</c:v>
                </c:pt>
                <c:pt idx="767">
                  <c:v>5.7805581360438E-9</c:v>
                </c:pt>
                <c:pt idx="768">
                  <c:v>4.7495957215562843E-9</c:v>
                </c:pt>
                <c:pt idx="769">
                  <c:v>5.8814299603053465E-9</c:v>
                </c:pt>
                <c:pt idx="770">
                  <c:v>3.2530263821441335E-9</c:v>
                </c:pt>
                <c:pt idx="771">
                  <c:v>5.9465049709129792E-9</c:v>
                </c:pt>
                <c:pt idx="772">
                  <c:v>6.4293446600261461E-9</c:v>
                </c:pt>
                <c:pt idx="773">
                  <c:v>4.5242258780726783E-9</c:v>
                </c:pt>
                <c:pt idx="774">
                  <c:v>7.0272659870214248E-9</c:v>
                </c:pt>
                <c:pt idx="775">
                  <c:v>4.6793466431383165E-9</c:v>
                </c:pt>
                <c:pt idx="776">
                  <c:v>4.0195100695225964E-9</c:v>
                </c:pt>
                <c:pt idx="777">
                  <c:v>1.5113675442970336E-9</c:v>
                </c:pt>
                <c:pt idx="778">
                  <c:v>5.8007833743856018E-9</c:v>
                </c:pt>
                <c:pt idx="779">
                  <c:v>5.7069371565283361E-9</c:v>
                </c:pt>
                <c:pt idx="780">
                  <c:v>4.1817709278490689E-9</c:v>
                </c:pt>
                <c:pt idx="781">
                  <c:v>5.2832862628579979E-10</c:v>
                </c:pt>
                <c:pt idx="782">
                  <c:v>5.2792554526506813E-9</c:v>
                </c:pt>
                <c:pt idx="783">
                  <c:v>1.1812100259416673E-10</c:v>
                </c:pt>
                <c:pt idx="784">
                  <c:v>2.5271540958102123E-9</c:v>
                </c:pt>
                <c:pt idx="785">
                  <c:v>5.6077225949300296E-10</c:v>
                </c:pt>
                <c:pt idx="786">
                  <c:v>3.8764425625678686E-9</c:v>
                </c:pt>
                <c:pt idx="787">
                  <c:v>3.2170201823886119E-9</c:v>
                </c:pt>
                <c:pt idx="788">
                  <c:v>2.6401994397880458E-9</c:v>
                </c:pt>
                <c:pt idx="789">
                  <c:v>6.0189643255922181E-9</c:v>
                </c:pt>
                <c:pt idx="790">
                  <c:v>6.9724572507092384E-9</c:v>
                </c:pt>
                <c:pt idx="791">
                  <c:v>2.9476413284359738E-9</c:v>
                </c:pt>
                <c:pt idx="792">
                  <c:v>4.0307107447919926E-9</c:v>
                </c:pt>
                <c:pt idx="793">
                  <c:v>5.4120217387539256E-9</c:v>
                </c:pt>
                <c:pt idx="794">
                  <c:v>7.0295713171779859E-9</c:v>
                </c:pt>
                <c:pt idx="795">
                  <c:v>3.2309746566949301E-9</c:v>
                </c:pt>
                <c:pt idx="796">
                  <c:v>5.0908201634124173E-9</c:v>
                </c:pt>
                <c:pt idx="797">
                  <c:v>5.9235083925695675E-9</c:v>
                </c:pt>
                <c:pt idx="798">
                  <c:v>4.2867673658918511E-9</c:v>
                </c:pt>
                <c:pt idx="799">
                  <c:v>5.5903593404287332E-9</c:v>
                </c:pt>
                <c:pt idx="800">
                  <c:v>5.3395001638089462E-9</c:v>
                </c:pt>
                <c:pt idx="801">
                  <c:v>2.7578375943835215E-9</c:v>
                </c:pt>
                <c:pt idx="802">
                  <c:v>3.0783138562936958E-9</c:v>
                </c:pt>
                <c:pt idx="803">
                  <c:v>6.0299257556830083E-9</c:v>
                </c:pt>
                <c:pt idx="804">
                  <c:v>5.8659558008267482E-9</c:v>
                </c:pt>
                <c:pt idx="805">
                  <c:v>4.1302215264962327E-9</c:v>
                </c:pt>
                <c:pt idx="806">
                  <c:v>4.2784117281129574E-9</c:v>
                </c:pt>
                <c:pt idx="807">
                  <c:v>6.9737867138648755E-9</c:v>
                </c:pt>
                <c:pt idx="808">
                  <c:v>3.1622967638486023E-9</c:v>
                </c:pt>
                <c:pt idx="809">
                  <c:v>2.0575065233159732E-9</c:v>
                </c:pt>
                <c:pt idx="810">
                  <c:v>4.2161735529608395E-9</c:v>
                </c:pt>
                <c:pt idx="811">
                  <c:v>6.8709368075880144E-9</c:v>
                </c:pt>
                <c:pt idx="812">
                  <c:v>3.969626299670678E-9</c:v>
                </c:pt>
                <c:pt idx="813">
                  <c:v>1.0685615850477929E-12</c:v>
                </c:pt>
                <c:pt idx="814">
                  <c:v>6.6133085598165958E-9</c:v>
                </c:pt>
                <c:pt idx="815">
                  <c:v>6.6677793708195567E-9</c:v>
                </c:pt>
                <c:pt idx="816">
                  <c:v>5.4778743708239981E-9</c:v>
                </c:pt>
                <c:pt idx="817">
                  <c:v>6.8786758037142932E-9</c:v>
                </c:pt>
                <c:pt idx="818">
                  <c:v>5.80123496860666E-9</c:v>
                </c:pt>
                <c:pt idx="819">
                  <c:v>4.8149071028097768E-9</c:v>
                </c:pt>
                <c:pt idx="820">
                  <c:v>6.7426843758249086E-9</c:v>
                </c:pt>
                <c:pt idx="821">
                  <c:v>6.8381066675241603E-9</c:v>
                </c:pt>
                <c:pt idx="822">
                  <c:v>4.0249797856774122E-9</c:v>
                </c:pt>
                <c:pt idx="823">
                  <c:v>7.0139171659059669E-9</c:v>
                </c:pt>
                <c:pt idx="824">
                  <c:v>7.0143415846788073E-9</c:v>
                </c:pt>
                <c:pt idx="825">
                  <c:v>5.7319403808787777E-9</c:v>
                </c:pt>
                <c:pt idx="826">
                  <c:v>6.8352356526493176E-9</c:v>
                </c:pt>
                <c:pt idx="827">
                  <c:v>8.4207751771292085E-10</c:v>
                </c:pt>
                <c:pt idx="828">
                  <c:v>5.6394859865644332E-9</c:v>
                </c:pt>
                <c:pt idx="829">
                  <c:v>6.9587603457649992E-9</c:v>
                </c:pt>
                <c:pt idx="830">
                  <c:v>7.0140554016234134E-9</c:v>
                </c:pt>
                <c:pt idx="831">
                  <c:v>2.1370791627012317E-9</c:v>
                </c:pt>
                <c:pt idx="832">
                  <c:v>5.5868651979082322E-9</c:v>
                </c:pt>
                <c:pt idx="833">
                  <c:v>4.0803460545850376E-9</c:v>
                </c:pt>
                <c:pt idx="834">
                  <c:v>1.1999032086775853E-9</c:v>
                </c:pt>
                <c:pt idx="835">
                  <c:v>5.7134894591237526E-9</c:v>
                </c:pt>
                <c:pt idx="836">
                  <c:v>4.7997370802043252E-9</c:v>
                </c:pt>
                <c:pt idx="837">
                  <c:v>6.3973203751899332E-9</c:v>
                </c:pt>
                <c:pt idx="838">
                  <c:v>6.9964405293334649E-9</c:v>
                </c:pt>
                <c:pt idx="839">
                  <c:v>3.0435700533472187E-9</c:v>
                </c:pt>
                <c:pt idx="840">
                  <c:v>6.9375976948075886E-9</c:v>
                </c:pt>
                <c:pt idx="841">
                  <c:v>4.0749897199459717E-9</c:v>
                </c:pt>
                <c:pt idx="842">
                  <c:v>6.9715593198302354E-9</c:v>
                </c:pt>
                <c:pt idx="843">
                  <c:v>9.8660773970049424E-11</c:v>
                </c:pt>
                <c:pt idx="844">
                  <c:v>6.9475682724679072E-9</c:v>
                </c:pt>
                <c:pt idx="845">
                  <c:v>5.1695981370391E-9</c:v>
                </c:pt>
                <c:pt idx="846">
                  <c:v>6.8248321240641276E-9</c:v>
                </c:pt>
                <c:pt idx="847">
                  <c:v>1.845815894349696E-9</c:v>
                </c:pt>
                <c:pt idx="848">
                  <c:v>6.4543399245393934E-9</c:v>
                </c:pt>
                <c:pt idx="849">
                  <c:v>2.1896421335909499E-9</c:v>
                </c:pt>
                <c:pt idx="850">
                  <c:v>6.2861664785277522E-9</c:v>
                </c:pt>
                <c:pt idx="851">
                  <c:v>3.8602569151104461E-9</c:v>
                </c:pt>
                <c:pt idx="852">
                  <c:v>4.5054117225398182E-9</c:v>
                </c:pt>
                <c:pt idx="853">
                  <c:v>6.9957183007702803E-9</c:v>
                </c:pt>
                <c:pt idx="854">
                  <c:v>1.9583815759758557E-9</c:v>
                </c:pt>
                <c:pt idx="855">
                  <c:v>6.1780294253669305E-9</c:v>
                </c:pt>
                <c:pt idx="856">
                  <c:v>4.7604817892713457E-9</c:v>
                </c:pt>
                <c:pt idx="857">
                  <c:v>6.1841788595233305E-9</c:v>
                </c:pt>
                <c:pt idx="858">
                  <c:v>5.1424044278987404E-9</c:v>
                </c:pt>
                <c:pt idx="859">
                  <c:v>6.8739596848093537E-9</c:v>
                </c:pt>
                <c:pt idx="860">
                  <c:v>5.1950492508872756E-9</c:v>
                </c:pt>
                <c:pt idx="861">
                  <c:v>4.7631586647558288E-9</c:v>
                </c:pt>
                <c:pt idx="862">
                  <c:v>4.0382355008195657E-9</c:v>
                </c:pt>
                <c:pt idx="863">
                  <c:v>4.126420080885057E-9</c:v>
                </c:pt>
                <c:pt idx="864">
                  <c:v>6.3877156011015525E-9</c:v>
                </c:pt>
                <c:pt idx="865">
                  <c:v>6.7306787001380434E-9</c:v>
                </c:pt>
                <c:pt idx="866">
                  <c:v>6.7225310832492149E-9</c:v>
                </c:pt>
                <c:pt idx="867">
                  <c:v>5.4558112415654969E-9</c:v>
                </c:pt>
                <c:pt idx="868">
                  <c:v>6.1148943790398636E-9</c:v>
                </c:pt>
                <c:pt idx="869">
                  <c:v>6.9747831182537485E-9</c:v>
                </c:pt>
                <c:pt idx="870">
                  <c:v>6.5047240325790063E-9</c:v>
                </c:pt>
                <c:pt idx="871">
                  <c:v>6.2857019078289867E-9</c:v>
                </c:pt>
                <c:pt idx="872">
                  <c:v>5.2578931990088926E-9</c:v>
                </c:pt>
                <c:pt idx="873">
                  <c:v>5.8159532060238251E-9</c:v>
                </c:pt>
                <c:pt idx="874">
                  <c:v>5.6870736067731379E-9</c:v>
                </c:pt>
                <c:pt idx="875">
                  <c:v>6.8266487584499662E-9</c:v>
                </c:pt>
                <c:pt idx="876">
                  <c:v>5.9066851736340764E-9</c:v>
                </c:pt>
                <c:pt idx="877">
                  <c:v>6.6984867275295132E-9</c:v>
                </c:pt>
                <c:pt idx="878">
                  <c:v>4.9026375743740302E-9</c:v>
                </c:pt>
                <c:pt idx="879">
                  <c:v>3.1316403664769087E-9</c:v>
                </c:pt>
                <c:pt idx="880">
                  <c:v>4.1188956899857944E-9</c:v>
                </c:pt>
                <c:pt idx="881">
                  <c:v>5.2331404529903817E-9</c:v>
                </c:pt>
                <c:pt idx="882">
                  <c:v>2.4994757986746383E-9</c:v>
                </c:pt>
                <c:pt idx="883">
                  <c:v>4.6674967095654025E-9</c:v>
                </c:pt>
                <c:pt idx="884">
                  <c:v>3.7511846142621183E-9</c:v>
                </c:pt>
                <c:pt idx="885">
                  <c:v>3.6514907542356453E-9</c:v>
                </c:pt>
                <c:pt idx="886">
                  <c:v>6.8689882498983343E-9</c:v>
                </c:pt>
                <c:pt idx="887">
                  <c:v>2.8168203289282579E-9</c:v>
                </c:pt>
                <c:pt idx="888">
                  <c:v>3.7292095041410898E-10</c:v>
                </c:pt>
                <c:pt idx="889">
                  <c:v>7.0278336113977664E-9</c:v>
                </c:pt>
                <c:pt idx="890">
                  <c:v>5.841448570381664E-9</c:v>
                </c:pt>
                <c:pt idx="891">
                  <c:v>7.028518051244249E-9</c:v>
                </c:pt>
                <c:pt idx="892">
                  <c:v>6.636956626542729E-9</c:v>
                </c:pt>
                <c:pt idx="893">
                  <c:v>7.0292559876224996E-9</c:v>
                </c:pt>
                <c:pt idx="894">
                  <c:v>6.0658751545916757E-9</c:v>
                </c:pt>
                <c:pt idx="895">
                  <c:v>6.7031927284856716E-9</c:v>
                </c:pt>
                <c:pt idx="896">
                  <c:v>5.4538795061930219E-9</c:v>
                </c:pt>
                <c:pt idx="897">
                  <c:v>5.9232306305854352E-9</c:v>
                </c:pt>
                <c:pt idx="898">
                  <c:v>2.8506076078527028E-11</c:v>
                </c:pt>
                <c:pt idx="899">
                  <c:v>1.0526214571332634E-9</c:v>
                </c:pt>
                <c:pt idx="900">
                  <c:v>6.7515810762902164E-9</c:v>
                </c:pt>
                <c:pt idx="901">
                  <c:v>5.2822873920312732E-9</c:v>
                </c:pt>
                <c:pt idx="902">
                  <c:v>3.2986470160264613E-9</c:v>
                </c:pt>
                <c:pt idx="903">
                  <c:v>3.9385380947097181E-9</c:v>
                </c:pt>
                <c:pt idx="904">
                  <c:v>6.9686513510890502E-9</c:v>
                </c:pt>
                <c:pt idx="905">
                  <c:v>6.9057885441496952E-9</c:v>
                </c:pt>
                <c:pt idx="906">
                  <c:v>2.7169453855539247E-10</c:v>
                </c:pt>
                <c:pt idx="907">
                  <c:v>6.244395373194648E-9</c:v>
                </c:pt>
                <c:pt idx="908">
                  <c:v>7.0272718343309158E-9</c:v>
                </c:pt>
                <c:pt idx="909">
                  <c:v>1.3081704482277544E-9</c:v>
                </c:pt>
                <c:pt idx="910">
                  <c:v>6.2818771502197812E-9</c:v>
                </c:pt>
                <c:pt idx="911">
                  <c:v>6.1422007305524304E-9</c:v>
                </c:pt>
                <c:pt idx="912">
                  <c:v>6.9368579398858018E-9</c:v>
                </c:pt>
                <c:pt idx="913">
                  <c:v>5.7431557252993485E-9</c:v>
                </c:pt>
                <c:pt idx="914">
                  <c:v>6.3811048526336849E-9</c:v>
                </c:pt>
                <c:pt idx="915">
                  <c:v>6.4311062452164118E-9</c:v>
                </c:pt>
                <c:pt idx="916">
                  <c:v>5.5055711088923996E-9</c:v>
                </c:pt>
                <c:pt idx="917">
                  <c:v>5.5241304706470954E-9</c:v>
                </c:pt>
                <c:pt idx="918">
                  <c:v>6.9066723302999749E-9</c:v>
                </c:pt>
                <c:pt idx="919">
                  <c:v>2.8533723818373253E-11</c:v>
                </c:pt>
                <c:pt idx="920">
                  <c:v>4.1181546684328429E-9</c:v>
                </c:pt>
                <c:pt idx="921">
                  <c:v>6.8038428579462738E-9</c:v>
                </c:pt>
                <c:pt idx="922">
                  <c:v>6.3418823635935813E-9</c:v>
                </c:pt>
                <c:pt idx="923">
                  <c:v>7.0231200924490393E-9</c:v>
                </c:pt>
                <c:pt idx="924">
                  <c:v>4.2101755498994552E-9</c:v>
                </c:pt>
                <c:pt idx="925">
                  <c:v>6.9967452119563237E-9</c:v>
                </c:pt>
                <c:pt idx="926">
                  <c:v>3.609507763634729E-9</c:v>
                </c:pt>
                <c:pt idx="927">
                  <c:v>5.9251579405228999E-9</c:v>
                </c:pt>
                <c:pt idx="928">
                  <c:v>6.6243205024386276E-9</c:v>
                </c:pt>
                <c:pt idx="929">
                  <c:v>4.0050669583659869E-10</c:v>
                </c:pt>
                <c:pt idx="930">
                  <c:v>5.27849902578985E-9</c:v>
                </c:pt>
                <c:pt idx="931">
                  <c:v>6.8897431988221254E-10</c:v>
                </c:pt>
                <c:pt idx="932">
                  <c:v>6.0585688422846918E-9</c:v>
                </c:pt>
                <c:pt idx="933">
                  <c:v>4.9314125471958689E-9</c:v>
                </c:pt>
                <c:pt idx="934">
                  <c:v>3.8227818150655502E-9</c:v>
                </c:pt>
                <c:pt idx="935">
                  <c:v>5.3505170720518916E-9</c:v>
                </c:pt>
                <c:pt idx="936">
                  <c:v>6.684412843791905E-9</c:v>
                </c:pt>
                <c:pt idx="937">
                  <c:v>7.0268318173969805E-9</c:v>
                </c:pt>
                <c:pt idx="938">
                  <c:v>6.964532031372209E-9</c:v>
                </c:pt>
                <c:pt idx="939">
                  <c:v>7.0084036766394329E-9</c:v>
                </c:pt>
                <c:pt idx="940">
                  <c:v>6.2612210867436407E-9</c:v>
                </c:pt>
                <c:pt idx="941">
                  <c:v>4.4281732470839747E-9</c:v>
                </c:pt>
                <c:pt idx="942">
                  <c:v>3.4211700944343207E-9</c:v>
                </c:pt>
                <c:pt idx="943">
                  <c:v>3.8839227635851177E-9</c:v>
                </c:pt>
                <c:pt idx="944">
                  <c:v>6.8614602935674065E-9</c:v>
                </c:pt>
                <c:pt idx="945">
                  <c:v>6.5700595696743563E-9</c:v>
                </c:pt>
                <c:pt idx="946">
                  <c:v>6.6230701502255217E-9</c:v>
                </c:pt>
                <c:pt idx="947">
                  <c:v>4.7468505566216203E-9</c:v>
                </c:pt>
                <c:pt idx="948">
                  <c:v>4.5430834104946553E-9</c:v>
                </c:pt>
                <c:pt idx="949">
                  <c:v>3.0151723616281506E-9</c:v>
                </c:pt>
                <c:pt idx="950">
                  <c:v>6.9612729953890798E-9</c:v>
                </c:pt>
                <c:pt idx="951">
                  <c:v>8.0539944176782457E-10</c:v>
                </c:pt>
                <c:pt idx="952">
                  <c:v>2.81094568183388E-9</c:v>
                </c:pt>
                <c:pt idx="953">
                  <c:v>6.0324974599443343E-9</c:v>
                </c:pt>
                <c:pt idx="954">
                  <c:v>2.9271950840496744E-9</c:v>
                </c:pt>
                <c:pt idx="955">
                  <c:v>3.4027646229501019E-9</c:v>
                </c:pt>
                <c:pt idx="956">
                  <c:v>6.7032083567344835E-9</c:v>
                </c:pt>
                <c:pt idx="957">
                  <c:v>4.6520590463138076E-9</c:v>
                </c:pt>
                <c:pt idx="958">
                  <c:v>7.0293597387072841E-9</c:v>
                </c:pt>
                <c:pt idx="959">
                  <c:v>7.0284263616685153E-9</c:v>
                </c:pt>
                <c:pt idx="960">
                  <c:v>6.7100480636276507E-9</c:v>
                </c:pt>
                <c:pt idx="961">
                  <c:v>4.8316171638231122E-9</c:v>
                </c:pt>
                <c:pt idx="962">
                  <c:v>4.4548463136036401E-9</c:v>
                </c:pt>
                <c:pt idx="963">
                  <c:v>7.0231933843274526E-9</c:v>
                </c:pt>
                <c:pt idx="964">
                  <c:v>2.6268819767364843E-9</c:v>
                </c:pt>
                <c:pt idx="965">
                  <c:v>6.8892668793602394E-9</c:v>
                </c:pt>
                <c:pt idx="966">
                  <c:v>4.4214887655971131E-9</c:v>
                </c:pt>
                <c:pt idx="967">
                  <c:v>5.3802412025664544E-9</c:v>
                </c:pt>
                <c:pt idx="968">
                  <c:v>4.7823705067918552E-9</c:v>
                </c:pt>
                <c:pt idx="969">
                  <c:v>6.3082670822740514E-9</c:v>
                </c:pt>
                <c:pt idx="970">
                  <c:v>6.1297264360070147E-9</c:v>
                </c:pt>
                <c:pt idx="971">
                  <c:v>5.289852088440973E-12</c:v>
                </c:pt>
                <c:pt idx="972">
                  <c:v>6.1697520453193443E-9</c:v>
                </c:pt>
                <c:pt idx="973">
                  <c:v>3.2832410866149669E-9</c:v>
                </c:pt>
                <c:pt idx="974">
                  <c:v>4.4848266960563224E-9</c:v>
                </c:pt>
                <c:pt idx="975">
                  <c:v>6.7460378006150056E-9</c:v>
                </c:pt>
                <c:pt idx="976">
                  <c:v>5.8304818793252613E-9</c:v>
                </c:pt>
                <c:pt idx="977">
                  <c:v>5.9811039705382502E-9</c:v>
                </c:pt>
                <c:pt idx="978">
                  <c:v>7.0290682520752248E-9</c:v>
                </c:pt>
                <c:pt idx="979">
                  <c:v>4.5591870393245614E-9</c:v>
                </c:pt>
                <c:pt idx="980">
                  <c:v>6.7518522454683447E-9</c:v>
                </c:pt>
                <c:pt idx="981">
                  <c:v>3.1661256412225499E-9</c:v>
                </c:pt>
                <c:pt idx="982">
                  <c:v>5.8811274262936389E-9</c:v>
                </c:pt>
                <c:pt idx="983">
                  <c:v>2.3148604389693924E-9</c:v>
                </c:pt>
                <c:pt idx="984">
                  <c:v>7.0296324615691592E-9</c:v>
                </c:pt>
                <c:pt idx="985">
                  <c:v>3.7662387699835607E-9</c:v>
                </c:pt>
                <c:pt idx="986">
                  <c:v>5.3830354119578535E-9</c:v>
                </c:pt>
                <c:pt idx="987">
                  <c:v>1.2936727954789972E-9</c:v>
                </c:pt>
                <c:pt idx="988">
                  <c:v>2.8861681636609399E-9</c:v>
                </c:pt>
                <c:pt idx="989">
                  <c:v>2.139765665096553E-9</c:v>
                </c:pt>
                <c:pt idx="990">
                  <c:v>6.9157005216654842E-9</c:v>
                </c:pt>
                <c:pt idx="991">
                  <c:v>6.6892091210062227E-9</c:v>
                </c:pt>
                <c:pt idx="992">
                  <c:v>4.771362488533413E-9</c:v>
                </c:pt>
                <c:pt idx="993">
                  <c:v>5.9939794528489406E-9</c:v>
                </c:pt>
                <c:pt idx="994">
                  <c:v>2.9603216654652215E-9</c:v>
                </c:pt>
                <c:pt idx="995">
                  <c:v>6.9169231195869697E-9</c:v>
                </c:pt>
                <c:pt idx="996">
                  <c:v>6.9299122581894909E-9</c:v>
                </c:pt>
                <c:pt idx="997">
                  <c:v>3.7654754846990524E-9</c:v>
                </c:pt>
                <c:pt idx="998">
                  <c:v>5.304082383373025E-9</c:v>
                </c:pt>
                <c:pt idx="999">
                  <c:v>4.4639600175086607E-9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E4-46A4-870F-8FCA7D741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888272"/>
        <c:axId val="558884008"/>
      </c:scatterChart>
      <c:valAx>
        <c:axId val="558888272"/>
        <c:scaling>
          <c:orientation val="minMax"/>
          <c:max val="3000000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884008"/>
        <c:crosses val="autoZero"/>
        <c:crossBetween val="midCat"/>
        <c:majorUnit val="1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valAx>
        <c:axId val="558884008"/>
        <c:scaling>
          <c:orientation val="minMax"/>
          <c:max val="1.0000000000000005E-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Probability Density Function</a:t>
                </a:r>
              </a:p>
            </c:rich>
          </c:tx>
          <c:layout>
            <c:manualLayout>
              <c:xMode val="edge"/>
              <c:yMode val="edge"/>
              <c:x val="3.5191606499788933E-2"/>
              <c:y val="0.161325368811657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E+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888272"/>
        <c:crosses val="autoZero"/>
        <c:crossBetween val="midCat"/>
        <c:majorUnit val="5.0000000000000026E-9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43540900182238"/>
          <c:y val="4.0713180417665182E-2"/>
          <c:w val="0.84935061719905103"/>
          <c:h val="0.785518384115029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'Appendix P'!$AX$35:$AX$50</c:f>
              <c:numCache>
                <c:formatCode>_("$"* #,##0_);_("$"* \(#,##0\);_("$"* "-"??_);_(@_)</c:formatCode>
                <c:ptCount val="16"/>
                <c:pt idx="0">
                  <c:v>10</c:v>
                </c:pt>
                <c:pt idx="1">
                  <c:v>25</c:v>
                </c:pt>
                <c:pt idx="2">
                  <c:v>40</c:v>
                </c:pt>
                <c:pt idx="3">
                  <c:v>55</c:v>
                </c:pt>
                <c:pt idx="4">
                  <c:v>70</c:v>
                </c:pt>
                <c:pt idx="5">
                  <c:v>85</c:v>
                </c:pt>
                <c:pt idx="6">
                  <c:v>100</c:v>
                </c:pt>
                <c:pt idx="7">
                  <c:v>115</c:v>
                </c:pt>
                <c:pt idx="8">
                  <c:v>130</c:v>
                </c:pt>
                <c:pt idx="9">
                  <c:v>145</c:v>
                </c:pt>
                <c:pt idx="10">
                  <c:v>160</c:v>
                </c:pt>
                <c:pt idx="11">
                  <c:v>175</c:v>
                </c:pt>
                <c:pt idx="12">
                  <c:v>190</c:v>
                </c:pt>
                <c:pt idx="13">
                  <c:v>205</c:v>
                </c:pt>
                <c:pt idx="14">
                  <c:v>220</c:v>
                </c:pt>
                <c:pt idx="15">
                  <c:v>235</c:v>
                </c:pt>
              </c:numCache>
            </c:numRef>
          </c:cat>
          <c:val>
            <c:numRef>
              <c:f>'Appendix P'!$AZ$35:$AZ$50</c:f>
              <c:numCache>
                <c:formatCode>0%</c:formatCode>
                <c:ptCount val="16"/>
                <c:pt idx="0">
                  <c:v>1.2E-2</c:v>
                </c:pt>
                <c:pt idx="1">
                  <c:v>6.8000000000000005E-2</c:v>
                </c:pt>
                <c:pt idx="2">
                  <c:v>0.121</c:v>
                </c:pt>
                <c:pt idx="3">
                  <c:v>0.13500000000000001</c:v>
                </c:pt>
                <c:pt idx="4">
                  <c:v>0.107</c:v>
                </c:pt>
                <c:pt idx="5">
                  <c:v>0.113</c:v>
                </c:pt>
                <c:pt idx="6">
                  <c:v>0.11600000000000001</c:v>
                </c:pt>
                <c:pt idx="7">
                  <c:v>7.3999999999999996E-2</c:v>
                </c:pt>
                <c:pt idx="8">
                  <c:v>5.8000000000000003E-2</c:v>
                </c:pt>
                <c:pt idx="9">
                  <c:v>5.0999999999999997E-2</c:v>
                </c:pt>
                <c:pt idx="10">
                  <c:v>4.1000000000000002E-2</c:v>
                </c:pt>
                <c:pt idx="11">
                  <c:v>3.3000000000000002E-2</c:v>
                </c:pt>
                <c:pt idx="12">
                  <c:v>1.2999999999999999E-2</c:v>
                </c:pt>
                <c:pt idx="13">
                  <c:v>1.4999999999999999E-2</c:v>
                </c:pt>
                <c:pt idx="14">
                  <c:v>0.01</c:v>
                </c:pt>
                <c:pt idx="15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F-456E-B1D2-9F37579B7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02587912"/>
        <c:axId val="602590208"/>
      </c:barChart>
      <c:catAx>
        <c:axId val="602587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 (millions)</a:t>
                </a:r>
              </a:p>
            </c:rich>
          </c:tx>
          <c:layout>
            <c:manualLayout>
              <c:xMode val="edge"/>
              <c:yMode val="edge"/>
              <c:x val="0.42114128528693739"/>
              <c:y val="0.910243341321465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590208"/>
        <c:crosses val="autoZero"/>
        <c:auto val="1"/>
        <c:lblAlgn val="ctr"/>
        <c:lblOffset val="100"/>
        <c:noMultiLvlLbl val="0"/>
      </c:catAx>
      <c:valAx>
        <c:axId val="602590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Probability</a:t>
                </a:r>
              </a:p>
            </c:rich>
          </c:tx>
          <c:layout>
            <c:manualLayout>
              <c:xMode val="edge"/>
              <c:yMode val="edge"/>
              <c:x val="2.7899147038536923E-2"/>
              <c:y val="0.28619401645944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cross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587912"/>
        <c:crosses val="autoZero"/>
        <c:crossBetween val="midCat"/>
      </c:valAx>
      <c:spPr>
        <a:noFill/>
        <a:ln w="254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26277745194262E-2"/>
          <c:y val="2.8379772961816305E-2"/>
          <c:w val="0.90261516818002785"/>
          <c:h val="0.8538257059972767"/>
        </c:manualLayout>
      </c:layout>
      <c:scatterChart>
        <c:scatterStyle val="smoothMarker"/>
        <c:varyColors val="0"/>
        <c:ser>
          <c:idx val="5"/>
          <c:order val="0"/>
          <c:tx>
            <c:v>Total costs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K'!$AF$30:$AF$51</c:f>
              <c:numCache>
                <c:formatCode>_("$"* #,##0.00_);_("$"* \(#,##0.00\);_("$"* "-"??_);_(@_)</c:formatCode>
                <c:ptCount val="22"/>
                <c:pt idx="0">
                  <c:v>33594902.4440751</c:v>
                </c:pt>
                <c:pt idx="1">
                  <c:v>4998480.9733724846</c:v>
                </c:pt>
                <c:pt idx="2">
                  <c:v>3487247.6698863599</c:v>
                </c:pt>
                <c:pt idx="3">
                  <c:v>2964898.0629212656</c:v>
                </c:pt>
                <c:pt idx="4">
                  <c:v>3293207.8888545232</c:v>
                </c:pt>
                <c:pt idx="5">
                  <c:v>2984228.5191591661</c:v>
                </c:pt>
                <c:pt idx="6">
                  <c:v>2515762.9777909531</c:v>
                </c:pt>
                <c:pt idx="7">
                  <c:v>2219940.9653903539</c:v>
                </c:pt>
                <c:pt idx="8">
                  <c:v>1996579.0106449868</c:v>
                </c:pt>
                <c:pt idx="9">
                  <c:v>1814943.8710018846</c:v>
                </c:pt>
                <c:pt idx="10">
                  <c:v>1632741.156059721</c:v>
                </c:pt>
                <c:pt idx="11">
                  <c:v>1516481.3483310293</c:v>
                </c:pt>
                <c:pt idx="12">
                  <c:v>1381550.9587078928</c:v>
                </c:pt>
                <c:pt idx="13">
                  <c:v>1254525.1471229284</c:v>
                </c:pt>
                <c:pt idx="14">
                  <c:v>1134589.1256701963</c:v>
                </c:pt>
                <c:pt idx="15">
                  <c:v>1026765.9421132401</c:v>
                </c:pt>
                <c:pt idx="16">
                  <c:v>915708.83886484429</c:v>
                </c:pt>
                <c:pt idx="17">
                  <c:v>842998.92538100341</c:v>
                </c:pt>
                <c:pt idx="18">
                  <c:v>764453.23281706567</c:v>
                </c:pt>
                <c:pt idx="19">
                  <c:v>693485.6315117873</c:v>
                </c:pt>
                <c:pt idx="20">
                  <c:v>629288.86930830684</c:v>
                </c:pt>
                <c:pt idx="21">
                  <c:v>275113.53826989856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24F-439E-A947-680FAF8107C2}"/>
            </c:ext>
          </c:extLst>
        </c:ser>
        <c:ser>
          <c:idx val="0"/>
          <c:order val="1"/>
          <c:tx>
            <c:v>Capex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K'!$AE$30:$AE$51</c:f>
              <c:numCache>
                <c:formatCode>_("$"* #,##0.00_);_("$"* \(#,##0.00\);_("$"* "-"??_);_(@_)</c:formatCode>
                <c:ptCount val="22"/>
                <c:pt idx="0">
                  <c:v>33594902.4440751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24F-439E-A947-680FAF8107C2}"/>
            </c:ext>
          </c:extLst>
        </c:ser>
        <c:ser>
          <c:idx val="1"/>
          <c:order val="2"/>
          <c:tx>
            <c:v>Opex oil handling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K'!$AA$30:$AA$51</c:f>
              <c:numCache>
                <c:formatCode>_("$"* #,##0.00_);_("$"* \(#,##0.00\);_("$"* "-"??_);_(@_)</c:formatCode>
                <c:ptCount val="22"/>
                <c:pt idx="0">
                  <c:v>0</c:v>
                </c:pt>
                <c:pt idx="1">
                  <c:v>1784354.7297330287</c:v>
                </c:pt>
                <c:pt idx="2">
                  <c:v>631542.75781021465</c:v>
                </c:pt>
                <c:pt idx="3">
                  <c:v>318437.18089616008</c:v>
                </c:pt>
                <c:pt idx="4">
                  <c:v>547977.11470271787</c:v>
                </c:pt>
                <c:pt idx="5">
                  <c:v>664496.07429553231</c:v>
                </c:pt>
                <c:pt idx="6">
                  <c:v>392609.8787907954</c:v>
                </c:pt>
                <c:pt idx="7">
                  <c:v>249344.07209120781</c:v>
                </c:pt>
                <c:pt idx="8">
                  <c:v>164156.06759759627</c:v>
                </c:pt>
                <c:pt idx="9">
                  <c:v>115047.33140448105</c:v>
                </c:pt>
                <c:pt idx="10">
                  <c:v>84266.316890387912</c:v>
                </c:pt>
                <c:pt idx="11">
                  <c:v>65504.67502292405</c:v>
                </c:pt>
                <c:pt idx="12">
                  <c:v>50104.667444869621</c:v>
                </c:pt>
                <c:pt idx="13">
                  <c:v>38409.74365655984</c:v>
                </c:pt>
                <c:pt idx="14">
                  <c:v>29633.235630315099</c:v>
                </c:pt>
                <c:pt idx="15">
                  <c:v>23171.829480681488</c:v>
                </c:pt>
                <c:pt idx="16">
                  <c:v>18090.542227212514</c:v>
                </c:pt>
                <c:pt idx="17">
                  <c:v>14775.27620010059</c:v>
                </c:pt>
                <c:pt idx="18">
                  <c:v>11974.298354211842</c:v>
                </c:pt>
                <c:pt idx="19">
                  <c:v>9784.3599835860405</c:v>
                </c:pt>
                <c:pt idx="20">
                  <c:v>8050.0700471464252</c:v>
                </c:pt>
                <c:pt idx="21">
                  <c:v>3067.1736361360076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24F-439E-A947-680FAF8107C2}"/>
            </c:ext>
          </c:extLst>
        </c:ser>
        <c:ser>
          <c:idx val="2"/>
          <c:order val="3"/>
          <c:tx>
            <c:v>Opex water handling</c:v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K'!$AB$30:$AB$51</c:f>
              <c:numCache>
                <c:formatCode>_("$"* #,##0.00_);_("$"* \(#,##0.00\);_("$"* "-"??_);_(@_)</c:formatCode>
                <c:ptCount val="22"/>
                <c:pt idx="0">
                  <c:v>0</c:v>
                </c:pt>
                <c:pt idx="1">
                  <c:v>2559889.7554241563</c:v>
                </c:pt>
                <c:pt idx="2">
                  <c:v>2420029.328370247</c:v>
                </c:pt>
                <c:pt idx="3">
                  <c:v>2200029.6676556738</c:v>
                </c:pt>
                <c:pt idx="4">
                  <c:v>1865889.0938172992</c:v>
                </c:pt>
                <c:pt idx="5">
                  <c:v>1543197.5677085246</c:v>
                </c:pt>
                <c:pt idx="6">
                  <c:v>1437734.4843017468</c:v>
                </c:pt>
                <c:pt idx="7">
                  <c:v>1348227.6653985921</c:v>
                </c:pt>
                <c:pt idx="8">
                  <c:v>1262161.2052741996</c:v>
                </c:pt>
                <c:pt idx="9">
                  <c:v>1175734.5036659914</c:v>
                </c:pt>
                <c:pt idx="10">
                  <c:v>1072701.2177660356</c:v>
                </c:pt>
                <c:pt idx="11">
                  <c:v>1008225.782735076</c:v>
                </c:pt>
                <c:pt idx="12">
                  <c:v>926739.92609435203</c:v>
                </c:pt>
                <c:pt idx="13">
                  <c:v>847727.36751979857</c:v>
                </c:pt>
                <c:pt idx="14">
                  <c:v>771095.92378165689</c:v>
                </c:pt>
                <c:pt idx="15">
                  <c:v>700996.29434696073</c:v>
                </c:pt>
                <c:pt idx="16">
                  <c:v>626822.31983334792</c:v>
                </c:pt>
                <c:pt idx="17">
                  <c:v>579335.78045203362</c:v>
                </c:pt>
                <c:pt idx="18">
                  <c:v>526668.89132003055</c:v>
                </c:pt>
                <c:pt idx="19">
                  <c:v>478789.90120002674</c:v>
                </c:pt>
                <c:pt idx="20">
                  <c:v>435263.54654547974</c:v>
                </c:pt>
                <c:pt idx="21">
                  <c:v>177718.56012975352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24F-439E-A947-680FAF8107C2}"/>
            </c:ext>
          </c:extLst>
        </c:ser>
        <c:ser>
          <c:idx val="3"/>
          <c:order val="4"/>
          <c:tx>
            <c:v>Enex</c:v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K'!$AD$30:$AD$51</c:f>
              <c:numCache>
                <c:formatCode>_("$"* #,##0.00_);_("$"* \(#,##0.00\);_("$"* "-"??_);_(@_)</c:formatCode>
                <c:ptCount val="22"/>
                <c:pt idx="0">
                  <c:v>0</c:v>
                </c:pt>
                <c:pt idx="1">
                  <c:v>654236.48821529956</c:v>
                </c:pt>
                <c:pt idx="2">
                  <c:v>435675.58370589826</c:v>
                </c:pt>
                <c:pt idx="3">
                  <c:v>352146.24066544988</c:v>
                </c:pt>
                <c:pt idx="4">
                  <c:v>327833.28609913943</c:v>
                </c:pt>
                <c:pt idx="5">
                  <c:v>320928.70271347259</c:v>
                </c:pt>
                <c:pt idx="6">
                  <c:v>261051.44924376384</c:v>
                </c:pt>
                <c:pt idx="7">
                  <c:v>224433.33458900079</c:v>
                </c:pt>
                <c:pt idx="8">
                  <c:v>197716.38939548601</c:v>
                </c:pt>
                <c:pt idx="9">
                  <c:v>177112.58138946255</c:v>
                </c:pt>
                <c:pt idx="10">
                  <c:v>159043.34743140638</c:v>
                </c:pt>
                <c:pt idx="11">
                  <c:v>145129.12200620884</c:v>
                </c:pt>
                <c:pt idx="12">
                  <c:v>131124.03766719851</c:v>
                </c:pt>
                <c:pt idx="13">
                  <c:v>118121.50520649138</c:v>
                </c:pt>
                <c:pt idx="14">
                  <c:v>106207.62159682784</c:v>
                </c:pt>
                <c:pt idx="15">
                  <c:v>95641.141320692157</c:v>
                </c:pt>
                <c:pt idx="16">
                  <c:v>85688.09858054122</c:v>
                </c:pt>
                <c:pt idx="17">
                  <c:v>77849.292724814804</c:v>
                </c:pt>
                <c:pt idx="18">
                  <c:v>70320.428593682955</c:v>
                </c:pt>
                <c:pt idx="19">
                  <c:v>63557.17528350158</c:v>
                </c:pt>
                <c:pt idx="20">
                  <c:v>57471.439038705219</c:v>
                </c:pt>
                <c:pt idx="21">
                  <c:v>40821.605134726604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24F-439E-A947-680FAF8107C2}"/>
            </c:ext>
          </c:extLst>
        </c:ser>
        <c:ser>
          <c:idx val="4"/>
          <c:order val="5"/>
          <c:tx>
            <c:v>Opex Polymer</c:v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K'!$AC$30:$AC$51</c:f>
              <c:numCache>
                <c:formatCode>_("$"* #,##0.00_);_("$"* \(#,##0.00\);_("$"* "-"??_);_(@_)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94284.973703981959</c:v>
                </c:pt>
                <c:pt idx="4">
                  <c:v>551508.39423536637</c:v>
                </c:pt>
                <c:pt idx="5">
                  <c:v>455606.17444163637</c:v>
                </c:pt>
                <c:pt idx="6">
                  <c:v>424367.16545464686</c:v>
                </c:pt>
                <c:pt idx="7">
                  <c:v>397935.89331155329</c:v>
                </c:pt>
                <c:pt idx="8">
                  <c:v>372545.34837770474</c:v>
                </c:pt>
                <c:pt idx="9">
                  <c:v>347049.4545419495</c:v>
                </c:pt>
                <c:pt idx="10">
                  <c:v>316730.27397189097</c:v>
                </c:pt>
                <c:pt idx="11">
                  <c:v>297621.76856682036</c:v>
                </c:pt>
                <c:pt idx="12">
                  <c:v>273582.32750147255</c:v>
                </c:pt>
                <c:pt idx="13">
                  <c:v>250266.53074007854</c:v>
                </c:pt>
                <c:pt idx="14">
                  <c:v>227652.34466139635</c:v>
                </c:pt>
                <c:pt idx="15">
                  <c:v>206956.67696490578</c:v>
                </c:pt>
                <c:pt idx="16">
                  <c:v>185107.87822374268</c:v>
                </c:pt>
                <c:pt idx="17">
                  <c:v>171038.57600405434</c:v>
                </c:pt>
                <c:pt idx="18">
                  <c:v>155489.6145491403</c:v>
                </c:pt>
                <c:pt idx="19">
                  <c:v>141354.19504467296</c:v>
                </c:pt>
                <c:pt idx="20">
                  <c:v>128503.81367697545</c:v>
                </c:pt>
                <c:pt idx="21">
                  <c:v>53506.19936928244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5E-4BEC-88A0-94AA6E74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2"/>
      </c:valAx>
      <c:valAx>
        <c:axId val="206380160"/>
        <c:scaling>
          <c:orientation val="minMax"/>
          <c:max val="3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Costs $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0186435028954714E-2"/>
              <c:y val="0.4285731698398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00000"/>
        <c:minorUnit val="2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4646185604675663"/>
          <c:y val="0.32299429676553587"/>
          <c:w val="0.17018349981709674"/>
          <c:h val="0.2941282837330372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Capex</c:v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'Appendix R'!$A$3:$A$4</c:f>
              <c:strCache>
                <c:ptCount val="2"/>
                <c:pt idx="0">
                  <c:v>Waterflooding</c:v>
                </c:pt>
                <c:pt idx="1">
                  <c:v>Polymerflooding</c:v>
                </c:pt>
              </c:strCache>
            </c:strRef>
          </c:cat>
          <c:val>
            <c:numRef>
              <c:f>'Appendix R'!$B$3:$B$4</c:f>
              <c:numCache>
                <c:formatCode>_("$"* #,##0_);_("$"* \(#,##0\);_("$"* "-"??_);_(@_)</c:formatCode>
                <c:ptCount val="2"/>
                <c:pt idx="0">
                  <c:v>30932906.678150136</c:v>
                </c:pt>
                <c:pt idx="1">
                  <c:v>33594902.4440751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8-4D65-931E-A073CE30D44E}"/>
            </c:ext>
          </c:extLst>
        </c:ser>
        <c:ser>
          <c:idx val="1"/>
          <c:order val="1"/>
          <c:tx>
            <c:v>Opex</c:v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'Appendix R'!$A$3:$A$4</c:f>
              <c:strCache>
                <c:ptCount val="2"/>
                <c:pt idx="0">
                  <c:v>Waterflooding</c:v>
                </c:pt>
                <c:pt idx="1">
                  <c:v>Polymerflooding</c:v>
                </c:pt>
              </c:strCache>
            </c:strRef>
          </c:cat>
          <c:val>
            <c:numRef>
              <c:f>'Appendix R'!$C$3:$C$4</c:f>
              <c:numCache>
                <c:formatCode>_("$"* #,##0_);_("$"* \(#,##0\);_("$"* "-"??_);_(@_)</c:formatCode>
                <c:ptCount val="2"/>
                <c:pt idx="0">
                  <c:v>19470343.736549292</c:v>
                </c:pt>
                <c:pt idx="1">
                  <c:v>31785475.010973658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8-4D65-931E-A073CE30D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  <c:max val="70000000"/>
          <c:min val="0"/>
        </c:scaling>
        <c:delete val="0"/>
        <c:axPos val="l"/>
        <c:numFmt formatCode="_(&quot;$&quot;* #,##0_);_(&quot;$&quot;* \(#,##0\);_(&quot;$&quot;* &quot;-&quot;??_);_(@_)" sourceLinked="1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10000000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362550785381718"/>
          <c:y val="0.43565161162358279"/>
          <c:w val="0.10615753461369822"/>
          <c:h val="0.137991529731389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4486898154124"/>
          <c:y val="2.8379772961816305E-2"/>
          <c:w val="0.80127039384368881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R'!$A$8:$A$28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R'!$B$8:$B$28</c:f>
              <c:numCache>
                <c:formatCode>0%</c:formatCode>
                <c:ptCount val="21"/>
                <c:pt idx="0">
                  <c:v>0</c:v>
                </c:pt>
                <c:pt idx="1">
                  <c:v>0.14353124110546203</c:v>
                </c:pt>
                <c:pt idx="2">
                  <c:v>0.20057447027212874</c:v>
                </c:pt>
                <c:pt idx="3">
                  <c:v>0.23185636681286953</c:v>
                </c:pt>
                <c:pt idx="4">
                  <c:v>0.25371042931286969</c:v>
                </c:pt>
                <c:pt idx="5">
                  <c:v>0.27100196403509197</c:v>
                </c:pt>
                <c:pt idx="6">
                  <c:v>0.28511112375731412</c:v>
                </c:pt>
                <c:pt idx="7">
                  <c:v>0.2970502626462031</c:v>
                </c:pt>
                <c:pt idx="8">
                  <c:v>0.30741593625731423</c:v>
                </c:pt>
                <c:pt idx="9">
                  <c:v>0.3165841376462033</c:v>
                </c:pt>
                <c:pt idx="10">
                  <c:v>0.32468051264620329</c:v>
                </c:pt>
                <c:pt idx="11">
                  <c:v>0.33215282514620359</c:v>
                </c:pt>
                <c:pt idx="12">
                  <c:v>0.33899249875731474</c:v>
                </c:pt>
                <c:pt idx="13">
                  <c:v>0.34530079042398149</c:v>
                </c:pt>
                <c:pt idx="14">
                  <c:v>0.35115610292398158</c:v>
                </c:pt>
                <c:pt idx="15">
                  <c:v>0.35662012375731467</c:v>
                </c:pt>
                <c:pt idx="16">
                  <c:v>0.3616609918128702</c:v>
                </c:pt>
                <c:pt idx="17">
                  <c:v>0.36648722792398142</c:v>
                </c:pt>
                <c:pt idx="18">
                  <c:v>0.37104622792398123</c:v>
                </c:pt>
                <c:pt idx="19">
                  <c:v>0.37536654528509239</c:v>
                </c:pt>
                <c:pt idx="20">
                  <c:v>0.37947267584064798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DB-4FC6-B793-7BA1AF136AFD}"/>
            </c:ext>
          </c:extLst>
        </c:ser>
        <c:ser>
          <c:idx val="1"/>
          <c:order val="1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R'!$A$8:$A$28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R'!$C$8:$C$28</c:f>
              <c:numCache>
                <c:formatCode>0%</c:formatCode>
                <c:ptCount val="21"/>
                <c:pt idx="0">
                  <c:v>0</c:v>
                </c:pt>
                <c:pt idx="1">
                  <c:v>0.14304015954157315</c:v>
                </c:pt>
                <c:pt idx="2">
                  <c:v>0.2000833887082398</c:v>
                </c:pt>
                <c:pt idx="3">
                  <c:v>0.23146052418972127</c:v>
                </c:pt>
                <c:pt idx="4">
                  <c:v>0.28942253807861018</c:v>
                </c:pt>
                <c:pt idx="5">
                  <c:v>0.36872614918972113</c:v>
                </c:pt>
                <c:pt idx="6">
                  <c:v>0.42023441307861004</c:v>
                </c:pt>
                <c:pt idx="7">
                  <c:v>0.4562049964119434</c:v>
                </c:pt>
                <c:pt idx="8">
                  <c:v>0.48223028807861018</c:v>
                </c:pt>
                <c:pt idx="9">
                  <c:v>0.50227198946749962</c:v>
                </c:pt>
                <c:pt idx="10">
                  <c:v>0.51840779502305523</c:v>
                </c:pt>
                <c:pt idx="11">
                  <c:v>0.53220273252305528</c:v>
                </c:pt>
                <c:pt idx="12">
                  <c:v>0.54381001030083298</c:v>
                </c:pt>
                <c:pt idx="13">
                  <c:v>0.5535970936341662</c:v>
                </c:pt>
                <c:pt idx="14">
                  <c:v>0.56190151724527748</c:v>
                </c:pt>
                <c:pt idx="15">
                  <c:v>0.56904288530083291</c:v>
                </c:pt>
                <c:pt idx="16">
                  <c:v>0.57517445474527706</c:v>
                </c:pt>
                <c:pt idx="17">
                  <c:v>0.58068216307861054</c:v>
                </c:pt>
                <c:pt idx="18">
                  <c:v>0.58559140613416638</c:v>
                </c:pt>
                <c:pt idx="19">
                  <c:v>0.59000340960638875</c:v>
                </c:pt>
                <c:pt idx="20">
                  <c:v>0.5939959672452777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DB-4FC6-B793-7BA1AF136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225724884783452"/>
              <c:y val="0.947193629902890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0.70000000000000007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/>
                  <a:t>Oil R</a:t>
                </a:r>
                <a:r>
                  <a:rPr lang="en-US" sz="1000" b="1"/>
                  <a:t>F</a:t>
                </a:r>
              </a:p>
            </c:rich>
          </c:tx>
          <c:layout>
            <c:manualLayout>
              <c:xMode val="edge"/>
              <c:yMode val="edge"/>
              <c:x val="3.6291037390817943E-3"/>
              <c:y val="0.34544053264011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0.2"/>
        <c:minorUnit val="5.000000000000001E-2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1516137403390037"/>
          <c:y val="0.67398817247052722"/>
          <c:w val="0.22037263446261354"/>
          <c:h val="0.1609762678136545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8775765665842E-2"/>
          <c:y val="3.3581176455169635E-2"/>
          <c:w val="0.85213213977551294"/>
          <c:h val="0.90970072239422084"/>
        </c:manualLayout>
      </c:layout>
      <c:scatterChart>
        <c:scatterStyle val="smoothMarker"/>
        <c:varyColors val="0"/>
        <c:ser>
          <c:idx val="0"/>
          <c:order val="0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R'!$A$31:$A$51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R'!$B$31:$B$51</c:f>
              <c:numCache>
                <c:formatCode>_("$"* #,##0_);_("$"* \(#,##0\);_("$"* "-"??_);_(@_)</c:formatCode>
                <c:ptCount val="21"/>
                <c:pt idx="0">
                  <c:v>-30932906.678150136</c:v>
                </c:pt>
                <c:pt idx="1">
                  <c:v>36555647.970511056</c:v>
                </c:pt>
                <c:pt idx="2">
                  <c:v>12915579.59562736</c:v>
                </c:pt>
                <c:pt idx="3">
                  <c:v>6354315.4288729373</c:v>
                </c:pt>
                <c:pt idx="4">
                  <c:v>3997207.7555649737</c:v>
                </c:pt>
                <c:pt idx="5">
                  <c:v>2851858.3228416806</c:v>
                </c:pt>
                <c:pt idx="6">
                  <c:v>2093197.2947707723</c:v>
                </c:pt>
                <c:pt idx="7">
                  <c:v>1594818.5972293285</c:v>
                </c:pt>
                <c:pt idx="8">
                  <c:v>1248028.9193612773</c:v>
                </c:pt>
                <c:pt idx="9">
                  <c:v>960754.96145917382</c:v>
                </c:pt>
                <c:pt idx="10">
                  <c:v>736580.82822763023</c:v>
                </c:pt>
                <c:pt idx="11">
                  <c:v>591780.92880943965</c:v>
                </c:pt>
                <c:pt idx="12">
                  <c:v>469458.155430165</c:v>
                </c:pt>
                <c:pt idx="13">
                  <c:v>374600.22081652028</c:v>
                </c:pt>
                <c:pt idx="14">
                  <c:v>296870.0035501013</c:v>
                </c:pt>
                <c:pt idx="15">
                  <c:v>235644.7530523024</c:v>
                </c:pt>
                <c:pt idx="16">
                  <c:v>183488.13102111255</c:v>
                </c:pt>
                <c:pt idx="17">
                  <c:v>148907.06451164145</c:v>
                </c:pt>
                <c:pt idx="18">
                  <c:v>117901.56886449398</c:v>
                </c:pt>
                <c:pt idx="19">
                  <c:v>92262.159919385973</c:v>
                </c:pt>
                <c:pt idx="20">
                  <c:v>71735.734194009041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D4-4DAA-90FB-4315EF886689}"/>
            </c:ext>
          </c:extLst>
        </c:ser>
        <c:ser>
          <c:idx val="1"/>
          <c:order val="1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R'!$A$31:$A$44</c:f>
              <c:numCache>
                <c:formatCode>General</c:formatCode>
                <c:ptCount val="1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</c:numCache>
            </c:numRef>
          </c:xVal>
          <c:yVal>
            <c:numRef>
              <c:f>'Appendix R'!$C$31:$C$44</c:f>
              <c:numCache>
                <c:formatCode>_("$"* #,##0_);_("$"* \(#,##0\);_("$"* "-"??_);_(@_)</c:formatCode>
                <c:ptCount val="14"/>
                <c:pt idx="0">
                  <c:v>-33594902.4440751</c:v>
                </c:pt>
                <c:pt idx="1">
                  <c:v>34971064.972647361</c:v>
                </c:pt>
                <c:pt idx="2">
                  <c:v>11633690.359969636</c:v>
                </c:pt>
                <c:pt idx="3">
                  <c:v>5150700.9473465867</c:v>
                </c:pt>
                <c:pt idx="4">
                  <c:v>11517830.697110366</c:v>
                </c:pt>
                <c:pt idx="5">
                  <c:v>16001373.603570333</c:v>
                </c:pt>
                <c:pt idx="6">
                  <c:v>9307403.0863661431</c:v>
                </c:pt>
                <c:pt idx="7">
                  <c:v>5673579.9453827403</c:v>
                </c:pt>
                <c:pt idx="8">
                  <c:v>3453402.4335952089</c:v>
                </c:pt>
                <c:pt idx="9">
                  <c:v>2105869.1832628306</c:v>
                </c:pt>
                <c:pt idx="10">
                  <c:v>1313209.2824282404</c:v>
                </c:pt>
                <c:pt idx="11">
                  <c:v>831206.20449056872</c:v>
                </c:pt>
                <c:pt idx="12">
                  <c:v>458292.42986771977</c:v>
                </c:pt>
                <c:pt idx="13">
                  <c:v>189681.21436372143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D4-4DAA-90FB-4315EF886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50000000"/>
          <c:min val="-5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Cash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flows ($/year)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018646916226248E-2"/>
              <c:y val="0.314897736935539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0000000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3307466699568238"/>
          <c:y val="0.65085202317871416"/>
          <c:w val="0.22350164527808014"/>
          <c:h val="0.16695032019495054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82795889258477"/>
          <c:y val="3.3581176455169635E-2"/>
          <c:w val="0.83260285225920605"/>
          <c:h val="0.90970072239422084"/>
        </c:manualLayout>
      </c:layout>
      <c:scatterChart>
        <c:scatterStyle val="smoothMarker"/>
        <c:varyColors val="0"/>
        <c:ser>
          <c:idx val="0"/>
          <c:order val="0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R'!$A$31:$A$51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R'!$E$31:$E$51</c:f>
              <c:numCache>
                <c:formatCode>_("$"* #,##0_);_("$"* \(#,##0\);_("$"* "-"??_);_(@_)</c:formatCode>
                <c:ptCount val="21"/>
                <c:pt idx="0">
                  <c:v>-30932906.678150136</c:v>
                </c:pt>
                <c:pt idx="1">
                  <c:v>5622741.2923609205</c:v>
                </c:pt>
                <c:pt idx="2">
                  <c:v>18538320.887988281</c:v>
                </c:pt>
                <c:pt idx="3">
                  <c:v>24892636.31686122</c:v>
                </c:pt>
                <c:pt idx="4">
                  <c:v>28889844.072426192</c:v>
                </c:pt>
                <c:pt idx="5">
                  <c:v>31741702.395267874</c:v>
                </c:pt>
                <c:pt idx="6">
                  <c:v>33834899.690038644</c:v>
                </c:pt>
                <c:pt idx="7">
                  <c:v>35429718.287267976</c:v>
                </c:pt>
                <c:pt idx="8">
                  <c:v>36677747.206629254</c:v>
                </c:pt>
                <c:pt idx="9">
                  <c:v>37638502.168088429</c:v>
                </c:pt>
                <c:pt idx="10">
                  <c:v>38375082.99631606</c:v>
                </c:pt>
                <c:pt idx="11">
                  <c:v>38966863.925125502</c:v>
                </c:pt>
                <c:pt idx="12">
                  <c:v>39436322.08055567</c:v>
                </c:pt>
                <c:pt idx="13">
                  <c:v>39810922.301372193</c:v>
                </c:pt>
                <c:pt idx="14">
                  <c:v>40107792.304922298</c:v>
                </c:pt>
                <c:pt idx="15">
                  <c:v>40343437.057974599</c:v>
                </c:pt>
                <c:pt idx="16">
                  <c:v>40526925.188995712</c:v>
                </c:pt>
                <c:pt idx="17">
                  <c:v>40675832.253507353</c:v>
                </c:pt>
                <c:pt idx="18">
                  <c:v>40793733.822371848</c:v>
                </c:pt>
                <c:pt idx="19">
                  <c:v>40885995.982291237</c:v>
                </c:pt>
                <c:pt idx="20">
                  <c:v>40957731.716485247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3F-45F3-9D63-F69A4B78C776}"/>
            </c:ext>
          </c:extLst>
        </c:ser>
        <c:ser>
          <c:idx val="1"/>
          <c:order val="1"/>
          <c:tx>
            <c:v>Polymer injection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R'!$A$31:$A$51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R'!$F$31:$F$51</c:f>
              <c:numCache>
                <c:formatCode>_("$"* #,##0_);_("$"* \(#,##0\);_("$"* "-"??_);_(@_)</c:formatCode>
                <c:ptCount val="21"/>
                <c:pt idx="0">
                  <c:v>-33594902.4440751</c:v>
                </c:pt>
                <c:pt idx="1">
                  <c:v>1376162.5285722613</c:v>
                </c:pt>
                <c:pt idx="2">
                  <c:v>13009852.888541898</c:v>
                </c:pt>
                <c:pt idx="3">
                  <c:v>18160553.835888483</c:v>
                </c:pt>
                <c:pt idx="4">
                  <c:v>29678384.532998849</c:v>
                </c:pt>
                <c:pt idx="5">
                  <c:v>45679758.13656918</c:v>
                </c:pt>
                <c:pt idx="6">
                  <c:v>54987161.222935319</c:v>
                </c:pt>
                <c:pt idx="7">
                  <c:v>60660741.168318063</c:v>
                </c:pt>
                <c:pt idx="8">
                  <c:v>64114143.601913273</c:v>
                </c:pt>
                <c:pt idx="9">
                  <c:v>66220012.785176106</c:v>
                </c:pt>
                <c:pt idx="10">
                  <c:v>67533222.067604348</c:v>
                </c:pt>
                <c:pt idx="11">
                  <c:v>68364428.27209492</c:v>
                </c:pt>
                <c:pt idx="12">
                  <c:v>68822720.701962635</c:v>
                </c:pt>
                <c:pt idx="13">
                  <c:v>69012401.916326359</c:v>
                </c:pt>
                <c:pt idx="14">
                  <c:v>69013358.38000983</c:v>
                </c:pt>
                <c:pt idx="15">
                  <c:v>69013358.38000983</c:v>
                </c:pt>
                <c:pt idx="16">
                  <c:v>69013358.38000983</c:v>
                </c:pt>
                <c:pt idx="17">
                  <c:v>69013358.38000983</c:v>
                </c:pt>
                <c:pt idx="18">
                  <c:v>69013358.38000983</c:v>
                </c:pt>
                <c:pt idx="19">
                  <c:v>69013358.38000983</c:v>
                </c:pt>
                <c:pt idx="20">
                  <c:v>69013358.38000983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3F-45F3-9D63-F69A4B78C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90000000"/>
          <c:min val="-5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Cash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flows ($/year)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2356384094762751E-2"/>
              <c:y val="0.295952054673950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0000000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2873490200527482"/>
          <c:y val="0.7114789099461728"/>
          <c:w val="0.22350164527808014"/>
          <c:h val="0.16695032019495054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457587251617917E-2"/>
          <c:y val="2.8379772961816305E-2"/>
          <c:w val="0.89598399164723186"/>
          <c:h val="0.82146327103236128"/>
        </c:manualLayout>
      </c:layout>
      <c:scatterChart>
        <c:scatterStyle val="smoothMarker"/>
        <c:varyColors val="0"/>
        <c:ser>
          <c:idx val="0"/>
          <c:order val="0"/>
          <c:tx>
            <c:v>Waterflooding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'Appendix R'!$A$55:$A$74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R'!$B$55:$B$74</c:f>
              <c:numCache>
                <c:formatCode>_("$"* #,##0.0_);_("$"* \(#,##0.0\);_("$"* "-"??_);_(@_)</c:formatCode>
                <c:ptCount val="20"/>
                <c:pt idx="0">
                  <c:v>46.403087877402015</c:v>
                </c:pt>
                <c:pt idx="1">
                  <c:v>42.253800679583705</c:v>
                </c:pt>
                <c:pt idx="2">
                  <c:v>37.63854679084298</c:v>
                </c:pt>
                <c:pt idx="3">
                  <c:v>33.814054364488946</c:v>
                </c:pt>
                <c:pt idx="4">
                  <c:v>30.461282923867099</c:v>
                </c:pt>
                <c:pt idx="5">
                  <c:v>27.381669186119346</c:v>
                </c:pt>
                <c:pt idx="6">
                  <c:v>24.641778063198128</c:v>
                </c:pt>
                <c:pt idx="7">
                  <c:v>22.202823627887408</c:v>
                </c:pt>
                <c:pt idx="8">
                  <c:v>19.319468388855718</c:v>
                </c:pt>
                <c:pt idx="9">
                  <c:v>16.769069820780679</c:v>
                </c:pt>
                <c:pt idx="10">
                  <c:v>14.595346203430218</c:v>
                </c:pt>
                <c:pt idx="11">
                  <c:v>12.647669516569044</c:v>
                </c:pt>
                <c:pt idx="12">
                  <c:v>10.940982092424301</c:v>
                </c:pt>
                <c:pt idx="13">
                  <c:v>9.3406031159644041</c:v>
                </c:pt>
                <c:pt idx="14">
                  <c:v>7.9445413427481615</c:v>
                </c:pt>
                <c:pt idx="15">
                  <c:v>6.7049549429953794</c:v>
                </c:pt>
                <c:pt idx="16">
                  <c:v>5.6829368309431016</c:v>
                </c:pt>
                <c:pt idx="17">
                  <c:v>4.7631205771600378</c:v>
                </c:pt>
                <c:pt idx="18">
                  <c:v>3.9330426762583039</c:v>
                </c:pt>
                <c:pt idx="19">
                  <c:v>3.2173885235855781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67-4693-A14C-F68D7E8A0686}"/>
            </c:ext>
          </c:extLst>
        </c:ser>
        <c:ser>
          <c:idx val="1"/>
          <c:order val="1"/>
          <c:tx>
            <c:v>Polymer injection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R'!$A$55:$A$74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R'!$C$55:$C$74</c:f>
              <c:numCache>
                <c:formatCode>_("$"* #,##0.0_);_("$"* \(#,##0.0\);_("$"* "-"??_);_(@_)</c:formatCode>
                <c:ptCount val="20"/>
                <c:pt idx="0">
                  <c:v>44.542540670455516</c:v>
                </c:pt>
                <c:pt idx="1">
                  <c:v>38.060052202734653</c:v>
                </c:pt>
                <c:pt idx="2">
                  <c:v>30.381171616554873</c:v>
                </c:pt>
                <c:pt idx="3">
                  <c:v>35.890337076444574</c:v>
                </c:pt>
                <c:pt idx="4">
                  <c:v>37.380183469202507</c:v>
                </c:pt>
                <c:pt idx="5">
                  <c:v>33.45424225529527</c:v>
                </c:pt>
                <c:pt idx="6">
                  <c:v>29.191024915754777</c:v>
                </c:pt>
                <c:pt idx="7">
                  <c:v>24.535153431788352</c:v>
                </c:pt>
                <c:pt idx="8">
                  <c:v>19.407101718984116</c:v>
                </c:pt>
                <c:pt idx="9">
                  <c:v>15.020800870986298</c:v>
                </c:pt>
                <c:pt idx="10">
                  <c:v>11.118775254707851</c:v>
                </c:pt>
                <c:pt idx="11">
                  <c:v>7.2860523343404537</c:v>
                </c:pt>
                <c:pt idx="12">
                  <c:v>3.5761688360672936</c:v>
                </c:pt>
                <c:pt idx="13">
                  <c:v>2.1248673669210464E-2</c:v>
                </c:pt>
                <c:pt idx="14">
                  <c:v>-3.1545630574758867</c:v>
                </c:pt>
                <c:pt idx="15">
                  <c:v>-5.9075961961668417</c:v>
                </c:pt>
                <c:pt idx="16">
                  <c:v>-8.1980392259710175</c:v>
                </c:pt>
                <c:pt idx="17">
                  <c:v>-10.180534194952338</c:v>
                </c:pt>
                <c:pt idx="18">
                  <c:v>-11.869434980372311</c:v>
                </c:pt>
                <c:pt idx="19">
                  <c:v>-13.263415237702207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67-4693-A14C-F68D7E8A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8923861731984042"/>
              <c:y val="0.92603759609129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3"/>
        <c:minorUnit val="1"/>
      </c:valAx>
      <c:valAx>
        <c:axId val="20638016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$/bbl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0186435028954714E-2"/>
              <c:y val="0.4285731698398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"/>
        <c:minorUnit val="5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7608743069934452"/>
          <c:y val="7.4943132108486438E-2"/>
          <c:w val="0.2193096977175806"/>
          <c:h val="0.1979412073490813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4941613628342"/>
          <c:y val="2.8379772961816305E-2"/>
          <c:w val="0.81624492882884481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Waterflooding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'Appendix R'!$A$84:$A$104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R'!$B$84:$B$104</c:f>
              <c:numCache>
                <c:formatCode>0.00</c:formatCode>
                <c:ptCount val="21"/>
                <c:pt idx="0">
                  <c:v>0</c:v>
                </c:pt>
                <c:pt idx="1">
                  <c:v>2158.314559966052</c:v>
                </c:pt>
                <c:pt idx="2">
                  <c:v>837.44299939765517</c:v>
                </c:pt>
                <c:pt idx="3">
                  <c:v>462.53335612337185</c:v>
                </c:pt>
                <c:pt idx="4">
                  <c:v>323.86693434598607</c:v>
                </c:pt>
                <c:pt idx="5">
                  <c:v>256.49971779149678</c:v>
                </c:pt>
                <c:pt idx="6">
                  <c:v>209.43891586668389</c:v>
                </c:pt>
                <c:pt idx="7">
                  <c:v>177.31537101748015</c:v>
                </c:pt>
                <c:pt idx="8">
                  <c:v>154.00101224169879</c:v>
                </c:pt>
                <c:pt idx="9">
                  <c:v>136.24626314143907</c:v>
                </c:pt>
                <c:pt idx="10">
                  <c:v>120.34237366441597</c:v>
                </c:pt>
                <c:pt idx="11">
                  <c:v>111.0845601453087</c:v>
                </c:pt>
                <c:pt idx="12">
                  <c:v>101.6935748930636</c:v>
                </c:pt>
                <c:pt idx="13">
                  <c:v>93.803459887792741</c:v>
                </c:pt>
                <c:pt idx="14">
                  <c:v>87.07601269232957</c:v>
                </c:pt>
                <c:pt idx="15">
                  <c:v>81.263604191109579</c:v>
                </c:pt>
                <c:pt idx="16">
                  <c:v>74.975478963090652</c:v>
                </c:pt>
                <c:pt idx="17">
                  <c:v>71.787628904219929</c:v>
                </c:pt>
                <c:pt idx="18">
                  <c:v>67.816464365388967</c:v>
                </c:pt>
                <c:pt idx="19">
                  <c:v>64.269081645334552</c:v>
                </c:pt>
                <c:pt idx="20">
                  <c:v>61.085646518919894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25-4FB3-9A03-280565B3C7E6}"/>
            </c:ext>
          </c:extLst>
        </c:ser>
        <c:ser>
          <c:idx val="1"/>
          <c:order val="1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R'!$A$84:$A$104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R'!$C$84:$C$104</c:f>
              <c:numCache>
                <c:formatCode>0.00</c:formatCode>
                <c:ptCount val="21"/>
                <c:pt idx="0">
                  <c:v>0</c:v>
                </c:pt>
                <c:pt idx="1">
                  <c:v>2151.0029618699523</c:v>
                </c:pt>
                <c:pt idx="2">
                  <c:v>837.44299939765449</c:v>
                </c:pt>
                <c:pt idx="3">
                  <c:v>464.48206879209778</c:v>
                </c:pt>
                <c:pt idx="4">
                  <c:v>879.22552727260211</c:v>
                </c:pt>
                <c:pt idx="5">
                  <c:v>1172.7973398506283</c:v>
                </c:pt>
                <c:pt idx="6">
                  <c:v>762.22723230739791</c:v>
                </c:pt>
                <c:pt idx="7">
                  <c:v>532.4943091153641</c:v>
                </c:pt>
                <c:pt idx="8">
                  <c:v>385.62532558445054</c:v>
                </c:pt>
                <c:pt idx="9">
                  <c:v>297.28831719551573</c:v>
                </c:pt>
                <c:pt idx="10">
                  <c:v>239.52342364366146</c:v>
                </c:pt>
                <c:pt idx="11">
                  <c:v>204.81367960132735</c:v>
                </c:pt>
                <c:pt idx="12">
                  <c:v>172.32866861934008</c:v>
                </c:pt>
                <c:pt idx="13">
                  <c:v>145.31600260576394</c:v>
                </c:pt>
                <c:pt idx="14">
                  <c:v>123.32291834679604</c:v>
                </c:pt>
                <c:pt idx="15">
                  <c:v>106.07614496459011</c:v>
                </c:pt>
                <c:pt idx="16">
                  <c:v>91.096496265858761</c:v>
                </c:pt>
                <c:pt idx="17">
                  <c:v>81.842404938051388</c:v>
                </c:pt>
                <c:pt idx="18">
                  <c:v>72.960119163292092</c:v>
                </c:pt>
                <c:pt idx="19">
                  <c:v>65.578362434628758</c:v>
                </c:pt>
                <c:pt idx="20">
                  <c:v>59.34996803752896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25-4FB3-9A03-280565B3C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225724884783452"/>
              <c:y val="0.947193629902890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/>
                  <a:t>Barrels of oil / day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9299725691435293E-2"/>
              <c:y val="0.30889753769818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9217323634415828"/>
          <c:y val="0.36337352670193585"/>
          <c:w val="0.22037263446261354"/>
          <c:h val="0.1609762678136545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1450476585164"/>
          <c:y val="2.8379772961816305E-2"/>
          <c:w val="0.87042702030667207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S'!$A$4:$A$24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S'!$F$4:$F$24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23623.759004682131</c:v>
                </c:pt>
                <c:pt idx="2">
                  <c:v>35519.729010018047</c:v>
                </c:pt>
                <c:pt idx="3">
                  <c:v>44330.266974370148</c:v>
                </c:pt>
                <c:pt idx="4">
                  <c:v>57940.096560777311</c:v>
                </c:pt>
                <c:pt idx="5">
                  <c:v>73870.73200132059</c:v>
                </c:pt>
                <c:pt idx="6">
                  <c:v>86234.149166670148</c:v>
                </c:pt>
                <c:pt idx="7">
                  <c:v>96693.097157518379</c:v>
                </c:pt>
                <c:pt idx="8">
                  <c:v>105983.34054251872</c:v>
                </c:pt>
                <c:pt idx="9">
                  <c:v>114607.15142050797</c:v>
                </c:pt>
                <c:pt idx="10">
                  <c:v>122751.97307192294</c:v>
                </c:pt>
                <c:pt idx="11">
                  <c:v>130738.11823859063</c:v>
                </c:pt>
                <c:pt idx="12">
                  <c:v>138484.75688402628</c:v>
                </c:pt>
                <c:pt idx="13">
                  <c:v>146010.11565596372</c:v>
                </c:pt>
                <c:pt idx="14">
                  <c:v>153330.03248710459</c:v>
                </c:pt>
                <c:pt idx="15">
                  <c:v>160484.9232859305</c:v>
                </c:pt>
                <c:pt idx="16">
                  <c:v>167426.64442537932</c:v>
                </c:pt>
                <c:pt idx="17">
                  <c:v>174344.06029213237</c:v>
                </c:pt>
                <c:pt idx="18">
                  <c:v>181171.96342012635</c:v>
                </c:pt>
                <c:pt idx="19">
                  <c:v>187924.00654227467</c:v>
                </c:pt>
                <c:pt idx="20">
                  <c:v>194610.73715989967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18-4D5F-9162-314B5CB62782}"/>
            </c:ext>
          </c:extLst>
        </c:ser>
        <c:ser>
          <c:idx val="2"/>
          <c:order val="1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S'!$A$4:$A$24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S'!$E$4:$E$24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22194.202981909391</c:v>
                </c:pt>
                <c:pt idx="2">
                  <c:v>33454.472010387122</c:v>
                </c:pt>
                <c:pt idx="3">
                  <c:v>41571.367803851725</c:v>
                </c:pt>
                <c:pt idx="4">
                  <c:v>48484.870623511553</c:v>
                </c:pt>
                <c:pt idx="5">
                  <c:v>54861.414808639849</c:v>
                </c:pt>
                <c:pt idx="6">
                  <c:v>60835.002035193109</c:v>
                </c:pt>
                <c:pt idx="7">
                  <c:v>66530.172562515319</c:v>
                </c:pt>
                <c:pt idx="8">
                  <c:v>72020.388316108671</c:v>
                </c:pt>
                <c:pt idx="9">
                  <c:v>77352.099493271511</c:v>
                </c:pt>
                <c:pt idx="10">
                  <c:v>82505.480902695184</c:v>
                </c:pt>
                <c:pt idx="11">
                  <c:v>87606.604264619033</c:v>
                </c:pt>
                <c:pt idx="12">
                  <c:v>92619.142266873925</c:v>
                </c:pt>
                <c:pt idx="13">
                  <c:v>97555.79516681422</c:v>
                </c:pt>
                <c:pt idx="14">
                  <c:v>102426.42372901661</c:v>
                </c:pt>
                <c:pt idx="15">
                  <c:v>107238.82073509909</c:v>
                </c:pt>
                <c:pt idx="16">
                  <c:v>111953.78186417776</c:v>
                </c:pt>
                <c:pt idx="17">
                  <c:v>116667.81984136494</c:v>
                </c:pt>
                <c:pt idx="18">
                  <c:v>121339.17226183451</c:v>
                </c:pt>
                <c:pt idx="19">
                  <c:v>125971.52685963974</c:v>
                </c:pt>
                <c:pt idx="20">
                  <c:v>130568.05924723043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18-4D5F-9162-314B5CB62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25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Destroyed Exergy (MWh)</a:t>
                </a:r>
              </a:p>
            </c:rich>
          </c:tx>
          <c:layout>
            <c:manualLayout>
              <c:xMode val="edge"/>
              <c:yMode val="edge"/>
              <c:x val="1.1153253211769581E-2"/>
              <c:y val="0.221374127406647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0305113966017402"/>
          <c:y val="0.18673144281067225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'Appendix S'!$C$26:$D$26</c:f>
              <c:strCache>
                <c:ptCount val="2"/>
                <c:pt idx="0">
                  <c:v>Waterflooding</c:v>
                </c:pt>
                <c:pt idx="1">
                  <c:v>Polymer flooding</c:v>
                </c:pt>
              </c:strCache>
            </c:strRef>
          </c:cat>
          <c:val>
            <c:numRef>
              <c:f>'Appendix S'!$C$27:$D$27</c:f>
              <c:numCache>
                <c:formatCode>_(* #,##0_);_(* \(#,##0\);_(* "-"??_);_(@_)</c:formatCode>
                <c:ptCount val="2"/>
                <c:pt idx="0">
                  <c:v>130568.05924723043</c:v>
                </c:pt>
                <c:pt idx="1">
                  <c:v>194610.73715989967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6-47B0-AF3A-5832ED697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-27"/>
        <c:axId val="704744776"/>
        <c:axId val="704743792"/>
      </c:barChart>
      <c:catAx>
        <c:axId val="70474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3792"/>
        <c:crosses val="autoZero"/>
        <c:auto val="1"/>
        <c:lblAlgn val="ctr"/>
        <c:lblOffset val="100"/>
        <c:noMultiLvlLbl val="0"/>
      </c:catAx>
      <c:valAx>
        <c:axId val="704743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Destroyed Exergy (MWh)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4776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1450476585164"/>
          <c:y val="2.8379772961816305E-2"/>
          <c:w val="0.87042702030667207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S'!$A$30:$A$50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S'!$F$30:$F$50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6795.4111676859829</c:v>
                </c:pt>
                <c:pt idx="2">
                  <c:v>11773.204761234025</c:v>
                </c:pt>
                <c:pt idx="3">
                  <c:v>16198.980505774674</c:v>
                </c:pt>
                <c:pt idx="4">
                  <c:v>20731.211954395898</c:v>
                </c:pt>
                <c:pt idx="5">
                  <c:v>25611.666572538874</c:v>
                </c:pt>
                <c:pt idx="6">
                  <c:v>29978.539071909356</c:v>
                </c:pt>
                <c:pt idx="7">
                  <c:v>34108.295622036414</c:v>
                </c:pt>
                <c:pt idx="8">
                  <c:v>38110.252867984877</c:v>
                </c:pt>
                <c:pt idx="9">
                  <c:v>42053.662307475766</c:v>
                </c:pt>
                <c:pt idx="10">
                  <c:v>45948.87029265624</c:v>
                </c:pt>
                <c:pt idx="11">
                  <c:v>49858.741006871998</c:v>
                </c:pt>
                <c:pt idx="12">
                  <c:v>53744.562339554264</c:v>
                </c:pt>
                <c:pt idx="13">
                  <c:v>57595.107062249452</c:v>
                </c:pt>
                <c:pt idx="14">
                  <c:v>61403.498394109301</c:v>
                </c:pt>
                <c:pt idx="15">
                  <c:v>65175.946895529887</c:v>
                </c:pt>
                <c:pt idx="16">
                  <c:v>68893.796014408872</c:v>
                </c:pt>
                <c:pt idx="17">
                  <c:v>72609.307527355835</c:v>
                </c:pt>
                <c:pt idx="18">
                  <c:v>76301.10726219276</c:v>
                </c:pt>
                <c:pt idx="19">
                  <c:v>79971.511500423803</c:v>
                </c:pt>
                <c:pt idx="20">
                  <c:v>83622.362151548063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4F-47B2-8778-4EE643489F92}"/>
            </c:ext>
          </c:extLst>
        </c:ser>
        <c:ser>
          <c:idx val="2"/>
          <c:order val="1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S'!$A$30:$A$50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S'!$E$30:$E$50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4953.9397910710959</c:v>
                </c:pt>
                <c:pt idx="2">
                  <c:v>9110.5334028070029</c:v>
                </c:pt>
                <c:pt idx="3">
                  <c:v>13008.124940838496</c:v>
                </c:pt>
                <c:pt idx="4">
                  <c:v>16782.860612758308</c:v>
                </c:pt>
                <c:pt idx="5">
                  <c:v>20523.933526866964</c:v>
                </c:pt>
                <c:pt idx="6">
                  <c:v>24223.274000990466</c:v>
                </c:pt>
                <c:pt idx="7">
                  <c:v>27890.432451647026</c:v>
                </c:pt>
                <c:pt idx="8">
                  <c:v>31531.057498184411</c:v>
                </c:pt>
                <c:pt idx="9">
                  <c:v>35148.810068841478</c:v>
                </c:pt>
                <c:pt idx="10">
                  <c:v>38723.872723700115</c:v>
                </c:pt>
                <c:pt idx="11">
                  <c:v>42302.656985461312</c:v>
                </c:pt>
                <c:pt idx="12">
                  <c:v>45864.120729390081</c:v>
                </c:pt>
                <c:pt idx="13">
                  <c:v>49409.42889487667</c:v>
                </c:pt>
                <c:pt idx="14">
                  <c:v>52939.508504141682</c:v>
                </c:pt>
                <c:pt idx="15">
                  <c:v>56455.124556360053</c:v>
                </c:pt>
                <c:pt idx="16">
                  <c:v>59934.992792553232</c:v>
                </c:pt>
                <c:pt idx="17">
                  <c:v>63423.26242116496</c:v>
                </c:pt>
                <c:pt idx="18">
                  <c:v>66898.459698258812</c:v>
                </c:pt>
                <c:pt idx="19">
                  <c:v>70361.025447756445</c:v>
                </c:pt>
                <c:pt idx="20">
                  <c:v>73811.347662185552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4F-47B2-8778-4EE643489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9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Fuel (MWh)</a:t>
                </a:r>
              </a:p>
            </c:rich>
          </c:tx>
          <c:layout>
            <c:manualLayout>
              <c:xMode val="edge"/>
              <c:yMode val="edge"/>
              <c:x val="1.1153253211769581E-2"/>
              <c:y val="0.221374127406647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5000"/>
        <c:minorUnit val="5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1041956071280565"/>
          <c:y val="0.62468769753292686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Total Exergy Fuel</a:t>
            </a:r>
          </a:p>
        </c:rich>
      </c:tx>
      <c:layout>
        <c:manualLayout>
          <c:xMode val="edge"/>
          <c:yMode val="edge"/>
          <c:x val="0.46065644501502778"/>
          <c:y val="3.3970264650428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'Appendix S'!$C$52:$D$52</c:f>
              <c:strCache>
                <c:ptCount val="2"/>
                <c:pt idx="0">
                  <c:v>Waterflooding</c:v>
                </c:pt>
                <c:pt idx="1">
                  <c:v>Polymer flooding</c:v>
                </c:pt>
              </c:strCache>
            </c:strRef>
          </c:cat>
          <c:val>
            <c:numRef>
              <c:f>'Appendix S'!$C$53:$D$53</c:f>
              <c:numCache>
                <c:formatCode>_(* #,##0_);_(* \(#,##0\);_(* "-"??_);_(@_)</c:formatCode>
                <c:ptCount val="2"/>
                <c:pt idx="0">
                  <c:v>73811.347662185552</c:v>
                </c:pt>
                <c:pt idx="1">
                  <c:v>83622.362151548063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8-4A7C-AFCD-01E31420E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-27"/>
        <c:axId val="704744776"/>
        <c:axId val="704743792"/>
      </c:barChart>
      <c:catAx>
        <c:axId val="70474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3792"/>
        <c:crosses val="autoZero"/>
        <c:auto val="1"/>
        <c:lblAlgn val="ctr"/>
        <c:lblOffset val="100"/>
        <c:noMultiLvlLbl val="0"/>
      </c:catAx>
      <c:valAx>
        <c:axId val="704743792"/>
        <c:scaling>
          <c:orientation val="minMax"/>
          <c:max val="9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Exergy Fuel (MWh)</a:t>
                </a:r>
              </a:p>
            </c:rich>
          </c:tx>
          <c:layout>
            <c:manualLayout>
              <c:xMode val="edge"/>
              <c:yMode val="edge"/>
              <c:x val="2.8133455159771101E-2"/>
              <c:y val="0.212883891574672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4776"/>
        <c:crosses val="autoZero"/>
        <c:crossBetween val="between"/>
        <c:majorUnit val="30000"/>
        <c:minorUnit val="5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2607469461172"/>
          <c:y val="2.8379772961816305E-2"/>
          <c:w val="0.86624710825493778"/>
          <c:h val="0.83690735129018001"/>
        </c:manualLayout>
      </c:layout>
      <c:scatterChart>
        <c:scatterStyle val="smoothMarker"/>
        <c:varyColors val="0"/>
        <c:ser>
          <c:idx val="0"/>
          <c:order val="0"/>
          <c:tx>
            <c:v>Total Opex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K'!$N$31:$N$50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K'!$F$61:$F$80</c:f>
              <c:numCache>
                <c:formatCode>_("$"* #,##0_);_("$"* \(#,##0\);_("$"* "-"??_);_(@_)</c:formatCode>
                <c:ptCount val="20"/>
                <c:pt idx="0">
                  <c:v>5498329.0707097333</c:v>
                </c:pt>
                <c:pt idx="1">
                  <c:v>4219569.6805624962</c:v>
                </c:pt>
                <c:pt idx="2">
                  <c:v>3946279.3217482059</c:v>
                </c:pt>
                <c:pt idx="3">
                  <c:v>4821585.6700719083</c:v>
                </c:pt>
                <c:pt idx="4">
                  <c:v>4806129.8723910302</c:v>
                </c:pt>
                <c:pt idx="5">
                  <c:v>4456827.57669832</c:v>
                </c:pt>
                <c:pt idx="6">
                  <c:v>4326036.9202466933</c:v>
                </c:pt>
                <c:pt idx="7">
                  <c:v>4279844.4254994672</c:v>
                </c:pt>
                <c:pt idx="8">
                  <c:v>4279542.7099234983</c:v>
                </c:pt>
                <c:pt idx="9">
                  <c:v>4234910.0628248611</c:v>
                </c:pt>
                <c:pt idx="10">
                  <c:v>4326698.2694274811</c:v>
                </c:pt>
                <c:pt idx="11">
                  <c:v>4335898.7326949565</c:v>
                </c:pt>
                <c:pt idx="12">
                  <c:v>4330961.0531447576</c:v>
                </c:pt>
                <c:pt idx="13">
                  <c:v>4308600.3165861238</c:v>
                </c:pt>
                <c:pt idx="14">
                  <c:v>4289056.1521108737</c:v>
                </c:pt>
                <c:pt idx="15">
                  <c:v>4207657.3779524975</c:v>
                </c:pt>
                <c:pt idx="16">
                  <c:v>4260913.0186192654</c:v>
                </c:pt>
                <c:pt idx="17">
                  <c:v>4250296.7644947162</c:v>
                </c:pt>
                <c:pt idx="18">
                  <c:v>4241295.0462305341</c:v>
                </c:pt>
                <c:pt idx="19">
                  <c:v>4233540.8363828035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E0A-49EA-BE5A-7CC7D3AFDBC1}"/>
            </c:ext>
          </c:extLst>
        </c:ser>
        <c:ser>
          <c:idx val="2"/>
          <c:order val="1"/>
          <c:tx>
            <c:v>Opex water handling</c:v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K'!$F$30:$F$50</c:f>
              <c:numCache>
                <c:formatCode>_("$"* #,##0_);_("$"* \(#,##0\);_("$"* "-"??_);_(@_)</c:formatCode>
                <c:ptCount val="21"/>
                <c:pt idx="0" formatCode="General">
                  <c:v>0</c:v>
                </c:pt>
                <c:pt idx="1">
                  <c:v>2815878.7309665722</c:v>
                </c:pt>
                <c:pt idx="2">
                  <c:v>2928235.487327999</c:v>
                </c:pt>
                <c:pt idx="3">
                  <c:v>2928239.4876497029</c:v>
                </c:pt>
                <c:pt idx="4">
                  <c:v>2731848.2222579084</c:v>
                </c:pt>
                <c:pt idx="5">
                  <c:v>2485335.1147702569</c:v>
                </c:pt>
                <c:pt idx="6">
                  <c:v>2547034.3407440879</c:v>
                </c:pt>
                <c:pt idx="7">
                  <c:v>2627314.3062553164</c:v>
                </c:pt>
                <c:pt idx="8">
                  <c:v>2705554.636041889</c:v>
                </c:pt>
                <c:pt idx="9">
                  <c:v>2772320.4581482569</c:v>
                </c:pt>
                <c:pt idx="10">
                  <c:v>2782310.6955207451</c:v>
                </c:pt>
                <c:pt idx="11">
                  <c:v>2876585.824252279</c:v>
                </c:pt>
                <c:pt idx="12">
                  <c:v>2908506.881894839</c:v>
                </c:pt>
                <c:pt idx="13">
                  <c:v>2926584.7885418432</c:v>
                </c:pt>
                <c:pt idx="14">
                  <c:v>2928235.4873279999</c:v>
                </c:pt>
                <c:pt idx="15">
                  <c:v>2928235.4873279999</c:v>
                </c:pt>
                <c:pt idx="16">
                  <c:v>2880231.6268799999</c:v>
                </c:pt>
                <c:pt idx="17">
                  <c:v>2928235.4873279999</c:v>
                </c:pt>
                <c:pt idx="18">
                  <c:v>2928235.4873279999</c:v>
                </c:pt>
                <c:pt idx="19">
                  <c:v>2928235.4873279943</c:v>
                </c:pt>
                <c:pt idx="20">
                  <c:v>2928235.4873279999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0A-49EA-BE5A-7CC7D3AFDBC1}"/>
            </c:ext>
          </c:extLst>
        </c:ser>
        <c:ser>
          <c:idx val="1"/>
          <c:order val="2"/>
          <c:tx>
            <c:v>Opex oil handling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K'!$E$30:$E$50</c:f>
              <c:numCache>
                <c:formatCode>_("$"* #,##0_);_("$"* \(#,##0\);_("$"* "-"??_);_(@_)</c:formatCode>
                <c:ptCount val="21"/>
                <c:pt idx="0" formatCode="General">
                  <c:v>0</c:v>
                </c:pt>
                <c:pt idx="1">
                  <c:v>1962790.2027063316</c:v>
                </c:pt>
                <c:pt idx="2">
                  <c:v>764166.73695035977</c:v>
                </c:pt>
                <c:pt idx="3">
                  <c:v>423839.88777278922</c:v>
                </c:pt>
                <c:pt idx="4">
                  <c:v>802293.29363624938</c:v>
                </c:pt>
                <c:pt idx="5">
                  <c:v>1070177.5726136982</c:v>
                </c:pt>
                <c:pt idx="6">
                  <c:v>695532.34948050056</c:v>
                </c:pt>
                <c:pt idx="7">
                  <c:v>485901.0570677697</c:v>
                </c:pt>
                <c:pt idx="8">
                  <c:v>351883.10959581111</c:v>
                </c:pt>
                <c:pt idx="9">
                  <c:v>271275.58944090805</c:v>
                </c:pt>
                <c:pt idx="10">
                  <c:v>218565.12407484109</c:v>
                </c:pt>
                <c:pt idx="11">
                  <c:v>186892.48263621121</c:v>
                </c:pt>
                <c:pt idx="12">
                  <c:v>157249.91011514782</c:v>
                </c:pt>
                <c:pt idx="13">
                  <c:v>132600.85237775961</c:v>
                </c:pt>
                <c:pt idx="14">
                  <c:v>112532.16299145139</c:v>
                </c:pt>
                <c:pt idx="15">
                  <c:v>96794.482280188473</c:v>
                </c:pt>
                <c:pt idx="16">
                  <c:v>83125.552842596109</c:v>
                </c:pt>
                <c:pt idx="17">
                  <c:v>74681.194505971886</c:v>
                </c:pt>
                <c:pt idx="18">
                  <c:v>66576.108736504029</c:v>
                </c:pt>
                <c:pt idx="19">
                  <c:v>59840.25572159874</c:v>
                </c:pt>
                <c:pt idx="20">
                  <c:v>54156.845834245178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0A-49EA-BE5A-7CC7D3AFDBC1}"/>
            </c:ext>
          </c:extLst>
        </c:ser>
        <c:ser>
          <c:idx val="4"/>
          <c:order val="3"/>
          <c:tx>
            <c:v>Opex polymer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K'!$AC$30:$AC$51</c:f>
              <c:numCache>
                <c:formatCode>_("$"* #,##0.00_);_("$"* \(#,##0.00\);_("$"* "-"??_);_(@_)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94284.973703981959</c:v>
                </c:pt>
                <c:pt idx="4">
                  <c:v>551508.39423536637</c:v>
                </c:pt>
                <c:pt idx="5">
                  <c:v>455606.17444163637</c:v>
                </c:pt>
                <c:pt idx="6">
                  <c:v>424367.16545464686</c:v>
                </c:pt>
                <c:pt idx="7">
                  <c:v>397935.89331155329</c:v>
                </c:pt>
                <c:pt idx="8">
                  <c:v>372545.34837770474</c:v>
                </c:pt>
                <c:pt idx="9">
                  <c:v>347049.4545419495</c:v>
                </c:pt>
                <c:pt idx="10">
                  <c:v>316730.27397189097</c:v>
                </c:pt>
                <c:pt idx="11">
                  <c:v>297621.76856682036</c:v>
                </c:pt>
                <c:pt idx="12">
                  <c:v>273582.32750147255</c:v>
                </c:pt>
                <c:pt idx="13">
                  <c:v>250266.53074007854</c:v>
                </c:pt>
                <c:pt idx="14">
                  <c:v>227652.34466139635</c:v>
                </c:pt>
                <c:pt idx="15">
                  <c:v>206956.67696490578</c:v>
                </c:pt>
                <c:pt idx="16">
                  <c:v>185107.87822374268</c:v>
                </c:pt>
                <c:pt idx="17">
                  <c:v>171038.57600405434</c:v>
                </c:pt>
                <c:pt idx="18">
                  <c:v>155489.6145491403</c:v>
                </c:pt>
                <c:pt idx="19">
                  <c:v>141354.19504467296</c:v>
                </c:pt>
                <c:pt idx="20">
                  <c:v>128503.81367697545</c:v>
                </c:pt>
                <c:pt idx="21">
                  <c:v>53506.19936928244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5A-4CFF-9790-D36463679075}"/>
            </c:ext>
          </c:extLst>
        </c:ser>
        <c:ser>
          <c:idx val="3"/>
          <c:order val="4"/>
          <c:tx>
            <c:v>Enex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K'!$H$30:$H$50</c:f>
              <c:numCache>
                <c:formatCode>_("$"* #,##0_);_("$"* \(#,##0\);_("$"* "-"??_);_(@_)</c:formatCode>
                <c:ptCount val="21"/>
                <c:pt idx="0" formatCode="General">
                  <c:v>0</c:v>
                </c:pt>
                <c:pt idx="1">
                  <c:v>719660.13703682949</c:v>
                </c:pt>
                <c:pt idx="2">
                  <c:v>527167.45628413698</c:v>
                </c:pt>
                <c:pt idx="3">
                  <c:v>468706.6463257139</c:v>
                </c:pt>
                <c:pt idx="4">
                  <c:v>479980.71417775017</c:v>
                </c:pt>
                <c:pt idx="5">
                  <c:v>516858.88500707498</c:v>
                </c:pt>
                <c:pt idx="6">
                  <c:v>462468.56647373171</c:v>
                </c:pt>
                <c:pt idx="7">
                  <c:v>437357.07692360756</c:v>
                </c:pt>
                <c:pt idx="8">
                  <c:v>423822.63986176671</c:v>
                </c:pt>
                <c:pt idx="9">
                  <c:v>417622.20233433304</c:v>
                </c:pt>
                <c:pt idx="10">
                  <c:v>412517.48322927527</c:v>
                </c:pt>
                <c:pt idx="11">
                  <c:v>414070.32253899123</c:v>
                </c:pt>
                <c:pt idx="12">
                  <c:v>411523.40068496938</c:v>
                </c:pt>
                <c:pt idx="13">
                  <c:v>407787.47222515516</c:v>
                </c:pt>
                <c:pt idx="14">
                  <c:v>403323.26626667246</c:v>
                </c:pt>
                <c:pt idx="15">
                  <c:v>399516.78250268532</c:v>
                </c:pt>
                <c:pt idx="16">
                  <c:v>393734.49822990148</c:v>
                </c:pt>
                <c:pt idx="17">
                  <c:v>393486.93678529374</c:v>
                </c:pt>
                <c:pt idx="18">
                  <c:v>390975.76843021251</c:v>
                </c:pt>
                <c:pt idx="19">
                  <c:v>388709.90318094165</c:v>
                </c:pt>
                <c:pt idx="20">
                  <c:v>386639.10322055919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0A-49EA-BE5A-7CC7D3AFD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6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Costs $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1227430043894539E-2"/>
              <c:y val="0.342419173099374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000000"/>
        <c:minorUnit val="5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0860764159661707"/>
          <c:y val="0.5154944654628193"/>
          <c:w val="0.32254948242001574"/>
          <c:h val="0.2451069031108644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S'!$A$57:$A$77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S'!$F$57:$F$77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2596974.6858842336</c:v>
                </c:pt>
                <c:pt idx="2">
                  <c:v>3608293.0949874776</c:v>
                </c:pt>
                <c:pt idx="3">
                  <c:v>4169122.7767462586</c:v>
                </c:pt>
                <c:pt idx="4">
                  <c:v>5229136.007609115</c:v>
                </c:pt>
                <c:pt idx="5">
                  <c:v>6643659.6373153822</c:v>
                </c:pt>
                <c:pt idx="6">
                  <c:v>7562531.184297597</c:v>
                </c:pt>
                <c:pt idx="7">
                  <c:v>8204039.802669961</c:v>
                </c:pt>
                <c:pt idx="8">
                  <c:v>8668216.0704170987</c:v>
                </c:pt>
                <c:pt idx="9">
                  <c:v>9025722.8346925378</c:v>
                </c:pt>
                <c:pt idx="10">
                  <c:v>9313492.9361056928</c:v>
                </c:pt>
                <c:pt idx="11">
                  <c:v>9559316.9164982047</c:v>
                </c:pt>
                <c:pt idx="12">
                  <c:v>9765910.5970514901</c:v>
                </c:pt>
                <c:pt idx="13">
                  <c:v>9939886.8020879552</c:v>
                </c:pt>
                <c:pt idx="14">
                  <c:v>10087313.043526627</c:v>
                </c:pt>
                <c:pt idx="15">
                  <c:v>10213919.744031206</c:v>
                </c:pt>
                <c:pt idx="16">
                  <c:v>10322466.857704977</c:v>
                </c:pt>
                <c:pt idx="17">
                  <c:v>10419819.660608673</c:v>
                </c:pt>
                <c:pt idx="18">
                  <c:v>10506450.161538674</c:v>
                </c:pt>
                <c:pt idx="19">
                  <c:v>10584169.732698096</c:v>
                </c:pt>
                <c:pt idx="20">
                  <c:v>10654370.662008956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A4-4A9C-8E77-78409F02A1CC}"/>
            </c:ext>
          </c:extLst>
        </c:ser>
        <c:ser>
          <c:idx val="2"/>
          <c:order val="1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S'!$A$57:$A$77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S'!$E$57:$E$77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2605884.4169723713</c:v>
                </c:pt>
                <c:pt idx="2">
                  <c:v>3617288.732349386</c:v>
                </c:pt>
                <c:pt idx="3">
                  <c:v>4176118.7319691498</c:v>
                </c:pt>
                <c:pt idx="4">
                  <c:v>4567548.8964577373</c:v>
                </c:pt>
                <c:pt idx="5">
                  <c:v>4877664.2133798599</c:v>
                </c:pt>
                <c:pt idx="6">
                  <c:v>5130969.8146321652</c:v>
                </c:pt>
                <c:pt idx="7">
                  <c:v>5345497.2953563621</c:v>
                </c:pt>
                <c:pt idx="8">
                  <c:v>5531880.7148044184</c:v>
                </c:pt>
                <c:pt idx="9">
                  <c:v>5696831.3875307729</c:v>
                </c:pt>
                <c:pt idx="10">
                  <c:v>5842575.7168604797</c:v>
                </c:pt>
                <c:pt idx="11">
                  <c:v>5977152.2961903326</c:v>
                </c:pt>
                <c:pt idx="12">
                  <c:v>6100392.4940685509</c:v>
                </c:pt>
                <c:pt idx="13">
                  <c:v>6214108.0945808403</c:v>
                </c:pt>
                <c:pt idx="14">
                  <c:v>6319702.6188103966</c:v>
                </c:pt>
                <c:pt idx="15">
                  <c:v>6418280.6609400799</c:v>
                </c:pt>
                <c:pt idx="16">
                  <c:v>6509260.0843737414</c:v>
                </c:pt>
                <c:pt idx="17">
                  <c:v>6596399.1488463404</c:v>
                </c:pt>
                <c:pt idx="18">
                  <c:v>6678744.3993782103</c:v>
                </c:pt>
                <c:pt idx="19">
                  <c:v>6756807.4066108633</c:v>
                </c:pt>
                <c:pt idx="20">
                  <c:v>6831027.5119593991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A4-4A9C-8E77-78409F02A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1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Product (MWh)</a:t>
                </a:r>
              </a:p>
            </c:rich>
          </c:tx>
          <c:layout>
            <c:manualLayout>
              <c:xMode val="edge"/>
              <c:yMode val="edge"/>
              <c:x val="1.1153253211769581E-2"/>
              <c:y val="0.221374127406647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00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1041956071280565"/>
          <c:y val="0.53271688404125339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Total Exergy Product</a:t>
            </a:r>
          </a:p>
        </c:rich>
      </c:tx>
      <c:layout>
        <c:manualLayout>
          <c:xMode val="edge"/>
          <c:yMode val="edge"/>
          <c:x val="0.46065644501502778"/>
          <c:y val="3.3970264650428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'Appendix S'!$C$79:$D$79</c:f>
              <c:strCache>
                <c:ptCount val="2"/>
                <c:pt idx="0">
                  <c:v>Waterflooding</c:v>
                </c:pt>
                <c:pt idx="1">
                  <c:v>Polymer flooding</c:v>
                </c:pt>
              </c:strCache>
            </c:strRef>
          </c:cat>
          <c:val>
            <c:numRef>
              <c:f>'Appendix S'!$C$80:$D$80</c:f>
              <c:numCache>
                <c:formatCode>_(* #,##0_);_(* \(#,##0\);_(* "-"??_);_(@_)</c:formatCode>
                <c:ptCount val="2"/>
                <c:pt idx="0">
                  <c:v>6831027.5119593991</c:v>
                </c:pt>
                <c:pt idx="1">
                  <c:v>10654370.662008956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3-442B-A6F5-3C244FE82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-27"/>
        <c:axId val="704744776"/>
        <c:axId val="704743792"/>
      </c:barChart>
      <c:catAx>
        <c:axId val="70474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3792"/>
        <c:crosses val="autoZero"/>
        <c:auto val="1"/>
        <c:lblAlgn val="ctr"/>
        <c:lblOffset val="100"/>
        <c:noMultiLvlLbl val="0"/>
      </c:catAx>
      <c:valAx>
        <c:axId val="704743792"/>
        <c:scaling>
          <c:orientation val="minMax"/>
          <c:max val="12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Exergy Product (MWh)</a:t>
                </a:r>
              </a:p>
            </c:rich>
          </c:tx>
          <c:layout>
            <c:manualLayout>
              <c:xMode val="edge"/>
              <c:yMode val="edge"/>
              <c:x val="2.8133455159771101E-2"/>
              <c:y val="0.30205583628204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4776"/>
        <c:crosses val="autoZero"/>
        <c:crossBetween val="between"/>
        <c:majorUnit val="2000000"/>
        <c:minorUnit val="50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513468711148"/>
          <c:y val="2.8379772961816305E-2"/>
          <c:w val="0.85569017820140902"/>
          <c:h val="0.85531717027318876"/>
        </c:manualLayout>
      </c:layout>
      <c:scatterChart>
        <c:scatterStyle val="smoothMarker"/>
        <c:varyColors val="0"/>
        <c:ser>
          <c:idx val="2"/>
          <c:order val="0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S'!$A$84:$A$103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S'!$B$84:$B$103</c:f>
              <c:numCache>
                <c:formatCode>0.0</c:formatCode>
                <c:ptCount val="20"/>
                <c:pt idx="0">
                  <c:v>526.02262580364356</c:v>
                </c:pt>
                <c:pt idx="1">
                  <c:v>243.32528263561093</c:v>
                </c:pt>
                <c:pt idx="2">
                  <c:v>143.37828737744155</c:v>
                </c:pt>
                <c:pt idx="3">
                  <c:v>103.69737075907834</c:v>
                </c:pt>
                <c:pt idx="4">
                  <c:v>82.894753468340312</c:v>
                </c:pt>
                <c:pt idx="5">
                  <c:v>68.473178671752905</c:v>
                </c:pt>
                <c:pt idx="6">
                  <c:v>58.499648600072902</c:v>
                </c:pt>
                <c:pt idx="7">
                  <c:v>51.195445030881828</c:v>
                </c:pt>
                <c:pt idx="8">
                  <c:v>45.594791104355608</c:v>
                </c:pt>
                <c:pt idx="9">
                  <c:v>40.766930093276741</c:v>
                </c:pt>
                <c:pt idx="10">
                  <c:v>37.603993280004147</c:v>
                </c:pt>
                <c:pt idx="11">
                  <c:v>34.603805272005395</c:v>
                </c:pt>
                <c:pt idx="12">
                  <c:v>32.074955181415596</c:v>
                </c:pt>
                <c:pt idx="13">
                  <c:v>29.912788355371415</c:v>
                </c:pt>
                <c:pt idx="14">
                  <c:v>28.040047794036024</c:v>
                </c:pt>
                <c:pt idx="15">
                  <c:v>26.144502394489628</c:v>
                </c:pt>
                <c:pt idx="16">
                  <c:v>24.980598907223449</c:v>
                </c:pt>
                <c:pt idx="17">
                  <c:v>23.695129791518358</c:v>
                </c:pt>
                <c:pt idx="18">
                  <c:v>22.544844742364457</c:v>
                </c:pt>
                <c:pt idx="19">
                  <c:v>21.5110649776854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82-47BF-B5CE-C94F8DFED9C9}"/>
            </c:ext>
          </c:extLst>
        </c:ser>
        <c:ser>
          <c:idx val="0"/>
          <c:order val="1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S'!$A$84:$A$103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S'!$C$84:$C$103</c:f>
              <c:numCache>
                <c:formatCode>0.0</c:formatCode>
                <c:ptCount val="20"/>
                <c:pt idx="0">
                  <c:v>382.16593842526413</c:v>
                </c:pt>
                <c:pt idx="1">
                  <c:v>203.16599917161335</c:v>
                </c:pt>
                <c:pt idx="2">
                  <c:v>126.7189559820296</c:v>
                </c:pt>
                <c:pt idx="3">
                  <c:v>233.88329631429767</c:v>
                </c:pt>
                <c:pt idx="4">
                  <c:v>289.83439871519511</c:v>
                </c:pt>
                <c:pt idx="5">
                  <c:v>210.41867998543063</c:v>
                </c:pt>
                <c:pt idx="6">
                  <c:v>155.33811995591543</c:v>
                </c:pt>
                <c:pt idx="7">
                  <c:v>115.98731301216782</c:v>
                </c:pt>
                <c:pt idx="8">
                  <c:v>90.659306308703989</c:v>
                </c:pt>
                <c:pt idx="9">
                  <c:v>73.877980972515928</c:v>
                </c:pt>
                <c:pt idx="10">
                  <c:v>62.87266213144315</c:v>
                </c:pt>
                <c:pt idx="11">
                  <c:v>53.166026655857557</c:v>
                </c:pt>
                <c:pt idx="12">
                  <c:v>45.182232012797265</c:v>
                </c:pt>
                <c:pt idx="13">
                  <c:v>38.710896174284592</c:v>
                </c:pt>
                <c:pt idx="14">
                  <c:v>33.560882396910948</c:v>
                </c:pt>
                <c:pt idx="15">
                  <c:v>29.19621270335448</c:v>
                </c:pt>
                <c:pt idx="16">
                  <c:v>26.201722848782222</c:v>
                </c:pt>
                <c:pt idx="17">
                  <c:v>23.465655548032235</c:v>
                </c:pt>
                <c:pt idx="18">
                  <c:v>21.174662548035492</c:v>
                </c:pt>
                <c:pt idx="19">
                  <c:v>19.228649983050648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82-47BF-B5CE-C94F8DFED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8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EROI</a:t>
                </a:r>
              </a:p>
            </c:rich>
          </c:tx>
          <c:layout>
            <c:manualLayout>
              <c:xMode val="edge"/>
              <c:yMode val="edge"/>
              <c:x val="2.3784832159138004E-2"/>
              <c:y val="0.38341794165388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00"/>
        <c:minorUnit val="5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1041956071280565"/>
          <c:y val="0.28308181884956823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EROI</a:t>
            </a:r>
          </a:p>
        </c:rich>
      </c:tx>
      <c:layout>
        <c:manualLayout>
          <c:xMode val="edge"/>
          <c:yMode val="edge"/>
          <c:x val="0.49528223598089993"/>
          <c:y val="4.2462830813036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'Appendix S'!$C$105:$D$105</c:f>
              <c:strCache>
                <c:ptCount val="2"/>
                <c:pt idx="0">
                  <c:v>Waterflooding</c:v>
                </c:pt>
                <c:pt idx="1">
                  <c:v>Polymer flooding</c:v>
                </c:pt>
              </c:strCache>
            </c:strRef>
          </c:cat>
          <c:val>
            <c:numRef>
              <c:f>'Appendix S'!$C$106:$D$106</c:f>
              <c:numCache>
                <c:formatCode>_(* #,##0.0_);_(* \(#,##0.0\);_(* "-"??_);_(@_)</c:formatCode>
                <c:ptCount val="2"/>
                <c:pt idx="0">
                  <c:v>92.547118137215875</c:v>
                </c:pt>
                <c:pt idx="1">
                  <c:v>127.41054411617954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B-41E2-9DF0-088863A87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-27"/>
        <c:axId val="704744776"/>
        <c:axId val="704743792"/>
      </c:barChart>
      <c:catAx>
        <c:axId val="70474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3792"/>
        <c:crosses val="autoZero"/>
        <c:auto val="1"/>
        <c:lblAlgn val="ctr"/>
        <c:lblOffset val="100"/>
        <c:noMultiLvlLbl val="0"/>
      </c:catAx>
      <c:valAx>
        <c:axId val="704743792"/>
        <c:scaling>
          <c:orientation val="minMax"/>
          <c:max val="150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EROI</a:t>
                </a:r>
              </a:p>
            </c:rich>
          </c:tx>
          <c:layout>
            <c:manualLayout>
              <c:xMode val="edge"/>
              <c:yMode val="edge"/>
              <c:x val="2.8133455159771101E-2"/>
              <c:y val="0.437936894883763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.0_);_(* \(#,##0.0\);_(* &quot;-&quot;??_);_(@_)" sourceLinked="1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4776"/>
        <c:crosses val="autoZero"/>
        <c:crossBetween val="between"/>
        <c:majorUnit val="2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2"/>
          <c:order val="0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S'!$A$112:$A$131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S'!$B$112:$B$131</c:f>
              <c:numCache>
                <c:formatCode>0.00</c:formatCode>
                <c:ptCount val="20"/>
                <c:pt idx="0">
                  <c:v>4.4801115713824133</c:v>
                </c:pt>
                <c:pt idx="1">
                  <c:v>2.7090136973422179</c:v>
                </c:pt>
                <c:pt idx="2">
                  <c:v>2.0825414141688383</c:v>
                </c:pt>
                <c:pt idx="3">
                  <c:v>1.8315197196691799</c:v>
                </c:pt>
                <c:pt idx="4">
                  <c:v>1.7044693678865568</c:v>
                </c:pt>
                <c:pt idx="5">
                  <c:v>1.6147708674932393</c:v>
                </c:pt>
                <c:pt idx="6">
                  <c:v>1.5530200300733001</c:v>
                </c:pt>
                <c:pt idx="7">
                  <c:v>1.5080420761306121</c:v>
                </c:pt>
                <c:pt idx="8">
                  <c:v>1.4737633580602996</c:v>
                </c:pt>
                <c:pt idx="9">
                  <c:v>1.4414800262087848</c:v>
                </c:pt>
                <c:pt idx="10">
                  <c:v>1.4253788406383225</c:v>
                </c:pt>
                <c:pt idx="11">
                  <c:v>1.4074376050576891</c:v>
                </c:pt>
                <c:pt idx="12">
                  <c:v>1.3924467689433535</c:v>
                </c:pt>
                <c:pt idx="13">
                  <c:v>1.3797503459749134</c:v>
                </c:pt>
                <c:pt idx="14">
                  <c:v>1.3688630767986831</c:v>
                </c:pt>
                <c:pt idx="15">
                  <c:v>1.3549251894194199</c:v>
                </c:pt>
                <c:pt idx="16">
                  <c:v>1.3513972482291432</c:v>
                </c:pt>
                <c:pt idx="17">
                  <c:v>1.344197767205898</c:v>
                </c:pt>
                <c:pt idx="18">
                  <c:v>1.337838739517742</c:v>
                </c:pt>
                <c:pt idx="19">
                  <c:v>1.3322038064642698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59-4732-8522-6CA27AF8CC5C}"/>
            </c:ext>
          </c:extLst>
        </c:ser>
        <c:ser>
          <c:idx val="0"/>
          <c:order val="1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S'!$A$112:$A$131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S'!$C$112:$C$131</c:f>
              <c:numCache>
                <c:formatCode>0.00</c:formatCode>
                <c:ptCount val="20"/>
                <c:pt idx="0">
                  <c:v>3.4764281986378531</c:v>
                </c:pt>
                <c:pt idx="1">
                  <c:v>2.3898078097803919</c:v>
                </c:pt>
                <c:pt idx="2">
                  <c:v>1.9907330314284917</c:v>
                </c:pt>
                <c:pt idx="3">
                  <c:v>3.0028981839723761</c:v>
                </c:pt>
                <c:pt idx="4">
                  <c:v>3.2641703871851413</c:v>
                </c:pt>
                <c:pt idx="5">
                  <c:v>2.8311834538635687</c:v>
                </c:pt>
                <c:pt idx="6">
                  <c:v>2.5325822149313999</c:v>
                </c:pt>
                <c:pt idx="7">
                  <c:v>2.3214249463573546</c:v>
                </c:pt>
                <c:pt idx="8">
                  <c:v>2.1868920816659134</c:v>
                </c:pt>
                <c:pt idx="9">
                  <c:v>2.0909850468581861</c:v>
                </c:pt>
                <c:pt idx="10">
                  <c:v>2.0425599080888168</c:v>
                </c:pt>
                <c:pt idx="11">
                  <c:v>1.9935653191981342</c:v>
                </c:pt>
                <c:pt idx="12">
                  <c:v>1.9543621263721029</c:v>
                </c:pt>
                <c:pt idx="13">
                  <c:v>1.9220495461967522</c:v>
                </c:pt>
                <c:pt idx="14">
                  <c:v>1.8966172225098943</c:v>
                </c:pt>
                <c:pt idx="15">
                  <c:v>1.8671336349286485</c:v>
                </c:pt>
                <c:pt idx="16">
                  <c:v>1.8617667695682842</c:v>
                </c:pt>
                <c:pt idx="17">
                  <c:v>1.8494781999044614</c:v>
                </c:pt>
                <c:pt idx="18">
                  <c:v>1.8395911414385486</c:v>
                </c:pt>
                <c:pt idx="19">
                  <c:v>1.8315541380926803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59-4732-8522-6CA27AF8C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ExD/ExF</a:t>
                </a:r>
              </a:p>
            </c:rich>
          </c:tx>
          <c:layout>
            <c:manualLayout>
              <c:xMode val="edge"/>
              <c:yMode val="edge"/>
              <c:x val="2.1679569001243265E-2"/>
              <c:y val="0.330863191087210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19463008702859511"/>
          <c:y val="0.62030813498570436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'Appendix S'!$C$133:$D$133</c:f>
              <c:strCache>
                <c:ptCount val="2"/>
                <c:pt idx="0">
                  <c:v>Waterflooding</c:v>
                </c:pt>
                <c:pt idx="1">
                  <c:v>Polymer flooding</c:v>
                </c:pt>
              </c:strCache>
            </c:strRef>
          </c:cat>
          <c:val>
            <c:numRef>
              <c:f>'Appendix S'!$C$134:$D$134</c:f>
              <c:numCache>
                <c:formatCode>0.00</c:formatCode>
                <c:ptCount val="2"/>
                <c:pt idx="0">
                  <c:v>1.7689428981137818</c:v>
                </c:pt>
                <c:pt idx="1">
                  <c:v>2.3272571134406412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394-9C73-34184B56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-27"/>
        <c:axId val="704744776"/>
        <c:axId val="704743792"/>
      </c:barChart>
      <c:catAx>
        <c:axId val="70474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3792"/>
        <c:crosses val="autoZero"/>
        <c:auto val="1"/>
        <c:lblAlgn val="ctr"/>
        <c:lblOffset val="100"/>
        <c:noMultiLvlLbl val="0"/>
      </c:catAx>
      <c:valAx>
        <c:axId val="704743792"/>
        <c:scaling>
          <c:orientation val="minMax"/>
          <c:max val="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ExD/ExF</a:t>
                </a:r>
              </a:p>
            </c:rich>
          </c:tx>
          <c:layout>
            <c:manualLayout>
              <c:xMode val="edge"/>
              <c:yMode val="edge"/>
              <c:x val="1.7312895482936061E-2"/>
              <c:y val="0.336026100932477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4776"/>
        <c:crosses val="autoZero"/>
        <c:crossBetween val="between"/>
        <c:majorUnit val="1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2"/>
          <c:order val="0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S'!$A$138:$A$158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S'!$B$138:$B$158</c:f>
              <c:numCache>
                <c:formatCode>0.00</c:formatCode>
                <c:ptCount val="21"/>
                <c:pt idx="0" formatCode="General">
                  <c:v>0</c:v>
                </c:pt>
                <c:pt idx="1">
                  <c:v>25.709538359428421</c:v>
                </c:pt>
                <c:pt idx="2">
                  <c:v>55.595623401619278</c:v>
                </c:pt>
                <c:pt idx="3">
                  <c:v>94.386864869354625</c:v>
                </c:pt>
                <c:pt idx="4">
                  <c:v>130.55040695991923</c:v>
                </c:pt>
                <c:pt idx="5">
                  <c:v>163.36821962179695</c:v>
                </c:pt>
                <c:pt idx="6">
                  <c:v>197.84506325014866</c:v>
                </c:pt>
                <c:pt idx="7">
                  <c:v>231.65495034600275</c:v>
                </c:pt>
                <c:pt idx="8">
                  <c:v>264.79554381180782</c:v>
                </c:pt>
                <c:pt idx="9">
                  <c:v>297.42163464799148</c:v>
                </c:pt>
                <c:pt idx="10">
                  <c:v>332.75407225968968</c:v>
                </c:pt>
                <c:pt idx="11">
                  <c:v>360.8611377897808</c:v>
                </c:pt>
                <c:pt idx="12">
                  <c:v>392.27741789515363</c:v>
                </c:pt>
                <c:pt idx="13">
                  <c:v>423.34401913167869</c:v>
                </c:pt>
                <c:pt idx="14">
                  <c:v>454.09242853766301</c:v>
                </c:pt>
                <c:pt idx="15">
                  <c:v>484.57795592009614</c:v>
                </c:pt>
                <c:pt idx="16">
                  <c:v>519.87848667928961</c:v>
                </c:pt>
                <c:pt idx="17">
                  <c:v>544.27543378740472</c:v>
                </c:pt>
                <c:pt idx="18">
                  <c:v>573.98773752560044</c:v>
                </c:pt>
                <c:pt idx="19">
                  <c:v>603.46797755009902</c:v>
                </c:pt>
                <c:pt idx="20">
                  <c:v>632.67223337433506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3-4D30-929B-E4EA568207E2}"/>
            </c:ext>
          </c:extLst>
        </c:ser>
        <c:ser>
          <c:idx val="0"/>
          <c:order val="1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S'!$A$138:$A$158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S'!$C$138:$C$158</c:f>
              <c:numCache>
                <c:formatCode>0.00</c:formatCode>
                <c:ptCount val="21"/>
                <c:pt idx="0" formatCode="0">
                  <c:v>0</c:v>
                </c:pt>
                <c:pt idx="1">
                  <c:v>35.386126540125538</c:v>
                </c:pt>
                <c:pt idx="2">
                  <c:v>66.579407045355723</c:v>
                </c:pt>
                <c:pt idx="3">
                  <c:v>106.72809224226934</c:v>
                </c:pt>
                <c:pt idx="4">
                  <c:v>57.739110116838333</c:v>
                </c:pt>
                <c:pt idx="5">
                  <c:v>46.611770723672031</c:v>
                </c:pt>
                <c:pt idx="6">
                  <c:v>64.171818435641157</c:v>
                </c:pt>
                <c:pt idx="7">
                  <c:v>86.869590640099688</c:v>
                </c:pt>
                <c:pt idx="8">
                  <c:v>116.24256690114252</c:v>
                </c:pt>
                <c:pt idx="9">
                  <c:v>148.57725282603397</c:v>
                </c:pt>
                <c:pt idx="10">
                  <c:v>182.15494105216771</c:v>
                </c:pt>
                <c:pt idx="11">
                  <c:v>213.82660081113139</c:v>
                </c:pt>
                <c:pt idx="12">
                  <c:v>252.5710620635509</c:v>
                </c:pt>
                <c:pt idx="13">
                  <c:v>296.80213749747145</c:v>
                </c:pt>
                <c:pt idx="14">
                  <c:v>345.90438661922315</c:v>
                </c:pt>
                <c:pt idx="15">
                  <c:v>398.34914257790797</c:v>
                </c:pt>
                <c:pt idx="16">
                  <c:v>457.13911411093005</c:v>
                </c:pt>
                <c:pt idx="17">
                  <c:v>508.50885941999309</c:v>
                </c:pt>
                <c:pt idx="18">
                  <c:v>566.77527283210713</c:v>
                </c:pt>
                <c:pt idx="19">
                  <c:v>626.91927846821204</c:v>
                </c:pt>
                <c:pt idx="20">
                  <c:v>689.02007074789594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53-4D30-929B-E4EA56820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8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CO2 kg/bbl</a:t>
                </a:r>
              </a:p>
            </c:rich>
          </c:tx>
          <c:layout>
            <c:manualLayout>
              <c:xMode val="edge"/>
              <c:yMode val="edge"/>
              <c:x val="1.1153253211769581E-2"/>
              <c:y val="0.221374127406647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00"/>
        <c:minorUnit val="5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3568271860754253"/>
          <c:y val="0.58965119715514647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'Appendix S'!$C$160:$D$160</c:f>
              <c:strCache>
                <c:ptCount val="2"/>
                <c:pt idx="0">
                  <c:v>Waterflooding</c:v>
                </c:pt>
                <c:pt idx="1">
                  <c:v>Polymer flooding</c:v>
                </c:pt>
              </c:strCache>
            </c:strRef>
          </c:cat>
          <c:val>
            <c:numRef>
              <c:f>'Appendix S'!$C$161:$D$161</c:f>
              <c:numCache>
                <c:formatCode>0.00</c:formatCode>
                <c:ptCount val="2"/>
                <c:pt idx="0">
                  <c:v>146.30767584463513</c:v>
                </c:pt>
                <c:pt idx="1">
                  <c:v>105.89927591409159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0-402C-88B2-9226C6F51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-27"/>
        <c:axId val="704744776"/>
        <c:axId val="704743792"/>
      </c:barChart>
      <c:catAx>
        <c:axId val="70474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3792"/>
        <c:crosses val="autoZero"/>
        <c:auto val="1"/>
        <c:lblAlgn val="ctr"/>
        <c:lblOffset val="100"/>
        <c:noMultiLvlLbl val="0"/>
      </c:catAx>
      <c:valAx>
        <c:axId val="704743792"/>
        <c:scaling>
          <c:orientation val="minMax"/>
          <c:max val="150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CO2</a:t>
                </a:r>
                <a:r>
                  <a:rPr lang="en-US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kg/bbl</a:t>
                </a:r>
                <a:endParaRPr lang="en-US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312895482936061E-2"/>
              <c:y val="0.331779817851173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4776"/>
        <c:crosses val="autoZero"/>
        <c:crossBetween val="between"/>
        <c:majorUnit val="2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2"/>
          <c:order val="0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S'!$A$165:$A$184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S'!$B$165:$B$184</c:f>
              <c:numCache>
                <c:formatCode>0.00</c:formatCode>
                <c:ptCount val="20"/>
                <c:pt idx="0">
                  <c:v>177.42985349546575</c:v>
                </c:pt>
                <c:pt idx="1">
                  <c:v>168.49063651458908</c:v>
                </c:pt>
                <c:pt idx="2">
                  <c:v>164.30814022603207</c:v>
                </c:pt>
                <c:pt idx="3">
                  <c:v>160.18686041315038</c:v>
                </c:pt>
                <c:pt idx="4">
                  <c:v>161.99397355457535</c:v>
                </c:pt>
                <c:pt idx="5">
                  <c:v>161.45882308247812</c:v>
                </c:pt>
                <c:pt idx="6">
                  <c:v>161.08946954705297</c:v>
                </c:pt>
                <c:pt idx="7">
                  <c:v>160.81791198961287</c:v>
                </c:pt>
                <c:pt idx="8">
                  <c:v>160.60818045097636</c:v>
                </c:pt>
                <c:pt idx="9">
                  <c:v>157.8513941274343</c:v>
                </c:pt>
                <c:pt idx="10">
                  <c:v>160.30374980676078</c:v>
                </c:pt>
                <c:pt idx="11">
                  <c:v>160.18707701735522</c:v>
                </c:pt>
                <c:pt idx="12">
                  <c:v>160.08728888917625</c:v>
                </c:pt>
                <c:pt idx="13">
                  <c:v>160.00060769654146</c:v>
                </c:pt>
                <c:pt idx="14">
                  <c:v>159.92428080311822</c:v>
                </c:pt>
                <c:pt idx="15">
                  <c:v>157.27509793156833</c:v>
                </c:pt>
                <c:pt idx="16">
                  <c:v>159.79570547654129</c:v>
                </c:pt>
                <c:pt idx="17">
                  <c:v>159.74005073951807</c:v>
                </c:pt>
                <c:pt idx="18">
                  <c:v>159.68928648863206</c:v>
                </c:pt>
                <c:pt idx="19">
                  <c:v>159.6427325716482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9B-46DA-9E9E-63829C25A0D3}"/>
            </c:ext>
          </c:extLst>
        </c:ser>
        <c:ser>
          <c:idx val="0"/>
          <c:order val="1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S'!$A$165:$A$184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S'!$C$165:$C$184</c:f>
              <c:numCache>
                <c:formatCode>0.00</c:formatCode>
                <c:ptCount val="20"/>
                <c:pt idx="0">
                  <c:v>342.06418685836957</c:v>
                </c:pt>
                <c:pt idx="1">
                  <c:v>337.86995165212352</c:v>
                </c:pt>
                <c:pt idx="2">
                  <c:v>343.97368936729856</c:v>
                </c:pt>
                <c:pt idx="3">
                  <c:v>385.87356793673263</c:v>
                </c:pt>
                <c:pt idx="4">
                  <c:v>356.05187278509197</c:v>
                </c:pt>
                <c:pt idx="5">
                  <c:v>359.30299353491858</c:v>
                </c:pt>
                <c:pt idx="6">
                  <c:v>367.39659425292018</c:v>
                </c:pt>
                <c:pt idx="7">
                  <c:v>376.25250873211553</c:v>
                </c:pt>
                <c:pt idx="8">
                  <c:v>384.27488841445955</c:v>
                </c:pt>
                <c:pt idx="9">
                  <c:v>384.97056778822764</c:v>
                </c:pt>
                <c:pt idx="10">
                  <c:v>397.36698966665904</c:v>
                </c:pt>
                <c:pt idx="11">
                  <c:v>401.31278002864423</c:v>
                </c:pt>
                <c:pt idx="12">
                  <c:v>403.42427646334465</c:v>
                </c:pt>
                <c:pt idx="13">
                  <c:v>403.35536708763408</c:v>
                </c:pt>
                <c:pt idx="14">
                  <c:v>403.11937691033575</c:v>
                </c:pt>
                <c:pt idx="15">
                  <c:v>396.40438962051303</c:v>
                </c:pt>
                <c:pt idx="16">
                  <c:v>402.77763875036408</c:v>
                </c:pt>
                <c:pt idx="17">
                  <c:v>402.64790001051858</c:v>
                </c:pt>
                <c:pt idx="18">
                  <c:v>402.5374145832692</c:v>
                </c:pt>
                <c:pt idx="19">
                  <c:v>402.44182499209427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9B-46DA-9E9E-63829C25A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500"/>
          <c:min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 P $/hr</a:t>
                </a:r>
              </a:p>
            </c:rich>
          </c:tx>
          <c:layout>
            <c:manualLayout>
              <c:xMode val="edge"/>
              <c:yMode val="edge"/>
              <c:x val="1.3359136947610985E-2"/>
              <c:y val="0.351338047963148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1065166805533044"/>
          <c:y val="0.39843647666244597"/>
          <c:w val="0.29150650136096001"/>
          <c:h val="0.1473981301576212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85383008619981"/>
          <c:y val="4.6709113894339772E-2"/>
          <c:w val="0.85234093862476312"/>
          <c:h val="0.867254169465479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'Appendix S'!$C$186:$D$186</c:f>
              <c:strCache>
                <c:ptCount val="2"/>
                <c:pt idx="0">
                  <c:v>Waterflooding</c:v>
                </c:pt>
                <c:pt idx="1">
                  <c:v>Polymer flooding</c:v>
                </c:pt>
              </c:strCache>
            </c:strRef>
          </c:cat>
          <c:val>
            <c:numRef>
              <c:f>'Appendix S'!$C$187:$D$187</c:f>
              <c:numCache>
                <c:formatCode>0.00</c:formatCode>
                <c:ptCount val="2"/>
                <c:pt idx="0">
                  <c:v>338.10174256023311</c:v>
                </c:pt>
                <c:pt idx="1">
                  <c:v>574.42266525074911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1-419A-941C-ED314C295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-27"/>
        <c:axId val="704744776"/>
        <c:axId val="704743792"/>
      </c:barChart>
      <c:catAx>
        <c:axId val="70474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3792"/>
        <c:crosses val="autoZero"/>
        <c:auto val="1"/>
        <c:lblAlgn val="ctr"/>
        <c:lblOffset val="100"/>
        <c:noMultiLvlLbl val="0"/>
      </c:catAx>
      <c:valAx>
        <c:axId val="704743792"/>
        <c:scaling>
          <c:orientation val="minMax"/>
          <c:max val="700"/>
          <c:min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Ex</a:t>
                </a:r>
                <a:r>
                  <a:rPr lang="en-US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P $/hr</a:t>
                </a:r>
                <a:endParaRPr lang="en-US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164111935367008E-2"/>
              <c:y val="0.344518667095084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4776"/>
        <c:crosses val="autoZero"/>
        <c:crossBetween val="between"/>
        <c:majorUnit val="100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85991257395904"/>
          <c:y val="2.8379772961816305E-2"/>
          <c:w val="0.84858153335126307"/>
          <c:h val="0.8538257059972767"/>
        </c:manualLayout>
      </c:layout>
      <c:scatterChart>
        <c:scatterStyle val="smoothMarker"/>
        <c:varyColors val="0"/>
        <c:ser>
          <c:idx val="0"/>
          <c:order val="0"/>
          <c:tx>
            <c:v>% Water handling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K'!$N$31:$N$50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K'!$BN$31:$BN$50</c:f>
              <c:numCache>
                <c:formatCode>General</c:formatCode>
                <c:ptCount val="20"/>
                <c:pt idx="0">
                  <c:v>0.51213353998164646</c:v>
                </c:pt>
                <c:pt idx="1">
                  <c:v>0.69396542989133581</c:v>
                </c:pt>
                <c:pt idx="2">
                  <c:v>0.74202539883884588</c:v>
                </c:pt>
                <c:pt idx="3">
                  <c:v>0.56658709586242118</c:v>
                </c:pt>
                <c:pt idx="4">
                  <c:v>0.51711776018524702</c:v>
                </c:pt>
                <c:pt idx="5">
                  <c:v>0.57149043729238591</c:v>
                </c:pt>
                <c:pt idx="6">
                  <c:v>0.60732590930025931</c:v>
                </c:pt>
                <c:pt idx="7">
                  <c:v>0.63216191222328011</c:v>
                </c:pt>
                <c:pt idx="8">
                  <c:v>0.64780763882078785</c:v>
                </c:pt>
                <c:pt idx="9">
                  <c:v>0.65699404574009479</c:v>
                </c:pt>
                <c:pt idx="10">
                  <c:v>0.66484548843590041</c:v>
                </c:pt>
                <c:pt idx="11">
                  <c:v>0.67079677391060066</c:v>
                </c:pt>
                <c:pt idx="12">
                  <c:v>0.67573565142471514</c:v>
                </c:pt>
                <c:pt idx="13">
                  <c:v>0.67962569562454977</c:v>
                </c:pt>
                <c:pt idx="14">
                  <c:v>0.68272258125761742</c:v>
                </c:pt>
                <c:pt idx="15">
                  <c:v>0.68452142562081886</c:v>
                </c:pt>
                <c:pt idx="16">
                  <c:v>0.68723193234225766</c:v>
                </c:pt>
                <c:pt idx="17">
                  <c:v>0.68894847808965032</c:v>
                </c:pt>
                <c:pt idx="18">
                  <c:v>0.69041070130937332</c:v>
                </c:pt>
                <c:pt idx="19">
                  <c:v>0.69167526675611912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84D-429C-8452-0657E3EFFE6D}"/>
            </c:ext>
          </c:extLst>
        </c:ser>
        <c:ser>
          <c:idx val="4"/>
          <c:order val="1"/>
          <c:tx>
            <c:v>% Oil handling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K'!$N$31:$N$50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K'!$BM$31:$BM$50</c:f>
              <c:numCache>
                <c:formatCode>General</c:formatCode>
                <c:ptCount val="20"/>
                <c:pt idx="0">
                  <c:v>0.35697939818887042</c:v>
                </c:pt>
                <c:pt idx="1">
                  <c:v>0.18110063224468223</c:v>
                </c:pt>
                <c:pt idx="2">
                  <c:v>0.10740240444638056</c:v>
                </c:pt>
                <c:pt idx="3">
                  <c:v>0.16639615025740778</c:v>
                </c:pt>
                <c:pt idx="4">
                  <c:v>0.22266929962949358</c:v>
                </c:pt>
                <c:pt idx="5">
                  <c:v>0.15605996362007807</c:v>
                </c:pt>
                <c:pt idx="6">
                  <c:v>0.11232013642640412</c:v>
                </c:pt>
                <c:pt idx="7">
                  <c:v>8.2218668393476857E-2</c:v>
                </c:pt>
                <c:pt idx="8">
                  <c:v>6.3388919758148046E-2</c:v>
                </c:pt>
                <c:pt idx="9">
                  <c:v>5.1610334300476034E-2</c:v>
                </c:pt>
                <c:pt idx="10">
                  <c:v>4.3195173547644045E-2</c:v>
                </c:pt>
                <c:pt idx="11">
                  <c:v>3.6266970196836196E-2</c:v>
                </c:pt>
                <c:pt idx="12">
                  <c:v>3.0616957933961724E-2</c:v>
                </c:pt>
                <c:pt idx="13">
                  <c:v>2.6118032475245953E-2</c:v>
                </c:pt>
                <c:pt idx="14">
                  <c:v>2.2567781546191868E-2</c:v>
                </c:pt>
                <c:pt idx="15">
                  <c:v>1.9755779849890277E-2</c:v>
                </c:pt>
                <c:pt idx="16">
                  <c:v>1.7527040373654958E-2</c:v>
                </c:pt>
                <c:pt idx="17">
                  <c:v>1.5663873001211182E-2</c:v>
                </c:pt>
                <c:pt idx="18">
                  <c:v>1.4108958483042102E-2</c:v>
                </c:pt>
                <c:pt idx="19">
                  <c:v>1.2792328674102868E-2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84D-429C-8452-0657E3EFFE6D}"/>
            </c:ext>
          </c:extLst>
        </c:ser>
        <c:ser>
          <c:idx val="2"/>
          <c:order val="2"/>
          <c:tx>
            <c:v>% Polymer Injection</c:v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K'!$N$31:$N$50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K'!$BP$31:$BP$51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3.1800409897089182E-2</c:v>
                </c:pt>
                <c:pt idx="3">
                  <c:v>0.16746844197169636</c:v>
                </c:pt>
                <c:pt idx="4">
                  <c:v>0.15267134253177353</c:v>
                </c:pt>
                <c:pt idx="5">
                  <c:v>0.16868328582658298</c:v>
                </c:pt>
                <c:pt idx="6">
                  <c:v>0.17925516917589757</c:v>
                </c:pt>
                <c:pt idx="7">
                  <c:v>0.18659183853553357</c:v>
                </c:pt>
                <c:pt idx="8">
                  <c:v>0.19121773410566764</c:v>
                </c:pt>
                <c:pt idx="9">
                  <c:v>0.19398682564984959</c:v>
                </c:pt>
                <c:pt idx="10">
                  <c:v>0.19625811349039632</c:v>
                </c:pt>
                <c:pt idx="11">
                  <c:v>0.19802550588314363</c:v>
                </c:pt>
                <c:pt idx="12">
                  <c:v>0.19949104353470198</c:v>
                </c:pt>
                <c:pt idx="13">
                  <c:v>0.20064738812556768</c:v>
                </c:pt>
                <c:pt idx="14">
                  <c:v>0.20156168847883435</c:v>
                </c:pt>
                <c:pt idx="15">
                  <c:v>0.20214709126670777</c:v>
                </c:pt>
                <c:pt idx="16">
                  <c:v>0.20289299411236073</c:v>
                </c:pt>
                <c:pt idx="17">
                  <c:v>0.20339977368680853</c:v>
                </c:pt>
                <c:pt idx="18">
                  <c:v>0.20383146906234112</c:v>
                </c:pt>
                <c:pt idx="19">
                  <c:v>0.20420480949905012</c:v>
                </c:pt>
                <c:pt idx="20">
                  <c:v>0.19448770026282927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E4-4C67-ACE9-A16FC6BC4364}"/>
            </c:ext>
          </c:extLst>
        </c:ser>
        <c:ser>
          <c:idx val="1"/>
          <c:order val="3"/>
          <c:tx>
            <c:v>% Energy costs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K'!$A$31:$A$50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K'!$BO$31:$BO$50</c:f>
              <c:numCache>
                <c:formatCode>General</c:formatCode>
                <c:ptCount val="20"/>
                <c:pt idx="0">
                  <c:v>0.13088706182948315</c:v>
                </c:pt>
                <c:pt idx="1">
                  <c:v>0.12493393786398192</c:v>
                </c:pt>
                <c:pt idx="2">
                  <c:v>0.11877178681768437</c:v>
                </c:pt>
                <c:pt idx="3">
                  <c:v>9.9548311908474657E-2</c:v>
                </c:pt>
                <c:pt idx="4">
                  <c:v>0.10754159765348574</c:v>
                </c:pt>
                <c:pt idx="5">
                  <c:v>0.10376631326095294</c:v>
                </c:pt>
                <c:pt idx="6">
                  <c:v>0.10109878509743905</c:v>
                </c:pt>
                <c:pt idx="7">
                  <c:v>9.9027580847709365E-2</c:v>
                </c:pt>
                <c:pt idx="8">
                  <c:v>9.7585707315396439E-2</c:v>
                </c:pt>
                <c:pt idx="9">
                  <c:v>9.740879430957948E-2</c:v>
                </c:pt>
                <c:pt idx="10">
                  <c:v>9.5701224526059211E-2</c:v>
                </c:pt>
                <c:pt idx="11">
                  <c:v>9.4910750009419398E-2</c:v>
                </c:pt>
                <c:pt idx="12">
                  <c:v>9.4156347106621116E-2</c:v>
                </c:pt>
                <c:pt idx="13">
                  <c:v>9.3608883774636498E-2</c:v>
                </c:pt>
                <c:pt idx="14">
                  <c:v>9.3147948717356335E-2</c:v>
                </c:pt>
                <c:pt idx="15">
                  <c:v>9.3575703262583132E-2</c:v>
                </c:pt>
                <c:pt idx="16">
                  <c:v>9.2348033171726629E-2</c:v>
                </c:pt>
                <c:pt idx="17">
                  <c:v>9.1987875222329915E-2</c:v>
                </c:pt>
                <c:pt idx="18">
                  <c:v>9.1648871145243463E-2</c:v>
                </c:pt>
                <c:pt idx="19">
                  <c:v>9.1327595070727838E-2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84D-429C-8452-0657E3EFF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inorUnit val="1"/>
      </c:valAx>
      <c:valAx>
        <c:axId val="206380160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Costs percentage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5132005352019329E-2"/>
              <c:y val="0.250387306878711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0.2"/>
        <c:minorUnit val="0.1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9673414224923027"/>
          <c:y val="0.3924299020363814"/>
          <c:w val="0.34327223594462836"/>
          <c:h val="0.21040765123857846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2"/>
          <c:order val="0"/>
          <c:tx>
            <c:v>Waterflooding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S'!$A$191:$A$210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S'!$B$191:$B$210</c:f>
              <c:numCache>
                <c:formatCode>0.0000</c:formatCode>
                <c:ptCount val="20"/>
                <c:pt idx="0">
                  <c:v>0.59645220889194928</c:v>
                </c:pt>
                <c:pt idx="1">
                  <c:v>1.4593352563634354</c:v>
                </c:pt>
                <c:pt idx="2">
                  <c:v>2.5756299936642426</c:v>
                </c:pt>
                <c:pt idx="3">
                  <c:v>3.584897191182387</c:v>
                </c:pt>
                <c:pt idx="4">
                  <c:v>4.5759339539312167</c:v>
                </c:pt>
                <c:pt idx="5">
                  <c:v>5.5836873847637971</c:v>
                </c:pt>
                <c:pt idx="6">
                  <c:v>6.5779160248770001</c:v>
                </c:pt>
                <c:pt idx="7">
                  <c:v>7.5584239907221011</c:v>
                </c:pt>
                <c:pt idx="8">
                  <c:v>8.5293841940528505</c:v>
                </c:pt>
                <c:pt idx="9">
                  <c:v>9.4876982103926011</c:v>
                </c:pt>
                <c:pt idx="10">
                  <c:v>10.434659992845592</c:v>
                </c:pt>
                <c:pt idx="11">
                  <c:v>11.386210171933214</c:v>
                </c:pt>
                <c:pt idx="12">
                  <c:v>12.332209866997383</c:v>
                </c:pt>
                <c:pt idx="13">
                  <c:v>13.273465964718884</c:v>
                </c:pt>
                <c:pt idx="14">
                  <c:v>14.211447798814342</c:v>
                </c:pt>
                <c:pt idx="15">
                  <c:v>15.143312695151673</c:v>
                </c:pt>
                <c:pt idx="16">
                  <c:v>16.064096951771578</c:v>
                </c:pt>
                <c:pt idx="17">
                  <c:v>16.993364346333479</c:v>
                </c:pt>
                <c:pt idx="18">
                  <c:v>17.919859857195963</c:v>
                </c:pt>
                <c:pt idx="19">
                  <c:v>18.842203615320319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A7-4FF9-85FC-370264964120}"/>
            </c:ext>
          </c:extLst>
        </c:ser>
        <c:ser>
          <c:idx val="0"/>
          <c:order val="1"/>
          <c:tx>
            <c:v>Polymer flooding</c:v>
          </c:tx>
          <c:spPr>
            <a:ln w="1270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S'!$A$191:$A$210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S'!$C$191:$C$210</c:f>
              <c:numCache>
                <c:formatCode>0.0000</c:formatCode>
                <c:ptCount val="20"/>
                <c:pt idx="0">
                  <c:v>1.153835766350205</c:v>
                </c:pt>
                <c:pt idx="1">
                  <c:v>2.926616137737533</c:v>
                </c:pt>
                <c:pt idx="2">
                  <c:v>5.3727711226124972</c:v>
                </c:pt>
                <c:pt idx="3">
                  <c:v>3.1888776070976359</c:v>
                </c:pt>
                <c:pt idx="4">
                  <c:v>2.2049927905729541</c:v>
                </c:pt>
                <c:pt idx="5">
                  <c:v>3.4253908870102459</c:v>
                </c:pt>
                <c:pt idx="6">
                  <c:v>5.0169149306540772</c:v>
                </c:pt>
                <c:pt idx="7">
                  <c:v>7.1006904176514896</c:v>
                </c:pt>
                <c:pt idx="8">
                  <c:v>9.4159002259245508</c:v>
                </c:pt>
                <c:pt idx="9">
                  <c:v>11.71887613502683</c:v>
                </c:pt>
                <c:pt idx="10">
                  <c:v>14.160273639381566</c:v>
                </c:pt>
                <c:pt idx="11">
                  <c:v>17.016493164921346</c:v>
                </c:pt>
                <c:pt idx="12">
                  <c:v>20.313103513656728</c:v>
                </c:pt>
                <c:pt idx="13">
                  <c:v>23.967191873080019</c:v>
                </c:pt>
                <c:pt idx="14">
                  <c:v>27.892092027205294</c:v>
                </c:pt>
                <c:pt idx="15">
                  <c:v>31.990739647965519</c:v>
                </c:pt>
                <c:pt idx="16">
                  <c:v>36.242737858749791</c:v>
                </c:pt>
                <c:pt idx="17">
                  <c:v>40.715401229668707</c:v>
                </c:pt>
                <c:pt idx="18">
                  <c:v>45.371168409000852</c:v>
                </c:pt>
                <c:pt idx="19">
                  <c:v>50.218571485282702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A7-4FF9-85FC-370264964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 P $/MWh</a:t>
                </a:r>
              </a:p>
            </c:rich>
          </c:tx>
          <c:layout>
            <c:manualLayout>
              <c:xMode val="edge"/>
              <c:yMode val="edge"/>
              <c:x val="1.3359136947610985E-2"/>
              <c:y val="0.351338047963148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184731256419033"/>
          <c:y val="0.25114409138540805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0576377952756"/>
          <c:y val="4.6709113894339772E-2"/>
          <c:w val="0.85182756955380556"/>
          <c:h val="0.867254169465479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'Appendix S'!$C$212:$D$212</c:f>
              <c:strCache>
                <c:ptCount val="2"/>
                <c:pt idx="0">
                  <c:v>Waterflooding</c:v>
                </c:pt>
                <c:pt idx="1">
                  <c:v>Polymer flooding</c:v>
                </c:pt>
              </c:strCache>
            </c:strRef>
          </c:cat>
          <c:val>
            <c:numRef>
              <c:f>'Appendix S'!$C$213:$D$213</c:f>
              <c:numCache>
                <c:formatCode>0.0000</c:formatCode>
                <c:ptCount val="2"/>
                <c:pt idx="0">
                  <c:v>8.6715249196181112</c:v>
                </c:pt>
                <c:pt idx="1">
                  <c:v>9.4457809048061634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4-432B-AE60-8067319CF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-27"/>
        <c:axId val="704744776"/>
        <c:axId val="704743792"/>
      </c:barChart>
      <c:catAx>
        <c:axId val="70474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3792"/>
        <c:crosses val="autoZero"/>
        <c:auto val="1"/>
        <c:lblAlgn val="ctr"/>
        <c:lblOffset val="100"/>
        <c:noMultiLvlLbl val="0"/>
      </c:catAx>
      <c:valAx>
        <c:axId val="704743792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Ex</a:t>
                </a:r>
                <a:r>
                  <a:rPr lang="en-US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P $/MWh</a:t>
                </a:r>
                <a:endParaRPr lang="en-US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2400125984251966E-2"/>
              <c:y val="0.293563270119440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4776"/>
        <c:crosses val="autoZero"/>
        <c:crossBetween val="between"/>
        <c:majorUnit val="2"/>
        <c:min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2"/>
          <c:order val="0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S'!$A$255:$A$274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S'!$B$255:$B$274</c:f>
              <c:numCache>
                <c:formatCode>0.0000</c:formatCode>
                <c:ptCount val="20"/>
                <c:pt idx="0">
                  <c:v>0.98958198506573736</c:v>
                </c:pt>
                <c:pt idx="1">
                  <c:v>0.9847569736396995</c:v>
                </c:pt>
                <c:pt idx="2">
                  <c:v>0.97850064001633608</c:v>
                </c:pt>
                <c:pt idx="3">
                  <c:v>0.97269439235592869</c:v>
                </c:pt>
                <c:pt idx="4">
                  <c:v>0.96737466178822207</c:v>
                </c:pt>
                <c:pt idx="5">
                  <c:v>0.96181321039544632</c:v>
                </c:pt>
                <c:pt idx="6">
                  <c:v>0.95635836981642786</c:v>
                </c:pt>
                <c:pt idx="7">
                  <c:v>0.95101044488200615</c:v>
                </c:pt>
                <c:pt idx="8">
                  <c:v>0.94574460594855125</c:v>
                </c:pt>
                <c:pt idx="9">
                  <c:v>0.94011126124477473</c:v>
                </c:pt>
                <c:pt idx="10">
                  <c:v>0.93550209355217562</c:v>
                </c:pt>
                <c:pt idx="11">
                  <c:v>0.93042852986445068</c:v>
                </c:pt>
                <c:pt idx="12">
                  <c:v>0.92541075255096383</c:v>
                </c:pt>
                <c:pt idx="13">
                  <c:v>0.92044371398269931</c:v>
                </c:pt>
                <c:pt idx="14">
                  <c:v>0.91551857920504232</c:v>
                </c:pt>
                <c:pt idx="15">
                  <c:v>0.90992656299644237</c:v>
                </c:pt>
                <c:pt idx="16">
                  <c:v>0.90587106190039313</c:v>
                </c:pt>
                <c:pt idx="17">
                  <c:v>0.90106837194683775</c:v>
                </c:pt>
                <c:pt idx="18">
                  <c:v>0.89630273500510449</c:v>
                </c:pt>
                <c:pt idx="19">
                  <c:v>0.89158120209838088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4C-4744-9BFD-8E79557737D3}"/>
            </c:ext>
          </c:extLst>
        </c:ser>
        <c:ser>
          <c:idx val="0"/>
          <c:order val="1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S'!$A$255:$A$274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S'!$C$255:$C$274</c:f>
              <c:numCache>
                <c:formatCode>0.0000</c:formatCode>
                <c:ptCount val="20"/>
                <c:pt idx="0">
                  <c:v>0.9882866897633964</c:v>
                </c:pt>
                <c:pt idx="1">
                  <c:v>0.98331508311625992</c:v>
                </c:pt>
                <c:pt idx="2">
                  <c:v>0.9763986926166548</c:v>
                </c:pt>
                <c:pt idx="3">
                  <c:v>0.98288506170789902</c:v>
                </c:pt>
                <c:pt idx="4">
                  <c:v>0.98528756280797669</c:v>
                </c:pt>
                <c:pt idx="5">
                  <c:v>0.98179256967998829</c:v>
                </c:pt>
                <c:pt idx="6">
                  <c:v>0.97725875518556593</c:v>
                </c:pt>
                <c:pt idx="7">
                  <c:v>0.9713638943768883</c:v>
                </c:pt>
                <c:pt idx="8">
                  <c:v>0.96484760129518066</c:v>
                </c:pt>
                <c:pt idx="9">
                  <c:v>0.95816094313665534</c:v>
                </c:pt>
                <c:pt idx="10">
                  <c:v>0.95160758579415694</c:v>
                </c:pt>
                <c:pt idx="11">
                  <c:v>0.94369401838931055</c:v>
                </c:pt>
                <c:pt idx="12">
                  <c:v>0.93461230234187365</c:v>
                </c:pt>
                <c:pt idx="13">
                  <c:v>0.92451609662971701</c:v>
                </c:pt>
                <c:pt idx="14">
                  <c:v>0.91369067153083827</c:v>
                </c:pt>
                <c:pt idx="15">
                  <c:v>0.90179775493280911</c:v>
                </c:pt>
                <c:pt idx="16">
                  <c:v>0.89077944278380583</c:v>
                </c:pt>
                <c:pt idx="17">
                  <c:v>0.87856813997495975</c:v>
                </c:pt>
                <c:pt idx="18">
                  <c:v>0.86589674640637915</c:v>
                </c:pt>
                <c:pt idx="19">
                  <c:v>0.85274295696325053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4C-4744-9BFD-8E7955773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1"/>
          <c:min val="0.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ERF </a:t>
                </a:r>
              </a:p>
            </c:rich>
          </c:tx>
          <c:layout>
            <c:manualLayout>
              <c:xMode val="edge"/>
              <c:yMode val="edge"/>
              <c:x val="1.5363779527559055E-2"/>
              <c:y val="0.32648362853998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.000000000000001E-2"/>
        <c:minorUnit val="5.000000000000001E-3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19884061334438458"/>
          <c:y val="0.56775338441903378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ERF</a:t>
            </a:r>
          </a:p>
        </c:rich>
      </c:tx>
      <c:layout>
        <c:manualLayout>
          <c:xMode val="edge"/>
          <c:yMode val="edge"/>
          <c:x val="0.49528223598089993"/>
          <c:y val="4.2462830813036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'Appendix S'!$C$276:$D$276</c:f>
              <c:strCache>
                <c:ptCount val="2"/>
                <c:pt idx="0">
                  <c:v>Waterflooding</c:v>
                </c:pt>
                <c:pt idx="1">
                  <c:v>Polymer flooding</c:v>
                </c:pt>
              </c:strCache>
            </c:strRef>
          </c:cat>
          <c:val>
            <c:numRef>
              <c:f>'Appendix S'!$C$277:$D$277</c:f>
              <c:numCache>
                <c:formatCode>0.0000</c:formatCode>
                <c:ptCount val="2"/>
                <c:pt idx="0">
                  <c:v>0.97008072262165557</c:v>
                </c:pt>
                <c:pt idx="1">
                  <c:v>0.97388554348840484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B-48D1-8A32-42A7709F7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-27"/>
        <c:axId val="704744776"/>
        <c:axId val="704743792"/>
      </c:barChart>
      <c:catAx>
        <c:axId val="70474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3792"/>
        <c:crosses val="autoZero"/>
        <c:auto val="1"/>
        <c:lblAlgn val="ctr"/>
        <c:lblOffset val="100"/>
        <c:noMultiLvlLbl val="0"/>
      </c:catAx>
      <c:valAx>
        <c:axId val="704743792"/>
        <c:scaling>
          <c:orientation val="minMax"/>
          <c:max val="1"/>
          <c:min val="0.9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ERF</a:t>
                </a:r>
              </a:p>
            </c:rich>
          </c:tx>
          <c:layout>
            <c:manualLayout>
              <c:xMode val="edge"/>
              <c:yMode val="edge"/>
              <c:x val="2.8133455159771101E-2"/>
              <c:y val="0.437936894883763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%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4776"/>
        <c:crosses val="autoZero"/>
        <c:crossBetween val="between"/>
        <c:majorUnit val="2.0000000000000004E-2"/>
        <c:minorUnit val="5.000000000000001E-3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0666233933131"/>
          <c:y val="0.15088721633961422"/>
          <c:w val="0.86286774167875113"/>
          <c:h val="0.76227966957244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'Appendix T'!$B$4</c:f>
              <c:strCache>
                <c:ptCount val="1"/>
                <c:pt idx="0">
                  <c:v>V*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'Appendix T'!$C$4:$D$4</c:f>
              <c:numCache>
                <c:formatCode>_(* #,##0_);_(* \(#,##0\);_(* "-"??_);_(@_)</c:formatCode>
                <c:ptCount val="2"/>
                <c:pt idx="0">
                  <c:v>220.97015965238162</c:v>
                </c:pt>
                <c:pt idx="1">
                  <c:v>61.981590666064669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A2-4696-9E9C-D7C800CE9F86}"/>
            </c:ext>
          </c:extLst>
        </c:ser>
        <c:ser>
          <c:idx val="1"/>
          <c:order val="1"/>
          <c:tx>
            <c:strRef>
              <c:f>'Appendix T'!$B$5</c:f>
              <c:strCache>
                <c:ptCount val="1"/>
                <c:pt idx="0">
                  <c:v>P*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'Appendix T'!$C$5:$D$5</c:f>
              <c:numCache>
                <c:formatCode>_(* #,##0_);_(* \(#,##0\);_(* "-"??_);_(@_)</c:formatCode>
                <c:ptCount val="2"/>
                <c:pt idx="0">
                  <c:v>466.43244625021219</c:v>
                </c:pt>
                <c:pt idx="1">
                  <c:v>132.73699276199977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2-4696-9E9C-D7C800CE9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axId val="704744776"/>
        <c:axId val="704743792"/>
      </c:barChart>
      <c:catAx>
        <c:axId val="70474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3792"/>
        <c:crosses val="autoZero"/>
        <c:auto val="1"/>
        <c:lblAlgn val="ctr"/>
        <c:lblOffset val="100"/>
        <c:noMultiLvlLbl val="0"/>
      </c:catAx>
      <c:valAx>
        <c:axId val="704743792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$/bbl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4744776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49827935094208631"/>
          <c:y val="3.6168780045718857E-2"/>
          <c:w val="0.13631461395681019"/>
          <c:h val="5.9660766588274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1450476585164"/>
          <c:y val="2.8379772961816305E-2"/>
          <c:w val="0.87042702030667207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T'!$A$9:$A$28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T'!$C$9:$C$28</c:f>
              <c:numCache>
                <c:formatCode>_("$"* #,##0_);_("$"* \(#,##0\);_("$"* "-"??_);_(@_)</c:formatCode>
                <c:ptCount val="20"/>
                <c:pt idx="0">
                  <c:v>75063439.239628762</c:v>
                </c:pt>
                <c:pt idx="1">
                  <c:v>74516552.007297307</c:v>
                </c:pt>
                <c:pt idx="2">
                  <c:v>74238093.441062734</c:v>
                </c:pt>
                <c:pt idx="3">
                  <c:v>73944119.653820917</c:v>
                </c:pt>
                <c:pt idx="4">
                  <c:v>74139210.905774057</c:v>
                </c:pt>
                <c:pt idx="5">
                  <c:v>74506571.631781459</c:v>
                </c:pt>
                <c:pt idx="6">
                  <c:v>73754556.336597487</c:v>
                </c:pt>
                <c:pt idx="7">
                  <c:v>72363805.399657279</c:v>
                </c:pt>
                <c:pt idx="8">
                  <c:v>71656711.065703675</c:v>
                </c:pt>
                <c:pt idx="9">
                  <c:v>70460424.603720009</c:v>
                </c:pt>
                <c:pt idx="10">
                  <c:v>70604310.428696051</c:v>
                </c:pt>
                <c:pt idx="11">
                  <c:v>67834738.229364842</c:v>
                </c:pt>
                <c:pt idx="12">
                  <c:v>66336954.926654622</c:v>
                </c:pt>
                <c:pt idx="13">
                  <c:v>64815043.554587223</c:v>
                </c:pt>
                <c:pt idx="14">
                  <c:v>63761086.574700616</c:v>
                </c:pt>
                <c:pt idx="15">
                  <c:v>61280515.778946295</c:v>
                </c:pt>
                <c:pt idx="16">
                  <c:v>58864039.673000365</c:v>
                </c:pt>
                <c:pt idx="17">
                  <c:v>55592230.554326214</c:v>
                </c:pt>
                <c:pt idx="18">
                  <c:v>53714093.440083601</c:v>
                </c:pt>
                <c:pt idx="19">
                  <c:v>49944766.467073627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65-4C96-A0D3-AD3430972511}"/>
            </c:ext>
          </c:extLst>
        </c:ser>
        <c:ser>
          <c:idx val="2"/>
          <c:order val="1"/>
          <c:tx>
            <c:v>Waterflooding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'Appendix T'!$A$9:$A$28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T'!$B$9:$B$28</c:f>
              <c:numCache>
                <c:formatCode>_("$"* #,##0_);_("$"* \(#,##0\);_("$"* "-"??_);_(@_)</c:formatCode>
                <c:ptCount val="20"/>
                <c:pt idx="0">
                  <c:v>64610198.80302608</c:v>
                </c:pt>
                <c:pt idx="1">
                  <c:v>64067531.451176681</c:v>
                </c:pt>
                <c:pt idx="2">
                  <c:v>64456136.174406275</c:v>
                </c:pt>
                <c:pt idx="3">
                  <c:v>63679703.46171353</c:v>
                </c:pt>
                <c:pt idx="4">
                  <c:v>62966167.12648768</c:v>
                </c:pt>
                <c:pt idx="5">
                  <c:v>63071101.188700356</c:v>
                </c:pt>
                <c:pt idx="6">
                  <c:v>62649328.677268691</c:v>
                </c:pt>
                <c:pt idx="7">
                  <c:v>61930641.405743919</c:v>
                </c:pt>
                <c:pt idx="8">
                  <c:v>61215816.194795728</c:v>
                </c:pt>
                <c:pt idx="9">
                  <c:v>59445184.938183635</c:v>
                </c:pt>
                <c:pt idx="10">
                  <c:v>57437209.882883079</c:v>
                </c:pt>
                <c:pt idx="11">
                  <c:v>56118428.060086921</c:v>
                </c:pt>
                <c:pt idx="12">
                  <c:v>54501661.194402464</c:v>
                </c:pt>
                <c:pt idx="13">
                  <c:v>53015444.157833591</c:v>
                </c:pt>
                <c:pt idx="14">
                  <c:v>50833180.780271925</c:v>
                </c:pt>
                <c:pt idx="15">
                  <c:v>48388047.930654414</c:v>
                </c:pt>
                <c:pt idx="16">
                  <c:v>46314998.043408528</c:v>
                </c:pt>
                <c:pt idx="17">
                  <c:v>43703121.046740994</c:v>
                </c:pt>
                <c:pt idx="18">
                  <c:v>41082360.069298752</c:v>
                </c:pt>
                <c:pt idx="19">
                  <c:v>38904664.875199154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65-4C96-A0D3-AD3430972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10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Option</a:t>
                </a:r>
                <a:r>
                  <a:rPr lang="en-US" sz="1000" b="1" baseline="0"/>
                  <a:t> value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9.0345989590284274E-3"/>
              <c:y val="0.29999485202168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30000000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1735774554496477"/>
          <c:y val="0.62468769753292686"/>
          <c:w val="0.2178825236887762"/>
          <c:h val="0.18429012963130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4502202055254"/>
          <c:y val="2.8379772961816305E-2"/>
          <c:w val="0.85559655678633406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Waterflooding V*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T'!$F$3:$G$3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xVal>
          <c:yVal>
            <c:numRef>
              <c:f>'Appendix T'!$F$4:$G$4</c:f>
              <c:numCache>
                <c:formatCode>_(* #,##0_);_(* \(#,##0\);_(* "-"??_);_(@_)</c:formatCode>
                <c:ptCount val="2"/>
                <c:pt idx="0">
                  <c:v>220.97015965238162</c:v>
                </c:pt>
                <c:pt idx="1">
                  <c:v>220.97015965238162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CE-4514-A029-12EADDA1D139}"/>
            </c:ext>
          </c:extLst>
        </c:ser>
        <c:ser>
          <c:idx val="1"/>
          <c:order val="1"/>
          <c:tx>
            <c:v>Polymer flooding V*</c:v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T'!$F$3:$G$3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xVal>
          <c:yVal>
            <c:numRef>
              <c:f>'Appendix T'!$F$5:$G$5</c:f>
              <c:numCache>
                <c:formatCode>_(* #,##0_);_(* \(#,##0\);_(* "-"??_);_(@_)</c:formatCode>
                <c:ptCount val="2"/>
                <c:pt idx="0">
                  <c:v>61.981590666064669</c:v>
                </c:pt>
                <c:pt idx="1">
                  <c:v>61.981590666064669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CE-4514-A029-12EADDA1D139}"/>
            </c:ext>
          </c:extLst>
        </c:ser>
        <c:ser>
          <c:idx val="3"/>
          <c:order val="2"/>
          <c:tx>
            <c:v>V 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T'!$A$9:$A$28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T'!$E$9:$E$28</c:f>
              <c:numCache>
                <c:formatCode>0</c:formatCode>
                <c:ptCount val="20"/>
                <c:pt idx="0">
                  <c:v>26.529734455684302</c:v>
                </c:pt>
                <c:pt idx="1">
                  <c:v>28.7634187285217</c:v>
                </c:pt>
                <c:pt idx="2">
                  <c:v>32.032019789059547</c:v>
                </c:pt>
                <c:pt idx="3">
                  <c:v>35.141547688093894</c:v>
                </c:pt>
                <c:pt idx="4">
                  <c:v>37.954753532270189</c:v>
                </c:pt>
                <c:pt idx="5">
                  <c:v>41.042924895461759</c:v>
                </c:pt>
                <c:pt idx="6">
                  <c:v>45.423297620803524</c:v>
                </c:pt>
                <c:pt idx="7">
                  <c:v>48.750495474195013</c:v>
                </c:pt>
                <c:pt idx="8">
                  <c:v>52.298106728566012</c:v>
                </c:pt>
                <c:pt idx="9">
                  <c:v>56.849380243131698</c:v>
                </c:pt>
                <c:pt idx="10">
                  <c:v>60.305536061632615</c:v>
                </c:pt>
                <c:pt idx="11">
                  <c:v>63.149337492333608</c:v>
                </c:pt>
                <c:pt idx="12">
                  <c:v>67.411999883019419</c:v>
                </c:pt>
                <c:pt idx="13">
                  <c:v>70.540954917688637</c:v>
                </c:pt>
                <c:pt idx="14">
                  <c:v>74.572516323123793</c:v>
                </c:pt>
                <c:pt idx="15">
                  <c:v>77.987274098268799</c:v>
                </c:pt>
                <c:pt idx="16">
                  <c:v>81.783131668255308</c:v>
                </c:pt>
                <c:pt idx="17">
                  <c:v>84.855658689953557</c:v>
                </c:pt>
                <c:pt idx="18">
                  <c:v>89.517214643037931</c:v>
                </c:pt>
                <c:pt idx="19">
                  <c:v>91.077663417635321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CE-4514-A029-12EADDA1D139}"/>
            </c:ext>
          </c:extLst>
        </c:ser>
        <c:ser>
          <c:idx val="2"/>
          <c:order val="3"/>
          <c:tx>
            <c:v>V Polymer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T'!$A$9:$A$28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T'!$F$9:$F$28</c:f>
              <c:numCache>
                <c:formatCode>_("$"* #,##0.0_);_("$"* \(#,##0.0\);_("$"* "-"??_);_(@_)</c:formatCode>
                <c:ptCount val="20"/>
                <c:pt idx="0">
                  <c:v>26.149221894179433</c:v>
                </c:pt>
                <c:pt idx="1">
                  <c:v>28.575737106052902</c:v>
                </c:pt>
                <c:pt idx="2">
                  <c:v>31.206766451308901</c:v>
                </c:pt>
                <c:pt idx="3">
                  <c:v>33.60758068650992</c:v>
                </c:pt>
                <c:pt idx="4">
                  <c:v>37.302029360881036</c:v>
                </c:pt>
                <c:pt idx="5">
                  <c:v>40.454911373489516</c:v>
                </c:pt>
                <c:pt idx="6">
                  <c:v>43.928018398361097</c:v>
                </c:pt>
                <c:pt idx="7">
                  <c:v>48.101738415824002</c:v>
                </c:pt>
                <c:pt idx="8">
                  <c:v>53.098182793387636</c:v>
                </c:pt>
                <c:pt idx="9">
                  <c:v>56.984513704230096</c:v>
                </c:pt>
                <c:pt idx="10">
                  <c:v>59.975899541097483</c:v>
                </c:pt>
                <c:pt idx="11">
                  <c:v>64.391188311823882</c:v>
                </c:pt>
                <c:pt idx="12">
                  <c:v>67.724450855918562</c:v>
                </c:pt>
                <c:pt idx="13">
                  <c:v>70.153361527155354</c:v>
                </c:pt>
                <c:pt idx="14">
                  <c:v>74.516035505670501</c:v>
                </c:pt>
                <c:pt idx="15">
                  <c:v>77.66677987814856</c:v>
                </c:pt>
                <c:pt idx="16">
                  <c:v>81.617240872925777</c:v>
                </c:pt>
                <c:pt idx="17">
                  <c:v>83.977679163197095</c:v>
                </c:pt>
                <c:pt idx="18">
                  <c:v>85.894752932666847</c:v>
                </c:pt>
                <c:pt idx="19">
                  <c:v>87.334729000434223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CE-4514-A029-12EADDA1D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2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/>
                  <a:t>Value ($/bbl)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3865107433604704E-2"/>
              <c:y val="0.328960375554792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315769718403843"/>
          <c:y val="0.25357865947948077"/>
          <c:w val="0.29638912985453086"/>
          <c:h val="0.17008399024360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24937732588097"/>
          <c:y val="3.5641050929876537E-2"/>
          <c:w val="0.81624492882884481"/>
          <c:h val="0.85531717027318876"/>
        </c:manualLayout>
      </c:layout>
      <c:scatterChart>
        <c:scatterStyle val="smoothMarker"/>
        <c:varyColors val="0"/>
        <c:ser>
          <c:idx val="1"/>
          <c:order val="0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T2'!$A$7:$A$24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</c:numCache>
            </c:numRef>
          </c:xVal>
          <c:yVal>
            <c:numRef>
              <c:f>'Appendix T2'!$C$7:$C$24</c:f>
              <c:numCache>
                <c:formatCode>0.00</c:formatCode>
                <c:ptCount val="18"/>
                <c:pt idx="0">
                  <c:v>464.48206879209778</c:v>
                </c:pt>
                <c:pt idx="1">
                  <c:v>879.22552727260211</c:v>
                </c:pt>
                <c:pt idx="2">
                  <c:v>1172.7973398506283</c:v>
                </c:pt>
                <c:pt idx="3">
                  <c:v>762.22723230739791</c:v>
                </c:pt>
                <c:pt idx="4">
                  <c:v>532.4943091153641</c:v>
                </c:pt>
                <c:pt idx="5">
                  <c:v>385.62532558445054</c:v>
                </c:pt>
                <c:pt idx="6">
                  <c:v>297.28831719551573</c:v>
                </c:pt>
                <c:pt idx="7">
                  <c:v>239.52342364366146</c:v>
                </c:pt>
                <c:pt idx="8">
                  <c:v>204.81367960132735</c:v>
                </c:pt>
                <c:pt idx="9">
                  <c:v>172.32866861934008</c:v>
                </c:pt>
                <c:pt idx="10">
                  <c:v>145.31600260576394</c:v>
                </c:pt>
                <c:pt idx="11">
                  <c:v>123.32291834679604</c:v>
                </c:pt>
                <c:pt idx="12">
                  <c:v>106.07614496459011</c:v>
                </c:pt>
                <c:pt idx="13">
                  <c:v>91.096496265858761</c:v>
                </c:pt>
                <c:pt idx="14">
                  <c:v>81.842404938051388</c:v>
                </c:pt>
                <c:pt idx="15">
                  <c:v>72.960119163292092</c:v>
                </c:pt>
                <c:pt idx="16">
                  <c:v>65.578362434628758</c:v>
                </c:pt>
                <c:pt idx="17">
                  <c:v>59.34996803752896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0C-424E-B223-471E97CC4F63}"/>
            </c:ext>
          </c:extLst>
        </c:ser>
        <c:ser>
          <c:idx val="0"/>
          <c:order val="1"/>
          <c:tx>
            <c:v>Waterflooding</c:v>
          </c:tx>
          <c:spPr>
            <a:ln w="12700" cap="rnd">
              <a:solidFill>
                <a:schemeClr val="tx1"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T2'!$A$7:$A$24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</c:numCache>
            </c:numRef>
          </c:xVal>
          <c:yVal>
            <c:numRef>
              <c:f>'Appendix T2'!$B$7:$B$24</c:f>
              <c:numCache>
                <c:formatCode>0.00</c:formatCode>
                <c:ptCount val="18"/>
                <c:pt idx="0">
                  <c:v>462.53335612337185</c:v>
                </c:pt>
                <c:pt idx="1">
                  <c:v>323.86693434598607</c:v>
                </c:pt>
                <c:pt idx="2">
                  <c:v>256.49971779149678</c:v>
                </c:pt>
                <c:pt idx="3">
                  <c:v>209.43891586668389</c:v>
                </c:pt>
                <c:pt idx="4">
                  <c:v>177.31537101748015</c:v>
                </c:pt>
                <c:pt idx="5">
                  <c:v>154.00101224169879</c:v>
                </c:pt>
                <c:pt idx="6">
                  <c:v>136.24626314143907</c:v>
                </c:pt>
                <c:pt idx="7">
                  <c:v>120.34237366441597</c:v>
                </c:pt>
                <c:pt idx="8">
                  <c:v>111.0845601453087</c:v>
                </c:pt>
                <c:pt idx="9">
                  <c:v>101.6935748930636</c:v>
                </c:pt>
                <c:pt idx="10">
                  <c:v>93.803459887792741</c:v>
                </c:pt>
                <c:pt idx="11">
                  <c:v>87.07601269232957</c:v>
                </c:pt>
                <c:pt idx="12">
                  <c:v>81.263604191109579</c:v>
                </c:pt>
                <c:pt idx="13">
                  <c:v>74.975478963090652</c:v>
                </c:pt>
                <c:pt idx="14">
                  <c:v>71.787628904219929</c:v>
                </c:pt>
                <c:pt idx="15">
                  <c:v>67.816464365388967</c:v>
                </c:pt>
                <c:pt idx="16">
                  <c:v>64.269081645334552</c:v>
                </c:pt>
                <c:pt idx="17">
                  <c:v>61.085646518919894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0C-424E-B223-471E97CC4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225724884783452"/>
              <c:y val="0.947193629902890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</c:valAx>
      <c:valAx>
        <c:axId val="206380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/>
                  <a:t>Barrels of oil / day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2.9299725691435293E-2"/>
              <c:y val="0.30889753769818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9217323634415828"/>
          <c:y val="0.36337352670193585"/>
          <c:w val="0.22037263446261354"/>
          <c:h val="0.1609762678136545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82768723676982"/>
          <c:y val="5.0841856714036571E-2"/>
          <c:w val="0.60573741073063547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'Appendix T2'!$B$29:$C$29</c:f>
              <c:strCache>
                <c:ptCount val="2"/>
                <c:pt idx="0">
                  <c:v>Total Capex</c:v>
                </c:pt>
                <c:pt idx="1">
                  <c:v>Total Opex</c:v>
                </c:pt>
              </c:strCache>
            </c:strRef>
          </c:cat>
          <c:val>
            <c:numRef>
              <c:f>'Appendix T2'!$B$30:$C$30</c:f>
              <c:numCache>
                <c:formatCode>_("$"* #,##0_);_("$"* \(#,##0\);_("$"* "-"??_);_(@_)</c:formatCode>
                <c:ptCount val="2"/>
                <c:pt idx="0">
                  <c:v>30932906.678150136</c:v>
                </c:pt>
                <c:pt idx="1">
                  <c:v>19470343.736549292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7-4372-B539-381C86E81FD4}"/>
            </c:ext>
          </c:extLst>
        </c:ser>
        <c:ser>
          <c:idx val="1"/>
          <c:order val="1"/>
          <c:tx>
            <c:v>Polymerflooding</c:v>
          </c:tx>
          <c:spPr>
            <a:pattFill prst="ltUpDiag">
              <a:fgClr>
                <a:schemeClr val="bg2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T2'!$B$29:$C$29</c:f>
              <c:strCache>
                <c:ptCount val="2"/>
                <c:pt idx="0">
                  <c:v>Total Capex</c:v>
                </c:pt>
                <c:pt idx="1">
                  <c:v>Total Opex</c:v>
                </c:pt>
              </c:strCache>
            </c:strRef>
          </c:cat>
          <c:val>
            <c:numRef>
              <c:f>'Appendix T2'!$B$31:$C$31</c:f>
              <c:numCache>
                <c:formatCode>_("$"* #,##0_);_("$"* \(#,##0\);_("$"* "-"??_);_(@_)</c:formatCode>
                <c:ptCount val="2"/>
                <c:pt idx="0">
                  <c:v>2661995.7659249641</c:v>
                </c:pt>
                <c:pt idx="1">
                  <c:v>12315131.274424367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7-4372-B539-381C86E8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  <c:max val="40000000"/>
          <c:min val="0"/>
        </c:scaling>
        <c:delete val="0"/>
        <c:axPos val="l"/>
        <c:numFmt formatCode="_(&quot;$&quot;* #,##0_);_(&quot;$&quot;* \(#,##0\);_(&quot;$&quot;* &quot;-&quot;??_);_(@_)" sourceLinked="1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10000000"/>
        <c:minorUnit val="2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525343343709939"/>
          <c:y val="0.43565161162358279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82795889258477"/>
          <c:y val="3.3581176455169635E-2"/>
          <c:w val="0.83260285225920605"/>
          <c:h val="0.84907378483022244"/>
        </c:manualLayout>
      </c:layout>
      <c:scatterChart>
        <c:scatterStyle val="smoothMarker"/>
        <c:varyColors val="0"/>
        <c:ser>
          <c:idx val="0"/>
          <c:order val="0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R'!$A$31:$A$51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R'!$E$31:$E$51</c:f>
              <c:numCache>
                <c:formatCode>_("$"* #,##0_);_("$"* \(#,##0\);_("$"* "-"??_);_(@_)</c:formatCode>
                <c:ptCount val="21"/>
                <c:pt idx="0">
                  <c:v>-30932906.678150136</c:v>
                </c:pt>
                <c:pt idx="1">
                  <c:v>5622741.2923609205</c:v>
                </c:pt>
                <c:pt idx="2">
                  <c:v>18538320.887988281</c:v>
                </c:pt>
                <c:pt idx="3">
                  <c:v>24892636.31686122</c:v>
                </c:pt>
                <c:pt idx="4">
                  <c:v>28889844.072426192</c:v>
                </c:pt>
                <c:pt idx="5">
                  <c:v>31741702.395267874</c:v>
                </c:pt>
                <c:pt idx="6">
                  <c:v>33834899.690038644</c:v>
                </c:pt>
                <c:pt idx="7">
                  <c:v>35429718.287267976</c:v>
                </c:pt>
                <c:pt idx="8">
                  <c:v>36677747.206629254</c:v>
                </c:pt>
                <c:pt idx="9">
                  <c:v>37638502.168088429</c:v>
                </c:pt>
                <c:pt idx="10">
                  <c:v>38375082.99631606</c:v>
                </c:pt>
                <c:pt idx="11">
                  <c:v>38966863.925125502</c:v>
                </c:pt>
                <c:pt idx="12">
                  <c:v>39436322.08055567</c:v>
                </c:pt>
                <c:pt idx="13">
                  <c:v>39810922.301372193</c:v>
                </c:pt>
                <c:pt idx="14">
                  <c:v>40107792.304922298</c:v>
                </c:pt>
                <c:pt idx="15">
                  <c:v>40343437.057974599</c:v>
                </c:pt>
                <c:pt idx="16">
                  <c:v>40526925.188995712</c:v>
                </c:pt>
                <c:pt idx="17">
                  <c:v>40675832.253507353</c:v>
                </c:pt>
                <c:pt idx="18">
                  <c:v>40793733.822371848</c:v>
                </c:pt>
                <c:pt idx="19">
                  <c:v>40885995.982291237</c:v>
                </c:pt>
                <c:pt idx="20">
                  <c:v>40957731.716485247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BA-A731-EB35CC313D89}"/>
            </c:ext>
          </c:extLst>
        </c:ser>
        <c:ser>
          <c:idx val="1"/>
          <c:order val="1"/>
          <c:tx>
            <c:v>Polymer injection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R'!$A$31:$A$51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R'!$F$31:$F$51</c:f>
              <c:numCache>
                <c:formatCode>_("$"* #,##0_);_("$"* \(#,##0\);_("$"* "-"??_);_(@_)</c:formatCode>
                <c:ptCount val="21"/>
                <c:pt idx="0">
                  <c:v>-33594902.4440751</c:v>
                </c:pt>
                <c:pt idx="1">
                  <c:v>1376162.5285722613</c:v>
                </c:pt>
                <c:pt idx="2">
                  <c:v>13009852.888541898</c:v>
                </c:pt>
                <c:pt idx="3">
                  <c:v>18160553.835888483</c:v>
                </c:pt>
                <c:pt idx="4">
                  <c:v>29678384.532998849</c:v>
                </c:pt>
                <c:pt idx="5">
                  <c:v>45679758.13656918</c:v>
                </c:pt>
                <c:pt idx="6">
                  <c:v>54987161.222935319</c:v>
                </c:pt>
                <c:pt idx="7">
                  <c:v>60660741.168318063</c:v>
                </c:pt>
                <c:pt idx="8">
                  <c:v>64114143.601913273</c:v>
                </c:pt>
                <c:pt idx="9">
                  <c:v>66220012.785176106</c:v>
                </c:pt>
                <c:pt idx="10">
                  <c:v>67533222.067604348</c:v>
                </c:pt>
                <c:pt idx="11">
                  <c:v>68364428.27209492</c:v>
                </c:pt>
                <c:pt idx="12">
                  <c:v>68822720.701962635</c:v>
                </c:pt>
                <c:pt idx="13">
                  <c:v>69012401.916326359</c:v>
                </c:pt>
                <c:pt idx="14">
                  <c:v>69013358.38000983</c:v>
                </c:pt>
                <c:pt idx="15">
                  <c:v>69013358.38000983</c:v>
                </c:pt>
                <c:pt idx="16">
                  <c:v>69013358.38000983</c:v>
                </c:pt>
                <c:pt idx="17">
                  <c:v>69013358.38000983</c:v>
                </c:pt>
                <c:pt idx="18">
                  <c:v>69013358.38000983</c:v>
                </c:pt>
                <c:pt idx="19">
                  <c:v>69013358.38000983</c:v>
                </c:pt>
                <c:pt idx="20">
                  <c:v>69013358.38000983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BA-A731-EB35CC31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</c:valAx>
      <c:valAx>
        <c:axId val="206380160"/>
        <c:scaling>
          <c:orientation val="minMax"/>
          <c:max val="9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Cash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flows ($/year)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2356384094762751E-2"/>
              <c:y val="0.295952054673950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0000000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6128362599277879"/>
          <c:y val="0.64706289527161387"/>
          <c:w val="0.22350164527808014"/>
          <c:h val="0.16695032019495054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27817672095332"/>
          <c:y val="2.8379772961816305E-2"/>
          <c:w val="0.84416336938069536"/>
          <c:h val="0.8538257059972767"/>
        </c:manualLayout>
      </c:layout>
      <c:scatterChart>
        <c:scatterStyle val="smoothMarker"/>
        <c:varyColors val="0"/>
        <c:ser>
          <c:idx val="2"/>
          <c:order val="0"/>
          <c:tx>
            <c:v>Oil production for polymer flooding</c:v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K'!$E$60:$E$80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K'!$C$60:$C$80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2151.0029618699523</c:v>
                </c:pt>
                <c:pt idx="2">
                  <c:v>837.44299939765449</c:v>
                </c:pt>
                <c:pt idx="3">
                  <c:v>464.48206879209778</c:v>
                </c:pt>
                <c:pt idx="4">
                  <c:v>879.22552727260211</c:v>
                </c:pt>
                <c:pt idx="5">
                  <c:v>1172.7973398506283</c:v>
                </c:pt>
                <c:pt idx="6">
                  <c:v>762.22723230739791</c:v>
                </c:pt>
                <c:pt idx="7">
                  <c:v>532.4943091153641</c:v>
                </c:pt>
                <c:pt idx="8">
                  <c:v>385.62532558445054</c:v>
                </c:pt>
                <c:pt idx="9">
                  <c:v>297.28831719551573</c:v>
                </c:pt>
                <c:pt idx="10">
                  <c:v>239.52342364366146</c:v>
                </c:pt>
                <c:pt idx="11">
                  <c:v>204.81367960132735</c:v>
                </c:pt>
                <c:pt idx="12">
                  <c:v>172.32866861934008</c:v>
                </c:pt>
                <c:pt idx="13">
                  <c:v>145.31600260576394</c:v>
                </c:pt>
                <c:pt idx="14">
                  <c:v>123.32291834679604</c:v>
                </c:pt>
                <c:pt idx="15">
                  <c:v>106.07614496459011</c:v>
                </c:pt>
                <c:pt idx="16">
                  <c:v>91.096496265858761</c:v>
                </c:pt>
                <c:pt idx="17">
                  <c:v>81.842404938051388</c:v>
                </c:pt>
                <c:pt idx="18">
                  <c:v>72.960119163292092</c:v>
                </c:pt>
                <c:pt idx="19">
                  <c:v>65.578362434628758</c:v>
                </c:pt>
                <c:pt idx="20">
                  <c:v>59.34996803752896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26-4248-AA84-04C350B52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902378451837574"/>
              <c:y val="0.932107019835515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inorUnit val="1"/>
      </c:valAx>
      <c:valAx>
        <c:axId val="206380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Barrels/day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7.9571946425897669E-3"/>
              <c:y val="0.2881047738184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4025514419617691"/>
          <c:y val="0.32299435642567087"/>
          <c:w val="0.3217567160278027"/>
          <c:h val="0.2176872821237902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2"/>
          <c:order val="0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T2'!$A$64:$A$81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</c:numCache>
            </c:numRef>
          </c:xVal>
          <c:yVal>
            <c:numRef>
              <c:f>'Appendix T2'!$B$64:$B$81</c:f>
              <c:numCache>
                <c:formatCode>General</c:formatCode>
                <c:ptCount val="18"/>
                <c:pt idx="0">
                  <c:v>0.97850064001633608</c:v>
                </c:pt>
                <c:pt idx="1">
                  <c:v>0.97269439235592869</c:v>
                </c:pt>
                <c:pt idx="2">
                  <c:v>0.96737466178822207</c:v>
                </c:pt>
                <c:pt idx="3">
                  <c:v>0.96181321039544632</c:v>
                </c:pt>
                <c:pt idx="4">
                  <c:v>0.95635836981642786</c:v>
                </c:pt>
                <c:pt idx="5">
                  <c:v>0.95101044488200615</c:v>
                </c:pt>
                <c:pt idx="6">
                  <c:v>0.94574460594855125</c:v>
                </c:pt>
                <c:pt idx="7">
                  <c:v>0.94011126124477473</c:v>
                </c:pt>
                <c:pt idx="8">
                  <c:v>0.93550209355217562</c:v>
                </c:pt>
                <c:pt idx="9">
                  <c:v>0.93042852986445068</c:v>
                </c:pt>
                <c:pt idx="10">
                  <c:v>0.92541075255096383</c:v>
                </c:pt>
                <c:pt idx="11">
                  <c:v>0.92044371398269931</c:v>
                </c:pt>
                <c:pt idx="12">
                  <c:v>0.91551857920504232</c:v>
                </c:pt>
                <c:pt idx="13">
                  <c:v>0.90992656299644237</c:v>
                </c:pt>
                <c:pt idx="14">
                  <c:v>0.90587106190039313</c:v>
                </c:pt>
                <c:pt idx="15">
                  <c:v>0.90106837194683775</c:v>
                </c:pt>
                <c:pt idx="16">
                  <c:v>0.89630273500510449</c:v>
                </c:pt>
                <c:pt idx="17">
                  <c:v>0.89158120209838088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FD-46DC-8C59-01945F398594}"/>
            </c:ext>
          </c:extLst>
        </c:ser>
        <c:ser>
          <c:idx val="0"/>
          <c:order val="1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S'!$A$255:$A$274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S'!$C$255:$C$274</c:f>
              <c:numCache>
                <c:formatCode>0.0000</c:formatCode>
                <c:ptCount val="20"/>
                <c:pt idx="0">
                  <c:v>0.9882866897633964</c:v>
                </c:pt>
                <c:pt idx="1">
                  <c:v>0.98331508311625992</c:v>
                </c:pt>
                <c:pt idx="2">
                  <c:v>0.9763986926166548</c:v>
                </c:pt>
                <c:pt idx="3">
                  <c:v>0.98288506170789902</c:v>
                </c:pt>
                <c:pt idx="4">
                  <c:v>0.98528756280797669</c:v>
                </c:pt>
                <c:pt idx="5">
                  <c:v>0.98179256967998829</c:v>
                </c:pt>
                <c:pt idx="6">
                  <c:v>0.97725875518556593</c:v>
                </c:pt>
                <c:pt idx="7">
                  <c:v>0.9713638943768883</c:v>
                </c:pt>
                <c:pt idx="8">
                  <c:v>0.96484760129518066</c:v>
                </c:pt>
                <c:pt idx="9">
                  <c:v>0.95816094313665534</c:v>
                </c:pt>
                <c:pt idx="10">
                  <c:v>0.95160758579415694</c:v>
                </c:pt>
                <c:pt idx="11">
                  <c:v>0.94369401838931055</c:v>
                </c:pt>
                <c:pt idx="12">
                  <c:v>0.93461230234187365</c:v>
                </c:pt>
                <c:pt idx="13">
                  <c:v>0.92451609662971701</c:v>
                </c:pt>
                <c:pt idx="14">
                  <c:v>0.91369067153083827</c:v>
                </c:pt>
                <c:pt idx="15">
                  <c:v>0.90179775493280911</c:v>
                </c:pt>
                <c:pt idx="16">
                  <c:v>0.89077944278380583</c:v>
                </c:pt>
                <c:pt idx="17">
                  <c:v>0.87856813997495975</c:v>
                </c:pt>
                <c:pt idx="18">
                  <c:v>0.86589674640637915</c:v>
                </c:pt>
                <c:pt idx="19">
                  <c:v>0.85274295696325053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FD-46DC-8C59-01945F398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</c:valAx>
      <c:valAx>
        <c:axId val="206380160"/>
        <c:scaling>
          <c:orientation val="minMax"/>
          <c:max val="1"/>
          <c:min val="0.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ERF </a:t>
                </a:r>
              </a:p>
            </c:rich>
          </c:tx>
          <c:layout>
            <c:manualLayout>
              <c:xMode val="edge"/>
              <c:yMode val="edge"/>
              <c:x val="1.5363779527559055E-2"/>
              <c:y val="0.32648362853998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.000000000000001E-2"/>
        <c:minorUnit val="5.000000000000001E-3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19884061334438458"/>
          <c:y val="0.56775338441903378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1450476585164"/>
          <c:y val="2.8379772961816305E-2"/>
          <c:w val="0.87042702030667207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S'!$A$4:$A$24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S'!$F$4:$F$24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23623.759004682131</c:v>
                </c:pt>
                <c:pt idx="2">
                  <c:v>35519.729010018047</c:v>
                </c:pt>
                <c:pt idx="3">
                  <c:v>44330.266974370148</c:v>
                </c:pt>
                <c:pt idx="4">
                  <c:v>57940.096560777311</c:v>
                </c:pt>
                <c:pt idx="5">
                  <c:v>73870.73200132059</c:v>
                </c:pt>
                <c:pt idx="6">
                  <c:v>86234.149166670148</c:v>
                </c:pt>
                <c:pt idx="7">
                  <c:v>96693.097157518379</c:v>
                </c:pt>
                <c:pt idx="8">
                  <c:v>105983.34054251872</c:v>
                </c:pt>
                <c:pt idx="9">
                  <c:v>114607.15142050797</c:v>
                </c:pt>
                <c:pt idx="10">
                  <c:v>122751.97307192294</c:v>
                </c:pt>
                <c:pt idx="11">
                  <c:v>130738.11823859063</c:v>
                </c:pt>
                <c:pt idx="12">
                  <c:v>138484.75688402628</c:v>
                </c:pt>
                <c:pt idx="13">
                  <c:v>146010.11565596372</c:v>
                </c:pt>
                <c:pt idx="14">
                  <c:v>153330.03248710459</c:v>
                </c:pt>
                <c:pt idx="15">
                  <c:v>160484.9232859305</c:v>
                </c:pt>
                <c:pt idx="16">
                  <c:v>167426.64442537932</c:v>
                </c:pt>
                <c:pt idx="17">
                  <c:v>174344.06029213237</c:v>
                </c:pt>
                <c:pt idx="18">
                  <c:v>181171.96342012635</c:v>
                </c:pt>
                <c:pt idx="19">
                  <c:v>187924.00654227467</c:v>
                </c:pt>
                <c:pt idx="20">
                  <c:v>194610.73715989967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6A-4C4D-AF0B-1F3D77240905}"/>
            </c:ext>
          </c:extLst>
        </c:ser>
        <c:ser>
          <c:idx val="2"/>
          <c:order val="1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S'!$A$4:$A$24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S'!$E$4:$E$24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22194.202981909391</c:v>
                </c:pt>
                <c:pt idx="2">
                  <c:v>33454.472010387122</c:v>
                </c:pt>
                <c:pt idx="3">
                  <c:v>41571.367803851725</c:v>
                </c:pt>
                <c:pt idx="4">
                  <c:v>48484.870623511553</c:v>
                </c:pt>
                <c:pt idx="5">
                  <c:v>54861.414808639849</c:v>
                </c:pt>
                <c:pt idx="6">
                  <c:v>60835.002035193109</c:v>
                </c:pt>
                <c:pt idx="7">
                  <c:v>66530.172562515319</c:v>
                </c:pt>
                <c:pt idx="8">
                  <c:v>72020.388316108671</c:v>
                </c:pt>
                <c:pt idx="9">
                  <c:v>77352.099493271511</c:v>
                </c:pt>
                <c:pt idx="10">
                  <c:v>82505.480902695184</c:v>
                </c:pt>
                <c:pt idx="11">
                  <c:v>87606.604264619033</c:v>
                </c:pt>
                <c:pt idx="12">
                  <c:v>92619.142266873925</c:v>
                </c:pt>
                <c:pt idx="13">
                  <c:v>97555.79516681422</c:v>
                </c:pt>
                <c:pt idx="14">
                  <c:v>102426.42372901661</c:v>
                </c:pt>
                <c:pt idx="15">
                  <c:v>107238.82073509909</c:v>
                </c:pt>
                <c:pt idx="16">
                  <c:v>111953.78186417776</c:v>
                </c:pt>
                <c:pt idx="17">
                  <c:v>116667.81984136494</c:v>
                </c:pt>
                <c:pt idx="18">
                  <c:v>121339.17226183451</c:v>
                </c:pt>
                <c:pt idx="19">
                  <c:v>125971.52685963974</c:v>
                </c:pt>
                <c:pt idx="20">
                  <c:v>130568.05924723043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6A-4C4D-AF0B-1F3D77240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</c:valAx>
      <c:valAx>
        <c:axId val="206380160"/>
        <c:scaling>
          <c:orientation val="minMax"/>
          <c:max val="25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Destroyed Exergy (MWh)</a:t>
                </a:r>
              </a:p>
            </c:rich>
          </c:tx>
          <c:layout>
            <c:manualLayout>
              <c:xMode val="edge"/>
              <c:yMode val="edge"/>
              <c:x val="1.1153253211769581E-2"/>
              <c:y val="0.221374127406647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0305113966017402"/>
          <c:y val="0.18673144281067225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1450476585164"/>
          <c:y val="2.8379772961816305E-2"/>
          <c:w val="0.87042702030667207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S'!$A$30:$A$50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S'!$F$30:$F$50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6795.4111676859829</c:v>
                </c:pt>
                <c:pt idx="2">
                  <c:v>11773.204761234025</c:v>
                </c:pt>
                <c:pt idx="3">
                  <c:v>16198.980505774674</c:v>
                </c:pt>
                <c:pt idx="4">
                  <c:v>20731.211954395898</c:v>
                </c:pt>
                <c:pt idx="5">
                  <c:v>25611.666572538874</c:v>
                </c:pt>
                <c:pt idx="6">
                  <c:v>29978.539071909356</c:v>
                </c:pt>
                <c:pt idx="7">
                  <c:v>34108.295622036414</c:v>
                </c:pt>
                <c:pt idx="8">
                  <c:v>38110.252867984877</c:v>
                </c:pt>
                <c:pt idx="9">
                  <c:v>42053.662307475766</c:v>
                </c:pt>
                <c:pt idx="10">
                  <c:v>45948.87029265624</c:v>
                </c:pt>
                <c:pt idx="11">
                  <c:v>49858.741006871998</c:v>
                </c:pt>
                <c:pt idx="12">
                  <c:v>53744.562339554264</c:v>
                </c:pt>
                <c:pt idx="13">
                  <c:v>57595.107062249452</c:v>
                </c:pt>
                <c:pt idx="14">
                  <c:v>61403.498394109301</c:v>
                </c:pt>
                <c:pt idx="15">
                  <c:v>65175.946895529887</c:v>
                </c:pt>
                <c:pt idx="16">
                  <c:v>68893.796014408872</c:v>
                </c:pt>
                <c:pt idx="17">
                  <c:v>72609.307527355835</c:v>
                </c:pt>
                <c:pt idx="18">
                  <c:v>76301.10726219276</c:v>
                </c:pt>
                <c:pt idx="19">
                  <c:v>79971.511500423803</c:v>
                </c:pt>
                <c:pt idx="20">
                  <c:v>83622.362151548063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5A-4753-95DD-F2024F0780DC}"/>
            </c:ext>
          </c:extLst>
        </c:ser>
        <c:ser>
          <c:idx val="2"/>
          <c:order val="1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S'!$A$30:$A$50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S'!$E$30:$E$50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4953.9397910710959</c:v>
                </c:pt>
                <c:pt idx="2">
                  <c:v>9110.5334028070029</c:v>
                </c:pt>
                <c:pt idx="3">
                  <c:v>13008.124940838496</c:v>
                </c:pt>
                <c:pt idx="4">
                  <c:v>16782.860612758308</c:v>
                </c:pt>
                <c:pt idx="5">
                  <c:v>20523.933526866964</c:v>
                </c:pt>
                <c:pt idx="6">
                  <c:v>24223.274000990466</c:v>
                </c:pt>
                <c:pt idx="7">
                  <c:v>27890.432451647026</c:v>
                </c:pt>
                <c:pt idx="8">
                  <c:v>31531.057498184411</c:v>
                </c:pt>
                <c:pt idx="9">
                  <c:v>35148.810068841478</c:v>
                </c:pt>
                <c:pt idx="10">
                  <c:v>38723.872723700115</c:v>
                </c:pt>
                <c:pt idx="11">
                  <c:v>42302.656985461312</c:v>
                </c:pt>
                <c:pt idx="12">
                  <c:v>45864.120729390081</c:v>
                </c:pt>
                <c:pt idx="13">
                  <c:v>49409.42889487667</c:v>
                </c:pt>
                <c:pt idx="14">
                  <c:v>52939.508504141682</c:v>
                </c:pt>
                <c:pt idx="15">
                  <c:v>56455.124556360053</c:v>
                </c:pt>
                <c:pt idx="16">
                  <c:v>59934.992792553232</c:v>
                </c:pt>
                <c:pt idx="17">
                  <c:v>63423.26242116496</c:v>
                </c:pt>
                <c:pt idx="18">
                  <c:v>66898.459698258812</c:v>
                </c:pt>
                <c:pt idx="19">
                  <c:v>70361.025447756445</c:v>
                </c:pt>
                <c:pt idx="20">
                  <c:v>73811.347662185552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5A-4753-95DD-F2024F07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</c:valAx>
      <c:valAx>
        <c:axId val="206380160"/>
        <c:scaling>
          <c:orientation val="minMax"/>
          <c:max val="9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Fuel (MWh)</a:t>
                </a:r>
              </a:p>
            </c:rich>
          </c:tx>
          <c:layout>
            <c:manualLayout>
              <c:xMode val="edge"/>
              <c:yMode val="edge"/>
              <c:x val="1.1153253211769581E-2"/>
              <c:y val="0.221374127406647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5000"/>
        <c:minorUnit val="5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1041956071280565"/>
          <c:y val="0.62468769753292686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S'!$A$57:$A$77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S'!$F$57:$F$77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2596974.6858842336</c:v>
                </c:pt>
                <c:pt idx="2">
                  <c:v>3608293.0949874776</c:v>
                </c:pt>
                <c:pt idx="3">
                  <c:v>4169122.7767462586</c:v>
                </c:pt>
                <c:pt idx="4">
                  <c:v>5229136.007609115</c:v>
                </c:pt>
                <c:pt idx="5">
                  <c:v>6643659.6373153822</c:v>
                </c:pt>
                <c:pt idx="6">
                  <c:v>7562531.184297597</c:v>
                </c:pt>
                <c:pt idx="7">
                  <c:v>8204039.802669961</c:v>
                </c:pt>
                <c:pt idx="8">
                  <c:v>8668216.0704170987</c:v>
                </c:pt>
                <c:pt idx="9">
                  <c:v>9025722.8346925378</c:v>
                </c:pt>
                <c:pt idx="10">
                  <c:v>9313492.9361056928</c:v>
                </c:pt>
                <c:pt idx="11">
                  <c:v>9559316.9164982047</c:v>
                </c:pt>
                <c:pt idx="12">
                  <c:v>9765910.5970514901</c:v>
                </c:pt>
                <c:pt idx="13">
                  <c:v>9939886.8020879552</c:v>
                </c:pt>
                <c:pt idx="14">
                  <c:v>10087313.043526627</c:v>
                </c:pt>
                <c:pt idx="15">
                  <c:v>10213919.744031206</c:v>
                </c:pt>
                <c:pt idx="16">
                  <c:v>10322466.857704977</c:v>
                </c:pt>
                <c:pt idx="17">
                  <c:v>10419819.660608673</c:v>
                </c:pt>
                <c:pt idx="18">
                  <c:v>10506450.161538674</c:v>
                </c:pt>
                <c:pt idx="19">
                  <c:v>10584169.732698096</c:v>
                </c:pt>
                <c:pt idx="20">
                  <c:v>10654370.662008956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A6-49EA-AEB2-E2084CF01C9D}"/>
            </c:ext>
          </c:extLst>
        </c:ser>
        <c:ser>
          <c:idx val="2"/>
          <c:order val="1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S'!$A$57:$A$77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S'!$E$57:$E$77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2605884.4169723713</c:v>
                </c:pt>
                <c:pt idx="2">
                  <c:v>3617288.732349386</c:v>
                </c:pt>
                <c:pt idx="3">
                  <c:v>4176118.7319691498</c:v>
                </c:pt>
                <c:pt idx="4">
                  <c:v>4567548.8964577373</c:v>
                </c:pt>
                <c:pt idx="5">
                  <c:v>4877664.2133798599</c:v>
                </c:pt>
                <c:pt idx="6">
                  <c:v>5130969.8146321652</c:v>
                </c:pt>
                <c:pt idx="7">
                  <c:v>5345497.2953563621</c:v>
                </c:pt>
                <c:pt idx="8">
                  <c:v>5531880.7148044184</c:v>
                </c:pt>
                <c:pt idx="9">
                  <c:v>5696831.3875307729</c:v>
                </c:pt>
                <c:pt idx="10">
                  <c:v>5842575.7168604797</c:v>
                </c:pt>
                <c:pt idx="11">
                  <c:v>5977152.2961903326</c:v>
                </c:pt>
                <c:pt idx="12">
                  <c:v>6100392.4940685509</c:v>
                </c:pt>
                <c:pt idx="13">
                  <c:v>6214108.0945808403</c:v>
                </c:pt>
                <c:pt idx="14">
                  <c:v>6319702.6188103966</c:v>
                </c:pt>
                <c:pt idx="15">
                  <c:v>6418280.6609400799</c:v>
                </c:pt>
                <c:pt idx="16">
                  <c:v>6509260.0843737414</c:v>
                </c:pt>
                <c:pt idx="17">
                  <c:v>6596399.1488463404</c:v>
                </c:pt>
                <c:pt idx="18">
                  <c:v>6678744.3993782103</c:v>
                </c:pt>
                <c:pt idx="19">
                  <c:v>6756807.4066108633</c:v>
                </c:pt>
                <c:pt idx="20">
                  <c:v>6831027.5119593991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A6-49EA-AEB2-E2084CF0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1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Product (MWh)</a:t>
                </a:r>
              </a:p>
            </c:rich>
          </c:tx>
          <c:layout>
            <c:manualLayout>
              <c:xMode val="edge"/>
              <c:yMode val="edge"/>
              <c:x val="1.1153253211769581E-2"/>
              <c:y val="0.221374127406647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00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1041956071280565"/>
          <c:y val="0.53271688404125339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513468711148"/>
          <c:y val="2.8379772961816305E-2"/>
          <c:w val="0.85569017820140902"/>
          <c:h val="0.85531717027318876"/>
        </c:manualLayout>
      </c:layout>
      <c:scatterChart>
        <c:scatterStyle val="smoothMarker"/>
        <c:varyColors val="0"/>
        <c:ser>
          <c:idx val="2"/>
          <c:order val="0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S'!$A$84:$A$103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S'!$B$84:$B$103</c:f>
              <c:numCache>
                <c:formatCode>0.0</c:formatCode>
                <c:ptCount val="20"/>
                <c:pt idx="0">
                  <c:v>526.02262580364356</c:v>
                </c:pt>
                <c:pt idx="1">
                  <c:v>243.32528263561093</c:v>
                </c:pt>
                <c:pt idx="2">
                  <c:v>143.37828737744155</c:v>
                </c:pt>
                <c:pt idx="3">
                  <c:v>103.69737075907834</c:v>
                </c:pt>
                <c:pt idx="4">
                  <c:v>82.894753468340312</c:v>
                </c:pt>
                <c:pt idx="5">
                  <c:v>68.473178671752905</c:v>
                </c:pt>
                <c:pt idx="6">
                  <c:v>58.499648600072902</c:v>
                </c:pt>
                <c:pt idx="7">
                  <c:v>51.195445030881828</c:v>
                </c:pt>
                <c:pt idx="8">
                  <c:v>45.594791104355608</c:v>
                </c:pt>
                <c:pt idx="9">
                  <c:v>40.766930093276741</c:v>
                </c:pt>
                <c:pt idx="10">
                  <c:v>37.603993280004147</c:v>
                </c:pt>
                <c:pt idx="11">
                  <c:v>34.603805272005395</c:v>
                </c:pt>
                <c:pt idx="12">
                  <c:v>32.074955181415596</c:v>
                </c:pt>
                <c:pt idx="13">
                  <c:v>29.912788355371415</c:v>
                </c:pt>
                <c:pt idx="14">
                  <c:v>28.040047794036024</c:v>
                </c:pt>
                <c:pt idx="15">
                  <c:v>26.144502394489628</c:v>
                </c:pt>
                <c:pt idx="16">
                  <c:v>24.980598907223449</c:v>
                </c:pt>
                <c:pt idx="17">
                  <c:v>23.695129791518358</c:v>
                </c:pt>
                <c:pt idx="18">
                  <c:v>22.544844742364457</c:v>
                </c:pt>
                <c:pt idx="19">
                  <c:v>21.5110649776854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D8-4DB6-82F0-EE130D101B7D}"/>
            </c:ext>
          </c:extLst>
        </c:ser>
        <c:ser>
          <c:idx val="0"/>
          <c:order val="1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S'!$A$84:$A$103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S'!$C$84:$C$103</c:f>
              <c:numCache>
                <c:formatCode>0.0</c:formatCode>
                <c:ptCount val="20"/>
                <c:pt idx="0">
                  <c:v>382.16593842526413</c:v>
                </c:pt>
                <c:pt idx="1">
                  <c:v>203.16599917161335</c:v>
                </c:pt>
                <c:pt idx="2">
                  <c:v>126.7189559820296</c:v>
                </c:pt>
                <c:pt idx="3">
                  <c:v>233.88329631429767</c:v>
                </c:pt>
                <c:pt idx="4">
                  <c:v>289.83439871519511</c:v>
                </c:pt>
                <c:pt idx="5">
                  <c:v>210.41867998543063</c:v>
                </c:pt>
                <c:pt idx="6">
                  <c:v>155.33811995591543</c:v>
                </c:pt>
                <c:pt idx="7">
                  <c:v>115.98731301216782</c:v>
                </c:pt>
                <c:pt idx="8">
                  <c:v>90.659306308703989</c:v>
                </c:pt>
                <c:pt idx="9">
                  <c:v>73.877980972515928</c:v>
                </c:pt>
                <c:pt idx="10">
                  <c:v>62.87266213144315</c:v>
                </c:pt>
                <c:pt idx="11">
                  <c:v>53.166026655857557</c:v>
                </c:pt>
                <c:pt idx="12">
                  <c:v>45.182232012797265</c:v>
                </c:pt>
                <c:pt idx="13">
                  <c:v>38.710896174284592</c:v>
                </c:pt>
                <c:pt idx="14">
                  <c:v>33.560882396910948</c:v>
                </c:pt>
                <c:pt idx="15">
                  <c:v>29.19621270335448</c:v>
                </c:pt>
                <c:pt idx="16">
                  <c:v>26.201722848782222</c:v>
                </c:pt>
                <c:pt idx="17">
                  <c:v>23.465655548032235</c:v>
                </c:pt>
                <c:pt idx="18">
                  <c:v>21.174662548035492</c:v>
                </c:pt>
                <c:pt idx="19">
                  <c:v>19.228649983050648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D8-4DB6-82F0-EE130D101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inorUnit val="1"/>
      </c:valAx>
      <c:valAx>
        <c:axId val="206380160"/>
        <c:scaling>
          <c:orientation val="minMax"/>
          <c:max val="4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EROI</a:t>
                </a:r>
              </a:p>
            </c:rich>
          </c:tx>
          <c:layout>
            <c:manualLayout>
              <c:xMode val="edge"/>
              <c:yMode val="edge"/>
              <c:x val="2.3784832159138004E-2"/>
              <c:y val="0.38341794165388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1041956071280565"/>
          <c:y val="0.28308181884956823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S'!$A$112:$A$131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S'!$C$112:$C$131</c:f>
              <c:numCache>
                <c:formatCode>0.00</c:formatCode>
                <c:ptCount val="20"/>
                <c:pt idx="0">
                  <c:v>3.4764281986378531</c:v>
                </c:pt>
                <c:pt idx="1">
                  <c:v>2.3898078097803919</c:v>
                </c:pt>
                <c:pt idx="2">
                  <c:v>1.9907330314284917</c:v>
                </c:pt>
                <c:pt idx="3">
                  <c:v>3.0028981839723761</c:v>
                </c:pt>
                <c:pt idx="4">
                  <c:v>3.2641703871851413</c:v>
                </c:pt>
                <c:pt idx="5">
                  <c:v>2.8311834538635687</c:v>
                </c:pt>
                <c:pt idx="6">
                  <c:v>2.5325822149313999</c:v>
                </c:pt>
                <c:pt idx="7">
                  <c:v>2.3214249463573546</c:v>
                </c:pt>
                <c:pt idx="8">
                  <c:v>2.1868920816659134</c:v>
                </c:pt>
                <c:pt idx="9">
                  <c:v>2.0909850468581861</c:v>
                </c:pt>
                <c:pt idx="10">
                  <c:v>2.0425599080888168</c:v>
                </c:pt>
                <c:pt idx="11">
                  <c:v>1.9935653191981342</c:v>
                </c:pt>
                <c:pt idx="12">
                  <c:v>1.9543621263721029</c:v>
                </c:pt>
                <c:pt idx="13">
                  <c:v>1.9220495461967522</c:v>
                </c:pt>
                <c:pt idx="14">
                  <c:v>1.8966172225098943</c:v>
                </c:pt>
                <c:pt idx="15">
                  <c:v>1.8671336349286485</c:v>
                </c:pt>
                <c:pt idx="16">
                  <c:v>1.8617667695682842</c:v>
                </c:pt>
                <c:pt idx="17">
                  <c:v>1.8494781999044614</c:v>
                </c:pt>
                <c:pt idx="18">
                  <c:v>1.8395911414385486</c:v>
                </c:pt>
                <c:pt idx="19">
                  <c:v>1.8315541380926803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21-46FC-B536-43DCC13DB542}"/>
            </c:ext>
          </c:extLst>
        </c:ser>
        <c:ser>
          <c:idx val="2"/>
          <c:order val="1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S'!$A$112:$A$131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S'!$B$112:$B$131</c:f>
              <c:numCache>
                <c:formatCode>0.00</c:formatCode>
                <c:ptCount val="20"/>
                <c:pt idx="0">
                  <c:v>4.4801115713824133</c:v>
                </c:pt>
                <c:pt idx="1">
                  <c:v>2.7090136973422179</c:v>
                </c:pt>
                <c:pt idx="2">
                  <c:v>2.0825414141688383</c:v>
                </c:pt>
                <c:pt idx="3">
                  <c:v>1.8315197196691799</c:v>
                </c:pt>
                <c:pt idx="4">
                  <c:v>1.7044693678865568</c:v>
                </c:pt>
                <c:pt idx="5">
                  <c:v>1.6147708674932393</c:v>
                </c:pt>
                <c:pt idx="6">
                  <c:v>1.5530200300733001</c:v>
                </c:pt>
                <c:pt idx="7">
                  <c:v>1.5080420761306121</c:v>
                </c:pt>
                <c:pt idx="8">
                  <c:v>1.4737633580602996</c:v>
                </c:pt>
                <c:pt idx="9">
                  <c:v>1.4414800262087848</c:v>
                </c:pt>
                <c:pt idx="10">
                  <c:v>1.4253788406383225</c:v>
                </c:pt>
                <c:pt idx="11">
                  <c:v>1.4074376050576891</c:v>
                </c:pt>
                <c:pt idx="12">
                  <c:v>1.3924467689433535</c:v>
                </c:pt>
                <c:pt idx="13">
                  <c:v>1.3797503459749134</c:v>
                </c:pt>
                <c:pt idx="14">
                  <c:v>1.3688630767986831</c:v>
                </c:pt>
                <c:pt idx="15">
                  <c:v>1.3549251894194199</c:v>
                </c:pt>
                <c:pt idx="16">
                  <c:v>1.3513972482291432</c:v>
                </c:pt>
                <c:pt idx="17">
                  <c:v>1.344197767205898</c:v>
                </c:pt>
                <c:pt idx="18">
                  <c:v>1.337838739517742</c:v>
                </c:pt>
                <c:pt idx="19">
                  <c:v>1.3322038064642698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21-46FC-B536-43DCC13DB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ExD/ExF</a:t>
                </a:r>
              </a:p>
            </c:rich>
          </c:tx>
          <c:layout>
            <c:manualLayout>
              <c:xMode val="edge"/>
              <c:yMode val="edge"/>
              <c:x val="2.1679569001243265E-2"/>
              <c:y val="0.330863191087210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8936692913385822"/>
          <c:y val="0.17359275516900455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S'!$A$112:$A$131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S'!$C$112:$C$131</c:f>
              <c:numCache>
                <c:formatCode>0.00</c:formatCode>
                <c:ptCount val="20"/>
                <c:pt idx="0">
                  <c:v>3.4764281986378531</c:v>
                </c:pt>
                <c:pt idx="1">
                  <c:v>2.3898078097803919</c:v>
                </c:pt>
                <c:pt idx="2">
                  <c:v>1.9907330314284917</c:v>
                </c:pt>
                <c:pt idx="3">
                  <c:v>3.0028981839723761</c:v>
                </c:pt>
                <c:pt idx="4">
                  <c:v>3.2641703871851413</c:v>
                </c:pt>
                <c:pt idx="5">
                  <c:v>2.8311834538635687</c:v>
                </c:pt>
                <c:pt idx="6">
                  <c:v>2.5325822149313999</c:v>
                </c:pt>
                <c:pt idx="7">
                  <c:v>2.3214249463573546</c:v>
                </c:pt>
                <c:pt idx="8">
                  <c:v>2.1868920816659134</c:v>
                </c:pt>
                <c:pt idx="9">
                  <c:v>2.0909850468581861</c:v>
                </c:pt>
                <c:pt idx="10">
                  <c:v>2.0425599080888168</c:v>
                </c:pt>
                <c:pt idx="11">
                  <c:v>1.9935653191981342</c:v>
                </c:pt>
                <c:pt idx="12">
                  <c:v>1.9543621263721029</c:v>
                </c:pt>
                <c:pt idx="13">
                  <c:v>1.9220495461967522</c:v>
                </c:pt>
                <c:pt idx="14">
                  <c:v>1.8966172225098943</c:v>
                </c:pt>
                <c:pt idx="15">
                  <c:v>1.8671336349286485</c:v>
                </c:pt>
                <c:pt idx="16">
                  <c:v>1.8617667695682842</c:v>
                </c:pt>
                <c:pt idx="17">
                  <c:v>1.8494781999044614</c:v>
                </c:pt>
                <c:pt idx="18">
                  <c:v>1.8395911414385486</c:v>
                </c:pt>
                <c:pt idx="19">
                  <c:v>1.8315541380926803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21-46FC-B536-43DCC13DB542}"/>
            </c:ext>
          </c:extLst>
        </c:ser>
        <c:ser>
          <c:idx val="2"/>
          <c:order val="1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S'!$A$112:$A$131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S'!$B$112:$B$131</c:f>
              <c:numCache>
                <c:formatCode>0.00</c:formatCode>
                <c:ptCount val="20"/>
                <c:pt idx="0">
                  <c:v>4.4801115713824133</c:v>
                </c:pt>
                <c:pt idx="1">
                  <c:v>2.7090136973422179</c:v>
                </c:pt>
                <c:pt idx="2">
                  <c:v>2.0825414141688383</c:v>
                </c:pt>
                <c:pt idx="3">
                  <c:v>1.8315197196691799</c:v>
                </c:pt>
                <c:pt idx="4">
                  <c:v>1.7044693678865568</c:v>
                </c:pt>
                <c:pt idx="5">
                  <c:v>1.6147708674932393</c:v>
                </c:pt>
                <c:pt idx="6">
                  <c:v>1.5530200300733001</c:v>
                </c:pt>
                <c:pt idx="7">
                  <c:v>1.5080420761306121</c:v>
                </c:pt>
                <c:pt idx="8">
                  <c:v>1.4737633580602996</c:v>
                </c:pt>
                <c:pt idx="9">
                  <c:v>1.4414800262087848</c:v>
                </c:pt>
                <c:pt idx="10">
                  <c:v>1.4253788406383225</c:v>
                </c:pt>
                <c:pt idx="11">
                  <c:v>1.4074376050576891</c:v>
                </c:pt>
                <c:pt idx="12">
                  <c:v>1.3924467689433535</c:v>
                </c:pt>
                <c:pt idx="13">
                  <c:v>1.3797503459749134</c:v>
                </c:pt>
                <c:pt idx="14">
                  <c:v>1.3688630767986831</c:v>
                </c:pt>
                <c:pt idx="15">
                  <c:v>1.3549251894194199</c:v>
                </c:pt>
                <c:pt idx="16">
                  <c:v>1.3513972482291432</c:v>
                </c:pt>
                <c:pt idx="17">
                  <c:v>1.344197767205898</c:v>
                </c:pt>
                <c:pt idx="18">
                  <c:v>1.337838739517742</c:v>
                </c:pt>
                <c:pt idx="19">
                  <c:v>1.3322038064642698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21-46FC-B536-43DCC13DB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ExD/ExF</a:t>
                </a:r>
              </a:p>
            </c:rich>
          </c:tx>
          <c:layout>
            <c:manualLayout>
              <c:xMode val="edge"/>
              <c:yMode val="edge"/>
              <c:x val="2.1679569001243265E-2"/>
              <c:y val="0.330863191087210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8936692913385822"/>
          <c:y val="0.17359275516900455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Polymer flooding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S'!$A$165:$A$184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S'!$C$165:$C$184</c:f>
              <c:numCache>
                <c:formatCode>0.00</c:formatCode>
                <c:ptCount val="20"/>
                <c:pt idx="0">
                  <c:v>342.06418685836957</c:v>
                </c:pt>
                <c:pt idx="1">
                  <c:v>337.86995165212352</c:v>
                </c:pt>
                <c:pt idx="2">
                  <c:v>343.97368936729856</c:v>
                </c:pt>
                <c:pt idx="3">
                  <c:v>385.87356793673263</c:v>
                </c:pt>
                <c:pt idx="4">
                  <c:v>356.05187278509197</c:v>
                </c:pt>
                <c:pt idx="5">
                  <c:v>359.30299353491858</c:v>
                </c:pt>
                <c:pt idx="6">
                  <c:v>367.39659425292018</c:v>
                </c:pt>
                <c:pt idx="7">
                  <c:v>376.25250873211553</c:v>
                </c:pt>
                <c:pt idx="8">
                  <c:v>384.27488841445955</c:v>
                </c:pt>
                <c:pt idx="9">
                  <c:v>384.97056778822764</c:v>
                </c:pt>
                <c:pt idx="10">
                  <c:v>397.36698966665904</c:v>
                </c:pt>
                <c:pt idx="11">
                  <c:v>401.31278002864423</c:v>
                </c:pt>
                <c:pt idx="12">
                  <c:v>403.42427646334465</c:v>
                </c:pt>
                <c:pt idx="13">
                  <c:v>403.35536708763408</c:v>
                </c:pt>
                <c:pt idx="14">
                  <c:v>403.11937691033575</c:v>
                </c:pt>
                <c:pt idx="15">
                  <c:v>396.40438962051303</c:v>
                </c:pt>
                <c:pt idx="16">
                  <c:v>402.77763875036408</c:v>
                </c:pt>
                <c:pt idx="17">
                  <c:v>402.64790001051858</c:v>
                </c:pt>
                <c:pt idx="18">
                  <c:v>402.5374145832692</c:v>
                </c:pt>
                <c:pt idx="19">
                  <c:v>402.44182499209427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0D-48EF-9166-8FDED5C81BA1}"/>
            </c:ext>
          </c:extLst>
        </c:ser>
        <c:ser>
          <c:idx val="2"/>
          <c:order val="1"/>
          <c:tx>
            <c:v>Waterflooding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S'!$A$165:$A$184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S'!$B$165:$B$184</c:f>
              <c:numCache>
                <c:formatCode>0.00</c:formatCode>
                <c:ptCount val="20"/>
                <c:pt idx="0">
                  <c:v>177.42985349546575</c:v>
                </c:pt>
                <c:pt idx="1">
                  <c:v>168.49063651458908</c:v>
                </c:pt>
                <c:pt idx="2">
                  <c:v>164.30814022603207</c:v>
                </c:pt>
                <c:pt idx="3">
                  <c:v>160.18686041315038</c:v>
                </c:pt>
                <c:pt idx="4">
                  <c:v>161.99397355457535</c:v>
                </c:pt>
                <c:pt idx="5">
                  <c:v>161.45882308247812</c:v>
                </c:pt>
                <c:pt idx="6">
                  <c:v>161.08946954705297</c:v>
                </c:pt>
                <c:pt idx="7">
                  <c:v>160.81791198961287</c:v>
                </c:pt>
                <c:pt idx="8">
                  <c:v>160.60818045097636</c:v>
                </c:pt>
                <c:pt idx="9">
                  <c:v>157.8513941274343</c:v>
                </c:pt>
                <c:pt idx="10">
                  <c:v>160.30374980676078</c:v>
                </c:pt>
                <c:pt idx="11">
                  <c:v>160.18707701735522</c:v>
                </c:pt>
                <c:pt idx="12">
                  <c:v>160.08728888917625</c:v>
                </c:pt>
                <c:pt idx="13">
                  <c:v>160.00060769654146</c:v>
                </c:pt>
                <c:pt idx="14">
                  <c:v>159.92428080311822</c:v>
                </c:pt>
                <c:pt idx="15">
                  <c:v>157.27509793156833</c:v>
                </c:pt>
                <c:pt idx="16">
                  <c:v>159.79570547654129</c:v>
                </c:pt>
                <c:pt idx="17">
                  <c:v>159.74005073951807</c:v>
                </c:pt>
                <c:pt idx="18">
                  <c:v>159.68928648863206</c:v>
                </c:pt>
                <c:pt idx="19">
                  <c:v>159.6427325716482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0D-48EF-9166-8FDED5C81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inorUnit val="1"/>
      </c:valAx>
      <c:valAx>
        <c:axId val="206380160"/>
        <c:scaling>
          <c:orientation val="minMax"/>
          <c:max val="500"/>
          <c:min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 P $/hr</a:t>
                </a:r>
              </a:p>
            </c:rich>
          </c:tx>
          <c:layout>
            <c:manualLayout>
              <c:xMode val="edge"/>
              <c:yMode val="edge"/>
              <c:x val="1.3359136947610985E-2"/>
              <c:y val="0.351338047963148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8418106091831058"/>
          <c:y val="4.3201900406060374E-2"/>
          <c:w val="0.62680063842060196"/>
          <c:h val="0.1473981301576212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69871529216743"/>
          <c:y val="2.8379772961816305E-2"/>
          <c:w val="0.83674280978035642"/>
          <c:h val="0.85531717027318876"/>
        </c:manualLayout>
      </c:layout>
      <c:scatterChart>
        <c:scatterStyle val="smoothMarker"/>
        <c:varyColors val="0"/>
        <c:ser>
          <c:idx val="2"/>
          <c:order val="0"/>
          <c:tx>
            <c:v>Waterflooding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'Appendix S'!$A$191:$A$210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S'!$B$191:$B$210</c:f>
              <c:numCache>
                <c:formatCode>0.0000</c:formatCode>
                <c:ptCount val="20"/>
                <c:pt idx="0">
                  <c:v>0.59645220889194928</c:v>
                </c:pt>
                <c:pt idx="1">
                  <c:v>1.4593352563634354</c:v>
                </c:pt>
                <c:pt idx="2">
                  <c:v>2.5756299936642426</c:v>
                </c:pt>
                <c:pt idx="3">
                  <c:v>3.584897191182387</c:v>
                </c:pt>
                <c:pt idx="4">
                  <c:v>4.5759339539312167</c:v>
                </c:pt>
                <c:pt idx="5">
                  <c:v>5.5836873847637971</c:v>
                </c:pt>
                <c:pt idx="6">
                  <c:v>6.5779160248770001</c:v>
                </c:pt>
                <c:pt idx="7">
                  <c:v>7.5584239907221011</c:v>
                </c:pt>
                <c:pt idx="8">
                  <c:v>8.5293841940528505</c:v>
                </c:pt>
                <c:pt idx="9">
                  <c:v>9.4876982103926011</c:v>
                </c:pt>
                <c:pt idx="10">
                  <c:v>10.434659992845592</c:v>
                </c:pt>
                <c:pt idx="11">
                  <c:v>11.386210171933214</c:v>
                </c:pt>
                <c:pt idx="12">
                  <c:v>12.332209866997383</c:v>
                </c:pt>
                <c:pt idx="13">
                  <c:v>13.273465964718884</c:v>
                </c:pt>
                <c:pt idx="14">
                  <c:v>14.211447798814342</c:v>
                </c:pt>
                <c:pt idx="15">
                  <c:v>15.143312695151673</c:v>
                </c:pt>
                <c:pt idx="16">
                  <c:v>16.064096951771578</c:v>
                </c:pt>
                <c:pt idx="17">
                  <c:v>16.993364346333479</c:v>
                </c:pt>
                <c:pt idx="18">
                  <c:v>17.919859857195963</c:v>
                </c:pt>
                <c:pt idx="19">
                  <c:v>18.842203615320319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57-43DE-AF8C-D4A20EF2FD20}"/>
            </c:ext>
          </c:extLst>
        </c:ser>
        <c:ser>
          <c:idx val="0"/>
          <c:order val="1"/>
          <c:tx>
            <c:v>Polymer flooding</c:v>
          </c:tx>
          <c:spPr>
            <a:ln w="1270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S'!$A$191:$A$210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S'!$C$191:$C$210</c:f>
              <c:numCache>
                <c:formatCode>0.0000</c:formatCode>
                <c:ptCount val="20"/>
                <c:pt idx="0">
                  <c:v>1.153835766350205</c:v>
                </c:pt>
                <c:pt idx="1">
                  <c:v>2.926616137737533</c:v>
                </c:pt>
                <c:pt idx="2">
                  <c:v>5.3727711226124972</c:v>
                </c:pt>
                <c:pt idx="3">
                  <c:v>3.1888776070976359</c:v>
                </c:pt>
                <c:pt idx="4">
                  <c:v>2.2049927905729541</c:v>
                </c:pt>
                <c:pt idx="5">
                  <c:v>3.4253908870102459</c:v>
                </c:pt>
                <c:pt idx="6">
                  <c:v>5.0169149306540772</c:v>
                </c:pt>
                <c:pt idx="7">
                  <c:v>7.1006904176514896</c:v>
                </c:pt>
                <c:pt idx="8">
                  <c:v>9.4159002259245508</c:v>
                </c:pt>
                <c:pt idx="9">
                  <c:v>11.71887613502683</c:v>
                </c:pt>
                <c:pt idx="10">
                  <c:v>14.160273639381566</c:v>
                </c:pt>
                <c:pt idx="11">
                  <c:v>17.016493164921346</c:v>
                </c:pt>
                <c:pt idx="12">
                  <c:v>20.313103513656728</c:v>
                </c:pt>
                <c:pt idx="13">
                  <c:v>23.967191873080019</c:v>
                </c:pt>
                <c:pt idx="14">
                  <c:v>27.892092027205294</c:v>
                </c:pt>
                <c:pt idx="15">
                  <c:v>31.990739647965519</c:v>
                </c:pt>
                <c:pt idx="16">
                  <c:v>36.242737858749791</c:v>
                </c:pt>
                <c:pt idx="17">
                  <c:v>40.715401229668707</c:v>
                </c:pt>
                <c:pt idx="18">
                  <c:v>45.371168409000852</c:v>
                </c:pt>
                <c:pt idx="19">
                  <c:v>50.218571485282702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57-43DE-AF8C-D4A20EF2F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451144633236635"/>
              <c:y val="0.93649634306527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4"/>
        <c:minorUnit val="1"/>
      </c:valAx>
      <c:valAx>
        <c:axId val="20638016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 P $/MWh</a:t>
                </a:r>
              </a:p>
            </c:rich>
          </c:tx>
          <c:layout>
            <c:manualLayout>
              <c:xMode val="edge"/>
              <c:yMode val="edge"/>
              <c:x val="1.3359136947610985E-2"/>
              <c:y val="0.351338047963148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184731256419033"/>
          <c:y val="0.25114409138540805"/>
          <c:w val="0.21650642353916286"/>
          <c:h val="0.1950515771080610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82768723676982"/>
          <c:y val="5.0841856714036571E-2"/>
          <c:w val="0.60573741073063547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'Appendix T2'!$I$134</c:f>
              <c:strCache>
                <c:ptCount val="1"/>
                <c:pt idx="0">
                  <c:v>Analytic option value</c:v>
                </c:pt>
              </c:strCache>
            </c:strRef>
          </c:cat>
          <c:val>
            <c:numRef>
              <c:f>'Appendix T2'!$J$134</c:f>
              <c:numCache>
                <c:formatCode>General</c:formatCode>
                <c:ptCount val="1"/>
                <c:pt idx="0">
                  <c:v>64610198.80302608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8F2-A352-9D3EDD48A72D}"/>
            </c:ext>
          </c:extLst>
        </c:ser>
        <c:ser>
          <c:idx val="1"/>
          <c:order val="1"/>
          <c:tx>
            <c:v>Polymerflooding</c:v>
          </c:tx>
          <c:spPr>
            <a:pattFill prst="ltUpDiag">
              <a:fgClr>
                <a:schemeClr val="accent6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T2'!$I$134</c:f>
              <c:strCache>
                <c:ptCount val="1"/>
                <c:pt idx="0">
                  <c:v>Analytic option value</c:v>
                </c:pt>
              </c:strCache>
            </c:strRef>
          </c:cat>
          <c:val>
            <c:numRef>
              <c:f>'Appendix T2'!$K$134</c:f>
              <c:numCache>
                <c:formatCode>General</c:formatCode>
                <c:ptCount val="1"/>
                <c:pt idx="0">
                  <c:v>10453240.436602682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2-48F2-A352-9D3EDD48A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  <c:max val="90000000"/>
          <c:min val="0"/>
        </c:scaling>
        <c:delete val="0"/>
        <c:axPos val="l"/>
        <c:numFmt formatCode="&quot;$&quot;#,##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5938164068342"/>
          <c:y val="0.34710283124352997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66617569594443"/>
          <c:y val="2.8379808782161193E-2"/>
          <c:w val="0.84082536671403174"/>
          <c:h val="0.90970072239422084"/>
        </c:manualLayout>
      </c:layout>
      <c:scatterChart>
        <c:scatterStyle val="smoothMarker"/>
        <c:varyColors val="0"/>
        <c:ser>
          <c:idx val="4"/>
          <c:order val="0"/>
          <c:tx>
            <c:v>Cumulative NPV scenario 1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K'!$AZ$30:$AZ$51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1376162.5285722613</c:v>
                </c:pt>
                <c:pt idx="2">
                  <c:v>13515087.094790068</c:v>
                </c:pt>
                <c:pt idx="3">
                  <c:v>19175287.531570509</c:v>
                </c:pt>
                <c:pt idx="4">
                  <c:v>32008263.303967398</c:v>
                </c:pt>
                <c:pt idx="5">
                  <c:v>50136024.345283434</c:v>
                </c:pt>
                <c:pt idx="6">
                  <c:v>61013866.946812756</c:v>
                </c:pt>
                <c:pt idx="7">
                  <c:v>67884298.438233286</c:v>
                </c:pt>
                <c:pt idx="8">
                  <c:v>72256974.850375026</c:v>
                </c:pt>
                <c:pt idx="9">
                  <c:v>75025516.662527665</c:v>
                </c:pt>
                <c:pt idx="10">
                  <c:v>76837582.540947005</c:v>
                </c:pt>
                <c:pt idx="11">
                  <c:v>78067057.169576958</c:v>
                </c:pt>
                <c:pt idx="12">
                  <c:v>78838002.724300668</c:v>
                </c:pt>
                <c:pt idx="13">
                  <c:v>79273506.298066378</c:v>
                </c:pt>
                <c:pt idx="14">
                  <c:v>79473598.105185568</c:v>
                </c:pt>
                <c:pt idx="15">
                  <c:v>79514590.065542132</c:v>
                </c:pt>
                <c:pt idx="16">
                  <c:v>79514590.065542132</c:v>
                </c:pt>
                <c:pt idx="17">
                  <c:v>79514590.065542132</c:v>
                </c:pt>
                <c:pt idx="18">
                  <c:v>79514590.065542132</c:v>
                </c:pt>
                <c:pt idx="19">
                  <c:v>79514590.065542132</c:v>
                </c:pt>
                <c:pt idx="20">
                  <c:v>79514590.065542132</c:v>
                </c:pt>
                <c:pt idx="21">
                  <c:v>79514590.065542132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79-41DB-97BB-5330721E4F0A}"/>
            </c:ext>
          </c:extLst>
        </c:ser>
        <c:ser>
          <c:idx val="5"/>
          <c:order val="1"/>
          <c:tx>
            <c:v>Cumulative NPV scenario 2</c:v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K'!$AA$60:$AA$81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1376162.5285722613</c:v>
                </c:pt>
                <c:pt idx="2">
                  <c:v>13009852.888541898</c:v>
                </c:pt>
                <c:pt idx="3">
                  <c:v>18160553.835888483</c:v>
                </c:pt>
                <c:pt idx="4">
                  <c:v>29678384.532998849</c:v>
                </c:pt>
                <c:pt idx="5">
                  <c:v>45679758.13656918</c:v>
                </c:pt>
                <c:pt idx="6">
                  <c:v>54987161.222935319</c:v>
                </c:pt>
                <c:pt idx="7">
                  <c:v>60660741.168318063</c:v>
                </c:pt>
                <c:pt idx="8">
                  <c:v>64114143.601913273</c:v>
                </c:pt>
                <c:pt idx="9">
                  <c:v>66220012.785176106</c:v>
                </c:pt>
                <c:pt idx="10">
                  <c:v>67533222.067604348</c:v>
                </c:pt>
                <c:pt idx="11">
                  <c:v>68364428.27209492</c:v>
                </c:pt>
                <c:pt idx="12">
                  <c:v>68822720.701962635</c:v>
                </c:pt>
                <c:pt idx="13">
                  <c:v>69012401.916326359</c:v>
                </c:pt>
                <c:pt idx="14">
                  <c:v>69013358.38000983</c:v>
                </c:pt>
                <c:pt idx="15">
                  <c:v>69013358.38000983</c:v>
                </c:pt>
                <c:pt idx="16">
                  <c:v>69013358.38000983</c:v>
                </c:pt>
                <c:pt idx="17">
                  <c:v>69013358.38000983</c:v>
                </c:pt>
                <c:pt idx="18">
                  <c:v>69013358.38000983</c:v>
                </c:pt>
                <c:pt idx="19">
                  <c:v>69013358.38000983</c:v>
                </c:pt>
                <c:pt idx="20">
                  <c:v>69013358.38000983</c:v>
                </c:pt>
                <c:pt idx="21">
                  <c:v>69013358.38000983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279-41DB-97BB-5330721E4F0A}"/>
            </c:ext>
          </c:extLst>
        </c:ser>
        <c:ser>
          <c:idx val="6"/>
          <c:order val="2"/>
          <c:tx>
            <c:v>Cumulative NPV scenario 3</c:v>
          </c:tx>
          <c:spPr>
            <a:ln w="127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K'!$AA$90:$AA$111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1376162.5285722613</c:v>
                </c:pt>
                <c:pt idx="2">
                  <c:v>12612883.155061191</c:v>
                </c:pt>
                <c:pt idx="3">
                  <c:v>17363263.074995462</c:v>
                </c:pt>
                <c:pt idx="4">
                  <c:v>27847765.498666417</c:v>
                </c:pt>
                <c:pt idx="5">
                  <c:v>42178406.115436554</c:v>
                </c:pt>
                <c:pt idx="6">
                  <c:v>50251892.439888768</c:v>
                </c:pt>
                <c:pt idx="7">
                  <c:v>54985089.027670383</c:v>
                </c:pt>
                <c:pt idx="8">
                  <c:v>57716204.763836168</c:v>
                </c:pt>
                <c:pt idx="9">
                  <c:v>59190080.606583714</c:v>
                </c:pt>
                <c:pt idx="10">
                  <c:v>59948255.748427264</c:v>
                </c:pt>
                <c:pt idx="11">
                  <c:v>60276386.048741773</c:v>
                </c:pt>
                <c:pt idx="12">
                  <c:v>60295093.529559836</c:v>
                </c:pt>
                <c:pt idx="13">
                  <c:v>60295093.529559836</c:v>
                </c:pt>
                <c:pt idx="14">
                  <c:v>60295093.529559836</c:v>
                </c:pt>
                <c:pt idx="15">
                  <c:v>60295093.529559836</c:v>
                </c:pt>
                <c:pt idx="16">
                  <c:v>60295093.529559836</c:v>
                </c:pt>
                <c:pt idx="17">
                  <c:v>60295093.529559836</c:v>
                </c:pt>
                <c:pt idx="18">
                  <c:v>60295093.529559836</c:v>
                </c:pt>
                <c:pt idx="19">
                  <c:v>60295093.529559836</c:v>
                </c:pt>
                <c:pt idx="20">
                  <c:v>60295093.529559836</c:v>
                </c:pt>
                <c:pt idx="21">
                  <c:v>60295093.529559836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279-41DB-97BB-5330721E4F0A}"/>
            </c:ext>
          </c:extLst>
        </c:ser>
        <c:ser>
          <c:idx val="0"/>
          <c:order val="3"/>
          <c:tx>
            <c:v>Scenario 1 NPV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K'!$AV$30:$AV$51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34971064.972647361</c:v>
                </c:pt>
                <c:pt idx="2">
                  <c:v>12138924.566217806</c:v>
                </c:pt>
                <c:pt idx="3">
                  <c:v>5660200.4367804434</c:v>
                </c:pt>
                <c:pt idx="4">
                  <c:v>12832975.772396889</c:v>
                </c:pt>
                <c:pt idx="5">
                  <c:v>18127761.041316032</c:v>
                </c:pt>
                <c:pt idx="6">
                  <c:v>10877842.601529324</c:v>
                </c:pt>
                <c:pt idx="7">
                  <c:v>6870431.4914205372</c:v>
                </c:pt>
                <c:pt idx="8">
                  <c:v>4372676.4121417478</c:v>
                </c:pt>
                <c:pt idx="9">
                  <c:v>2768541.8121526409</c:v>
                </c:pt>
                <c:pt idx="10">
                  <c:v>1812065.8784193369</c:v>
                </c:pt>
                <c:pt idx="11">
                  <c:v>1229474.6286299464</c:v>
                </c:pt>
                <c:pt idx="12">
                  <c:v>770945.55472370563</c:v>
                </c:pt>
                <c:pt idx="13">
                  <c:v>435503.57376570394</c:v>
                </c:pt>
                <c:pt idx="14">
                  <c:v>200091.80711919535</c:v>
                </c:pt>
                <c:pt idx="15">
                  <c:v>40991.960356562515</c:v>
                </c:pt>
                <c:pt idx="16">
                  <c:v>-63282.489118590718</c:v>
                </c:pt>
                <c:pt idx="17">
                  <c:v>-131421.6235841593</c:v>
                </c:pt>
                <c:pt idx="18">
                  <c:v>-175317.75378984341</c:v>
                </c:pt>
                <c:pt idx="19">
                  <c:v>-201919.38593642483</c:v>
                </c:pt>
                <c:pt idx="20">
                  <c:v>-216481.27729063836</c:v>
                </c:pt>
                <c:pt idx="21">
                  <c:v>-114639.01362726273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79-41DB-97BB-5330721E4F0A}"/>
            </c:ext>
          </c:extLst>
        </c:ser>
        <c:ser>
          <c:idx val="1"/>
          <c:order val="4"/>
          <c:tx>
            <c:v>Scenario 2 NPV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K'!$W$60:$W$81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34971064.972647361</c:v>
                </c:pt>
                <c:pt idx="2">
                  <c:v>11633690.359969636</c:v>
                </c:pt>
                <c:pt idx="3">
                  <c:v>5150700.9473465867</c:v>
                </c:pt>
                <c:pt idx="4">
                  <c:v>11517830.697110366</c:v>
                </c:pt>
                <c:pt idx="5">
                  <c:v>16001373.603570333</c:v>
                </c:pt>
                <c:pt idx="6">
                  <c:v>9307403.0863661431</c:v>
                </c:pt>
                <c:pt idx="7">
                  <c:v>5673579.9453827403</c:v>
                </c:pt>
                <c:pt idx="8">
                  <c:v>3453402.4335952089</c:v>
                </c:pt>
                <c:pt idx="9">
                  <c:v>2105869.1832628306</c:v>
                </c:pt>
                <c:pt idx="10">
                  <c:v>1313209.2824282404</c:v>
                </c:pt>
                <c:pt idx="11">
                  <c:v>831206.20449056872</c:v>
                </c:pt>
                <c:pt idx="12">
                  <c:v>458292.42986771977</c:v>
                </c:pt>
                <c:pt idx="13">
                  <c:v>189681.21436372143</c:v>
                </c:pt>
                <c:pt idx="14">
                  <c:v>956.46368347830139</c:v>
                </c:pt>
                <c:pt idx="15">
                  <c:v>-122137.71918743476</c:v>
                </c:pt>
                <c:pt idx="16">
                  <c:v>-196428.87991087465</c:v>
                </c:pt>
                <c:pt idx="17">
                  <c:v>-244895.74480093154</c:v>
                </c:pt>
                <c:pt idx="18">
                  <c:v>-271112.14062353777</c:v>
                </c:pt>
                <c:pt idx="19">
                  <c:v>-284108.00979854737</c:v>
                </c:pt>
                <c:pt idx="20">
                  <c:v>-287321.89370552672</c:v>
                </c:pt>
                <c:pt idx="21">
                  <c:v>-142857.01107971394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79-41DB-97BB-5330721E4F0A}"/>
            </c:ext>
          </c:extLst>
        </c:ser>
        <c:ser>
          <c:idx val="2"/>
          <c:order val="5"/>
          <c:tx>
            <c:v>Scenario 3 NPV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K'!$N$30:$N$51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K'!$W$90:$W$111</c:f>
              <c:numCache>
                <c:formatCode>_("$"* #,##0_);_("$"* \(#,##0\);_("$"* "-"??_);_(@_)</c:formatCode>
                <c:ptCount val="22"/>
                <c:pt idx="0">
                  <c:v>-33594902.4440751</c:v>
                </c:pt>
                <c:pt idx="1">
                  <c:v>34971064.972647361</c:v>
                </c:pt>
                <c:pt idx="2">
                  <c:v>11236720.62648893</c:v>
                </c:pt>
                <c:pt idx="3">
                  <c:v>4750379.9199342709</c:v>
                </c:pt>
                <c:pt idx="4">
                  <c:v>10484502.423670955</c:v>
                </c:pt>
                <c:pt idx="5">
                  <c:v>14330640.616770135</c:v>
                </c:pt>
                <c:pt idx="6">
                  <c:v>8073486.3244522139</c:v>
                </c:pt>
                <c:pt idx="7">
                  <c:v>4733196.5877816137</c:v>
                </c:pt>
                <c:pt idx="8">
                  <c:v>2731115.7361657857</c:v>
                </c:pt>
                <c:pt idx="9">
                  <c:v>1473875.8427475474</c:v>
                </c:pt>
                <c:pt idx="10">
                  <c:v>758175.14184355224</c:v>
                </c:pt>
                <c:pt idx="11">
                  <c:v>328130.30031451187</c:v>
                </c:pt>
                <c:pt idx="12">
                  <c:v>18707.480818063719</c:v>
                </c:pt>
                <c:pt idx="13">
                  <c:v>-189294.92304766877</c:v>
                </c:pt>
                <c:pt idx="14">
                  <c:v>-319082.4811239246</c:v>
                </c:pt>
                <c:pt idx="15">
                  <c:v>-394020.51842743077</c:v>
                </c:pt>
                <c:pt idx="16">
                  <c:v>-425575.74812223308</c:v>
                </c:pt>
                <c:pt idx="17">
                  <c:v>-445839.50112229941</c:v>
                </c:pt>
                <c:pt idx="18">
                  <c:v>-445138.61003808316</c:v>
                </c:pt>
                <c:pt idx="19">
                  <c:v>-434656.69541265781</c:v>
                </c:pt>
                <c:pt idx="20">
                  <c:v>-418055.03127118456</c:v>
                </c:pt>
                <c:pt idx="21">
                  <c:v>-195285.23243339872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79-41DB-97BB-5330721E4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855810090269013"/>
              <c:y val="0.78224660762248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At val="0"/>
        <c:crossBetween val="midCat"/>
        <c:majorUnit val="5"/>
        <c:minorUnit val="1"/>
      </c:valAx>
      <c:valAx>
        <c:axId val="206380160"/>
        <c:scaling>
          <c:orientation val="minMax"/>
          <c:max val="90000000"/>
          <c:min val="-35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Cash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flows ($/year)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9383672572648263E-2"/>
              <c:y val="0.259528792948911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30000000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4011636233199012"/>
          <c:y val="0.32169779185861547"/>
          <c:w val="0.40632992911942228"/>
          <c:h val="0.2208776345074591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82768723676982"/>
          <c:y val="5.0841856714036571E-2"/>
          <c:w val="0.60573741073063547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8A1-40D6-B4D0-D73A1C87BF87}"/>
              </c:ext>
            </c:extLst>
          </c:dPt>
          <c:cat>
            <c:strRef>
              <c:f>'Appendix T2'!$I$143</c:f>
              <c:strCache>
                <c:ptCount val="1"/>
                <c:pt idx="0">
                  <c:v>Iterative option value</c:v>
                </c:pt>
              </c:strCache>
            </c:strRef>
          </c:cat>
          <c:val>
            <c:numRef>
              <c:f>'Appendix T2'!$J$145</c:f>
              <c:numCache>
                <c:formatCode>General</c:formatCode>
                <c:ptCount val="1"/>
                <c:pt idx="0">
                  <c:v>50688681.057004273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1-40D6-B4D0-D73A1C87BF87}"/>
            </c:ext>
          </c:extLst>
        </c:ser>
        <c:ser>
          <c:idx val="1"/>
          <c:order val="1"/>
          <c:tx>
            <c:v>Polymerflooding</c:v>
          </c:tx>
          <c:spPr>
            <a:pattFill prst="ltUpDiag">
              <a:fgClr>
                <a:schemeClr val="accent6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T2'!$I$143</c:f>
              <c:strCache>
                <c:ptCount val="1"/>
                <c:pt idx="0">
                  <c:v>Iterative option value</c:v>
                </c:pt>
              </c:strCache>
            </c:strRef>
          </c:cat>
          <c:val>
            <c:numRef>
              <c:f>'Appendix T2'!$K$145</c:f>
              <c:numCache>
                <c:formatCode>General</c:formatCode>
                <c:ptCount val="1"/>
                <c:pt idx="0">
                  <c:v>35675579.99796015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1-40D6-B4D0-D73A1C87B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  <c:max val="100000000"/>
          <c:min val="0"/>
        </c:scaling>
        <c:delete val="0"/>
        <c:axPos val="l"/>
        <c:numFmt formatCode="&quot;$&quot;#,##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803831624164892"/>
          <c:y val="0.33312147232149641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82768723676982"/>
          <c:y val="5.0841856714036571E-2"/>
          <c:w val="0.60573741073063547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'Appendix T2'!$S$42</c:f>
              <c:strCache>
                <c:ptCount val="1"/>
                <c:pt idx="0">
                  <c:v>NPV</c:v>
                </c:pt>
              </c:strCache>
            </c:strRef>
          </c:cat>
          <c:val>
            <c:numRef>
              <c:f>'Appendix T2'!$T$42</c:f>
              <c:numCache>
                <c:formatCode>General</c:formatCode>
                <c:ptCount val="1"/>
                <c:pt idx="0">
                  <c:v>40957731.716485247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6E-46F3-8C2E-26C566921879}"/>
            </c:ext>
          </c:extLst>
        </c:ser>
        <c:ser>
          <c:idx val="1"/>
          <c:order val="1"/>
          <c:tx>
            <c:v>Polymer flooding</c:v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T2'!$S$42</c:f>
              <c:strCache>
                <c:ptCount val="1"/>
                <c:pt idx="0">
                  <c:v>NPV</c:v>
                </c:pt>
              </c:strCache>
            </c:strRef>
          </c:cat>
          <c:val>
            <c:numRef>
              <c:f>'Appendix T2'!$U$42</c:f>
              <c:numCache>
                <c:formatCode>General</c:formatCode>
                <c:ptCount val="1"/>
                <c:pt idx="0">
                  <c:v>28055626.663524583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6E-46F3-8C2E-26C566921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  <c:max val="80000000"/>
          <c:min val="0"/>
        </c:scaling>
        <c:delete val="0"/>
        <c:axPos val="l"/>
        <c:numFmt formatCode="&quot;$&quot;#,##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66624195069774"/>
          <c:y val="0.35176328421754116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82768723676982"/>
          <c:y val="5.0841856714036571E-2"/>
          <c:w val="0.60573741073063547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'Appendix T2'!$S$60</c:f>
              <c:strCache>
                <c:ptCount val="1"/>
                <c:pt idx="0">
                  <c:v>ERF</c:v>
                </c:pt>
              </c:strCache>
            </c:strRef>
          </c:cat>
          <c:val>
            <c:numRef>
              <c:f>'Appendix T2'!$T$60</c:f>
              <c:numCache>
                <c:formatCode>General</c:formatCode>
                <c:ptCount val="1"/>
                <c:pt idx="0">
                  <c:v>0.94357624815822261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CE3-BCB7-B17E95C3C15E}"/>
            </c:ext>
          </c:extLst>
        </c:ser>
        <c:ser>
          <c:idx val="1"/>
          <c:order val="1"/>
          <c:tx>
            <c:v>Polymerflooding</c:v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T2'!$S$60</c:f>
              <c:strCache>
                <c:ptCount val="1"/>
                <c:pt idx="0">
                  <c:v>ERF</c:v>
                </c:pt>
              </c:strCache>
            </c:strRef>
          </c:cat>
          <c:val>
            <c:numRef>
              <c:f>'Appendix T2'!$U$60</c:f>
              <c:numCache>
                <c:formatCode>General</c:formatCode>
                <c:ptCount val="1"/>
                <c:pt idx="0">
                  <c:v>3.8695833816684622E-2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CE3-BCB7-B17E95C3C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  <c:max val="1"/>
          <c:min val="0.9"/>
        </c:scaling>
        <c:delete val="0"/>
        <c:axPos val="l"/>
        <c:numFmt formatCode="0.0%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66624195069774"/>
          <c:y val="0.35176328421754116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62919032102002"/>
          <c:y val="5.0841856714036571E-2"/>
          <c:w val="0.55993589229212637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'Appendix T2'!$S$77</c:f>
              <c:strCache>
                <c:ptCount val="1"/>
                <c:pt idx="0">
                  <c:v>Exergy destroyed</c:v>
                </c:pt>
              </c:strCache>
            </c:strRef>
          </c:cat>
          <c:val>
            <c:numRef>
              <c:f>'Appendix T2'!$T$77</c:f>
              <c:numCache>
                <c:formatCode>General</c:formatCode>
                <c:ptCount val="1"/>
                <c:pt idx="0">
                  <c:v>88996.691443378688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5-421A-A8CE-A13F5467F980}"/>
            </c:ext>
          </c:extLst>
        </c:ser>
        <c:ser>
          <c:idx val="1"/>
          <c:order val="1"/>
          <c:tx>
            <c:v>Polymerflooding</c:v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T2'!$S$77</c:f>
              <c:strCache>
                <c:ptCount val="1"/>
                <c:pt idx="0">
                  <c:v>Exergy destroyed</c:v>
                </c:pt>
              </c:strCache>
            </c:strRef>
          </c:cat>
          <c:val>
            <c:numRef>
              <c:f>'Appendix T2'!$U$77</c:f>
              <c:numCache>
                <c:formatCode>General</c:formatCode>
                <c:ptCount val="1"/>
                <c:pt idx="0">
                  <c:v>61283.778742150782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5-421A-A8CE-A13F5467F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MWhr</a:t>
                </a:r>
              </a:p>
            </c:rich>
          </c:tx>
          <c:layout>
            <c:manualLayout>
              <c:xMode val="edge"/>
              <c:yMode val="edge"/>
              <c:x val="2.8695917010523705E-2"/>
              <c:y val="0.375204261782414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5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66624195069774"/>
          <c:y val="0.35176328421754116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62919032102002"/>
          <c:y val="5.0841856714036571E-2"/>
          <c:w val="0.55993589229212637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'Appendix T2'!$S$95</c:f>
              <c:strCache>
                <c:ptCount val="1"/>
                <c:pt idx="0">
                  <c:v>Exergy fuel</c:v>
                </c:pt>
              </c:strCache>
            </c:strRef>
          </c:cat>
          <c:val>
            <c:numRef>
              <c:f>'Appendix T2'!$T$95</c:f>
              <c:numCache>
                <c:formatCode>General</c:formatCode>
                <c:ptCount val="1"/>
                <c:pt idx="0">
                  <c:v>60803.222721347047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0-4291-AC0B-89C9EBEEB499}"/>
            </c:ext>
          </c:extLst>
        </c:ser>
        <c:ser>
          <c:idx val="1"/>
          <c:order val="1"/>
          <c:tx>
            <c:v>Polymerflooding</c:v>
          </c:tx>
          <c:spPr>
            <a:pattFill prst="ltUpDiag">
              <a:fgClr>
                <a:srgbClr val="0070C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T2'!$S$95</c:f>
              <c:strCache>
                <c:ptCount val="1"/>
                <c:pt idx="0">
                  <c:v>Exergy fuel</c:v>
                </c:pt>
              </c:strCache>
            </c:strRef>
          </c:cat>
          <c:val>
            <c:numRef>
              <c:f>'Appendix T2'!$U$95</c:f>
              <c:numCache>
                <c:formatCode>General</c:formatCode>
                <c:ptCount val="1"/>
                <c:pt idx="0">
                  <c:v>6620.158924426345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0-4291-AC0B-89C9EBEEB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MWhr</a:t>
                </a:r>
              </a:p>
            </c:rich>
          </c:tx>
          <c:layout>
            <c:manualLayout>
              <c:xMode val="edge"/>
              <c:yMode val="edge"/>
              <c:x val="2.8695917010523705E-2"/>
              <c:y val="0.375204261782414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2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66624195069774"/>
          <c:y val="0.35176328421754116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62919032102002"/>
          <c:y val="5.0841856714036571E-2"/>
          <c:w val="0.55993589229212637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'Appendix T2'!$S$112</c:f>
              <c:strCache>
                <c:ptCount val="1"/>
                <c:pt idx="0">
                  <c:v>Exergy product</c:v>
                </c:pt>
              </c:strCache>
            </c:strRef>
          </c:cat>
          <c:val>
            <c:numRef>
              <c:f>'Appendix T2'!$T$112</c:f>
              <c:numCache>
                <c:formatCode>General</c:formatCode>
                <c:ptCount val="1"/>
                <c:pt idx="0">
                  <c:v>2654908.7799902479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B-4A12-9233-963F0ED2D619}"/>
            </c:ext>
          </c:extLst>
        </c:ser>
        <c:ser>
          <c:idx val="1"/>
          <c:order val="1"/>
          <c:tx>
            <c:v>Polymerflooding</c:v>
          </c:tx>
          <c:spPr>
            <a:pattFill prst="ltUpDiag">
              <a:fgClr>
                <a:srgbClr val="00B05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T2'!$S$112</c:f>
              <c:strCache>
                <c:ptCount val="1"/>
                <c:pt idx="0">
                  <c:v>Exergy product</c:v>
                </c:pt>
              </c:strCache>
            </c:strRef>
          </c:cat>
          <c:val>
            <c:numRef>
              <c:f>'Appendix T2'!$U$112</c:f>
              <c:numCache>
                <c:formatCode>General</c:formatCode>
                <c:ptCount val="1"/>
                <c:pt idx="0">
                  <c:v>3830339.1052724491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B-4A12-9233-963F0ED2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  <c:max val="8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MWhr</a:t>
                </a:r>
              </a:p>
            </c:rich>
          </c:tx>
          <c:layout>
            <c:manualLayout>
              <c:xMode val="edge"/>
              <c:yMode val="edge"/>
              <c:x val="2.8695917010523705E-2"/>
              <c:y val="0.375204261782414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200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66624195069774"/>
          <c:y val="0.35176328421754116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5743776176966"/>
          <c:y val="5.0841856714036571E-2"/>
          <c:w val="0.61260764485137675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'Appendix T2'!$S$130</c:f>
              <c:strCache>
                <c:ptCount val="1"/>
                <c:pt idx="0">
                  <c:v>EROI</c:v>
                </c:pt>
              </c:strCache>
            </c:strRef>
          </c:cat>
          <c:val>
            <c:numRef>
              <c:f>'Appendix T2'!$T$130</c:f>
              <c:numCache>
                <c:formatCode>General</c:formatCode>
                <c:ptCount val="1"/>
                <c:pt idx="0">
                  <c:v>43.663948408743664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9-4CAC-8699-051471C5E5C9}"/>
            </c:ext>
          </c:extLst>
        </c:ser>
        <c:ser>
          <c:idx val="1"/>
          <c:order val="1"/>
          <c:tx>
            <c:v>Polymerflooding</c:v>
          </c:tx>
          <c:spPr>
            <a:pattFill prst="lt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T2'!$S$130</c:f>
              <c:strCache>
                <c:ptCount val="1"/>
                <c:pt idx="0">
                  <c:v>EROI</c:v>
                </c:pt>
              </c:strCache>
            </c:strRef>
          </c:cat>
          <c:val>
            <c:numRef>
              <c:f>'Appendix T2'!$U$130</c:f>
              <c:numCache>
                <c:formatCode>General</c:formatCode>
                <c:ptCount val="1"/>
                <c:pt idx="0">
                  <c:v>534.92323491999468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9-4CAC-8699-051471C5E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  <c:max val="600"/>
        </c:scaling>
        <c:delete val="0"/>
        <c:axPos val="l"/>
        <c:numFmt formatCode="#,##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66624195069774"/>
          <c:y val="0.35176328421754116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5743776176966"/>
          <c:y val="5.0841856714036571E-2"/>
          <c:w val="0.61260764485137675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'Appendix T2'!$S$147</c:f>
              <c:strCache>
                <c:ptCount val="1"/>
                <c:pt idx="0">
                  <c:v>ExD/ExF</c:v>
                </c:pt>
              </c:strCache>
            </c:strRef>
          </c:cat>
          <c:val>
            <c:numRef>
              <c:f>'Appendix T2'!$T$147</c:f>
              <c:numCache>
                <c:formatCode>General</c:formatCode>
                <c:ptCount val="1"/>
                <c:pt idx="0">
                  <c:v>1.4636837894471235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E-4B37-B7F6-EEB4E557E611}"/>
            </c:ext>
          </c:extLst>
        </c:ser>
        <c:ser>
          <c:idx val="1"/>
          <c:order val="1"/>
          <c:tx>
            <c:v>Polymerflooding</c:v>
          </c:tx>
          <c:spPr>
            <a:pattFill prst="ltUpDiag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T2'!$S$147</c:f>
              <c:strCache>
                <c:ptCount val="1"/>
                <c:pt idx="0">
                  <c:v>ExD/ExF</c:v>
                </c:pt>
              </c:strCache>
            </c:strRef>
          </c:cat>
          <c:val>
            <c:numRef>
              <c:f>'Appendix T2'!$U$147</c:f>
              <c:numCache>
                <c:formatCode>General</c:formatCode>
                <c:ptCount val="1"/>
                <c:pt idx="0">
                  <c:v>7.7934623669740679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E-4B37-B7F6-EEB4E557E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</c:scaling>
        <c:delete val="0"/>
        <c:axPos val="l"/>
        <c:numFmt formatCode="#,##0.0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66624195069774"/>
          <c:y val="0.35176328421754116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5743776176966"/>
          <c:y val="5.0841856714036571E-2"/>
          <c:w val="0.61260764485137675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'Appendix T2'!$S$166</c:f>
              <c:strCache>
                <c:ptCount val="1"/>
                <c:pt idx="0">
                  <c:v>ExP $/hr</c:v>
                </c:pt>
              </c:strCache>
            </c:strRef>
          </c:cat>
          <c:val>
            <c:numRef>
              <c:f>'Appendix T2'!$T$166</c:f>
              <c:numCache>
                <c:formatCode>0.00</c:formatCode>
                <c:ptCount val="1"/>
                <c:pt idx="0">
                  <c:v>160.03838179918469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5-41C4-8A29-49F6CA91F244}"/>
            </c:ext>
          </c:extLst>
        </c:ser>
        <c:ser>
          <c:idx val="1"/>
          <c:order val="1"/>
          <c:tx>
            <c:v>Polymerflooding</c:v>
          </c:tx>
          <c:spPr>
            <a:pattFill prst="ltUpDiag">
              <a:fgClr>
                <a:schemeClr val="accent3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T2'!$S$166</c:f>
              <c:strCache>
                <c:ptCount val="1"/>
                <c:pt idx="0">
                  <c:v>ExP $/hr</c:v>
                </c:pt>
              </c:strCache>
            </c:strRef>
          </c:cat>
          <c:val>
            <c:numRef>
              <c:f>'Appendix T2'!$U$166</c:f>
              <c:numCache>
                <c:formatCode>General</c:formatCode>
                <c:ptCount val="1"/>
                <c:pt idx="0">
                  <c:v>91.869839440989608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5-41C4-8A29-49F6CA91F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  <c:max val="350"/>
          <c:min val="0"/>
        </c:scaling>
        <c:delete val="0"/>
        <c:axPos val="l"/>
        <c:numFmt formatCode="#,##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66624195069774"/>
          <c:y val="0.35176328421754116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5743776176966"/>
          <c:y val="5.0841856714036571E-2"/>
          <c:w val="0.61260764485137675"/>
          <c:h val="0.85550904453702981"/>
        </c:manualLayout>
      </c:layout>
      <c:barChart>
        <c:barDir val="col"/>
        <c:grouping val="stacked"/>
        <c:varyColors val="0"/>
        <c:ser>
          <c:idx val="0"/>
          <c:order val="0"/>
          <c:tx>
            <c:v>Waterflooding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'Appendix T2'!$H$185</c:f>
              <c:strCache>
                <c:ptCount val="1"/>
                <c:pt idx="0">
                  <c:v>ExP $/MWh</c:v>
                </c:pt>
              </c:strCache>
            </c:strRef>
          </c:cat>
          <c:val>
            <c:numRef>
              <c:f>'Appendix T2'!$I$185</c:f>
              <c:numCache>
                <c:formatCode>General</c:formatCode>
                <c:ptCount val="1"/>
                <c:pt idx="0">
                  <c:v>8.9769245546817302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4-4EBC-97FE-E978634A37DE}"/>
            </c:ext>
          </c:extLst>
        </c:ser>
        <c:ser>
          <c:idx val="1"/>
          <c:order val="1"/>
          <c:tx>
            <c:v>Polymerflooding</c:v>
          </c:tx>
          <c:spPr>
            <a:pattFill prst="ltUpDiag">
              <a:fgClr>
                <a:schemeClr val="accent2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'Appendix T2'!$H$185</c:f>
              <c:strCache>
                <c:ptCount val="1"/>
                <c:pt idx="0">
                  <c:v>ExP $/MWh</c:v>
                </c:pt>
              </c:strCache>
            </c:strRef>
          </c:cat>
          <c:val>
            <c:numRef>
              <c:f>'Appendix T2'!$J$185</c:f>
              <c:numCache>
                <c:formatCode>General</c:formatCode>
                <c:ptCount val="1"/>
                <c:pt idx="0">
                  <c:v>3.57181338610985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4-4EBC-97FE-E978634A3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0680944"/>
        <c:axId val="420681272"/>
      </c:barChart>
      <c:catAx>
        <c:axId val="4206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1272"/>
        <c:crosses val="autoZero"/>
        <c:auto val="1"/>
        <c:lblAlgn val="ctr"/>
        <c:lblOffset val="100"/>
        <c:noMultiLvlLbl val="0"/>
      </c:catAx>
      <c:valAx>
        <c:axId val="42068127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latin typeface="Arial" panose="020B0604020202020204" pitchFamily="34" charset="0"/>
                    <a:cs typeface="Arial" panose="020B0604020202020204" pitchFamily="34" charset="0"/>
                  </a:rPr>
                  <a:t>$/MWh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6809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66624195069774"/>
          <c:y val="0.35176328421754116"/>
          <c:w val="0.19452957333821644"/>
          <c:h val="0.3459808365869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9053234808292E-2"/>
          <c:y val="2.8379833117875196E-2"/>
          <c:w val="0.87370058492800551"/>
          <c:h val="0.82146327103236128"/>
        </c:manualLayout>
      </c:layout>
      <c:scatterChart>
        <c:scatterStyle val="smoothMarker"/>
        <c:varyColors val="0"/>
        <c:ser>
          <c:idx val="0"/>
          <c:order val="0"/>
          <c:tx>
            <c:v>$/bbl oil price scenario 1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K'!$E$61:$E$80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K'!$BD$31:$BD$50</c:f>
              <c:numCache>
                <c:formatCode>_("$"* #,##0_);_("$"* \(#,##0\);_("$"* "-"??_);_(@_)</c:formatCode>
                <c:ptCount val="20"/>
                <c:pt idx="0">
                  <c:v>44.542540670455516</c:v>
                </c:pt>
                <c:pt idx="1">
                  <c:v>39.712944764718117</c:v>
                </c:pt>
                <c:pt idx="2">
                  <c:v>33.386430820161188</c:v>
                </c:pt>
                <c:pt idx="3">
                  <c:v>39.988417808634992</c:v>
                </c:pt>
                <c:pt idx="4">
                  <c:v>42.347554053675736</c:v>
                </c:pt>
                <c:pt idx="5">
                  <c:v>39.098981555833042</c:v>
                </c:pt>
                <c:pt idx="6">
                  <c:v>35.348922334523252</c:v>
                </c:pt>
                <c:pt idx="7">
                  <c:v>31.066256754724616</c:v>
                </c:pt>
                <c:pt idx="8">
                  <c:v>25.514107423547888</c:v>
                </c:pt>
                <c:pt idx="9">
                  <c:v>20.726841554543363</c:v>
                </c:pt>
                <c:pt idx="10">
                  <c:v>16.446282526825005</c:v>
                </c:pt>
                <c:pt idx="11">
                  <c:v>12.256693090622006</c:v>
                </c:pt>
                <c:pt idx="12">
                  <c:v>8.2107989118542903</c:v>
                </c:pt>
                <c:pt idx="13">
                  <c:v>4.4452137460113406</c:v>
                </c:pt>
                <c:pt idx="14">
                  <c:v>1.0587370114213781</c:v>
                </c:pt>
                <c:pt idx="15">
                  <c:v>-1.9032200976281148</c:v>
                </c:pt>
                <c:pt idx="16">
                  <c:v>-4.3994215830884356</c:v>
                </c:pt>
                <c:pt idx="17">
                  <c:v>-6.5833583967680802</c:v>
                </c:pt>
                <c:pt idx="18">
                  <c:v>-8.4357671730146055</c:v>
                </c:pt>
                <c:pt idx="19">
                  <c:v>-9.9932554211710585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7-4F95-A30D-A96F5CAAF78A}"/>
            </c:ext>
          </c:extLst>
        </c:ser>
        <c:ser>
          <c:idx val="1"/>
          <c:order val="1"/>
          <c:tx>
            <c:v>$/bbl at oil price scenario 2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K'!$E$61:$E$80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K'!$AE$61:$AE$80</c:f>
              <c:numCache>
                <c:formatCode>_("$"* #,##0_);_("$"* \(#,##0\);_("$"* "-"??_);_(@_)</c:formatCode>
                <c:ptCount val="20"/>
                <c:pt idx="0">
                  <c:v>44.542540670455516</c:v>
                </c:pt>
                <c:pt idx="1">
                  <c:v>38.060052202734653</c:v>
                </c:pt>
                <c:pt idx="2">
                  <c:v>30.381171616554873</c:v>
                </c:pt>
                <c:pt idx="3">
                  <c:v>35.890337076444574</c:v>
                </c:pt>
                <c:pt idx="4">
                  <c:v>37.380183469202507</c:v>
                </c:pt>
                <c:pt idx="5">
                  <c:v>33.45424225529527</c:v>
                </c:pt>
                <c:pt idx="6">
                  <c:v>29.191024915754777</c:v>
                </c:pt>
                <c:pt idx="7">
                  <c:v>24.535153431788352</c:v>
                </c:pt>
                <c:pt idx="8">
                  <c:v>19.407101718984116</c:v>
                </c:pt>
                <c:pt idx="9">
                  <c:v>15.020800870986298</c:v>
                </c:pt>
                <c:pt idx="10">
                  <c:v>11.118775254707851</c:v>
                </c:pt>
                <c:pt idx="11">
                  <c:v>7.2860523343404537</c:v>
                </c:pt>
                <c:pt idx="12">
                  <c:v>3.5761688360672936</c:v>
                </c:pt>
                <c:pt idx="13">
                  <c:v>2.1248673669210464E-2</c:v>
                </c:pt>
                <c:pt idx="14">
                  <c:v>-3.1545630574758867</c:v>
                </c:pt>
                <c:pt idx="15">
                  <c:v>-5.9075961961668417</c:v>
                </c:pt>
                <c:pt idx="16">
                  <c:v>-8.1980392259710175</c:v>
                </c:pt>
                <c:pt idx="17">
                  <c:v>-10.180534194952338</c:v>
                </c:pt>
                <c:pt idx="18">
                  <c:v>-11.869434980372311</c:v>
                </c:pt>
                <c:pt idx="19">
                  <c:v>-13.263415237702207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7-4F95-A30D-A96F5CAAF78A}"/>
            </c:ext>
          </c:extLst>
        </c:ser>
        <c:ser>
          <c:idx val="2"/>
          <c:order val="2"/>
          <c:tx>
            <c:v>$/bbl at oil price scenario 3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K'!$E$61:$E$80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K'!$AE$91:$AE$110</c:f>
              <c:numCache>
                <c:formatCode>_("$"* #,##0_);_("$"* \(#,##0\);_("$"* "-"??_);_(@_)</c:formatCode>
                <c:ptCount val="20"/>
                <c:pt idx="0">
                  <c:v>44.542540670455516</c:v>
                </c:pt>
                <c:pt idx="1">
                  <c:v>36.76135090403335</c:v>
                </c:pt>
                <c:pt idx="2">
                  <c:v>28.019896528007056</c:v>
                </c:pt>
                <c:pt idx="3">
                  <c:v>32.670416501152097</c:v>
                </c:pt>
                <c:pt idx="4">
                  <c:v>33.477249438544959</c:v>
                </c:pt>
                <c:pt idx="5">
                  <c:v>29.019089947729874</c:v>
                </c:pt>
                <c:pt idx="6">
                  <c:v>24.352676943865262</c:v>
                </c:pt>
                <c:pt idx="7">
                  <c:v>19.403572249481289</c:v>
                </c:pt>
                <c:pt idx="8">
                  <c:v>13.582827760001988</c:v>
                </c:pt>
                <c:pt idx="9">
                  <c:v>8.6721880383800141</c:v>
                </c:pt>
                <c:pt idx="10">
                  <c:v>4.3892923846651177</c:v>
                </c:pt>
                <c:pt idx="11">
                  <c:v>0.29741639922663515</c:v>
                </c:pt>
                <c:pt idx="12">
                  <c:v>-3.5688858641043346</c:v>
                </c:pt>
                <c:pt idx="13">
                  <c:v>-7.0886951925949386</c:v>
                </c:pt>
                <c:pt idx="14">
                  <c:v>-10.176729838971342</c:v>
                </c:pt>
                <c:pt idx="15">
                  <c:v>-12.799185496188208</c:v>
                </c:pt>
                <c:pt idx="16">
                  <c:v>-14.924757968575603</c:v>
                </c:pt>
                <c:pt idx="17">
                  <c:v>-16.715403561653766</c:v>
                </c:pt>
                <c:pt idx="18">
                  <c:v>-18.159042360833897</c:v>
                </c:pt>
                <c:pt idx="19">
                  <c:v>-19.298346535482427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47-4F95-A30D-A96F5CAAF78A}"/>
            </c:ext>
          </c:extLst>
        </c:ser>
        <c:ser>
          <c:idx val="4"/>
          <c:order val="3"/>
          <c:tx>
            <c:v>Economic limit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'Appendix K'!$BH$28:$BI$28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xVal>
          <c:yVal>
            <c:numRef>
              <c:f>'Appendix K'!$BH$29:$BI$29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947-4F95-A30D-A96F5CAAF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9593184432748572"/>
              <c:y val="0.907684847173625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$/bbl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353305501103548E-2"/>
              <c:y val="0.386624087188150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0"/>
        <c:minorUnit val="5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276062642128224"/>
          <c:y val="0.18733077545732851"/>
          <c:w val="0.28841608784061357"/>
          <c:h val="0.2176872821237902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49312152102387"/>
          <c:y val="8.4182571818828031E-2"/>
          <c:w val="0.81550678490235673"/>
          <c:h val="0.75472701277296139"/>
        </c:manualLayout>
      </c:layout>
      <c:barChart>
        <c:barDir val="col"/>
        <c:grouping val="clustered"/>
        <c:varyColors val="0"/>
        <c:ser>
          <c:idx val="0"/>
          <c:order val="0"/>
          <c:tx>
            <c:v>8%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K'!$V$113</c:f>
              <c:numCache>
                <c:formatCode>_("$"* #,##0_);_("$"* \(#,##0\);_("$"* "-"??_);_(@_)</c:formatCode>
                <c:ptCount val="1"/>
                <c:pt idx="0">
                  <c:v>76765928.17110607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E-4CDF-A35E-138EA578CE32}"/>
            </c:ext>
          </c:extLst>
        </c:ser>
        <c:ser>
          <c:idx val="1"/>
          <c:order val="1"/>
          <c:tx>
            <c:v>10%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K'!$W$113</c:f>
              <c:numCache>
                <c:formatCode>_("$"* #,##0_);_("$"* \(#,##0\);_("$"* "-"??_);_(@_)</c:formatCode>
                <c:ptCount val="1"/>
                <c:pt idx="0">
                  <c:v>60295093.529559873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E-4CDF-A35E-138EA578CE32}"/>
            </c:ext>
          </c:extLst>
        </c:ser>
        <c:ser>
          <c:idx val="2"/>
          <c:order val="2"/>
          <c:tx>
            <c:v>12%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K'!$X$113</c:f>
              <c:numCache>
                <c:formatCode>_("$"* #,##0_);_("$"* \(#,##0\);_("$"* "-"??_);_(@_)</c:formatCode>
                <c:ptCount val="1"/>
                <c:pt idx="0">
                  <c:v>47796093.772963636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E-4CDF-A35E-138EA578C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25489992"/>
        <c:axId val="625490320"/>
      </c:barChart>
      <c:catAx>
        <c:axId val="62548999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Discount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rate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6498531488033529"/>
              <c:y val="0.922182167872037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crossAx val="625490320"/>
        <c:crosses val="autoZero"/>
        <c:auto val="1"/>
        <c:lblAlgn val="ctr"/>
        <c:lblOffset val="100"/>
        <c:noMultiLvlLbl val="0"/>
      </c:catAx>
      <c:valAx>
        <c:axId val="625490320"/>
        <c:scaling>
          <c:orientation val="minMax"/>
          <c:max val="12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 ($)</a:t>
                </a:r>
              </a:p>
            </c:rich>
          </c:tx>
          <c:layout>
            <c:manualLayout>
              <c:xMode val="edge"/>
              <c:yMode val="edge"/>
              <c:x val="4.6097238908369323E-2"/>
              <c:y val="0.37310945235218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489992"/>
        <c:crosses val="autoZero"/>
        <c:crossBetween val="between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_xlchart.v1.18</cx:f>
      </cx:numDim>
    </cx:data>
    <cx:data id="1">
      <cx:numDim type="val">
        <cx:f>_xlchart.v1.0</cx:f>
      </cx:numDim>
    </cx:data>
    <cx:data id="2">
      <cx:numDim type="val">
        <cx:f>_xlchart.v1.1</cx:f>
      </cx:numDim>
    </cx:data>
    <cx:data id="3">
      <cx:numDim type="val">
        <cx:f>_xlchart.v1.2</cx:f>
      </cx:numDim>
    </cx:data>
    <cx:data id="4">
      <cx:numDim type="val">
        <cx:f>_xlchart.v1.3</cx:f>
      </cx:numDim>
    </cx:data>
    <cx:data id="5">
      <cx:numDim type="val">
        <cx:f>_xlchart.v1.4</cx:f>
      </cx:numDim>
    </cx:data>
    <cx:data id="6">
      <cx:numDim type="val">
        <cx:f>_xlchart.v1.5</cx:f>
      </cx:numDim>
    </cx:data>
    <cx:data id="7">
      <cx:numDim type="val">
        <cx:f>_xlchart.v1.6</cx:f>
      </cx:numDim>
    </cx:data>
    <cx:data id="8">
      <cx:numDim type="val">
        <cx:f>_xlchart.v1.7</cx:f>
      </cx:numDim>
    </cx:data>
    <cx:data id="9">
      <cx:numDim type="val">
        <cx:f>_xlchart.v1.8</cx:f>
      </cx:numDim>
    </cx:data>
    <cx:data id="10">
      <cx:numDim type="val">
        <cx:f>_xlchart.v1.9</cx:f>
      </cx:numDim>
    </cx:data>
    <cx:data id="11">
      <cx:numDim type="val">
        <cx:f>_xlchart.v1.10</cx:f>
      </cx:numDim>
    </cx:data>
    <cx:data id="12">
      <cx:numDim type="val">
        <cx:f>_xlchart.v1.11</cx:f>
      </cx:numDim>
    </cx:data>
    <cx:data id="13">
      <cx:numDim type="val">
        <cx:f>_xlchart.v1.12</cx:f>
      </cx:numDim>
    </cx:data>
    <cx:data id="14">
      <cx:numDim type="val">
        <cx:f>_xlchart.v1.13</cx:f>
      </cx:numDim>
    </cx:data>
    <cx:data id="15">
      <cx:numDim type="val">
        <cx:f>_xlchart.v1.14</cx:f>
      </cx:numDim>
    </cx:data>
    <cx:data id="16">
      <cx:numDim type="val">
        <cx:f>_xlchart.v1.15</cx:f>
      </cx:numDim>
    </cx:data>
    <cx:data id="17">
      <cx:numDim type="val">
        <cx:f>_xlchart.v1.16</cx:f>
      </cx:numDim>
    </cx:data>
    <cx:data id="18">
      <cx:numDim type="val">
        <cx:f>_xlchart.v1.17</cx:f>
      </cx:numDim>
    </cx:data>
  </cx:chartData>
  <cx:chart>
    <cx:plotArea>
      <cx:plotAreaRegion>
        <cx:plotSurface>
          <cx:spPr>
            <a:ln w="25400">
              <a:solidFill>
                <a:sysClr val="windowText" lastClr="000000"/>
              </a:solidFill>
            </a:ln>
          </cx:spPr>
        </cx:plotSurface>
        <cx:series layoutId="boxWhisker" uniqueId="{64494EA1-8D68-4A00-BD3B-44058A7E6D69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1" meanMarker="0" nonoutliers="0" outliers="0"/>
            <cx:statistics quartileMethod="inclusive"/>
          </cx:layoutPr>
        </cx:series>
        <cx:series layoutId="boxWhisker" uniqueId="{029431DC-065D-4C17-B68A-6038077D751D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"/>
          <cx:layoutPr>
            <cx:visibility meanLine="1" meanMarker="0" nonoutliers="0" outliers="0"/>
            <cx:statistics quartileMethod="inclusive"/>
          </cx:layoutPr>
        </cx:series>
        <cx:series layoutId="boxWhisker" uniqueId="{EF343249-DE2C-4519-B2FF-BF3F7B71A520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2"/>
          <cx:layoutPr>
            <cx:visibility meanLine="1" meanMarker="0" nonoutliers="0" outliers="0"/>
            <cx:statistics quartileMethod="inclusive"/>
          </cx:layoutPr>
        </cx:series>
        <cx:series layoutId="boxWhisker" uniqueId="{6A854CE9-89C8-406E-B41B-1DD4576313B6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3"/>
          <cx:layoutPr>
            <cx:visibility meanLine="1" meanMarker="0" nonoutliers="0" outliers="0"/>
            <cx:statistics quartileMethod="inclusive"/>
          </cx:layoutPr>
        </cx:series>
        <cx:series layoutId="boxWhisker" uniqueId="{FBB1EC52-AFB0-4A39-BA6D-8CAAA556E76D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4"/>
          <cx:layoutPr>
            <cx:visibility meanMarker="0" nonoutliers="0" outliers="0"/>
            <cx:statistics quartileMethod="inclusive"/>
          </cx:layoutPr>
        </cx:series>
        <cx:series layoutId="boxWhisker" uniqueId="{04605A59-EBFA-4432-B3B4-7CEFC13DA6D7}">
          <cx:spPr>
            <a:solidFill>
              <a:schemeClr val="accent1"/>
            </a:solidFill>
            <a:ln>
              <a:solidFill>
                <a:schemeClr val="tx1">
                  <a:alpha val="97000"/>
                </a:schemeClr>
              </a:solidFill>
            </a:ln>
          </cx:spPr>
          <cx:dataId val="5"/>
          <cx:layoutPr>
            <cx:visibility meanMarker="0" nonoutliers="0" outliers="0"/>
            <cx:statistics quartileMethod="inclusive"/>
          </cx:layoutPr>
        </cx:series>
        <cx:series layoutId="boxWhisker" uniqueId="{B69B80A9-C52E-4E27-ADA6-209FF2F1200F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6"/>
          <cx:layoutPr>
            <cx:visibility meanLine="1" meanMarker="0" nonoutliers="0" outliers="0"/>
            <cx:statistics quartileMethod="inclusive"/>
          </cx:layoutPr>
        </cx:series>
        <cx:series layoutId="boxWhisker" uniqueId="{078825CC-AD10-4030-99E6-C75172D5A5ED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7"/>
          <cx:layoutPr>
            <cx:visibility meanLine="1" meanMarker="0" nonoutliers="0" outliers="0"/>
            <cx:statistics quartileMethod="inclusive"/>
          </cx:layoutPr>
        </cx:series>
        <cx:series layoutId="boxWhisker" uniqueId="{5322B0B8-D36B-40AD-9041-7F9226EB1BA9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8"/>
          <cx:layoutPr>
            <cx:visibility meanLine="1" meanMarker="0" nonoutliers="0" outliers="0"/>
            <cx:statistics quartileMethod="inclusive"/>
          </cx:layoutPr>
        </cx:series>
        <cx:series layoutId="boxWhisker" uniqueId="{44E550A7-127F-4BCE-8780-0F1134196D0A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9"/>
          <cx:layoutPr>
            <cx:visibility meanLine="1" meanMarker="0" nonoutliers="0" outliers="0"/>
            <cx:statistics quartileMethod="inclusive"/>
          </cx:layoutPr>
        </cx:series>
        <cx:series layoutId="boxWhisker" uniqueId="{E211820E-3299-4D17-B9D1-703E43F8B268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0"/>
          <cx:layoutPr>
            <cx:visibility meanLine="1" meanMarker="0" nonoutliers="0" outliers="0"/>
            <cx:statistics quartileMethod="inclusive"/>
          </cx:layoutPr>
        </cx:series>
        <cx:series layoutId="boxWhisker" uniqueId="{C13DB961-E596-419E-8B02-287C462AFE9C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1"/>
          <cx:layoutPr>
            <cx:visibility meanLine="1" meanMarker="0" nonoutliers="0" outliers="0"/>
            <cx:statistics quartileMethod="inclusive"/>
          </cx:layoutPr>
        </cx:series>
        <cx:series layoutId="boxWhisker" uniqueId="{F1C92895-4A81-47BA-921C-82E000D4F7A9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2"/>
          <cx:layoutPr>
            <cx:visibility meanLine="1" meanMarker="0" nonoutliers="0" outliers="0"/>
            <cx:statistics quartileMethod="inclusive"/>
          </cx:layoutPr>
        </cx:series>
        <cx:series layoutId="boxWhisker" uniqueId="{20772AE6-045D-4E23-B301-01388BF0D2F2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3"/>
          <cx:layoutPr>
            <cx:visibility meanLine="1" meanMarker="0" nonoutliers="0" outliers="0"/>
            <cx:statistics quartileMethod="inclusive"/>
          </cx:layoutPr>
        </cx:series>
        <cx:series layoutId="boxWhisker" uniqueId="{768CB31B-41F5-41B3-8F39-CD91892A4F95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4"/>
          <cx:layoutPr>
            <cx:visibility meanLine="1" meanMarker="0" nonoutliers="0" outliers="0"/>
            <cx:statistics quartileMethod="inclusive"/>
          </cx:layoutPr>
        </cx:series>
        <cx:series layoutId="boxWhisker" uniqueId="{1F06A134-F086-45C2-AFB8-0B5AF8B4B1EF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5"/>
          <cx:layoutPr>
            <cx:visibility meanLine="1" meanMarker="0" nonoutliers="0" outliers="0"/>
            <cx:statistics quartileMethod="inclusive"/>
          </cx:layoutPr>
        </cx:series>
        <cx:series layoutId="boxWhisker" uniqueId="{F67032C8-E23D-40FE-BA60-B94E8ED82AAB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6"/>
          <cx:layoutPr>
            <cx:visibility meanLine="1" meanMarker="0" nonoutliers="0" outliers="0"/>
            <cx:statistics quartileMethod="inclusive"/>
          </cx:layoutPr>
        </cx:series>
        <cx:series layoutId="boxWhisker" uniqueId="{2FE9D5EF-BE48-4A3E-854F-0D10D4D7EF20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7"/>
          <cx:layoutPr>
            <cx:visibility meanLine="1" meanMarker="0" nonoutliers="0" outliers="0"/>
            <cx:statistics quartileMethod="inclusive"/>
          </cx:layoutPr>
        </cx:series>
        <cx:series layoutId="boxWhisker" uniqueId="{0F4AE3EB-73A8-4D5C-99B3-450C2E8DA034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8"/>
          <cx:layoutPr>
            <cx:visibility meanLine="1" meanMarker="0" nonoutliers="0" outliers="0"/>
            <cx:statistics quartileMethod="inclusive"/>
          </cx:layoutPr>
        </cx:series>
      </cx:plotAreaRegion>
      <cx:axis id="0">
        <cx:catScaling gapWidth="0"/>
        <cx:title>
          <cx:tx>
            <cx:txData>
              <cx:v>Year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Year</a:t>
              </a:r>
            </a:p>
          </cx:txPr>
        </cx:title>
        <cx:majorTickMarks type="cross"/>
        <cx:minorTickMarks type="in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chemeClr val="bg1"/>
                </a:solidFill>
              </a:defRPr>
            </a:pPr>
            <a:endParaRPr lang="en-US" sz="900" b="0" i="0" u="none" strike="noStrike" baseline="0">
              <a:solidFill>
                <a:schemeClr val="bg1"/>
              </a:solidFill>
              <a:latin typeface="Calibri" panose="020F0502020204030204"/>
            </a:endParaRPr>
          </a:p>
        </cx:txPr>
      </cx:axis>
      <cx:axis id="1">
        <cx:valScaling/>
        <cx:title>
          <cx:tx>
            <cx:txData>
              <cx:v>Cash flows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Cash flows</a:t>
              </a:r>
            </a:p>
          </cx:txPr>
        </cx:title>
        <cx:units unit="millions">
          <cx:unitsLabel>
            <cx:tx>
              <cx:txData>
                <cx:v>Millions</cx:v>
              </cx:txData>
            </cx:tx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7F7F7F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en-US" sz="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Millions</a:t>
                </a:r>
              </a:p>
            </cx:txPr>
          </cx:unitsLabel>
        </cx:units>
        <cx:majorTickMarks type="cross"/>
        <cx:minorTickMarks type="in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800" b="1"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18" Type="http://schemas.openxmlformats.org/officeDocument/2006/relationships/chart" Target="../charts/chart5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17" Type="http://schemas.openxmlformats.org/officeDocument/2006/relationships/chart" Target="../charts/chart52.xml"/><Relationship Id="rId2" Type="http://schemas.openxmlformats.org/officeDocument/2006/relationships/chart" Target="../charts/chart37.xml"/><Relationship Id="rId16" Type="http://schemas.openxmlformats.org/officeDocument/2006/relationships/chart" Target="../charts/chart51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243840</xdr:colOff>
      <xdr:row>10</xdr:row>
      <xdr:rowOff>278130</xdr:rowOff>
    </xdr:from>
    <xdr:ext cx="1911549" cy="18812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59D013F5-2E93-422E-A082-C03AB38BD69A}"/>
                </a:ext>
              </a:extLst>
            </xdr:cNvPr>
            <xdr:cNvSpPr txBox="1"/>
          </xdr:nvSpPr>
          <xdr:spPr>
            <a:xfrm>
              <a:off x="5852160" y="3295650"/>
              <a:ext cx="1911549" cy="1881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hh𝑝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=1.701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−5</m:t>
                        </m:r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𝑃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59D013F5-2E93-422E-A082-C03AB38BD69A}"/>
                </a:ext>
              </a:extLst>
            </xdr:cNvPr>
            <xdr:cNvSpPr txBox="1"/>
          </xdr:nvSpPr>
          <xdr:spPr>
            <a:xfrm>
              <a:off x="5852160" y="3295650"/>
              <a:ext cx="1911549" cy="1881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𝑃_ℎℎ𝑝=1.701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×〖10〗^(−5)×𝑞_𝑑×𝑃_𝑑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12</xdr:col>
      <xdr:colOff>251460</xdr:colOff>
      <xdr:row>10</xdr:row>
      <xdr:rowOff>293370</xdr:rowOff>
    </xdr:from>
    <xdr:ext cx="177221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AC3087B2-6469-429D-97E1-560E66BEA2F6}"/>
                </a:ext>
              </a:extLst>
            </xdr:cNvPr>
            <xdr:cNvSpPr txBox="1"/>
          </xdr:nvSpPr>
          <xdr:spPr>
            <a:xfrm>
              <a:off x="8298180" y="3310890"/>
              <a:ext cx="177221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𝑃</m:t>
                      </m:r>
                    </m:e>
                    <m:sub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𝑏h𝑝</m:t>
                      </m:r>
                    </m:sub>
                  </m:sSub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sSub>
                    <m:sSub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𝑃</m:t>
                      </m:r>
                    </m:e>
                    <m:sub>
                      <m:r>
                        <a:rPr lang="es-MX" sz="1100" b="0" i="1">
                          <a:latin typeface="Cambria Math" panose="02040503050406030204" pitchFamily="18" charset="0"/>
                        </a:rPr>
                        <m:t>hh𝑝</m:t>
                      </m:r>
                    </m:sub>
                  </m:sSub>
                  <m:r>
                    <a:rPr lang="es-MX" sz="1100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×</m:t>
                  </m:r>
                </m:oMath>
              </a14:m>
              <a:r>
                <a:rPr lang="en-US" sz="1100"/>
                <a:t>Pump efficiency</a:t>
              </a:r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AC3087B2-6469-429D-97E1-560E66BEA2F6}"/>
                </a:ext>
              </a:extLst>
            </xdr:cNvPr>
            <xdr:cNvSpPr txBox="1"/>
          </xdr:nvSpPr>
          <xdr:spPr>
            <a:xfrm>
              <a:off x="8298180" y="3310890"/>
              <a:ext cx="177221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𝑃_𝑏ℎ𝑝=𝑃_ℎℎ𝑝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</a:t>
              </a:r>
              <a:r>
                <a:rPr lang="en-US" sz="1100"/>
                <a:t>Pump efficiency</a:t>
              </a:r>
            </a:p>
          </xdr:txBody>
        </xdr:sp>
      </mc:Fallback>
    </mc:AlternateContent>
    <xdr:clientData/>
  </xdr:oneCellAnchor>
  <xdr:oneCellAnchor>
    <xdr:from>
      <xdr:col>16</xdr:col>
      <xdr:colOff>45720</xdr:colOff>
      <xdr:row>10</xdr:row>
      <xdr:rowOff>247650</xdr:rowOff>
    </xdr:from>
    <xdr:ext cx="929640" cy="3113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E5E23AE3-2AE2-4E7A-83D1-B2E0AA6AB913}"/>
                </a:ext>
              </a:extLst>
            </xdr:cNvPr>
            <xdr:cNvSpPr txBox="1"/>
          </xdr:nvSpPr>
          <xdr:spPr>
            <a:xfrm>
              <a:off x="10530840" y="3265170"/>
              <a:ext cx="929640" cy="3113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400" b="0"/>
                <a:t>P</a:t>
              </a:r>
              <a14:m>
                <m:oMath xmlns:m="http://schemas.openxmlformats.org/officeDocument/2006/math">
                  <m:r>
                    <a:rPr lang="es-MX" sz="14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4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𝜌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∙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𝑄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∙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𝑔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∙∆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𝐻</m:t>
                      </m:r>
                    </m:num>
                    <m:den>
                      <m:r>
                        <a:rPr lang="es-MX" sz="1400" b="0" i="1">
                          <a:latin typeface="Cambria Math" panose="02040503050406030204" pitchFamily="18" charset="0"/>
                        </a:rPr>
                        <m:t>𝑛</m:t>
                      </m:r>
                    </m:den>
                  </m:f>
                </m:oMath>
              </a14:m>
              <a:endParaRPr lang="en-US" sz="14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E5E23AE3-2AE2-4E7A-83D1-B2E0AA6AB913}"/>
                </a:ext>
              </a:extLst>
            </xdr:cNvPr>
            <xdr:cNvSpPr txBox="1"/>
          </xdr:nvSpPr>
          <xdr:spPr>
            <a:xfrm>
              <a:off x="10530840" y="3265170"/>
              <a:ext cx="929640" cy="3113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/>
                <a:t>P</a:t>
              </a:r>
              <a:r>
                <a:rPr lang="es-MX" sz="1400" b="0" i="0">
                  <a:latin typeface="Cambria Math" panose="02040503050406030204" pitchFamily="18" charset="0"/>
                </a:rPr>
                <a:t>=(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𝜌∙𝑄∙𝑔∙∆𝐻)/</a:t>
              </a:r>
              <a:r>
                <a:rPr lang="es-MX" sz="1400" b="0" i="0">
                  <a:latin typeface="Cambria Math" panose="02040503050406030204" pitchFamily="18" charset="0"/>
                </a:rPr>
                <a:t>𝑛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17</xdr:col>
      <xdr:colOff>571500</xdr:colOff>
      <xdr:row>10</xdr:row>
      <xdr:rowOff>186690</xdr:rowOff>
    </xdr:from>
    <xdr:ext cx="1058110" cy="3168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FC09375-C568-4260-9EAC-6123120CF5F2}"/>
                </a:ext>
              </a:extLst>
            </xdr:cNvPr>
            <xdr:cNvSpPr txBox="1"/>
          </xdr:nvSpPr>
          <xdr:spPr>
            <a:xfrm>
              <a:off x="11666220" y="3204210"/>
              <a:ext cx="1058110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𝐻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𝑎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𝐿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𝑁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𝐶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32.2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𝐾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FC09375-C568-4260-9EAC-6123120CF5F2}"/>
                </a:ext>
              </a:extLst>
            </xdr:cNvPr>
            <xdr:cNvSpPr txBox="1"/>
          </xdr:nvSpPr>
          <xdr:spPr>
            <a:xfrm>
              <a:off x="11666220" y="3204210"/>
              <a:ext cx="1058110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𝐻_𝑎=(𝐿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∙𝑉∙𝑁∙𝐶)/(</a:t>
              </a:r>
              <a:r>
                <a:rPr lang="es-MX" sz="1100" b="0" i="0">
                  <a:latin typeface="Cambria Math" panose="02040503050406030204" pitchFamily="18" charset="0"/>
                </a:rPr>
                <a:t>32.2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∙𝐾)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68580</xdr:colOff>
      <xdr:row>11</xdr:row>
      <xdr:rowOff>160020</xdr:rowOff>
    </xdr:from>
    <xdr:ext cx="1320105" cy="78124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B5B69B7-A114-47C7-AE70-9C8340522D66}"/>
            </a:ext>
          </a:extLst>
        </xdr:cNvPr>
        <xdr:cNvSpPr txBox="1"/>
      </xdr:nvSpPr>
      <xdr:spPr>
        <a:xfrm>
          <a:off x="6286500" y="3543300"/>
          <a:ext cx="1320105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Where:</a:t>
          </a:r>
          <a:br>
            <a:rPr lang="en-US" sz="1100"/>
          </a:br>
          <a:r>
            <a:rPr lang="en-US" sz="1100"/>
            <a:t>Phhp in hp</a:t>
          </a:r>
        </a:p>
        <a:p>
          <a:r>
            <a:rPr lang="en-US" sz="1100"/>
            <a:t>qd flow rate in BPD </a:t>
          </a:r>
          <a:br>
            <a:rPr lang="en-US" sz="1100"/>
          </a:br>
          <a:r>
            <a:rPr lang="en-US" sz="1100"/>
            <a:t>Pd in psi </a:t>
          </a:r>
        </a:p>
      </xdr:txBody>
    </xdr:sp>
    <xdr:clientData/>
  </xdr:oneCellAnchor>
  <xdr:oneCellAnchor>
    <xdr:from>
      <xdr:col>12</xdr:col>
      <xdr:colOff>266700</xdr:colOff>
      <xdr:row>11</xdr:row>
      <xdr:rowOff>289560</xdr:rowOff>
    </xdr:from>
    <xdr:ext cx="798424" cy="60901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4696DF0-3D87-435C-88C7-32E043546CA1}"/>
            </a:ext>
          </a:extLst>
        </xdr:cNvPr>
        <xdr:cNvSpPr txBox="1"/>
      </xdr:nvSpPr>
      <xdr:spPr>
        <a:xfrm>
          <a:off x="8313420" y="3672840"/>
          <a:ext cx="798424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Where:</a:t>
          </a:r>
          <a:br>
            <a:rPr lang="en-US" sz="1100"/>
          </a:br>
          <a:r>
            <a:rPr lang="en-US" sz="1100"/>
            <a:t>Pbhp</a:t>
          </a:r>
          <a:r>
            <a:rPr lang="en-US" sz="1100" baseline="0"/>
            <a:t> in hp</a:t>
          </a:r>
        </a:p>
        <a:p>
          <a:r>
            <a:rPr lang="en-US" sz="1100" baseline="0"/>
            <a:t>Phhp in hp</a:t>
          </a:r>
          <a:endParaRPr lang="en-US" sz="1100"/>
        </a:p>
      </xdr:txBody>
    </xdr:sp>
    <xdr:clientData/>
  </xdr:oneCellAnchor>
  <xdr:oneCellAnchor>
    <xdr:from>
      <xdr:col>15</xdr:col>
      <xdr:colOff>541020</xdr:colOff>
      <xdr:row>11</xdr:row>
      <xdr:rowOff>297180</xdr:rowOff>
    </xdr:from>
    <xdr:ext cx="978088" cy="12979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07B7787-D18D-425B-A571-F66E0CB86B17}"/>
            </a:ext>
          </a:extLst>
        </xdr:cNvPr>
        <xdr:cNvSpPr txBox="1"/>
      </xdr:nvSpPr>
      <xdr:spPr>
        <a:xfrm>
          <a:off x="10416540" y="3680460"/>
          <a:ext cx="978088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Where:</a:t>
          </a:r>
          <a:br>
            <a:rPr lang="en-US" sz="1100"/>
          </a:br>
          <a:r>
            <a:rPr lang="en-US" sz="1100"/>
            <a:t>P</a:t>
          </a:r>
          <a:r>
            <a:rPr lang="en-US" sz="1100" baseline="0"/>
            <a:t> in W</a:t>
          </a:r>
        </a:p>
        <a:p>
          <a:r>
            <a:rPr lang="en-US" sz="1100" baseline="0"/>
            <a:t>rho in kg/m3</a:t>
          </a:r>
        </a:p>
        <a:p>
          <a:r>
            <a:rPr lang="en-US" sz="1100" baseline="0"/>
            <a:t>Q in m3/s</a:t>
          </a:r>
        </a:p>
        <a:p>
          <a:r>
            <a:rPr lang="en-US" sz="1100" baseline="0"/>
            <a:t>g is 9.81 m/s2</a:t>
          </a:r>
        </a:p>
        <a:p>
          <a:r>
            <a:rPr lang="en-US" sz="1100" baseline="0"/>
            <a:t>DH m</a:t>
          </a:r>
        </a:p>
        <a:p>
          <a:r>
            <a:rPr lang="en-US" sz="1100" baseline="0"/>
            <a:t>n efficiency</a:t>
          </a:r>
          <a:endParaRPr lang="en-US" sz="1100"/>
        </a:p>
      </xdr:txBody>
    </xdr:sp>
    <xdr:clientData/>
  </xdr:oneCellAnchor>
  <xdr:oneCellAnchor>
    <xdr:from>
      <xdr:col>18</xdr:col>
      <xdr:colOff>182880</xdr:colOff>
      <xdr:row>12</xdr:row>
      <xdr:rowOff>205740</xdr:rowOff>
    </xdr:from>
    <xdr:ext cx="2347694" cy="12979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362D5322-3FEF-4851-9163-DFACE334C9FC}"/>
            </a:ext>
          </a:extLst>
        </xdr:cNvPr>
        <xdr:cNvSpPr txBox="1"/>
      </xdr:nvSpPr>
      <xdr:spPr>
        <a:xfrm>
          <a:off x="11887200" y="3954780"/>
          <a:ext cx="2347694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Where:</a:t>
          </a:r>
          <a:br>
            <a:rPr lang="en-US" sz="1100"/>
          </a:br>
          <a:r>
            <a:rPr lang="en-US" sz="1100"/>
            <a:t>Ha</a:t>
          </a:r>
          <a:r>
            <a:rPr lang="en-US" sz="1100" baseline="0"/>
            <a:t> in ft</a:t>
          </a:r>
        </a:p>
        <a:p>
          <a:r>
            <a:rPr lang="en-US" sz="1100"/>
            <a:t>L of suction p in ft</a:t>
          </a:r>
        </a:p>
        <a:p>
          <a:r>
            <a:rPr lang="en-US" sz="1100"/>
            <a:t>V mean velocity of flow in suction ft/s</a:t>
          </a:r>
        </a:p>
        <a:p>
          <a:r>
            <a:rPr lang="en-US" sz="1100"/>
            <a:t>N rpm of pump</a:t>
          </a:r>
        </a:p>
        <a:p>
          <a:r>
            <a:rPr lang="en-US" sz="1100"/>
            <a:t>C cte 0.066 for Tx-125</a:t>
          </a:r>
        </a:p>
        <a:p>
          <a:r>
            <a:rPr lang="en-US" sz="1100"/>
            <a:t>K cte 1.5 for water</a:t>
          </a:r>
        </a:p>
      </xdr:txBody>
    </xdr:sp>
    <xdr:clientData/>
  </xdr:oneCellAnchor>
  <xdr:oneCellAnchor>
    <xdr:from>
      <xdr:col>20</xdr:col>
      <xdr:colOff>182880</xdr:colOff>
      <xdr:row>10</xdr:row>
      <xdr:rowOff>121920</xdr:rowOff>
    </xdr:from>
    <xdr:ext cx="562141" cy="3179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4B396558-F08D-4143-89F3-B9F1FDC6FC81}"/>
                </a:ext>
              </a:extLst>
            </xdr:cNvPr>
            <xdr:cNvSpPr txBox="1"/>
          </xdr:nvSpPr>
          <xdr:spPr>
            <a:xfrm>
              <a:off x="13106400" y="3139440"/>
              <a:ext cx="562141" cy="317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𝑉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𝑄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𝐷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4B396558-F08D-4143-89F3-B9F1FDC6FC81}"/>
                </a:ext>
              </a:extLst>
            </xdr:cNvPr>
            <xdr:cNvSpPr txBox="1"/>
          </xdr:nvSpPr>
          <xdr:spPr>
            <a:xfrm>
              <a:off x="13106400" y="3139440"/>
              <a:ext cx="562141" cy="317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𝑉=𝑄/(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𝜋𝐷^2 )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134620</xdr:colOff>
      <xdr:row>3</xdr:row>
      <xdr:rowOff>288290</xdr:rowOff>
    </xdr:from>
    <xdr:ext cx="4061460" cy="38613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469C0FB4-C49E-456F-978F-67D1475CD893}"/>
                </a:ext>
              </a:extLst>
            </xdr:cNvPr>
            <xdr:cNvSpPr txBox="1"/>
          </xdr:nvSpPr>
          <xdr:spPr>
            <a:xfrm>
              <a:off x="14618970" y="1024890"/>
              <a:ext cx="4061460" cy="3861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𝑐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𝑃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𝑃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es-MX" sz="2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𝑐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𝐹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𝐹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es-MX" sz="24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𝑍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es-MX" sz="2400" b="0" i="1">
                        <a:latin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𝐿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en-US" sz="24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469C0FB4-C49E-456F-978F-67D1475CD893}"/>
                </a:ext>
              </a:extLst>
            </xdr:cNvPr>
            <xdr:cNvSpPr txBox="1"/>
          </xdr:nvSpPr>
          <xdr:spPr>
            <a:xfrm>
              <a:off x="14618970" y="1024890"/>
              <a:ext cx="4061460" cy="3861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2400" b="0" i="0">
                  <a:latin typeface="Cambria Math" panose="02040503050406030204" pitchFamily="18" charset="0"/>
                </a:rPr>
                <a:t>𝑐_(𝑃,𝑘) 𝐸_(𝑃,𝑘)=𝑐_(𝐹,𝑘) 𝐸_(𝐹,𝑘)+𝑍_𝑘−𝐶_(𝐿,𝑘)</a:t>
              </a:r>
              <a:endParaRPr lang="en-US" sz="2400"/>
            </a:p>
          </xdr:txBody>
        </xdr:sp>
      </mc:Fallback>
    </mc:AlternateContent>
    <xdr:clientData/>
  </xdr:oneCellAnchor>
  <xdr:oneCellAnchor>
    <xdr:from>
      <xdr:col>18</xdr:col>
      <xdr:colOff>497840</xdr:colOff>
      <xdr:row>11</xdr:row>
      <xdr:rowOff>125730</xdr:rowOff>
    </xdr:from>
    <xdr:ext cx="5882640" cy="8833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F79E9C0E-1825-4300-B3C2-BE541D650A61}"/>
                </a:ext>
              </a:extLst>
            </xdr:cNvPr>
            <xdr:cNvSpPr txBox="1"/>
          </xdr:nvSpPr>
          <xdr:spPr>
            <a:xfrm>
              <a:off x="13762990" y="2887980"/>
              <a:ext cx="5882640" cy="8833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2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𝐸</m:t>
                            </m:r>
                          </m:e>
                          <m:sub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𝑍</m:t>
                            </m:r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2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𝐸</m:t>
                            </m:r>
                          </m:e>
                          <m:sub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</m:sub>
                        </m:sSub>
                      </m:den>
                    </m:f>
                    <m:r>
                      <a:rPr lang="es-MX" sz="2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2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𝐸</m:t>
                            </m:r>
                          </m:e>
                          <m:sub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sub>
                        </m:s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+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es-MX" sz="2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es-MX" sz="24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type m:val="skw"/>
                                    <m:ctrlPr>
                                      <a:rPr lang="es-MX" sz="2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2400" b="0" i="1">
                                        <a:latin typeface="Cambria Math" panose="02040503050406030204" pitchFamily="18" charset="0"/>
                                      </a:rPr>
                                      <m:t>𝑍</m:t>
                                    </m:r>
                                  </m:num>
                                  <m:den>
                                    <m:r>
                                      <a:rPr lang="es-MX" sz="2400" b="0" i="1">
                                        <a:latin typeface="Cambria Math" panose="02040503050406030204" pitchFamily="18" charset="0"/>
                                      </a:rPr>
                                      <m:t>𝑃𝑤𝑟</m:t>
                                    </m:r>
                                  </m:den>
                                </m:f>
                              </m:e>
                            </m:d>
                            <m:r>
                              <a:rPr lang="es-MX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×3.6</m:t>
                            </m:r>
                          </m:e>
                        </m:d>
                        <m:r>
                          <a:rPr lang="es-MX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𝐶</m:t>
                            </m:r>
                          </m:e>
                          <m:sub>
                            <m:r>
                              <a:rPr lang="es-MX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𝐿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2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𝐸</m:t>
                            </m:r>
                          </m:e>
                          <m:sub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US" sz="24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F79E9C0E-1825-4300-B3C2-BE541D650A61}"/>
                </a:ext>
              </a:extLst>
            </xdr:cNvPr>
            <xdr:cNvSpPr txBox="1"/>
          </xdr:nvSpPr>
          <xdr:spPr>
            <a:xfrm>
              <a:off x="13762990" y="2887980"/>
              <a:ext cx="5882640" cy="8833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2400" b="0" i="0">
                  <a:latin typeface="Cambria Math" panose="02040503050406030204" pitchFamily="18" charset="0"/>
                </a:rPr>
                <a:t>𝐸_(𝐹+𝑍−𝐶)/𝐸_𝑃 =(𝐸_𝐹+[(𝑍⁄𝑃𝑤𝑟)</a:t>
              </a:r>
              <a:r>
                <a:rPr lang="es-MX" sz="2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×3.6]−𝐶_𝐿)/</a:t>
              </a:r>
              <a:r>
                <a:rPr lang="es-MX" sz="2400" b="0" i="0">
                  <a:latin typeface="Cambria Math" panose="02040503050406030204" pitchFamily="18" charset="0"/>
                </a:rPr>
                <a:t>𝐸_𝑃 </a:t>
              </a:r>
              <a:endParaRPr lang="en-US" sz="2400"/>
            </a:p>
          </xdr:txBody>
        </xdr:sp>
      </mc:Fallback>
    </mc:AlternateContent>
    <xdr:clientData/>
  </xdr:oneCellAnchor>
  <xdr:oneCellAnchor>
    <xdr:from>
      <xdr:col>21</xdr:col>
      <xdr:colOff>92710</xdr:colOff>
      <xdr:row>19</xdr:row>
      <xdr:rowOff>49530</xdr:rowOff>
    </xdr:from>
    <xdr:ext cx="3261360" cy="436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C2D460-F2F7-405C-A663-298938BDDECA}"/>
            </a:ext>
          </a:extLst>
        </xdr:cNvPr>
        <xdr:cNvSpPr txBox="1"/>
      </xdr:nvSpPr>
      <xdr:spPr>
        <a:xfrm>
          <a:off x="15186660" y="4284980"/>
          <a:ext cx="326136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Obtaining exergy equivalent from capex and opex + Cleaning and pumping exergy / Exergy of product</a:t>
          </a:r>
        </a:p>
      </xdr:txBody>
    </xdr:sp>
    <xdr:clientData/>
  </xdr:oneCellAnchor>
  <xdr:oneCellAnchor>
    <xdr:from>
      <xdr:col>23</xdr:col>
      <xdr:colOff>0</xdr:colOff>
      <xdr:row>26</xdr:row>
      <xdr:rowOff>0</xdr:rowOff>
    </xdr:from>
    <xdr:ext cx="5882640" cy="594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C9833C62-9C5C-4F8B-A1A9-A852F27EA1D5}"/>
                </a:ext>
              </a:extLst>
            </xdr:cNvPr>
            <xdr:cNvSpPr txBox="1"/>
          </xdr:nvSpPr>
          <xdr:spPr>
            <a:xfrm>
              <a:off x="21374100" y="6248400"/>
              <a:ext cx="5882640" cy="594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2400" b="0"/>
                <a:t>EROI</a:t>
              </a:r>
              <a14:m>
                <m:oMath xmlns:m="http://schemas.openxmlformats.org/officeDocument/2006/math">
                  <m:r>
                    <a:rPr lang="es-MX" sz="24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24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MX" sz="2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MX" sz="2400" b="0" i="1">
                              <a:latin typeface="Cambria Math" panose="02040503050406030204" pitchFamily="18" charset="0"/>
                            </a:rPr>
                            <m:t>𝐸</m:t>
                          </m:r>
                        </m:e>
                        <m:sub>
                          <m:r>
                            <a:rPr lang="es-MX" sz="2400" b="0" i="1">
                              <a:latin typeface="Cambria Math" panose="02040503050406030204" pitchFamily="18" charset="0"/>
                            </a:rPr>
                            <m:t>𝑃</m:t>
                          </m:r>
                        </m:sub>
                      </m:sSub>
                      <m:r>
                        <a:rPr lang="es-MX" sz="2400" b="0" i="1">
                          <a:latin typeface="Cambria Math" panose="02040503050406030204" pitchFamily="18" charset="0"/>
                        </a:rPr>
                        <m:t>−</m:t>
                      </m:r>
                      <m:d>
                        <m:dPr>
                          <m:ctrlPr>
                            <a:rPr lang="es-MX" sz="24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𝐸</m:t>
                              </m:r>
                            </m:e>
                            <m:sub>
                              <m: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𝐹</m:t>
                              </m:r>
                            </m:sub>
                          </m:sSub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+</m:t>
                          </m:r>
                          <m:d>
                            <m:dPr>
                              <m:begChr m:val="["/>
                              <m:endChr m:val="]"/>
                              <m:ctrlP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d>
                                <m:dPr>
                                  <m:ctrlPr>
                                    <a:rPr lang="es-MX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dPr>
                                <m:e>
                                  <m:f>
                                    <m:fPr>
                                      <m:type m:val="skw"/>
                                      <m:ctrlPr>
                                        <a:rPr lang="es-MX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fPr>
                                    <m:num>
                                      <m:r>
                                        <a:rPr lang="es-MX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𝑍</m:t>
                                      </m:r>
                                    </m:num>
                                    <m:den>
                                      <m:r>
                                        <a:rPr lang="es-MX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𝑃𝑤𝑟</m:t>
                                      </m:r>
                                    </m:den>
                                  </m:f>
                                </m:e>
                              </m:d>
                              <m: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×3.6</m:t>
                              </m:r>
                            </m:e>
                          </m:d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+</m:t>
                          </m:r>
                          <m:sSub>
                            <m:sSubPr>
                              <m:ctrlP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𝐶</m:t>
                              </m:r>
                            </m:e>
                            <m:sub>
                              <m: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𝐿</m:t>
                              </m:r>
                            </m:sub>
                          </m:sSub>
                        </m:e>
                      </m:d>
                    </m:num>
                    <m:den>
                      <m:sSub>
                        <m:sSubPr>
                          <m:ctrlP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𝐸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𝐹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d>
                        <m:dPr>
                          <m:begChr m:val="["/>
                          <m:endChr m:val="]"/>
                          <m:ctrlP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f>
                                <m:fPr>
                                  <m:type m:val="skw"/>
                                  <m:ctrlPr>
                                    <a:rPr lang="es-MX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fPr>
                                <m:num>
                                  <m:r>
                                    <a:rPr lang="es-MX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𝑍</m:t>
                                  </m:r>
                                </m:num>
                                <m:den>
                                  <m:r>
                                    <a:rPr lang="es-MX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𝑃𝑤𝑟</m:t>
                                  </m:r>
                                </m:den>
                              </m:f>
                            </m:e>
                          </m:d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×3.6</m:t>
                          </m:r>
                        </m:e>
                      </m:d>
                      <m:r>
                        <a:rPr lang="es-MX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𝐿</m:t>
                          </m:r>
                        </m:sub>
                      </m:sSub>
                    </m:den>
                  </m:f>
                </m:oMath>
              </a14:m>
              <a:endParaRPr lang="en-US" sz="24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C9833C62-9C5C-4F8B-A1A9-A852F27EA1D5}"/>
                </a:ext>
              </a:extLst>
            </xdr:cNvPr>
            <xdr:cNvSpPr txBox="1"/>
          </xdr:nvSpPr>
          <xdr:spPr>
            <a:xfrm>
              <a:off x="21374100" y="6248400"/>
              <a:ext cx="5882640" cy="594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2400" b="0"/>
                <a:t>EROI</a:t>
              </a:r>
              <a:r>
                <a:rPr lang="es-MX" sz="2400" b="0" i="0">
                  <a:latin typeface="Cambria Math" panose="02040503050406030204" pitchFamily="18" charset="0"/>
                </a:rPr>
                <a:t>=(𝐸_𝑃−(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𝐸_𝐹+[(𝑍⁄𝑃𝑤𝑟)×3.6]+𝐶_𝐿 )</a:t>
              </a:r>
              <a:r>
                <a:rPr lang="es-MX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𝐸_𝐹+[(𝑍⁄𝑃𝑤𝑟)×3.6]+𝐶_𝐿 </a:t>
              </a:r>
              <a:r>
                <a:rPr lang="es-MX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en-US" sz="2400"/>
            </a:p>
          </xdr:txBody>
        </xdr:sp>
      </mc:Fallback>
    </mc:AlternateContent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275166</xdr:colOff>
      <xdr:row>0</xdr:row>
      <xdr:rowOff>74084</xdr:rowOff>
    </xdr:from>
    <xdr:to>
      <xdr:col>19</xdr:col>
      <xdr:colOff>296334</xdr:colOff>
      <xdr:row>21</xdr:row>
      <xdr:rowOff>42334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9F496EB-07F3-4B0F-9948-3B5D269A2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</xdr:colOff>
      <xdr:row>22</xdr:row>
      <xdr:rowOff>148167</xdr:rowOff>
    </xdr:from>
    <xdr:to>
      <xdr:col>9</xdr:col>
      <xdr:colOff>412750</xdr:colOff>
      <xdr:row>41</xdr:row>
      <xdr:rowOff>158751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F95655A-55C3-4702-A882-062D4841B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148165</xdr:colOff>
      <xdr:row>23</xdr:row>
      <xdr:rowOff>31749</xdr:rowOff>
    </xdr:from>
    <xdr:to>
      <xdr:col>19</xdr:col>
      <xdr:colOff>402167</xdr:colOff>
      <xdr:row>41</xdr:row>
      <xdr:rowOff>148166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6104E4E-7E5D-4783-BB41-3D4A700DF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104323</xdr:colOff>
      <xdr:row>47</xdr:row>
      <xdr:rowOff>120649</xdr:rowOff>
    </xdr:from>
    <xdr:to>
      <xdr:col>8</xdr:col>
      <xdr:colOff>127000</xdr:colOff>
      <xdr:row>65</xdr:row>
      <xdr:rowOff>31750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E8A620-0E78-4C5B-B560-88EFB436D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291799</xdr:colOff>
      <xdr:row>48</xdr:row>
      <xdr:rowOff>81642</xdr:rowOff>
    </xdr:from>
    <xdr:to>
      <xdr:col>19</xdr:col>
      <xdr:colOff>306917</xdr:colOff>
      <xdr:row>66</xdr:row>
      <xdr:rowOff>84666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FD09C0B-EE54-466B-AF8C-AD475079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86</xdr:row>
      <xdr:rowOff>89202</xdr:rowOff>
    </xdr:from>
    <xdr:to>
      <xdr:col>9</xdr:col>
      <xdr:colOff>539750</xdr:colOff>
      <xdr:row>104</xdr:row>
      <xdr:rowOff>10583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20212DB-2CB0-4924-9D46-2BA7A0F4C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31750</xdr:colOff>
      <xdr:row>66</xdr:row>
      <xdr:rowOff>116416</xdr:rowOff>
    </xdr:from>
    <xdr:to>
      <xdr:col>9</xdr:col>
      <xdr:colOff>296333</xdr:colOff>
      <xdr:row>82</xdr:row>
      <xdr:rowOff>10583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239FCA-CB7A-4561-91A5-986F9EA1E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370416</xdr:colOff>
      <xdr:row>86</xdr:row>
      <xdr:rowOff>128513</xdr:rowOff>
    </xdr:from>
    <xdr:to>
      <xdr:col>19</xdr:col>
      <xdr:colOff>391584</xdr:colOff>
      <xdr:row>103</xdr:row>
      <xdr:rowOff>31750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990E837-0C38-4B68-9EB9-6D3284322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31750</xdr:colOff>
      <xdr:row>106</xdr:row>
      <xdr:rowOff>133046</xdr:rowOff>
    </xdr:from>
    <xdr:to>
      <xdr:col>9</xdr:col>
      <xdr:colOff>412750</xdr:colOff>
      <xdr:row>126</xdr:row>
      <xdr:rowOff>21167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E40EB8D-4D63-4DFB-9F5E-D19101364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201085</xdr:colOff>
      <xdr:row>67</xdr:row>
      <xdr:rowOff>116416</xdr:rowOff>
    </xdr:from>
    <xdr:to>
      <xdr:col>19</xdr:col>
      <xdr:colOff>455085</xdr:colOff>
      <xdr:row>84</xdr:row>
      <xdr:rowOff>169332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ED0DC376-E6EA-4D10-AC43-BAEF66381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108</xdr:row>
      <xdr:rowOff>0</xdr:rowOff>
    </xdr:from>
    <xdr:to>
      <xdr:col>20</xdr:col>
      <xdr:colOff>444500</xdr:colOff>
      <xdr:row>129</xdr:row>
      <xdr:rowOff>74082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B3E7DD0-3F1E-4B27-82A3-25833194C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857250</xdr:colOff>
      <xdr:row>18</xdr:row>
      <xdr:rowOff>19050</xdr:rowOff>
    </xdr:from>
    <xdr:ext cx="1708150" cy="1837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A6DBAAB3-074A-4E7F-AE3E-C094FC87D0FC}"/>
                </a:ext>
              </a:extLst>
            </xdr:cNvPr>
            <xdr:cNvSpPr txBox="1"/>
          </xdr:nvSpPr>
          <xdr:spPr>
            <a:xfrm>
              <a:off x="7988300" y="3251200"/>
              <a:ext cx="1708150" cy="1837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𝐹</m:t>
                    </m:r>
                    <m:d>
                      <m:d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</m:d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p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A6DBAAB3-074A-4E7F-AE3E-C094FC87D0FC}"/>
                </a:ext>
              </a:extLst>
            </xdr:cNvPr>
            <xdr:cNvSpPr txBox="1"/>
          </xdr:nvSpPr>
          <xdr:spPr>
            <a:xfrm>
              <a:off x="7988300" y="3251200"/>
              <a:ext cx="1708150" cy="1837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𝐹(𝑉)=𝐴_1 𝑉^(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1 )  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1082675</xdr:colOff>
      <xdr:row>5</xdr:row>
      <xdr:rowOff>127000</xdr:rowOff>
    </xdr:from>
    <xdr:ext cx="744819" cy="35727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553C6BB0-0131-4273-928C-A47BAF5A5FC1}"/>
                </a:ext>
              </a:extLst>
            </xdr:cNvPr>
            <xdr:cNvSpPr txBox="1"/>
          </xdr:nvSpPr>
          <xdr:spPr>
            <a:xfrm>
              <a:off x="7934325" y="952500"/>
              <a:ext cx="744819" cy="3572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∗</m:t>
                            </m:r>
                          </m:sup>
                        </m:s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num>
                      <m:den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p>
                                  <m:sSupPr>
                                    <m:ctrlPr>
                                      <a:rPr lang="es-MX" sz="11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es-MX" sz="1100" b="0" i="1">
                                        <a:latin typeface="Cambria Math" panose="02040503050406030204" pitchFamily="18" charset="0"/>
                                      </a:rPr>
                                      <m:t>𝑉</m:t>
                                    </m:r>
                                  </m:e>
                                  <m:sup>
                                    <m:r>
                                      <a:rPr lang="es-MX" sz="1100" b="0" i="1">
                                        <a:latin typeface="Cambria Math" panose="02040503050406030204" pitchFamily="18" charset="0"/>
                                      </a:rPr>
                                      <m:t>∗</m:t>
                                    </m:r>
                                  </m:sup>
                                </m:sSup>
                              </m:e>
                            </m:d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553C6BB0-0131-4273-928C-A47BAF5A5FC1}"/>
                </a:ext>
              </a:extLst>
            </xdr:cNvPr>
            <xdr:cNvSpPr txBox="1"/>
          </xdr:nvSpPr>
          <xdr:spPr>
            <a:xfrm>
              <a:off x="7934325" y="952500"/>
              <a:ext cx="744819" cy="3572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𝐴</a:t>
              </a:r>
              <a:r>
                <a:rPr lang="en-US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1=(𝑉^∗−𝐼)/(𝑉^∗ )^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 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933450</xdr:colOff>
      <xdr:row>9</xdr:row>
      <xdr:rowOff>38100</xdr:rowOff>
    </xdr:from>
    <xdr:ext cx="1165063" cy="42043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24673784-80CD-42A9-81B1-310972A4B1FF}"/>
                </a:ext>
              </a:extLst>
            </xdr:cNvPr>
            <xdr:cNvSpPr txBox="1"/>
          </xdr:nvSpPr>
          <xdr:spPr>
            <a:xfrm>
              <a:off x="9048750" y="1828800"/>
              <a:ext cx="1165063" cy="42043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es-MX" sz="11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es-MX" sz="11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𝛽</m:t>
                                    </m:r>
                                  </m:e>
                                  <m:sub>
                                    <m:r>
                                      <a:rPr lang="es-MX" sz="1100" b="0" i="1">
                                        <a:latin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−1</m:t>
                                </m:r>
                              </m:e>
                            </m:d>
                          </m:e>
                          <m:sup>
                            <m:sSubSup>
                              <m:sSub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  <m:sup/>
                            </m:sSubSup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−1</m:t>
                            </m:r>
                          </m:sup>
                        </m:sSup>
                      </m:num>
                      <m:den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sup>
                        </m:sSup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𝐼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−1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24673784-80CD-42A9-81B1-310972A4B1FF}"/>
                </a:ext>
              </a:extLst>
            </xdr:cNvPr>
            <xdr:cNvSpPr txBox="1"/>
          </xdr:nvSpPr>
          <xdr:spPr>
            <a:xfrm>
              <a:off x="9048750" y="1828800"/>
              <a:ext cx="1165063" cy="42043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𝐴</a:t>
              </a:r>
              <a:r>
                <a:rPr lang="en-US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1=(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1−1)^(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1^ 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−1)/(𝛽^𝛽 𝐼^(𝛽−1) 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57150</xdr:colOff>
      <xdr:row>14</xdr:row>
      <xdr:rowOff>12700</xdr:rowOff>
    </xdr:from>
    <xdr:ext cx="833626" cy="3499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F427525-9CE0-4F2D-B5D3-15AA231DF60B}"/>
                </a:ext>
              </a:extLst>
            </xdr:cNvPr>
            <xdr:cNvSpPr txBox="1"/>
          </xdr:nvSpPr>
          <xdr:spPr>
            <a:xfrm>
              <a:off x="8324850" y="2508250"/>
              <a:ext cx="833626" cy="3499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∗</m:t>
                        </m:r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−1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𝐼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F427525-9CE0-4F2D-B5D3-15AA231DF60B}"/>
                </a:ext>
              </a:extLst>
            </xdr:cNvPr>
            <xdr:cNvSpPr txBox="1"/>
          </xdr:nvSpPr>
          <xdr:spPr>
            <a:xfrm>
              <a:off x="8324850" y="2508250"/>
              <a:ext cx="833626" cy="3499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𝑉^∗=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1/(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1−1) 𝐼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15</xdr:col>
      <xdr:colOff>0</xdr:colOff>
      <xdr:row>12</xdr:row>
      <xdr:rowOff>0</xdr:rowOff>
    </xdr:from>
    <xdr:ext cx="807016" cy="31579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7067C9F0-3479-49B3-82E4-9205467D41FD}"/>
                </a:ext>
              </a:extLst>
            </xdr:cNvPr>
            <xdr:cNvSpPr txBox="1"/>
          </xdr:nvSpPr>
          <xdr:spPr>
            <a:xfrm>
              <a:off x="10820400" y="2355850"/>
              <a:ext cx="807016" cy="3157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𝛿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𝑤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𝑉𝑡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7067C9F0-3479-49B3-82E4-9205467D41FD}"/>
                </a:ext>
              </a:extLst>
            </xdr:cNvPr>
            <xdr:cNvSpPr txBox="1"/>
          </xdr:nvSpPr>
          <xdr:spPr>
            <a:xfrm>
              <a:off x="10820400" y="2355850"/>
              <a:ext cx="807016" cy="3157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=𝑤 (𝜋−𝑉_𝑡)/𝑉𝑡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15</xdr:col>
      <xdr:colOff>57150</xdr:colOff>
      <xdr:row>15</xdr:row>
      <xdr:rowOff>69850</xdr:rowOff>
    </xdr:from>
    <xdr:ext cx="728597" cy="2428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20FCBD2A-68E2-416C-BB58-945A53E72234}"/>
                </a:ext>
              </a:extLst>
            </xdr:cNvPr>
            <xdr:cNvSpPr txBox="1"/>
          </xdr:nvSpPr>
          <xdr:spPr>
            <a:xfrm>
              <a:off x="10877550" y="2978150"/>
              <a:ext cx="728597" cy="2428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>
                  <a:ea typeface="Cambria Math" panose="02040503050406030204" pitchFamily="18" charset="0"/>
                </a:rPr>
                <a:t>w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nary>
                    <m:naryPr>
                      <m:chr m:val="∑"/>
                      <m:ctrlPr>
                        <a:rPr lang="es-MX" sz="11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naryPr>
                    <m:sub>
                      <m:r>
                        <m:rPr>
                          <m:brk m:alnAt="23"/>
                        </m:rPr>
                        <a:rPr lang="es-MX" sz="11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𝑡</m:t>
                      </m:r>
                      <m:r>
                        <a:rPr lang="es-MX" sz="11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=1</m:t>
                      </m:r>
                    </m:sub>
                    <m:sup>
                      <m:r>
                        <a:rPr lang="es-MX" sz="11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𝑁</m:t>
                      </m:r>
                    </m:sup>
                    <m:e>
                      <m:f>
                        <m:fPr>
                          <m:ctrlPr>
                            <a:rPr lang="es-MX" sz="11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𝑑</m:t>
                          </m:r>
                          <m:sSub>
                            <m:sSubPr>
                              <m:ctrlPr>
                                <a:rPr lang="es-MX" sz="11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sSubPr>
                            <m:e>
                              <m:r>
                                <a:rPr lang="es-MX" sz="11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𝐵</m:t>
                              </m:r>
                            </m:e>
                            <m:sub>
                              <m:r>
                                <a:rPr lang="es-MX" sz="11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𝑡</m:t>
                              </m:r>
                            </m:sub>
                          </m:sSub>
                        </m:num>
                        <m:den>
                          <m:r>
                            <a:rPr lang="es-MX" sz="11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𝐵</m:t>
                          </m:r>
                        </m:den>
                      </m:f>
                    </m:e>
                  </m:nary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20FCBD2A-68E2-416C-BB58-945A53E72234}"/>
                </a:ext>
              </a:extLst>
            </xdr:cNvPr>
            <xdr:cNvSpPr txBox="1"/>
          </xdr:nvSpPr>
          <xdr:spPr>
            <a:xfrm>
              <a:off x="10877550" y="2978150"/>
              <a:ext cx="728597" cy="2428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>
                  <a:ea typeface="Cambria Math" panose="02040503050406030204" pitchFamily="18" charset="0"/>
                </a:rPr>
                <a:t>w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=∑_(𝑡=1)^𝑁▒(𝑑𝐵_𝑡)/𝐵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419100</xdr:colOff>
      <xdr:row>1</xdr:row>
      <xdr:rowOff>38100</xdr:rowOff>
    </xdr:from>
    <xdr:ext cx="2381806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C3A0C4EC-B90D-4648-BF25-A7111ADA0273}"/>
                </a:ext>
              </a:extLst>
            </xdr:cNvPr>
            <xdr:cNvSpPr txBox="1"/>
          </xdr:nvSpPr>
          <xdr:spPr>
            <a:xfrm>
              <a:off x="7918450" y="266700"/>
              <a:ext cx="2381806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𝛽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</m:num>
                      <m:den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𝜎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+</m:t>
                    </m:r>
                    <m:rad>
                      <m:radPr>
                        <m:degHide m:val="on"/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begChr m:val="["/>
                                <m:endChr m:val="]"/>
                                <m:ctrlP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sSub>
                                      <m:sSubPr>
                                        <m:ctrlP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𝑟</m:t>
                                        </m:r>
                                      </m:e>
                                      <m:sub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𝑓</m:t>
                                        </m:r>
                                      </m:sub>
                                    </m:sSub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𝛿</m:t>
                                    </m:r>
                                  </m:num>
                                  <m:den>
                                    <m:sSup>
                                      <m:sSupPr>
                                        <m:ctrlP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𝜎</m:t>
                                        </m:r>
                                      </m:e>
                                      <m:sup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2</m:t>
                                        </m:r>
                                      </m:sup>
                                    </m:sSup>
                                  </m:den>
                                </m:f>
                                <m: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</m:t>
                                    </m:r>
                                  </m:num>
                                  <m:den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</m:t>
                                    </m:r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𝑟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𝑓</m:t>
                                </m:r>
                              </m:sub>
                            </m:sSub>
                          </m:num>
                          <m:den>
                            <m:sSup>
                              <m:s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𝜎</m:t>
                                </m:r>
                              </m:e>
                              <m:sup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den>
                        </m:f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C3A0C4EC-B90D-4648-BF25-A7111ADA0273}"/>
                </a:ext>
              </a:extLst>
            </xdr:cNvPr>
            <xdr:cNvSpPr txBox="1"/>
          </xdr:nvSpPr>
          <xdr:spPr>
            <a:xfrm>
              <a:off x="7918450" y="266700"/>
              <a:ext cx="2381806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1=1/2−(𝑟_𝑓−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𝛿)/𝜎^</a:t>
              </a:r>
              <a:r>
                <a:rPr lang="es-MX" sz="1100" b="0" i="0">
                  <a:latin typeface="Cambria Math" panose="02040503050406030204" pitchFamily="18" charset="0"/>
                </a:rPr>
                <a:t>2 +√(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[(𝑟_𝑓−𝛿)/𝜎^2 −1/2]^</a:t>
              </a:r>
              <a:r>
                <a:rPr lang="es-MX" sz="1100" b="0" i="0">
                  <a:latin typeface="Cambria Math" panose="02040503050406030204" pitchFamily="18" charset="0"/>
                </a:rPr>
                <a:t>2+(2𝑟_𝑓)/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𝜎^</a:t>
              </a:r>
              <a:r>
                <a:rPr lang="es-MX" sz="1100" b="0" i="0">
                  <a:latin typeface="Cambria Math" panose="02040503050406030204" pitchFamily="18" charset="0"/>
                </a:rPr>
                <a:t>2 )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9</xdr:col>
      <xdr:colOff>232833</xdr:colOff>
      <xdr:row>18</xdr:row>
      <xdr:rowOff>21167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204136-2C17-40CC-A085-618602D1B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179916</xdr:colOff>
      <xdr:row>0</xdr:row>
      <xdr:rowOff>84665</xdr:rowOff>
    </xdr:from>
    <xdr:to>
      <xdr:col>18</xdr:col>
      <xdr:colOff>497415</xdr:colOff>
      <xdr:row>18</xdr:row>
      <xdr:rowOff>52916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B11DC1-E1E1-433D-8623-B5D574F90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19</xdr:row>
      <xdr:rowOff>105833</xdr:rowOff>
    </xdr:from>
    <xdr:to>
      <xdr:col>9</xdr:col>
      <xdr:colOff>412751</xdr:colOff>
      <xdr:row>38</xdr:row>
      <xdr:rowOff>158750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4A9510-5088-4A21-ABFF-0F37DEF8F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377825</xdr:colOff>
      <xdr:row>6</xdr:row>
      <xdr:rowOff>88900</xdr:rowOff>
    </xdr:from>
    <xdr:ext cx="155478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8E7081D5-81FC-4FF8-B6C7-71B0CF2ED3F4}"/>
                </a:ext>
              </a:extLst>
            </xdr:cNvPr>
            <xdr:cNvSpPr txBox="1"/>
          </xdr:nvSpPr>
          <xdr:spPr>
            <a:xfrm>
              <a:off x="3667125" y="1054100"/>
              <a:ext cx="155478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𝑑𝑃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𝜇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</m:e>
                    </m:d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𝑃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𝑑𝑡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𝜎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𝑃𝑑𝑧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8E7081D5-81FC-4FF8-B6C7-71B0CF2ED3F4}"/>
                </a:ext>
              </a:extLst>
            </xdr:cNvPr>
            <xdr:cNvSpPr txBox="1"/>
          </xdr:nvSpPr>
          <xdr:spPr>
            <a:xfrm>
              <a:off x="3667125" y="1054100"/>
              <a:ext cx="155478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𝑑𝑃=(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𝜇−𝛿)𝑃</a:t>
              </a:r>
              <a:r>
                <a:rPr lang="es-MX" sz="1100" b="0" i="0">
                  <a:latin typeface="Cambria Math" panose="02040503050406030204" pitchFamily="18" charset="0"/>
                </a:rPr>
                <a:t>𝑑𝑡+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𝜎𝑃𝑑𝑧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42333</xdr:colOff>
      <xdr:row>19</xdr:row>
      <xdr:rowOff>78318</xdr:rowOff>
    </xdr:from>
    <xdr:to>
      <xdr:col>9</xdr:col>
      <xdr:colOff>359834</xdr:colOff>
      <xdr:row>33</xdr:row>
      <xdr:rowOff>105834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0F2C2C-B33E-49C8-AC95-155D34C60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129886</xdr:colOff>
      <xdr:row>2</xdr:row>
      <xdr:rowOff>107758</xdr:rowOff>
    </xdr:from>
    <xdr:to>
      <xdr:col>9</xdr:col>
      <xdr:colOff>380712</xdr:colOff>
      <xdr:row>17</xdr:row>
      <xdr:rowOff>171258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F7E2E1-438F-4752-9D40-1AD9F1E3C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11654</xdr:colOff>
      <xdr:row>36</xdr:row>
      <xdr:rowOff>23287</xdr:rowOff>
    </xdr:from>
    <xdr:to>
      <xdr:col>12</xdr:col>
      <xdr:colOff>260362</xdr:colOff>
      <xdr:row>56</xdr:row>
      <xdr:rowOff>42338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07988F7-F416-4710-9CD6-D61947B63196}"/>
            </a:ext>
          </a:extLst>
        </xdr:cNvPr>
        <xdr:cNvGrpSpPr/>
      </xdr:nvGrpSpPr>
      <xdr:grpSpPr>
        <a:xfrm>
          <a:off x="11654" y="6719651"/>
          <a:ext cx="7591617" cy="3713596"/>
          <a:chOff x="466725" y="12355514"/>
          <a:chExt cx="7580313" cy="3670300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6" name="Chart 5">
                <a:extLst>
                  <a:ext uri="{FF2B5EF4-FFF2-40B4-BE49-F238E27FC236}">
                    <a16:creationId xmlns:a16="http://schemas.microsoft.com/office/drawing/2014/main" id="{A5AA4235-3D21-47CA-AD55-F35036181A85}"/>
                  </a:ext>
                </a:extLst>
              </xdr:cNvPr>
              <xdr:cNvGraphicFramePr/>
            </xdr:nvGraphicFramePr>
            <xdr:xfrm>
              <a:off x="466725" y="12355514"/>
              <a:ext cx="7580313" cy="36703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3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466725" y="12355514"/>
                <a:ext cx="7580313" cy="36703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US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54788E4B-2952-489B-B927-5973CBD5E4BC}"/>
              </a:ext>
            </a:extLst>
          </xdr:cNvPr>
          <xdr:cNvSpPr txBox="1"/>
        </xdr:nvSpPr>
        <xdr:spPr>
          <a:xfrm>
            <a:off x="1261775" y="15467851"/>
            <a:ext cx="28733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2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396E663C-AB01-46EC-9AA6-9BF916B33B3B}"/>
              </a:ext>
            </a:extLst>
          </xdr:cNvPr>
          <xdr:cNvSpPr txBox="1"/>
        </xdr:nvSpPr>
        <xdr:spPr>
          <a:xfrm>
            <a:off x="1635992" y="15461501"/>
            <a:ext cx="28733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79FFDCD-EF22-4500-8634-06662DEFE108}"/>
              </a:ext>
            </a:extLst>
          </xdr:cNvPr>
          <xdr:cNvSpPr txBox="1"/>
        </xdr:nvSpPr>
        <xdr:spPr>
          <a:xfrm>
            <a:off x="1974129" y="15461501"/>
            <a:ext cx="287337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4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EB63116-E72C-4AFD-B839-CE59FC53FB44}"/>
              </a:ext>
            </a:extLst>
          </xdr:cNvPr>
          <xdr:cNvSpPr txBox="1"/>
        </xdr:nvSpPr>
        <xdr:spPr>
          <a:xfrm>
            <a:off x="2331461" y="15461501"/>
            <a:ext cx="28575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5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E3DCF49D-19C2-4DC5-9143-14D135D81120}"/>
              </a:ext>
            </a:extLst>
          </xdr:cNvPr>
          <xdr:cNvSpPr txBox="1"/>
        </xdr:nvSpPr>
        <xdr:spPr>
          <a:xfrm>
            <a:off x="2699616" y="15461501"/>
            <a:ext cx="28733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6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43C97F03-9AC5-4F2B-B0DB-064941A4D03C}"/>
              </a:ext>
            </a:extLst>
          </xdr:cNvPr>
          <xdr:cNvSpPr txBox="1"/>
        </xdr:nvSpPr>
        <xdr:spPr>
          <a:xfrm>
            <a:off x="3037754" y="15461501"/>
            <a:ext cx="28575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7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1D133055-1692-4C50-ADFB-FF15711C61D5}"/>
              </a:ext>
            </a:extLst>
          </xdr:cNvPr>
          <xdr:cNvSpPr txBox="1"/>
        </xdr:nvSpPr>
        <xdr:spPr>
          <a:xfrm>
            <a:off x="3374303" y="15461501"/>
            <a:ext cx="287337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8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60299B60-81F1-484F-A5D7-F313440ED3F9}"/>
              </a:ext>
            </a:extLst>
          </xdr:cNvPr>
          <xdr:cNvSpPr txBox="1"/>
        </xdr:nvSpPr>
        <xdr:spPr>
          <a:xfrm>
            <a:off x="3750397" y="15461501"/>
            <a:ext cx="28575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9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9909D74F-B8BD-41F9-A762-6DC34EDAEB5A}"/>
              </a:ext>
            </a:extLst>
          </xdr:cNvPr>
          <xdr:cNvSpPr txBox="1"/>
        </xdr:nvSpPr>
        <xdr:spPr>
          <a:xfrm>
            <a:off x="4048847" y="15461501"/>
            <a:ext cx="35718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10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F739B3EC-992D-412D-B771-943C12783A87}"/>
              </a:ext>
            </a:extLst>
          </xdr:cNvPr>
          <xdr:cNvSpPr txBox="1"/>
        </xdr:nvSpPr>
        <xdr:spPr>
          <a:xfrm>
            <a:off x="4424941" y="15461501"/>
            <a:ext cx="357187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11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AB2AC4B2-B8C4-4421-9DAB-4FB7FAAEF100}"/>
              </a:ext>
            </a:extLst>
          </xdr:cNvPr>
          <xdr:cNvSpPr txBox="1"/>
        </xdr:nvSpPr>
        <xdr:spPr>
          <a:xfrm>
            <a:off x="4769428" y="15461501"/>
            <a:ext cx="35560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12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B91979E0-AB29-4C52-8C2D-AD14ECE9EC3A}"/>
              </a:ext>
            </a:extLst>
          </xdr:cNvPr>
          <xdr:cNvSpPr txBox="1"/>
        </xdr:nvSpPr>
        <xdr:spPr>
          <a:xfrm>
            <a:off x="5133398" y="15461501"/>
            <a:ext cx="35718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13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8C0117B5-24D8-4FA3-9D2C-C43884BCAFA6}"/>
              </a:ext>
            </a:extLst>
          </xdr:cNvPr>
          <xdr:cNvSpPr txBox="1"/>
        </xdr:nvSpPr>
        <xdr:spPr>
          <a:xfrm>
            <a:off x="5486256" y="15461501"/>
            <a:ext cx="35560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14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3B969CD9-7C6A-43C1-AA53-97031FACF8DE}"/>
              </a:ext>
            </a:extLst>
          </xdr:cNvPr>
          <xdr:cNvSpPr txBox="1"/>
        </xdr:nvSpPr>
        <xdr:spPr>
          <a:xfrm>
            <a:off x="5829156" y="15461501"/>
            <a:ext cx="357187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15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38405955-4A01-4FA8-BA0C-985A072ABDFE}"/>
              </a:ext>
            </a:extLst>
          </xdr:cNvPr>
          <xdr:cNvSpPr txBox="1"/>
        </xdr:nvSpPr>
        <xdr:spPr>
          <a:xfrm>
            <a:off x="6194714" y="15461501"/>
            <a:ext cx="35560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16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C7F7CE14-AE9B-4980-9EC2-17ABB273CE8A}"/>
              </a:ext>
            </a:extLst>
          </xdr:cNvPr>
          <xdr:cNvSpPr txBox="1"/>
        </xdr:nvSpPr>
        <xdr:spPr>
          <a:xfrm>
            <a:off x="6567054" y="15461501"/>
            <a:ext cx="35718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17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C578258D-CDC0-4B21-BC17-10E82FC3074D}"/>
              </a:ext>
            </a:extLst>
          </xdr:cNvPr>
          <xdr:cNvSpPr txBox="1"/>
        </xdr:nvSpPr>
        <xdr:spPr>
          <a:xfrm>
            <a:off x="6898843" y="15461501"/>
            <a:ext cx="35560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18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4F0B813D-F6C6-4475-89CB-C74F3E7C6FD5}"/>
              </a:ext>
            </a:extLst>
          </xdr:cNvPr>
          <xdr:cNvSpPr txBox="1"/>
        </xdr:nvSpPr>
        <xdr:spPr>
          <a:xfrm>
            <a:off x="7254442" y="15461501"/>
            <a:ext cx="357187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19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B49E9CA6-1112-46A4-8977-C61D5F3E406D}"/>
              </a:ext>
            </a:extLst>
          </xdr:cNvPr>
          <xdr:cNvSpPr txBox="1"/>
        </xdr:nvSpPr>
        <xdr:spPr>
          <a:xfrm>
            <a:off x="7617980" y="15467851"/>
            <a:ext cx="35718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20</a:t>
            </a:r>
          </a:p>
        </xdr:txBody>
      </xdr:sp>
    </xdr:grpSp>
    <xdr:clientData/>
  </xdr:twoCellAnchor>
  <xdr:twoCellAnchor>
    <xdr:from>
      <xdr:col>0</xdr:col>
      <xdr:colOff>10583</xdr:colOff>
      <xdr:row>56</xdr:row>
      <xdr:rowOff>133349</xdr:rowOff>
    </xdr:from>
    <xdr:to>
      <xdr:col>9</xdr:col>
      <xdr:colOff>391583</xdr:colOff>
      <xdr:row>72</xdr:row>
      <xdr:rowOff>52916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7D5A1C4C-1B7F-494F-BB9D-D86103CA0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0.41195</cdr:x>
      <cdr:y>0.03892</cdr:y>
    </cdr:from>
    <cdr:to>
      <cdr:x>0.41282</cdr:x>
      <cdr:y>0.82327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D09714C-C40D-4FD9-B30F-18FE46158A33}"/>
            </a:ext>
          </a:extLst>
        </cdr:cNvPr>
        <cdr:cNvCxnSpPr/>
      </cdr:nvCxnSpPr>
      <cdr:spPr>
        <a:xfrm xmlns:a="http://schemas.openxmlformats.org/drawingml/2006/main" flipH="1">
          <a:off x="2425651" y="111915"/>
          <a:ext cx="5123" cy="2255166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0.4089</cdr:x>
      <cdr:y>0.07225</cdr:y>
    </cdr:from>
    <cdr:to>
      <cdr:x>0.52506</cdr:x>
      <cdr:y>0.16442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9EC39E57-8A0F-41F6-B9C5-9F21470A82A6}"/>
            </a:ext>
          </a:extLst>
        </cdr:cNvPr>
        <cdr:cNvSpPr txBox="1"/>
      </cdr:nvSpPr>
      <cdr:spPr>
        <a:xfrm xmlns:a="http://schemas.openxmlformats.org/drawingml/2006/main">
          <a:off x="2407707" y="207747"/>
          <a:ext cx="683913" cy="265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mean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127000</xdr:rowOff>
    </xdr:from>
    <xdr:to>
      <xdr:col>15</xdr:col>
      <xdr:colOff>485775</xdr:colOff>
      <xdr:row>15</xdr:row>
      <xdr:rowOff>107950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84D9C3-BE71-4BC5-9955-DD22AE4B4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204610</xdr:colOff>
      <xdr:row>17</xdr:row>
      <xdr:rowOff>119944</xdr:rowOff>
    </xdr:from>
    <xdr:to>
      <xdr:col>18</xdr:col>
      <xdr:colOff>63498</xdr:colOff>
      <xdr:row>36</xdr:row>
      <xdr:rowOff>148167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A1336C-4DC3-4D85-B1FF-77A87D662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38</xdr:row>
      <xdr:rowOff>0</xdr:rowOff>
    </xdr:from>
    <xdr:to>
      <xdr:col>17</xdr:col>
      <xdr:colOff>382693</xdr:colOff>
      <xdr:row>56</xdr:row>
      <xdr:rowOff>85936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4B483A3-23C8-4F76-B317-AC7AFAB7A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58</xdr:row>
      <xdr:rowOff>0</xdr:rowOff>
    </xdr:from>
    <xdr:to>
      <xdr:col>17</xdr:col>
      <xdr:colOff>382693</xdr:colOff>
      <xdr:row>76</xdr:row>
      <xdr:rowOff>85936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3339F5-AEEC-47D0-A0AC-1F61C808C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56445</xdr:colOff>
      <xdr:row>77</xdr:row>
      <xdr:rowOff>155223</xdr:rowOff>
    </xdr:from>
    <xdr:to>
      <xdr:col>16</xdr:col>
      <xdr:colOff>550836</xdr:colOff>
      <xdr:row>93</xdr:row>
      <xdr:rowOff>77612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090612-908E-4FF8-9980-BA690742A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96</xdr:row>
      <xdr:rowOff>0</xdr:rowOff>
    </xdr:from>
    <xdr:to>
      <xdr:col>16</xdr:col>
      <xdr:colOff>466674</xdr:colOff>
      <xdr:row>115</xdr:row>
      <xdr:rowOff>28223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0F9DF03-0783-4D6F-A37A-A96C54714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84667</xdr:colOff>
      <xdr:row>2</xdr:row>
      <xdr:rowOff>105833</xdr:rowOff>
    </xdr:from>
    <xdr:to>
      <xdr:col>16</xdr:col>
      <xdr:colOff>592667</xdr:colOff>
      <xdr:row>18</xdr:row>
      <xdr:rowOff>126999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63BCE5-6C7F-481B-8AFA-070BFE67B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58209</xdr:colOff>
      <xdr:row>19</xdr:row>
      <xdr:rowOff>99482</xdr:rowOff>
    </xdr:from>
    <xdr:to>
      <xdr:col>16</xdr:col>
      <xdr:colOff>402167</xdr:colOff>
      <xdr:row>36</xdr:row>
      <xdr:rowOff>31749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1E9244-010D-42E9-8821-4D61E339A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52917</xdr:colOff>
      <xdr:row>38</xdr:row>
      <xdr:rowOff>0</xdr:rowOff>
    </xdr:from>
    <xdr:to>
      <xdr:col>16</xdr:col>
      <xdr:colOff>560917</xdr:colOff>
      <xdr:row>54</xdr:row>
      <xdr:rowOff>21166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46891C5-33AC-4E87-9167-9CDAE1998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56</xdr:row>
      <xdr:rowOff>0</xdr:rowOff>
    </xdr:from>
    <xdr:to>
      <xdr:col>16</xdr:col>
      <xdr:colOff>343958</xdr:colOff>
      <xdr:row>72</xdr:row>
      <xdr:rowOff>112184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A1D500-8FD3-4E15-8CB4-11CAD67C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74</xdr:row>
      <xdr:rowOff>0</xdr:rowOff>
    </xdr:from>
    <xdr:to>
      <xdr:col>16</xdr:col>
      <xdr:colOff>508000</xdr:colOff>
      <xdr:row>90</xdr:row>
      <xdr:rowOff>21166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C660A03-C2C3-47BE-AF9B-2DC96F977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93</xdr:row>
      <xdr:rowOff>0</xdr:rowOff>
    </xdr:from>
    <xdr:to>
      <xdr:col>16</xdr:col>
      <xdr:colOff>343958</xdr:colOff>
      <xdr:row>109</xdr:row>
      <xdr:rowOff>112185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1BC3264-AC40-43D2-9DCF-07609679D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113</xdr:row>
      <xdr:rowOff>0</xdr:rowOff>
    </xdr:from>
    <xdr:to>
      <xdr:col>16</xdr:col>
      <xdr:colOff>508000</xdr:colOff>
      <xdr:row>129</xdr:row>
      <xdr:rowOff>21166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750B96D-F92D-4893-B229-44AF600EB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232833</xdr:colOff>
      <xdr:row>131</xdr:row>
      <xdr:rowOff>10583</xdr:rowOff>
    </xdr:from>
    <xdr:to>
      <xdr:col>16</xdr:col>
      <xdr:colOff>576791</xdr:colOff>
      <xdr:row>147</xdr:row>
      <xdr:rowOff>122767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49A371E-A295-4AB8-A864-2C90737F6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84666</xdr:colOff>
      <xdr:row>149</xdr:row>
      <xdr:rowOff>42333</xdr:rowOff>
    </xdr:from>
    <xdr:to>
      <xdr:col>16</xdr:col>
      <xdr:colOff>592666</xdr:colOff>
      <xdr:row>165</xdr:row>
      <xdr:rowOff>63499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C04077-132C-4367-B81E-937535E60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84666</xdr:colOff>
      <xdr:row>167</xdr:row>
      <xdr:rowOff>42333</xdr:rowOff>
    </xdr:from>
    <xdr:to>
      <xdr:col>16</xdr:col>
      <xdr:colOff>428624</xdr:colOff>
      <xdr:row>183</xdr:row>
      <xdr:rowOff>154517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7513DBF-CE37-4D0B-9737-CEA22497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84666</xdr:colOff>
      <xdr:row>186</xdr:row>
      <xdr:rowOff>42333</xdr:rowOff>
    </xdr:from>
    <xdr:to>
      <xdr:col>16</xdr:col>
      <xdr:colOff>592666</xdr:colOff>
      <xdr:row>202</xdr:row>
      <xdr:rowOff>63500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5603C5F-B545-4EDD-9E50-504C6141E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84666</xdr:colOff>
      <xdr:row>205</xdr:row>
      <xdr:rowOff>42334</xdr:rowOff>
    </xdr:from>
    <xdr:to>
      <xdr:col>16</xdr:col>
      <xdr:colOff>428624</xdr:colOff>
      <xdr:row>221</xdr:row>
      <xdr:rowOff>154518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70685C3-66CB-4E87-84EC-3B522C5C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222249</xdr:colOff>
      <xdr:row>224</xdr:row>
      <xdr:rowOff>127001</xdr:rowOff>
    </xdr:from>
    <xdr:to>
      <xdr:col>16</xdr:col>
      <xdr:colOff>455082</xdr:colOff>
      <xdr:row>241</xdr:row>
      <xdr:rowOff>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327E421-3BD0-4400-970A-B2E3E2A0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222249</xdr:colOff>
      <xdr:row>243</xdr:row>
      <xdr:rowOff>127001</xdr:rowOff>
    </xdr:from>
    <xdr:to>
      <xdr:col>16</xdr:col>
      <xdr:colOff>566207</xdr:colOff>
      <xdr:row>260</xdr:row>
      <xdr:rowOff>59269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B34DBA1-5978-4B18-BA28-4046C7D39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214</xdr:row>
      <xdr:rowOff>63500</xdr:rowOff>
    </xdr:from>
    <xdr:to>
      <xdr:col>6</xdr:col>
      <xdr:colOff>603250</xdr:colOff>
      <xdr:row>230</xdr:row>
      <xdr:rowOff>116417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BBCD2C6-AF54-4DB9-B79E-1AF56BD32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233</xdr:row>
      <xdr:rowOff>63500</xdr:rowOff>
    </xdr:from>
    <xdr:to>
      <xdr:col>6</xdr:col>
      <xdr:colOff>714375</xdr:colOff>
      <xdr:row>249</xdr:row>
      <xdr:rowOff>175684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D5A917D-D5EA-4F9A-82B8-DF2D04A97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84666</xdr:colOff>
      <xdr:row>263</xdr:row>
      <xdr:rowOff>42333</xdr:rowOff>
    </xdr:from>
    <xdr:to>
      <xdr:col>16</xdr:col>
      <xdr:colOff>592666</xdr:colOff>
      <xdr:row>279</xdr:row>
      <xdr:rowOff>63499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75D203E6-3A92-461C-A95F-4B611CC63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84666</xdr:colOff>
      <xdr:row>282</xdr:row>
      <xdr:rowOff>42332</xdr:rowOff>
    </xdr:from>
    <xdr:to>
      <xdr:col>16</xdr:col>
      <xdr:colOff>428624</xdr:colOff>
      <xdr:row>298</xdr:row>
      <xdr:rowOff>154517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417B997-47D9-4389-B733-6569D4A69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270934</xdr:colOff>
      <xdr:row>2</xdr:row>
      <xdr:rowOff>58561</xdr:rowOff>
    </xdr:from>
    <xdr:to>
      <xdr:col>17</xdr:col>
      <xdr:colOff>8114</xdr:colOff>
      <xdr:row>16</xdr:row>
      <xdr:rowOff>170745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685940-850F-41AE-BA7E-3ED8B0420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16</xdr:col>
      <xdr:colOff>508000</xdr:colOff>
      <xdr:row>36</xdr:row>
      <xdr:rowOff>21166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BE4E10-B9CE-475B-A3C6-D05110F14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25400</xdr:colOff>
      <xdr:row>5</xdr:row>
      <xdr:rowOff>12700</xdr:rowOff>
    </xdr:from>
    <xdr:to>
      <xdr:col>26</xdr:col>
      <xdr:colOff>533400</xdr:colOff>
      <xdr:row>21</xdr:row>
      <xdr:rowOff>33866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460E89-0894-4757-984D-913474273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520700</xdr:colOff>
      <xdr:row>39</xdr:row>
      <xdr:rowOff>63500</xdr:rowOff>
    </xdr:from>
    <xdr:to>
      <xdr:col>17</xdr:col>
      <xdr:colOff>259078</xdr:colOff>
      <xdr:row>53</xdr:row>
      <xdr:rowOff>17754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1B311E-0D87-4869-883C-07DCCA3E1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00" y="7531100"/>
          <a:ext cx="5834378" cy="2621254"/>
        </a:xfrm>
        <a:prstGeom prst="rect">
          <a:avLst/>
        </a:prstGeom>
        <a:ln w="28575">
          <a:noFill/>
        </a:ln>
      </xdr:spPr>
    </xdr:pic>
    <xdr:clientData/>
  </xdr:twoCellAnchor>
  <xdr:twoCellAnchor editAs="oneCell">
    <xdr:from>
      <xdr:col>0</xdr:col>
      <xdr:colOff>266700</xdr:colOff>
      <xdr:row>38</xdr:row>
      <xdr:rowOff>139700</xdr:rowOff>
    </xdr:from>
    <xdr:to>
      <xdr:col>7</xdr:col>
      <xdr:colOff>277874</xdr:colOff>
      <xdr:row>52</xdr:row>
      <xdr:rowOff>94207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9C0610E-FF76-4E3B-BAF6-0996D61EE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7416800"/>
          <a:ext cx="5840474" cy="26215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412387</xdr:colOff>
      <xdr:row>8</xdr:row>
      <xdr:rowOff>45232</xdr:rowOff>
    </xdr:from>
    <xdr:to>
      <xdr:col>23</xdr:col>
      <xdr:colOff>334820</xdr:colOff>
      <xdr:row>22</xdr:row>
      <xdr:rowOff>84857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712C4-6CEF-4432-997C-6D391C7D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40530" y="2358446"/>
          <a:ext cx="4984290" cy="257962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0.24989</cdr:x>
      <cdr:y>0.91392</cdr:y>
    </cdr:from>
    <cdr:to>
      <cdr:x>0.84084</cdr:x>
      <cdr:y>0.98421</cdr:y>
    </cdr:to>
    <cdr:grpSp>
      <cdr:nvGrpSpPr>
        <cdr:cNvPr id="4" name="Group 3">
          <a:extLst xmlns:a="http://schemas.openxmlformats.org/drawingml/2006/main">
            <a:ext uri="{FF2B5EF4-FFF2-40B4-BE49-F238E27FC236}">
              <a16:creationId xmlns:a16="http://schemas.microsoft.com/office/drawing/2014/main" id="{9448767D-1057-45CE-A6A0-073123FB0824}"/>
            </a:ext>
          </a:extLst>
        </cdr:cNvPr>
        <cdr:cNvGrpSpPr/>
      </cdr:nvGrpSpPr>
      <cdr:grpSpPr>
        <a:xfrm xmlns:a="http://schemas.openxmlformats.org/drawingml/2006/main">
          <a:off x="1450625" y="2449689"/>
          <a:ext cx="3430411" cy="188381"/>
          <a:chOff x="1450625" y="2449689"/>
          <a:chExt cx="3430411" cy="188381"/>
        </a:xfrm>
      </cdr:grpSpPr>
      <cdr:sp macro="" textlink="">
        <cdr:nvSpPr>
          <cdr:cNvPr id="2" name="TextBox 1">
            <a:extLst xmlns:a="http://schemas.openxmlformats.org/drawingml/2006/main">
              <a:ext uri="{FF2B5EF4-FFF2-40B4-BE49-F238E27FC236}">
                <a16:creationId xmlns:a16="http://schemas.microsoft.com/office/drawing/2014/main" id="{6EF93D11-BE0C-49D6-90FC-EE8E386A0B1C}"/>
              </a:ext>
            </a:extLst>
          </cdr:cNvPr>
          <cdr:cNvSpPr txBox="1"/>
        </cdr:nvSpPr>
        <cdr:spPr>
          <a:xfrm xmlns:a="http://schemas.openxmlformats.org/drawingml/2006/main">
            <a:off x="1450625" y="2467326"/>
            <a:ext cx="914400" cy="17074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none" rtlCol="0"/>
          <a:lstStyle xmlns:a="http://schemas.openxmlformats.org/drawingml/2006/main"/>
          <a:p xmlns:a="http://schemas.openxmlformats.org/drawingml/2006/main">
            <a:r>
              <a:rPr lang="en-US" sz="1000" b="1">
                <a:latin typeface="Arial" panose="020B0604020202020204" pitchFamily="34" charset="0"/>
                <a:cs typeface="Arial" panose="020B0604020202020204" pitchFamily="34" charset="0"/>
              </a:rPr>
              <a:t>Waterflooding</a:t>
            </a:r>
          </a:p>
        </cdr:txBody>
      </cdr:sp>
      <cdr:sp macro="" textlink="">
        <cdr:nvSpPr>
          <cdr:cNvPr id="3" name="TextBox 1">
            <a:extLst xmlns:a="http://schemas.openxmlformats.org/drawingml/2006/main">
              <a:ext uri="{FF2B5EF4-FFF2-40B4-BE49-F238E27FC236}">
                <a16:creationId xmlns:a16="http://schemas.microsoft.com/office/drawing/2014/main" id="{74E0DB3B-F2A6-4915-A44D-1EB592CB4628}"/>
              </a:ext>
            </a:extLst>
          </cdr:cNvPr>
          <cdr:cNvSpPr txBox="1"/>
        </cdr:nvSpPr>
        <cdr:spPr>
          <a:xfrm xmlns:a="http://schemas.openxmlformats.org/drawingml/2006/main">
            <a:off x="3966636" y="2449689"/>
            <a:ext cx="914400" cy="17074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non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000" b="1">
                <a:latin typeface="Arial" panose="020B0604020202020204" pitchFamily="34" charset="0"/>
                <a:cs typeface="Arial" panose="020B0604020202020204" pitchFamily="34" charset="0"/>
              </a:rPr>
              <a:t>Polymerflooding</a:t>
            </a:r>
          </a:p>
        </cdr:txBody>
      </cdr:sp>
    </cdr:grp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237369</xdr:colOff>
      <xdr:row>0</xdr:row>
      <xdr:rowOff>75595</xdr:rowOff>
    </xdr:from>
    <xdr:to>
      <xdr:col>17</xdr:col>
      <xdr:colOff>35780</xdr:colOff>
      <xdr:row>19</xdr:row>
      <xdr:rowOff>81140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F88F668-7DD5-434E-BCEB-C699EC7A3FF8}"/>
            </a:ext>
          </a:extLst>
        </xdr:cNvPr>
        <xdr:cNvGrpSpPr/>
      </xdr:nvGrpSpPr>
      <xdr:grpSpPr>
        <a:xfrm>
          <a:off x="6241647" y="75595"/>
          <a:ext cx="6070800" cy="3533323"/>
          <a:chOff x="6342441" y="211667"/>
          <a:chExt cx="5876268" cy="3498045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FBC5B241-C154-4D72-9D2E-74138755B02B}"/>
              </a:ext>
            </a:extLst>
          </xdr:cNvPr>
          <xdr:cNvGraphicFramePr>
            <a:graphicFrameLocks/>
          </xdr:cNvGraphicFramePr>
        </xdr:nvGraphicFramePr>
        <xdr:xfrm>
          <a:off x="6342441" y="211667"/>
          <a:ext cx="5876268" cy="34980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Freeform: Shape 2">
            <a:extLst>
              <a:ext uri="{FF2B5EF4-FFF2-40B4-BE49-F238E27FC236}">
                <a16:creationId xmlns:a16="http://schemas.microsoft.com/office/drawing/2014/main" id="{A95FE187-38EF-44EB-8410-C95EB15D010B}"/>
              </a:ext>
            </a:extLst>
          </xdr:cNvPr>
          <xdr:cNvSpPr/>
        </xdr:nvSpPr>
        <xdr:spPr>
          <a:xfrm>
            <a:off x="7220858" y="831124"/>
            <a:ext cx="4118428" cy="2343876"/>
          </a:xfrm>
          <a:custGeom>
            <a:avLst/>
            <a:gdLst>
              <a:gd name="connsiteX0" fmla="*/ 0 w 4154714"/>
              <a:gd name="connsiteY0" fmla="*/ 1524000 h 2367643"/>
              <a:gd name="connsiteX1" fmla="*/ 199571 w 4154714"/>
              <a:gd name="connsiteY1" fmla="*/ 889000 h 2367643"/>
              <a:gd name="connsiteX2" fmla="*/ 426357 w 4154714"/>
              <a:gd name="connsiteY2" fmla="*/ 244929 h 2367643"/>
              <a:gd name="connsiteX3" fmla="*/ 517071 w 4154714"/>
              <a:gd name="connsiteY3" fmla="*/ 0 h 2367643"/>
              <a:gd name="connsiteX4" fmla="*/ 607786 w 4154714"/>
              <a:gd name="connsiteY4" fmla="*/ 63500 h 2367643"/>
              <a:gd name="connsiteX5" fmla="*/ 707571 w 4154714"/>
              <a:gd name="connsiteY5" fmla="*/ 435429 h 2367643"/>
              <a:gd name="connsiteX6" fmla="*/ 834571 w 4154714"/>
              <a:gd name="connsiteY6" fmla="*/ 970643 h 2367643"/>
              <a:gd name="connsiteX7" fmla="*/ 1025071 w 4154714"/>
              <a:gd name="connsiteY7" fmla="*/ 1242786 h 2367643"/>
              <a:gd name="connsiteX8" fmla="*/ 1315357 w 4154714"/>
              <a:gd name="connsiteY8" fmla="*/ 1614715 h 2367643"/>
              <a:gd name="connsiteX9" fmla="*/ 1514928 w 4154714"/>
              <a:gd name="connsiteY9" fmla="*/ 1796143 h 2367643"/>
              <a:gd name="connsiteX10" fmla="*/ 1805214 w 4154714"/>
              <a:gd name="connsiteY10" fmla="*/ 1977572 h 2367643"/>
              <a:gd name="connsiteX11" fmla="*/ 2295071 w 4154714"/>
              <a:gd name="connsiteY11" fmla="*/ 2113643 h 2367643"/>
              <a:gd name="connsiteX12" fmla="*/ 2857500 w 4154714"/>
              <a:gd name="connsiteY12" fmla="*/ 2231572 h 2367643"/>
              <a:gd name="connsiteX13" fmla="*/ 3528786 w 4154714"/>
              <a:gd name="connsiteY13" fmla="*/ 2340429 h 2367643"/>
              <a:gd name="connsiteX14" fmla="*/ 4154714 w 4154714"/>
              <a:gd name="connsiteY14" fmla="*/ 2367643 h 2367643"/>
              <a:gd name="connsiteX15" fmla="*/ 3292928 w 4154714"/>
              <a:gd name="connsiteY15" fmla="*/ 2349500 h 2367643"/>
              <a:gd name="connsiteX16" fmla="*/ 2267857 w 4154714"/>
              <a:gd name="connsiteY16" fmla="*/ 2295072 h 2367643"/>
              <a:gd name="connsiteX17" fmla="*/ 1832428 w 4154714"/>
              <a:gd name="connsiteY17" fmla="*/ 2240643 h 2367643"/>
              <a:gd name="connsiteX18" fmla="*/ 1242786 w 4154714"/>
              <a:gd name="connsiteY18" fmla="*/ 2195286 h 2367643"/>
              <a:gd name="connsiteX19" fmla="*/ 734786 w 4154714"/>
              <a:gd name="connsiteY19" fmla="*/ 2041072 h 2367643"/>
              <a:gd name="connsiteX20" fmla="*/ 381000 w 4154714"/>
              <a:gd name="connsiteY20" fmla="*/ 1941286 h 2367643"/>
              <a:gd name="connsiteX21" fmla="*/ 172357 w 4154714"/>
              <a:gd name="connsiteY21" fmla="*/ 1732643 h 2367643"/>
              <a:gd name="connsiteX22" fmla="*/ 0 w 4154714"/>
              <a:gd name="connsiteY22" fmla="*/ 1524000 h 2367643"/>
              <a:gd name="connsiteX0" fmla="*/ 0 w 4082143"/>
              <a:gd name="connsiteY0" fmla="*/ 1524000 h 2367643"/>
              <a:gd name="connsiteX1" fmla="*/ 127000 w 4082143"/>
              <a:gd name="connsiteY1" fmla="*/ 889000 h 2367643"/>
              <a:gd name="connsiteX2" fmla="*/ 353786 w 4082143"/>
              <a:gd name="connsiteY2" fmla="*/ 244929 h 2367643"/>
              <a:gd name="connsiteX3" fmla="*/ 444500 w 4082143"/>
              <a:gd name="connsiteY3" fmla="*/ 0 h 2367643"/>
              <a:gd name="connsiteX4" fmla="*/ 535215 w 4082143"/>
              <a:gd name="connsiteY4" fmla="*/ 63500 h 2367643"/>
              <a:gd name="connsiteX5" fmla="*/ 635000 w 4082143"/>
              <a:gd name="connsiteY5" fmla="*/ 435429 h 2367643"/>
              <a:gd name="connsiteX6" fmla="*/ 762000 w 4082143"/>
              <a:gd name="connsiteY6" fmla="*/ 970643 h 2367643"/>
              <a:gd name="connsiteX7" fmla="*/ 952500 w 4082143"/>
              <a:gd name="connsiteY7" fmla="*/ 1242786 h 2367643"/>
              <a:gd name="connsiteX8" fmla="*/ 1242786 w 4082143"/>
              <a:gd name="connsiteY8" fmla="*/ 1614715 h 2367643"/>
              <a:gd name="connsiteX9" fmla="*/ 1442357 w 4082143"/>
              <a:gd name="connsiteY9" fmla="*/ 1796143 h 2367643"/>
              <a:gd name="connsiteX10" fmla="*/ 1732643 w 4082143"/>
              <a:gd name="connsiteY10" fmla="*/ 1977572 h 2367643"/>
              <a:gd name="connsiteX11" fmla="*/ 2222500 w 4082143"/>
              <a:gd name="connsiteY11" fmla="*/ 2113643 h 2367643"/>
              <a:gd name="connsiteX12" fmla="*/ 2784929 w 4082143"/>
              <a:gd name="connsiteY12" fmla="*/ 2231572 h 2367643"/>
              <a:gd name="connsiteX13" fmla="*/ 3456215 w 4082143"/>
              <a:gd name="connsiteY13" fmla="*/ 2340429 h 2367643"/>
              <a:gd name="connsiteX14" fmla="*/ 4082143 w 4082143"/>
              <a:gd name="connsiteY14" fmla="*/ 2367643 h 2367643"/>
              <a:gd name="connsiteX15" fmla="*/ 3220357 w 4082143"/>
              <a:gd name="connsiteY15" fmla="*/ 2349500 h 2367643"/>
              <a:gd name="connsiteX16" fmla="*/ 2195286 w 4082143"/>
              <a:gd name="connsiteY16" fmla="*/ 2295072 h 2367643"/>
              <a:gd name="connsiteX17" fmla="*/ 1759857 w 4082143"/>
              <a:gd name="connsiteY17" fmla="*/ 2240643 h 2367643"/>
              <a:gd name="connsiteX18" fmla="*/ 1170215 w 4082143"/>
              <a:gd name="connsiteY18" fmla="*/ 2195286 h 2367643"/>
              <a:gd name="connsiteX19" fmla="*/ 662215 w 4082143"/>
              <a:gd name="connsiteY19" fmla="*/ 2041072 h 2367643"/>
              <a:gd name="connsiteX20" fmla="*/ 308429 w 4082143"/>
              <a:gd name="connsiteY20" fmla="*/ 1941286 h 2367643"/>
              <a:gd name="connsiteX21" fmla="*/ 99786 w 4082143"/>
              <a:gd name="connsiteY21" fmla="*/ 1732643 h 2367643"/>
              <a:gd name="connsiteX22" fmla="*/ 0 w 4082143"/>
              <a:gd name="connsiteY22" fmla="*/ 1524000 h 2367643"/>
              <a:gd name="connsiteX0" fmla="*/ 0 w 4082143"/>
              <a:gd name="connsiteY0" fmla="*/ 1524000 h 2367643"/>
              <a:gd name="connsiteX1" fmla="*/ 127000 w 4082143"/>
              <a:gd name="connsiteY1" fmla="*/ 889000 h 2367643"/>
              <a:gd name="connsiteX2" fmla="*/ 353786 w 4082143"/>
              <a:gd name="connsiteY2" fmla="*/ 244929 h 2367643"/>
              <a:gd name="connsiteX3" fmla="*/ 444500 w 4082143"/>
              <a:gd name="connsiteY3" fmla="*/ 0 h 2367643"/>
              <a:gd name="connsiteX4" fmla="*/ 535215 w 4082143"/>
              <a:gd name="connsiteY4" fmla="*/ 63500 h 2367643"/>
              <a:gd name="connsiteX5" fmla="*/ 635000 w 4082143"/>
              <a:gd name="connsiteY5" fmla="*/ 435429 h 2367643"/>
              <a:gd name="connsiteX6" fmla="*/ 762000 w 4082143"/>
              <a:gd name="connsiteY6" fmla="*/ 970643 h 2367643"/>
              <a:gd name="connsiteX7" fmla="*/ 952500 w 4082143"/>
              <a:gd name="connsiteY7" fmla="*/ 1242786 h 2367643"/>
              <a:gd name="connsiteX8" fmla="*/ 1242786 w 4082143"/>
              <a:gd name="connsiteY8" fmla="*/ 1614715 h 2367643"/>
              <a:gd name="connsiteX9" fmla="*/ 1442357 w 4082143"/>
              <a:gd name="connsiteY9" fmla="*/ 1796143 h 2367643"/>
              <a:gd name="connsiteX10" fmla="*/ 1732643 w 4082143"/>
              <a:gd name="connsiteY10" fmla="*/ 1977572 h 2367643"/>
              <a:gd name="connsiteX11" fmla="*/ 2222500 w 4082143"/>
              <a:gd name="connsiteY11" fmla="*/ 2113643 h 2367643"/>
              <a:gd name="connsiteX12" fmla="*/ 2784929 w 4082143"/>
              <a:gd name="connsiteY12" fmla="*/ 2231572 h 2367643"/>
              <a:gd name="connsiteX13" fmla="*/ 3456215 w 4082143"/>
              <a:gd name="connsiteY13" fmla="*/ 2340429 h 2367643"/>
              <a:gd name="connsiteX14" fmla="*/ 4082143 w 4082143"/>
              <a:gd name="connsiteY14" fmla="*/ 2367643 h 2367643"/>
              <a:gd name="connsiteX15" fmla="*/ 3220357 w 4082143"/>
              <a:gd name="connsiteY15" fmla="*/ 2349500 h 2367643"/>
              <a:gd name="connsiteX16" fmla="*/ 2195286 w 4082143"/>
              <a:gd name="connsiteY16" fmla="*/ 2295072 h 2367643"/>
              <a:gd name="connsiteX17" fmla="*/ 1759857 w 4082143"/>
              <a:gd name="connsiteY17" fmla="*/ 2240643 h 2367643"/>
              <a:gd name="connsiteX18" fmla="*/ 1170215 w 4082143"/>
              <a:gd name="connsiteY18" fmla="*/ 2195286 h 2367643"/>
              <a:gd name="connsiteX19" fmla="*/ 662215 w 4082143"/>
              <a:gd name="connsiteY19" fmla="*/ 2041072 h 2367643"/>
              <a:gd name="connsiteX20" fmla="*/ 308429 w 4082143"/>
              <a:gd name="connsiteY20" fmla="*/ 1941286 h 2367643"/>
              <a:gd name="connsiteX21" fmla="*/ 127001 w 4082143"/>
              <a:gd name="connsiteY21" fmla="*/ 1723572 h 2367643"/>
              <a:gd name="connsiteX22" fmla="*/ 0 w 4082143"/>
              <a:gd name="connsiteY22" fmla="*/ 1524000 h 2367643"/>
              <a:gd name="connsiteX0" fmla="*/ 0 w 4082143"/>
              <a:gd name="connsiteY0" fmla="*/ 1524000 h 2367643"/>
              <a:gd name="connsiteX1" fmla="*/ 127000 w 4082143"/>
              <a:gd name="connsiteY1" fmla="*/ 889000 h 2367643"/>
              <a:gd name="connsiteX2" fmla="*/ 353786 w 4082143"/>
              <a:gd name="connsiteY2" fmla="*/ 244929 h 2367643"/>
              <a:gd name="connsiteX3" fmla="*/ 444500 w 4082143"/>
              <a:gd name="connsiteY3" fmla="*/ 0 h 2367643"/>
              <a:gd name="connsiteX4" fmla="*/ 535215 w 4082143"/>
              <a:gd name="connsiteY4" fmla="*/ 63500 h 2367643"/>
              <a:gd name="connsiteX5" fmla="*/ 635000 w 4082143"/>
              <a:gd name="connsiteY5" fmla="*/ 435429 h 2367643"/>
              <a:gd name="connsiteX6" fmla="*/ 762000 w 4082143"/>
              <a:gd name="connsiteY6" fmla="*/ 970643 h 2367643"/>
              <a:gd name="connsiteX7" fmla="*/ 952500 w 4082143"/>
              <a:gd name="connsiteY7" fmla="*/ 1242786 h 2367643"/>
              <a:gd name="connsiteX8" fmla="*/ 1242786 w 4082143"/>
              <a:gd name="connsiteY8" fmla="*/ 1614715 h 2367643"/>
              <a:gd name="connsiteX9" fmla="*/ 1442357 w 4082143"/>
              <a:gd name="connsiteY9" fmla="*/ 1796143 h 2367643"/>
              <a:gd name="connsiteX10" fmla="*/ 1732643 w 4082143"/>
              <a:gd name="connsiteY10" fmla="*/ 1977572 h 2367643"/>
              <a:gd name="connsiteX11" fmla="*/ 2222500 w 4082143"/>
              <a:gd name="connsiteY11" fmla="*/ 2113643 h 2367643"/>
              <a:gd name="connsiteX12" fmla="*/ 2784929 w 4082143"/>
              <a:gd name="connsiteY12" fmla="*/ 2231572 h 2367643"/>
              <a:gd name="connsiteX13" fmla="*/ 3456215 w 4082143"/>
              <a:gd name="connsiteY13" fmla="*/ 2340429 h 2367643"/>
              <a:gd name="connsiteX14" fmla="*/ 4082143 w 4082143"/>
              <a:gd name="connsiteY14" fmla="*/ 2367643 h 2367643"/>
              <a:gd name="connsiteX15" fmla="*/ 3220357 w 4082143"/>
              <a:gd name="connsiteY15" fmla="*/ 2349500 h 2367643"/>
              <a:gd name="connsiteX16" fmla="*/ 2195286 w 4082143"/>
              <a:gd name="connsiteY16" fmla="*/ 2295072 h 2367643"/>
              <a:gd name="connsiteX17" fmla="*/ 1759857 w 4082143"/>
              <a:gd name="connsiteY17" fmla="*/ 2240643 h 2367643"/>
              <a:gd name="connsiteX18" fmla="*/ 1170215 w 4082143"/>
              <a:gd name="connsiteY18" fmla="*/ 2195286 h 2367643"/>
              <a:gd name="connsiteX19" fmla="*/ 662215 w 4082143"/>
              <a:gd name="connsiteY19" fmla="*/ 2041072 h 2367643"/>
              <a:gd name="connsiteX20" fmla="*/ 326572 w 4082143"/>
              <a:gd name="connsiteY20" fmla="*/ 1886857 h 2367643"/>
              <a:gd name="connsiteX21" fmla="*/ 127001 w 4082143"/>
              <a:gd name="connsiteY21" fmla="*/ 1723572 h 2367643"/>
              <a:gd name="connsiteX22" fmla="*/ 0 w 4082143"/>
              <a:gd name="connsiteY22" fmla="*/ 1524000 h 2367643"/>
              <a:gd name="connsiteX0" fmla="*/ 0 w 4082143"/>
              <a:gd name="connsiteY0" fmla="*/ 1536875 h 2380518"/>
              <a:gd name="connsiteX1" fmla="*/ 127000 w 4082143"/>
              <a:gd name="connsiteY1" fmla="*/ 901875 h 2380518"/>
              <a:gd name="connsiteX2" fmla="*/ 353786 w 4082143"/>
              <a:gd name="connsiteY2" fmla="*/ 257804 h 2380518"/>
              <a:gd name="connsiteX3" fmla="*/ 444500 w 4082143"/>
              <a:gd name="connsiteY3" fmla="*/ 12875 h 2380518"/>
              <a:gd name="connsiteX4" fmla="*/ 580173 w 4082143"/>
              <a:gd name="connsiteY4" fmla="*/ 0 h 2380518"/>
              <a:gd name="connsiteX5" fmla="*/ 635000 w 4082143"/>
              <a:gd name="connsiteY5" fmla="*/ 448304 h 2380518"/>
              <a:gd name="connsiteX6" fmla="*/ 762000 w 4082143"/>
              <a:gd name="connsiteY6" fmla="*/ 983518 h 2380518"/>
              <a:gd name="connsiteX7" fmla="*/ 952500 w 4082143"/>
              <a:gd name="connsiteY7" fmla="*/ 1255661 h 2380518"/>
              <a:gd name="connsiteX8" fmla="*/ 1242786 w 4082143"/>
              <a:gd name="connsiteY8" fmla="*/ 1627590 h 2380518"/>
              <a:gd name="connsiteX9" fmla="*/ 1442357 w 4082143"/>
              <a:gd name="connsiteY9" fmla="*/ 1809018 h 2380518"/>
              <a:gd name="connsiteX10" fmla="*/ 1732643 w 4082143"/>
              <a:gd name="connsiteY10" fmla="*/ 1990447 h 2380518"/>
              <a:gd name="connsiteX11" fmla="*/ 2222500 w 4082143"/>
              <a:gd name="connsiteY11" fmla="*/ 2126518 h 2380518"/>
              <a:gd name="connsiteX12" fmla="*/ 2784929 w 4082143"/>
              <a:gd name="connsiteY12" fmla="*/ 2244447 h 2380518"/>
              <a:gd name="connsiteX13" fmla="*/ 3456215 w 4082143"/>
              <a:gd name="connsiteY13" fmla="*/ 2353304 h 2380518"/>
              <a:gd name="connsiteX14" fmla="*/ 4082143 w 4082143"/>
              <a:gd name="connsiteY14" fmla="*/ 2380518 h 2380518"/>
              <a:gd name="connsiteX15" fmla="*/ 3220357 w 4082143"/>
              <a:gd name="connsiteY15" fmla="*/ 2362375 h 2380518"/>
              <a:gd name="connsiteX16" fmla="*/ 2195286 w 4082143"/>
              <a:gd name="connsiteY16" fmla="*/ 2307947 h 2380518"/>
              <a:gd name="connsiteX17" fmla="*/ 1759857 w 4082143"/>
              <a:gd name="connsiteY17" fmla="*/ 2253518 h 2380518"/>
              <a:gd name="connsiteX18" fmla="*/ 1170215 w 4082143"/>
              <a:gd name="connsiteY18" fmla="*/ 2208161 h 2380518"/>
              <a:gd name="connsiteX19" fmla="*/ 662215 w 4082143"/>
              <a:gd name="connsiteY19" fmla="*/ 2053947 h 2380518"/>
              <a:gd name="connsiteX20" fmla="*/ 326572 w 4082143"/>
              <a:gd name="connsiteY20" fmla="*/ 1899732 h 2380518"/>
              <a:gd name="connsiteX21" fmla="*/ 127001 w 4082143"/>
              <a:gd name="connsiteY21" fmla="*/ 1736447 h 2380518"/>
              <a:gd name="connsiteX22" fmla="*/ 0 w 4082143"/>
              <a:gd name="connsiteY22" fmla="*/ 1536875 h 2380518"/>
              <a:gd name="connsiteX0" fmla="*/ 0 w 4082143"/>
              <a:gd name="connsiteY0" fmla="*/ 1536875 h 2380518"/>
              <a:gd name="connsiteX1" fmla="*/ 127000 w 4082143"/>
              <a:gd name="connsiteY1" fmla="*/ 901875 h 2380518"/>
              <a:gd name="connsiteX2" fmla="*/ 353786 w 4082143"/>
              <a:gd name="connsiteY2" fmla="*/ 257804 h 2380518"/>
              <a:gd name="connsiteX3" fmla="*/ 444500 w 4082143"/>
              <a:gd name="connsiteY3" fmla="*/ 12875 h 2380518"/>
              <a:gd name="connsiteX4" fmla="*/ 580173 w 4082143"/>
              <a:gd name="connsiteY4" fmla="*/ 0 h 2380518"/>
              <a:gd name="connsiteX5" fmla="*/ 697940 w 4082143"/>
              <a:gd name="connsiteY5" fmla="*/ 476946 h 2380518"/>
              <a:gd name="connsiteX6" fmla="*/ 762000 w 4082143"/>
              <a:gd name="connsiteY6" fmla="*/ 983518 h 2380518"/>
              <a:gd name="connsiteX7" fmla="*/ 952500 w 4082143"/>
              <a:gd name="connsiteY7" fmla="*/ 1255661 h 2380518"/>
              <a:gd name="connsiteX8" fmla="*/ 1242786 w 4082143"/>
              <a:gd name="connsiteY8" fmla="*/ 1627590 h 2380518"/>
              <a:gd name="connsiteX9" fmla="*/ 1442357 w 4082143"/>
              <a:gd name="connsiteY9" fmla="*/ 1809018 h 2380518"/>
              <a:gd name="connsiteX10" fmla="*/ 1732643 w 4082143"/>
              <a:gd name="connsiteY10" fmla="*/ 1990447 h 2380518"/>
              <a:gd name="connsiteX11" fmla="*/ 2222500 w 4082143"/>
              <a:gd name="connsiteY11" fmla="*/ 2126518 h 2380518"/>
              <a:gd name="connsiteX12" fmla="*/ 2784929 w 4082143"/>
              <a:gd name="connsiteY12" fmla="*/ 2244447 h 2380518"/>
              <a:gd name="connsiteX13" fmla="*/ 3456215 w 4082143"/>
              <a:gd name="connsiteY13" fmla="*/ 2353304 h 2380518"/>
              <a:gd name="connsiteX14" fmla="*/ 4082143 w 4082143"/>
              <a:gd name="connsiteY14" fmla="*/ 2380518 h 2380518"/>
              <a:gd name="connsiteX15" fmla="*/ 3220357 w 4082143"/>
              <a:gd name="connsiteY15" fmla="*/ 2362375 h 2380518"/>
              <a:gd name="connsiteX16" fmla="*/ 2195286 w 4082143"/>
              <a:gd name="connsiteY16" fmla="*/ 2307947 h 2380518"/>
              <a:gd name="connsiteX17" fmla="*/ 1759857 w 4082143"/>
              <a:gd name="connsiteY17" fmla="*/ 2253518 h 2380518"/>
              <a:gd name="connsiteX18" fmla="*/ 1170215 w 4082143"/>
              <a:gd name="connsiteY18" fmla="*/ 2208161 h 2380518"/>
              <a:gd name="connsiteX19" fmla="*/ 662215 w 4082143"/>
              <a:gd name="connsiteY19" fmla="*/ 2053947 h 2380518"/>
              <a:gd name="connsiteX20" fmla="*/ 326572 w 4082143"/>
              <a:gd name="connsiteY20" fmla="*/ 1899732 h 2380518"/>
              <a:gd name="connsiteX21" fmla="*/ 127001 w 4082143"/>
              <a:gd name="connsiteY21" fmla="*/ 1736447 h 2380518"/>
              <a:gd name="connsiteX22" fmla="*/ 0 w 4082143"/>
              <a:gd name="connsiteY22" fmla="*/ 1536875 h 2380518"/>
              <a:gd name="connsiteX0" fmla="*/ 0 w 4082143"/>
              <a:gd name="connsiteY0" fmla="*/ 1536875 h 2380518"/>
              <a:gd name="connsiteX1" fmla="*/ 127000 w 4082143"/>
              <a:gd name="connsiteY1" fmla="*/ 901875 h 2380518"/>
              <a:gd name="connsiteX2" fmla="*/ 353786 w 4082143"/>
              <a:gd name="connsiteY2" fmla="*/ 257804 h 2380518"/>
              <a:gd name="connsiteX3" fmla="*/ 444500 w 4082143"/>
              <a:gd name="connsiteY3" fmla="*/ 12875 h 2380518"/>
              <a:gd name="connsiteX4" fmla="*/ 580173 w 4082143"/>
              <a:gd name="connsiteY4" fmla="*/ 0 h 2380518"/>
              <a:gd name="connsiteX5" fmla="*/ 697940 w 4082143"/>
              <a:gd name="connsiteY5" fmla="*/ 476946 h 2380518"/>
              <a:gd name="connsiteX6" fmla="*/ 815949 w 4082143"/>
              <a:gd name="connsiteY6" fmla="*/ 954876 h 2380518"/>
              <a:gd name="connsiteX7" fmla="*/ 952500 w 4082143"/>
              <a:gd name="connsiteY7" fmla="*/ 1255661 h 2380518"/>
              <a:gd name="connsiteX8" fmla="*/ 1242786 w 4082143"/>
              <a:gd name="connsiteY8" fmla="*/ 1627590 h 2380518"/>
              <a:gd name="connsiteX9" fmla="*/ 1442357 w 4082143"/>
              <a:gd name="connsiteY9" fmla="*/ 1809018 h 2380518"/>
              <a:gd name="connsiteX10" fmla="*/ 1732643 w 4082143"/>
              <a:gd name="connsiteY10" fmla="*/ 1990447 h 2380518"/>
              <a:gd name="connsiteX11" fmla="*/ 2222500 w 4082143"/>
              <a:gd name="connsiteY11" fmla="*/ 2126518 h 2380518"/>
              <a:gd name="connsiteX12" fmla="*/ 2784929 w 4082143"/>
              <a:gd name="connsiteY12" fmla="*/ 2244447 h 2380518"/>
              <a:gd name="connsiteX13" fmla="*/ 3456215 w 4082143"/>
              <a:gd name="connsiteY13" fmla="*/ 2353304 h 2380518"/>
              <a:gd name="connsiteX14" fmla="*/ 4082143 w 4082143"/>
              <a:gd name="connsiteY14" fmla="*/ 2380518 h 2380518"/>
              <a:gd name="connsiteX15" fmla="*/ 3220357 w 4082143"/>
              <a:gd name="connsiteY15" fmla="*/ 2362375 h 2380518"/>
              <a:gd name="connsiteX16" fmla="*/ 2195286 w 4082143"/>
              <a:gd name="connsiteY16" fmla="*/ 2307947 h 2380518"/>
              <a:gd name="connsiteX17" fmla="*/ 1759857 w 4082143"/>
              <a:gd name="connsiteY17" fmla="*/ 2253518 h 2380518"/>
              <a:gd name="connsiteX18" fmla="*/ 1170215 w 4082143"/>
              <a:gd name="connsiteY18" fmla="*/ 2208161 h 2380518"/>
              <a:gd name="connsiteX19" fmla="*/ 662215 w 4082143"/>
              <a:gd name="connsiteY19" fmla="*/ 2053947 h 2380518"/>
              <a:gd name="connsiteX20" fmla="*/ 326572 w 4082143"/>
              <a:gd name="connsiteY20" fmla="*/ 1899732 h 2380518"/>
              <a:gd name="connsiteX21" fmla="*/ 127001 w 4082143"/>
              <a:gd name="connsiteY21" fmla="*/ 1736447 h 2380518"/>
              <a:gd name="connsiteX22" fmla="*/ 0 w 4082143"/>
              <a:gd name="connsiteY22" fmla="*/ 1536875 h 2380518"/>
              <a:gd name="connsiteX0" fmla="*/ 0 w 4082143"/>
              <a:gd name="connsiteY0" fmla="*/ 1536875 h 2380518"/>
              <a:gd name="connsiteX1" fmla="*/ 127000 w 4082143"/>
              <a:gd name="connsiteY1" fmla="*/ 901875 h 2380518"/>
              <a:gd name="connsiteX2" fmla="*/ 353786 w 4082143"/>
              <a:gd name="connsiteY2" fmla="*/ 257804 h 2380518"/>
              <a:gd name="connsiteX3" fmla="*/ 444500 w 4082143"/>
              <a:gd name="connsiteY3" fmla="*/ 12875 h 2380518"/>
              <a:gd name="connsiteX4" fmla="*/ 580173 w 4082143"/>
              <a:gd name="connsiteY4" fmla="*/ 0 h 2380518"/>
              <a:gd name="connsiteX5" fmla="*/ 697940 w 4082143"/>
              <a:gd name="connsiteY5" fmla="*/ 476946 h 2380518"/>
              <a:gd name="connsiteX6" fmla="*/ 815949 w 4082143"/>
              <a:gd name="connsiteY6" fmla="*/ 954876 h 2380518"/>
              <a:gd name="connsiteX7" fmla="*/ 988467 w 4082143"/>
              <a:gd name="connsiteY7" fmla="*/ 1255661 h 2380518"/>
              <a:gd name="connsiteX8" fmla="*/ 1242786 w 4082143"/>
              <a:gd name="connsiteY8" fmla="*/ 1627590 h 2380518"/>
              <a:gd name="connsiteX9" fmla="*/ 1442357 w 4082143"/>
              <a:gd name="connsiteY9" fmla="*/ 1809018 h 2380518"/>
              <a:gd name="connsiteX10" fmla="*/ 1732643 w 4082143"/>
              <a:gd name="connsiteY10" fmla="*/ 1990447 h 2380518"/>
              <a:gd name="connsiteX11" fmla="*/ 2222500 w 4082143"/>
              <a:gd name="connsiteY11" fmla="*/ 2126518 h 2380518"/>
              <a:gd name="connsiteX12" fmla="*/ 2784929 w 4082143"/>
              <a:gd name="connsiteY12" fmla="*/ 2244447 h 2380518"/>
              <a:gd name="connsiteX13" fmla="*/ 3456215 w 4082143"/>
              <a:gd name="connsiteY13" fmla="*/ 2353304 h 2380518"/>
              <a:gd name="connsiteX14" fmla="*/ 4082143 w 4082143"/>
              <a:gd name="connsiteY14" fmla="*/ 2380518 h 2380518"/>
              <a:gd name="connsiteX15" fmla="*/ 3220357 w 4082143"/>
              <a:gd name="connsiteY15" fmla="*/ 2362375 h 2380518"/>
              <a:gd name="connsiteX16" fmla="*/ 2195286 w 4082143"/>
              <a:gd name="connsiteY16" fmla="*/ 2307947 h 2380518"/>
              <a:gd name="connsiteX17" fmla="*/ 1759857 w 4082143"/>
              <a:gd name="connsiteY17" fmla="*/ 2253518 h 2380518"/>
              <a:gd name="connsiteX18" fmla="*/ 1170215 w 4082143"/>
              <a:gd name="connsiteY18" fmla="*/ 2208161 h 2380518"/>
              <a:gd name="connsiteX19" fmla="*/ 662215 w 4082143"/>
              <a:gd name="connsiteY19" fmla="*/ 2053947 h 2380518"/>
              <a:gd name="connsiteX20" fmla="*/ 326572 w 4082143"/>
              <a:gd name="connsiteY20" fmla="*/ 1899732 h 2380518"/>
              <a:gd name="connsiteX21" fmla="*/ 127001 w 4082143"/>
              <a:gd name="connsiteY21" fmla="*/ 1736447 h 2380518"/>
              <a:gd name="connsiteX22" fmla="*/ 0 w 4082143"/>
              <a:gd name="connsiteY22" fmla="*/ 1536875 h 2380518"/>
              <a:gd name="connsiteX0" fmla="*/ 0 w 4082143"/>
              <a:gd name="connsiteY0" fmla="*/ 1565516 h 2409159"/>
              <a:gd name="connsiteX1" fmla="*/ 127000 w 4082143"/>
              <a:gd name="connsiteY1" fmla="*/ 930516 h 2409159"/>
              <a:gd name="connsiteX2" fmla="*/ 353786 w 4082143"/>
              <a:gd name="connsiteY2" fmla="*/ 286445 h 2409159"/>
              <a:gd name="connsiteX3" fmla="*/ 444500 w 4082143"/>
              <a:gd name="connsiteY3" fmla="*/ 41516 h 2409159"/>
              <a:gd name="connsiteX4" fmla="*/ 517232 w 4082143"/>
              <a:gd name="connsiteY4" fmla="*/ 0 h 2409159"/>
              <a:gd name="connsiteX5" fmla="*/ 697940 w 4082143"/>
              <a:gd name="connsiteY5" fmla="*/ 505587 h 2409159"/>
              <a:gd name="connsiteX6" fmla="*/ 815949 w 4082143"/>
              <a:gd name="connsiteY6" fmla="*/ 983517 h 2409159"/>
              <a:gd name="connsiteX7" fmla="*/ 988467 w 4082143"/>
              <a:gd name="connsiteY7" fmla="*/ 1284302 h 2409159"/>
              <a:gd name="connsiteX8" fmla="*/ 1242786 w 4082143"/>
              <a:gd name="connsiteY8" fmla="*/ 1656231 h 2409159"/>
              <a:gd name="connsiteX9" fmla="*/ 1442357 w 4082143"/>
              <a:gd name="connsiteY9" fmla="*/ 1837659 h 2409159"/>
              <a:gd name="connsiteX10" fmla="*/ 1732643 w 4082143"/>
              <a:gd name="connsiteY10" fmla="*/ 2019088 h 2409159"/>
              <a:gd name="connsiteX11" fmla="*/ 2222500 w 4082143"/>
              <a:gd name="connsiteY11" fmla="*/ 2155159 h 2409159"/>
              <a:gd name="connsiteX12" fmla="*/ 2784929 w 4082143"/>
              <a:gd name="connsiteY12" fmla="*/ 2273088 h 2409159"/>
              <a:gd name="connsiteX13" fmla="*/ 3456215 w 4082143"/>
              <a:gd name="connsiteY13" fmla="*/ 2381945 h 2409159"/>
              <a:gd name="connsiteX14" fmla="*/ 4082143 w 4082143"/>
              <a:gd name="connsiteY14" fmla="*/ 2409159 h 2409159"/>
              <a:gd name="connsiteX15" fmla="*/ 3220357 w 4082143"/>
              <a:gd name="connsiteY15" fmla="*/ 2391016 h 2409159"/>
              <a:gd name="connsiteX16" fmla="*/ 2195286 w 4082143"/>
              <a:gd name="connsiteY16" fmla="*/ 2336588 h 2409159"/>
              <a:gd name="connsiteX17" fmla="*/ 1759857 w 4082143"/>
              <a:gd name="connsiteY17" fmla="*/ 2282159 h 2409159"/>
              <a:gd name="connsiteX18" fmla="*/ 1170215 w 4082143"/>
              <a:gd name="connsiteY18" fmla="*/ 2236802 h 2409159"/>
              <a:gd name="connsiteX19" fmla="*/ 662215 w 4082143"/>
              <a:gd name="connsiteY19" fmla="*/ 2082588 h 2409159"/>
              <a:gd name="connsiteX20" fmla="*/ 326572 w 4082143"/>
              <a:gd name="connsiteY20" fmla="*/ 1928373 h 2409159"/>
              <a:gd name="connsiteX21" fmla="*/ 127001 w 4082143"/>
              <a:gd name="connsiteY21" fmla="*/ 1765088 h 2409159"/>
              <a:gd name="connsiteX22" fmla="*/ 0 w 4082143"/>
              <a:gd name="connsiteY22" fmla="*/ 1565516 h 2409159"/>
              <a:gd name="connsiteX0" fmla="*/ 0 w 4082143"/>
              <a:gd name="connsiteY0" fmla="*/ 1536875 h 2380518"/>
              <a:gd name="connsiteX1" fmla="*/ 127000 w 4082143"/>
              <a:gd name="connsiteY1" fmla="*/ 901875 h 2380518"/>
              <a:gd name="connsiteX2" fmla="*/ 353786 w 4082143"/>
              <a:gd name="connsiteY2" fmla="*/ 257804 h 2380518"/>
              <a:gd name="connsiteX3" fmla="*/ 444500 w 4082143"/>
              <a:gd name="connsiteY3" fmla="*/ 12875 h 2380518"/>
              <a:gd name="connsiteX4" fmla="*/ 571182 w 4082143"/>
              <a:gd name="connsiteY4" fmla="*/ 0 h 2380518"/>
              <a:gd name="connsiteX5" fmla="*/ 697940 w 4082143"/>
              <a:gd name="connsiteY5" fmla="*/ 476946 h 2380518"/>
              <a:gd name="connsiteX6" fmla="*/ 815949 w 4082143"/>
              <a:gd name="connsiteY6" fmla="*/ 954876 h 2380518"/>
              <a:gd name="connsiteX7" fmla="*/ 988467 w 4082143"/>
              <a:gd name="connsiteY7" fmla="*/ 1255661 h 2380518"/>
              <a:gd name="connsiteX8" fmla="*/ 1242786 w 4082143"/>
              <a:gd name="connsiteY8" fmla="*/ 1627590 h 2380518"/>
              <a:gd name="connsiteX9" fmla="*/ 1442357 w 4082143"/>
              <a:gd name="connsiteY9" fmla="*/ 1809018 h 2380518"/>
              <a:gd name="connsiteX10" fmla="*/ 1732643 w 4082143"/>
              <a:gd name="connsiteY10" fmla="*/ 1990447 h 2380518"/>
              <a:gd name="connsiteX11" fmla="*/ 2222500 w 4082143"/>
              <a:gd name="connsiteY11" fmla="*/ 2126518 h 2380518"/>
              <a:gd name="connsiteX12" fmla="*/ 2784929 w 4082143"/>
              <a:gd name="connsiteY12" fmla="*/ 2244447 h 2380518"/>
              <a:gd name="connsiteX13" fmla="*/ 3456215 w 4082143"/>
              <a:gd name="connsiteY13" fmla="*/ 2353304 h 2380518"/>
              <a:gd name="connsiteX14" fmla="*/ 4082143 w 4082143"/>
              <a:gd name="connsiteY14" fmla="*/ 2380518 h 2380518"/>
              <a:gd name="connsiteX15" fmla="*/ 3220357 w 4082143"/>
              <a:gd name="connsiteY15" fmla="*/ 2362375 h 2380518"/>
              <a:gd name="connsiteX16" fmla="*/ 2195286 w 4082143"/>
              <a:gd name="connsiteY16" fmla="*/ 2307947 h 2380518"/>
              <a:gd name="connsiteX17" fmla="*/ 1759857 w 4082143"/>
              <a:gd name="connsiteY17" fmla="*/ 2253518 h 2380518"/>
              <a:gd name="connsiteX18" fmla="*/ 1170215 w 4082143"/>
              <a:gd name="connsiteY18" fmla="*/ 2208161 h 2380518"/>
              <a:gd name="connsiteX19" fmla="*/ 662215 w 4082143"/>
              <a:gd name="connsiteY19" fmla="*/ 2053947 h 2380518"/>
              <a:gd name="connsiteX20" fmla="*/ 326572 w 4082143"/>
              <a:gd name="connsiteY20" fmla="*/ 1899732 h 2380518"/>
              <a:gd name="connsiteX21" fmla="*/ 127001 w 4082143"/>
              <a:gd name="connsiteY21" fmla="*/ 1736447 h 2380518"/>
              <a:gd name="connsiteX22" fmla="*/ 0 w 4082143"/>
              <a:gd name="connsiteY22" fmla="*/ 1536875 h 2380518"/>
              <a:gd name="connsiteX0" fmla="*/ 0 w 4082143"/>
              <a:gd name="connsiteY0" fmla="*/ 1571735 h 2415378"/>
              <a:gd name="connsiteX1" fmla="*/ 127000 w 4082143"/>
              <a:gd name="connsiteY1" fmla="*/ 936735 h 2415378"/>
              <a:gd name="connsiteX2" fmla="*/ 353786 w 4082143"/>
              <a:gd name="connsiteY2" fmla="*/ 292664 h 2415378"/>
              <a:gd name="connsiteX3" fmla="*/ 480466 w 4082143"/>
              <a:gd name="connsiteY3" fmla="*/ 0 h 2415378"/>
              <a:gd name="connsiteX4" fmla="*/ 571182 w 4082143"/>
              <a:gd name="connsiteY4" fmla="*/ 34860 h 2415378"/>
              <a:gd name="connsiteX5" fmla="*/ 697940 w 4082143"/>
              <a:gd name="connsiteY5" fmla="*/ 511806 h 2415378"/>
              <a:gd name="connsiteX6" fmla="*/ 815949 w 4082143"/>
              <a:gd name="connsiteY6" fmla="*/ 989736 h 2415378"/>
              <a:gd name="connsiteX7" fmla="*/ 988467 w 4082143"/>
              <a:gd name="connsiteY7" fmla="*/ 1290521 h 2415378"/>
              <a:gd name="connsiteX8" fmla="*/ 1242786 w 4082143"/>
              <a:gd name="connsiteY8" fmla="*/ 1662450 h 2415378"/>
              <a:gd name="connsiteX9" fmla="*/ 1442357 w 4082143"/>
              <a:gd name="connsiteY9" fmla="*/ 1843878 h 2415378"/>
              <a:gd name="connsiteX10" fmla="*/ 1732643 w 4082143"/>
              <a:gd name="connsiteY10" fmla="*/ 2025307 h 2415378"/>
              <a:gd name="connsiteX11" fmla="*/ 2222500 w 4082143"/>
              <a:gd name="connsiteY11" fmla="*/ 2161378 h 2415378"/>
              <a:gd name="connsiteX12" fmla="*/ 2784929 w 4082143"/>
              <a:gd name="connsiteY12" fmla="*/ 2279307 h 2415378"/>
              <a:gd name="connsiteX13" fmla="*/ 3456215 w 4082143"/>
              <a:gd name="connsiteY13" fmla="*/ 2388164 h 2415378"/>
              <a:gd name="connsiteX14" fmla="*/ 4082143 w 4082143"/>
              <a:gd name="connsiteY14" fmla="*/ 2415378 h 2415378"/>
              <a:gd name="connsiteX15" fmla="*/ 3220357 w 4082143"/>
              <a:gd name="connsiteY15" fmla="*/ 2397235 h 2415378"/>
              <a:gd name="connsiteX16" fmla="*/ 2195286 w 4082143"/>
              <a:gd name="connsiteY16" fmla="*/ 2342807 h 2415378"/>
              <a:gd name="connsiteX17" fmla="*/ 1759857 w 4082143"/>
              <a:gd name="connsiteY17" fmla="*/ 2288378 h 2415378"/>
              <a:gd name="connsiteX18" fmla="*/ 1170215 w 4082143"/>
              <a:gd name="connsiteY18" fmla="*/ 2243021 h 2415378"/>
              <a:gd name="connsiteX19" fmla="*/ 662215 w 4082143"/>
              <a:gd name="connsiteY19" fmla="*/ 2088807 h 2415378"/>
              <a:gd name="connsiteX20" fmla="*/ 326572 w 4082143"/>
              <a:gd name="connsiteY20" fmla="*/ 1934592 h 2415378"/>
              <a:gd name="connsiteX21" fmla="*/ 127001 w 4082143"/>
              <a:gd name="connsiteY21" fmla="*/ 1771307 h 2415378"/>
              <a:gd name="connsiteX22" fmla="*/ 0 w 4082143"/>
              <a:gd name="connsiteY22" fmla="*/ 1571735 h 2415378"/>
              <a:gd name="connsiteX0" fmla="*/ 0 w 4082143"/>
              <a:gd name="connsiteY0" fmla="*/ 1571735 h 2453566"/>
              <a:gd name="connsiteX1" fmla="*/ 127000 w 4082143"/>
              <a:gd name="connsiteY1" fmla="*/ 936735 h 2453566"/>
              <a:gd name="connsiteX2" fmla="*/ 353786 w 4082143"/>
              <a:gd name="connsiteY2" fmla="*/ 292664 h 2453566"/>
              <a:gd name="connsiteX3" fmla="*/ 480466 w 4082143"/>
              <a:gd name="connsiteY3" fmla="*/ 0 h 2453566"/>
              <a:gd name="connsiteX4" fmla="*/ 571182 w 4082143"/>
              <a:gd name="connsiteY4" fmla="*/ 34860 h 2453566"/>
              <a:gd name="connsiteX5" fmla="*/ 697940 w 4082143"/>
              <a:gd name="connsiteY5" fmla="*/ 511806 h 2453566"/>
              <a:gd name="connsiteX6" fmla="*/ 815949 w 4082143"/>
              <a:gd name="connsiteY6" fmla="*/ 989736 h 2453566"/>
              <a:gd name="connsiteX7" fmla="*/ 988467 w 4082143"/>
              <a:gd name="connsiteY7" fmla="*/ 1290521 h 2453566"/>
              <a:gd name="connsiteX8" fmla="*/ 1242786 w 4082143"/>
              <a:gd name="connsiteY8" fmla="*/ 1662450 h 2453566"/>
              <a:gd name="connsiteX9" fmla="*/ 1442357 w 4082143"/>
              <a:gd name="connsiteY9" fmla="*/ 1843878 h 2453566"/>
              <a:gd name="connsiteX10" fmla="*/ 1732643 w 4082143"/>
              <a:gd name="connsiteY10" fmla="*/ 2025307 h 2453566"/>
              <a:gd name="connsiteX11" fmla="*/ 2222500 w 4082143"/>
              <a:gd name="connsiteY11" fmla="*/ 2161378 h 2453566"/>
              <a:gd name="connsiteX12" fmla="*/ 2784929 w 4082143"/>
              <a:gd name="connsiteY12" fmla="*/ 2279307 h 2453566"/>
              <a:gd name="connsiteX13" fmla="*/ 3456215 w 4082143"/>
              <a:gd name="connsiteY13" fmla="*/ 2388164 h 2453566"/>
              <a:gd name="connsiteX14" fmla="*/ 4082143 w 4082143"/>
              <a:gd name="connsiteY14" fmla="*/ 2453566 h 2453566"/>
              <a:gd name="connsiteX15" fmla="*/ 3220357 w 4082143"/>
              <a:gd name="connsiteY15" fmla="*/ 2397235 h 2453566"/>
              <a:gd name="connsiteX16" fmla="*/ 2195286 w 4082143"/>
              <a:gd name="connsiteY16" fmla="*/ 2342807 h 2453566"/>
              <a:gd name="connsiteX17" fmla="*/ 1759857 w 4082143"/>
              <a:gd name="connsiteY17" fmla="*/ 2288378 h 2453566"/>
              <a:gd name="connsiteX18" fmla="*/ 1170215 w 4082143"/>
              <a:gd name="connsiteY18" fmla="*/ 2243021 h 2453566"/>
              <a:gd name="connsiteX19" fmla="*/ 662215 w 4082143"/>
              <a:gd name="connsiteY19" fmla="*/ 2088807 h 2453566"/>
              <a:gd name="connsiteX20" fmla="*/ 326572 w 4082143"/>
              <a:gd name="connsiteY20" fmla="*/ 1934592 h 2453566"/>
              <a:gd name="connsiteX21" fmla="*/ 127001 w 4082143"/>
              <a:gd name="connsiteY21" fmla="*/ 1771307 h 2453566"/>
              <a:gd name="connsiteX22" fmla="*/ 0 w 4082143"/>
              <a:gd name="connsiteY22" fmla="*/ 1571735 h 2453566"/>
              <a:gd name="connsiteX0" fmla="*/ 0 w 4082143"/>
              <a:gd name="connsiteY0" fmla="*/ 1571735 h 2453566"/>
              <a:gd name="connsiteX1" fmla="*/ 127000 w 4082143"/>
              <a:gd name="connsiteY1" fmla="*/ 936735 h 2453566"/>
              <a:gd name="connsiteX2" fmla="*/ 353786 w 4082143"/>
              <a:gd name="connsiteY2" fmla="*/ 292664 h 2453566"/>
              <a:gd name="connsiteX3" fmla="*/ 480466 w 4082143"/>
              <a:gd name="connsiteY3" fmla="*/ 0 h 2453566"/>
              <a:gd name="connsiteX4" fmla="*/ 571182 w 4082143"/>
              <a:gd name="connsiteY4" fmla="*/ 34860 h 2453566"/>
              <a:gd name="connsiteX5" fmla="*/ 697940 w 4082143"/>
              <a:gd name="connsiteY5" fmla="*/ 511806 h 2453566"/>
              <a:gd name="connsiteX6" fmla="*/ 815949 w 4082143"/>
              <a:gd name="connsiteY6" fmla="*/ 989736 h 2453566"/>
              <a:gd name="connsiteX7" fmla="*/ 988467 w 4082143"/>
              <a:gd name="connsiteY7" fmla="*/ 1290521 h 2453566"/>
              <a:gd name="connsiteX8" fmla="*/ 1242786 w 4082143"/>
              <a:gd name="connsiteY8" fmla="*/ 1662450 h 2453566"/>
              <a:gd name="connsiteX9" fmla="*/ 1442357 w 4082143"/>
              <a:gd name="connsiteY9" fmla="*/ 1843878 h 2453566"/>
              <a:gd name="connsiteX10" fmla="*/ 1732643 w 4082143"/>
              <a:gd name="connsiteY10" fmla="*/ 2025307 h 2453566"/>
              <a:gd name="connsiteX11" fmla="*/ 2222500 w 4082143"/>
              <a:gd name="connsiteY11" fmla="*/ 2161378 h 2453566"/>
              <a:gd name="connsiteX12" fmla="*/ 2784929 w 4082143"/>
              <a:gd name="connsiteY12" fmla="*/ 2279307 h 2453566"/>
              <a:gd name="connsiteX13" fmla="*/ 3456215 w 4082143"/>
              <a:gd name="connsiteY13" fmla="*/ 2388164 h 2453566"/>
              <a:gd name="connsiteX14" fmla="*/ 4082143 w 4082143"/>
              <a:gd name="connsiteY14" fmla="*/ 2453566 h 2453566"/>
              <a:gd name="connsiteX15" fmla="*/ 3166409 w 4082143"/>
              <a:gd name="connsiteY15" fmla="*/ 2425876 h 2453566"/>
              <a:gd name="connsiteX16" fmla="*/ 2195286 w 4082143"/>
              <a:gd name="connsiteY16" fmla="*/ 2342807 h 2453566"/>
              <a:gd name="connsiteX17" fmla="*/ 1759857 w 4082143"/>
              <a:gd name="connsiteY17" fmla="*/ 2288378 h 2453566"/>
              <a:gd name="connsiteX18" fmla="*/ 1170215 w 4082143"/>
              <a:gd name="connsiteY18" fmla="*/ 2243021 h 2453566"/>
              <a:gd name="connsiteX19" fmla="*/ 662215 w 4082143"/>
              <a:gd name="connsiteY19" fmla="*/ 2088807 h 2453566"/>
              <a:gd name="connsiteX20" fmla="*/ 326572 w 4082143"/>
              <a:gd name="connsiteY20" fmla="*/ 1934592 h 2453566"/>
              <a:gd name="connsiteX21" fmla="*/ 127001 w 4082143"/>
              <a:gd name="connsiteY21" fmla="*/ 1771307 h 2453566"/>
              <a:gd name="connsiteX22" fmla="*/ 0 w 4082143"/>
              <a:gd name="connsiteY22" fmla="*/ 1571735 h 2453566"/>
              <a:gd name="connsiteX0" fmla="*/ 0 w 4082143"/>
              <a:gd name="connsiteY0" fmla="*/ 1571735 h 2453566"/>
              <a:gd name="connsiteX1" fmla="*/ 127000 w 4082143"/>
              <a:gd name="connsiteY1" fmla="*/ 936735 h 2453566"/>
              <a:gd name="connsiteX2" fmla="*/ 353786 w 4082143"/>
              <a:gd name="connsiteY2" fmla="*/ 292664 h 2453566"/>
              <a:gd name="connsiteX3" fmla="*/ 480466 w 4082143"/>
              <a:gd name="connsiteY3" fmla="*/ 0 h 2453566"/>
              <a:gd name="connsiteX4" fmla="*/ 571182 w 4082143"/>
              <a:gd name="connsiteY4" fmla="*/ 34860 h 2453566"/>
              <a:gd name="connsiteX5" fmla="*/ 697940 w 4082143"/>
              <a:gd name="connsiteY5" fmla="*/ 511806 h 2453566"/>
              <a:gd name="connsiteX6" fmla="*/ 815949 w 4082143"/>
              <a:gd name="connsiteY6" fmla="*/ 989736 h 2453566"/>
              <a:gd name="connsiteX7" fmla="*/ 988467 w 4082143"/>
              <a:gd name="connsiteY7" fmla="*/ 1290521 h 2453566"/>
              <a:gd name="connsiteX8" fmla="*/ 1242786 w 4082143"/>
              <a:gd name="connsiteY8" fmla="*/ 1662450 h 2453566"/>
              <a:gd name="connsiteX9" fmla="*/ 1442357 w 4082143"/>
              <a:gd name="connsiteY9" fmla="*/ 1843878 h 2453566"/>
              <a:gd name="connsiteX10" fmla="*/ 1732643 w 4082143"/>
              <a:gd name="connsiteY10" fmla="*/ 2025307 h 2453566"/>
              <a:gd name="connsiteX11" fmla="*/ 2222500 w 4082143"/>
              <a:gd name="connsiteY11" fmla="*/ 2161378 h 2453566"/>
              <a:gd name="connsiteX12" fmla="*/ 2784929 w 4082143"/>
              <a:gd name="connsiteY12" fmla="*/ 2279307 h 2453566"/>
              <a:gd name="connsiteX13" fmla="*/ 3456215 w 4082143"/>
              <a:gd name="connsiteY13" fmla="*/ 2388164 h 2453566"/>
              <a:gd name="connsiteX14" fmla="*/ 4082143 w 4082143"/>
              <a:gd name="connsiteY14" fmla="*/ 2453566 h 2453566"/>
              <a:gd name="connsiteX15" fmla="*/ 3166409 w 4082143"/>
              <a:gd name="connsiteY15" fmla="*/ 2425876 h 2453566"/>
              <a:gd name="connsiteX16" fmla="*/ 2195286 w 4082143"/>
              <a:gd name="connsiteY16" fmla="*/ 2342807 h 2453566"/>
              <a:gd name="connsiteX17" fmla="*/ 1813807 w 4082143"/>
              <a:gd name="connsiteY17" fmla="*/ 2326566 h 2453566"/>
              <a:gd name="connsiteX18" fmla="*/ 1170215 w 4082143"/>
              <a:gd name="connsiteY18" fmla="*/ 2243021 h 2453566"/>
              <a:gd name="connsiteX19" fmla="*/ 662215 w 4082143"/>
              <a:gd name="connsiteY19" fmla="*/ 2088807 h 2453566"/>
              <a:gd name="connsiteX20" fmla="*/ 326572 w 4082143"/>
              <a:gd name="connsiteY20" fmla="*/ 1934592 h 2453566"/>
              <a:gd name="connsiteX21" fmla="*/ 127001 w 4082143"/>
              <a:gd name="connsiteY21" fmla="*/ 1771307 h 2453566"/>
              <a:gd name="connsiteX22" fmla="*/ 0 w 4082143"/>
              <a:gd name="connsiteY22" fmla="*/ 1571735 h 2453566"/>
              <a:gd name="connsiteX0" fmla="*/ 0 w 4082143"/>
              <a:gd name="connsiteY0" fmla="*/ 1571735 h 2453566"/>
              <a:gd name="connsiteX1" fmla="*/ 127000 w 4082143"/>
              <a:gd name="connsiteY1" fmla="*/ 936735 h 2453566"/>
              <a:gd name="connsiteX2" fmla="*/ 353786 w 4082143"/>
              <a:gd name="connsiteY2" fmla="*/ 292664 h 2453566"/>
              <a:gd name="connsiteX3" fmla="*/ 480466 w 4082143"/>
              <a:gd name="connsiteY3" fmla="*/ 0 h 2453566"/>
              <a:gd name="connsiteX4" fmla="*/ 571182 w 4082143"/>
              <a:gd name="connsiteY4" fmla="*/ 34860 h 2453566"/>
              <a:gd name="connsiteX5" fmla="*/ 697940 w 4082143"/>
              <a:gd name="connsiteY5" fmla="*/ 511806 h 2453566"/>
              <a:gd name="connsiteX6" fmla="*/ 815949 w 4082143"/>
              <a:gd name="connsiteY6" fmla="*/ 989736 h 2453566"/>
              <a:gd name="connsiteX7" fmla="*/ 988467 w 4082143"/>
              <a:gd name="connsiteY7" fmla="*/ 1290521 h 2453566"/>
              <a:gd name="connsiteX8" fmla="*/ 1242786 w 4082143"/>
              <a:gd name="connsiteY8" fmla="*/ 1662450 h 2453566"/>
              <a:gd name="connsiteX9" fmla="*/ 1442357 w 4082143"/>
              <a:gd name="connsiteY9" fmla="*/ 1843878 h 2453566"/>
              <a:gd name="connsiteX10" fmla="*/ 1732643 w 4082143"/>
              <a:gd name="connsiteY10" fmla="*/ 2025307 h 2453566"/>
              <a:gd name="connsiteX11" fmla="*/ 2222500 w 4082143"/>
              <a:gd name="connsiteY11" fmla="*/ 2161378 h 2453566"/>
              <a:gd name="connsiteX12" fmla="*/ 2766946 w 4082143"/>
              <a:gd name="connsiteY12" fmla="*/ 2307948 h 2453566"/>
              <a:gd name="connsiteX13" fmla="*/ 3456215 w 4082143"/>
              <a:gd name="connsiteY13" fmla="*/ 2388164 h 2453566"/>
              <a:gd name="connsiteX14" fmla="*/ 4082143 w 4082143"/>
              <a:gd name="connsiteY14" fmla="*/ 2453566 h 2453566"/>
              <a:gd name="connsiteX15" fmla="*/ 3166409 w 4082143"/>
              <a:gd name="connsiteY15" fmla="*/ 2425876 h 2453566"/>
              <a:gd name="connsiteX16" fmla="*/ 2195286 w 4082143"/>
              <a:gd name="connsiteY16" fmla="*/ 2342807 h 2453566"/>
              <a:gd name="connsiteX17" fmla="*/ 1813807 w 4082143"/>
              <a:gd name="connsiteY17" fmla="*/ 2326566 h 2453566"/>
              <a:gd name="connsiteX18" fmla="*/ 1170215 w 4082143"/>
              <a:gd name="connsiteY18" fmla="*/ 2243021 h 2453566"/>
              <a:gd name="connsiteX19" fmla="*/ 662215 w 4082143"/>
              <a:gd name="connsiteY19" fmla="*/ 2088807 h 2453566"/>
              <a:gd name="connsiteX20" fmla="*/ 326572 w 4082143"/>
              <a:gd name="connsiteY20" fmla="*/ 1934592 h 2453566"/>
              <a:gd name="connsiteX21" fmla="*/ 127001 w 4082143"/>
              <a:gd name="connsiteY21" fmla="*/ 1771307 h 2453566"/>
              <a:gd name="connsiteX22" fmla="*/ 0 w 4082143"/>
              <a:gd name="connsiteY22" fmla="*/ 1571735 h 2453566"/>
              <a:gd name="connsiteX0" fmla="*/ 0 w 4082143"/>
              <a:gd name="connsiteY0" fmla="*/ 1571735 h 2453566"/>
              <a:gd name="connsiteX1" fmla="*/ 155236 w 4082143"/>
              <a:gd name="connsiteY1" fmla="*/ 916974 h 2453566"/>
              <a:gd name="connsiteX2" fmla="*/ 353786 w 4082143"/>
              <a:gd name="connsiteY2" fmla="*/ 292664 h 2453566"/>
              <a:gd name="connsiteX3" fmla="*/ 480466 w 4082143"/>
              <a:gd name="connsiteY3" fmla="*/ 0 h 2453566"/>
              <a:gd name="connsiteX4" fmla="*/ 571182 w 4082143"/>
              <a:gd name="connsiteY4" fmla="*/ 34860 h 2453566"/>
              <a:gd name="connsiteX5" fmla="*/ 697940 w 4082143"/>
              <a:gd name="connsiteY5" fmla="*/ 511806 h 2453566"/>
              <a:gd name="connsiteX6" fmla="*/ 815949 w 4082143"/>
              <a:gd name="connsiteY6" fmla="*/ 989736 h 2453566"/>
              <a:gd name="connsiteX7" fmla="*/ 988467 w 4082143"/>
              <a:gd name="connsiteY7" fmla="*/ 1290521 h 2453566"/>
              <a:gd name="connsiteX8" fmla="*/ 1242786 w 4082143"/>
              <a:gd name="connsiteY8" fmla="*/ 1662450 h 2453566"/>
              <a:gd name="connsiteX9" fmla="*/ 1442357 w 4082143"/>
              <a:gd name="connsiteY9" fmla="*/ 1843878 h 2453566"/>
              <a:gd name="connsiteX10" fmla="*/ 1732643 w 4082143"/>
              <a:gd name="connsiteY10" fmla="*/ 2025307 h 2453566"/>
              <a:gd name="connsiteX11" fmla="*/ 2222500 w 4082143"/>
              <a:gd name="connsiteY11" fmla="*/ 2161378 h 2453566"/>
              <a:gd name="connsiteX12" fmla="*/ 2766946 w 4082143"/>
              <a:gd name="connsiteY12" fmla="*/ 2307948 h 2453566"/>
              <a:gd name="connsiteX13" fmla="*/ 3456215 w 4082143"/>
              <a:gd name="connsiteY13" fmla="*/ 2388164 h 2453566"/>
              <a:gd name="connsiteX14" fmla="*/ 4082143 w 4082143"/>
              <a:gd name="connsiteY14" fmla="*/ 2453566 h 2453566"/>
              <a:gd name="connsiteX15" fmla="*/ 3166409 w 4082143"/>
              <a:gd name="connsiteY15" fmla="*/ 2425876 h 2453566"/>
              <a:gd name="connsiteX16" fmla="*/ 2195286 w 4082143"/>
              <a:gd name="connsiteY16" fmla="*/ 2342807 h 2453566"/>
              <a:gd name="connsiteX17" fmla="*/ 1813807 w 4082143"/>
              <a:gd name="connsiteY17" fmla="*/ 2326566 h 2453566"/>
              <a:gd name="connsiteX18" fmla="*/ 1170215 w 4082143"/>
              <a:gd name="connsiteY18" fmla="*/ 2243021 h 2453566"/>
              <a:gd name="connsiteX19" fmla="*/ 662215 w 4082143"/>
              <a:gd name="connsiteY19" fmla="*/ 2088807 h 2453566"/>
              <a:gd name="connsiteX20" fmla="*/ 326572 w 4082143"/>
              <a:gd name="connsiteY20" fmla="*/ 1934592 h 2453566"/>
              <a:gd name="connsiteX21" fmla="*/ 127001 w 4082143"/>
              <a:gd name="connsiteY21" fmla="*/ 1771307 h 2453566"/>
              <a:gd name="connsiteX22" fmla="*/ 0 w 4082143"/>
              <a:gd name="connsiteY22" fmla="*/ 1571735 h 2453566"/>
              <a:gd name="connsiteX0" fmla="*/ 0 w 4082143"/>
              <a:gd name="connsiteY0" fmla="*/ 1571735 h 2453566"/>
              <a:gd name="connsiteX1" fmla="*/ 208570 w 4082143"/>
              <a:gd name="connsiteY1" fmla="*/ 907094 h 2453566"/>
              <a:gd name="connsiteX2" fmla="*/ 353786 w 4082143"/>
              <a:gd name="connsiteY2" fmla="*/ 292664 h 2453566"/>
              <a:gd name="connsiteX3" fmla="*/ 480466 w 4082143"/>
              <a:gd name="connsiteY3" fmla="*/ 0 h 2453566"/>
              <a:gd name="connsiteX4" fmla="*/ 571182 w 4082143"/>
              <a:gd name="connsiteY4" fmla="*/ 34860 h 2453566"/>
              <a:gd name="connsiteX5" fmla="*/ 697940 w 4082143"/>
              <a:gd name="connsiteY5" fmla="*/ 511806 h 2453566"/>
              <a:gd name="connsiteX6" fmla="*/ 815949 w 4082143"/>
              <a:gd name="connsiteY6" fmla="*/ 989736 h 2453566"/>
              <a:gd name="connsiteX7" fmla="*/ 988467 w 4082143"/>
              <a:gd name="connsiteY7" fmla="*/ 1290521 h 2453566"/>
              <a:gd name="connsiteX8" fmla="*/ 1242786 w 4082143"/>
              <a:gd name="connsiteY8" fmla="*/ 1662450 h 2453566"/>
              <a:gd name="connsiteX9" fmla="*/ 1442357 w 4082143"/>
              <a:gd name="connsiteY9" fmla="*/ 1843878 h 2453566"/>
              <a:gd name="connsiteX10" fmla="*/ 1732643 w 4082143"/>
              <a:gd name="connsiteY10" fmla="*/ 2025307 h 2453566"/>
              <a:gd name="connsiteX11" fmla="*/ 2222500 w 4082143"/>
              <a:gd name="connsiteY11" fmla="*/ 2161378 h 2453566"/>
              <a:gd name="connsiteX12" fmla="*/ 2766946 w 4082143"/>
              <a:gd name="connsiteY12" fmla="*/ 2307948 h 2453566"/>
              <a:gd name="connsiteX13" fmla="*/ 3456215 w 4082143"/>
              <a:gd name="connsiteY13" fmla="*/ 2388164 h 2453566"/>
              <a:gd name="connsiteX14" fmla="*/ 4082143 w 4082143"/>
              <a:gd name="connsiteY14" fmla="*/ 2453566 h 2453566"/>
              <a:gd name="connsiteX15" fmla="*/ 3166409 w 4082143"/>
              <a:gd name="connsiteY15" fmla="*/ 2425876 h 2453566"/>
              <a:gd name="connsiteX16" fmla="*/ 2195286 w 4082143"/>
              <a:gd name="connsiteY16" fmla="*/ 2342807 h 2453566"/>
              <a:gd name="connsiteX17" fmla="*/ 1813807 w 4082143"/>
              <a:gd name="connsiteY17" fmla="*/ 2326566 h 2453566"/>
              <a:gd name="connsiteX18" fmla="*/ 1170215 w 4082143"/>
              <a:gd name="connsiteY18" fmla="*/ 2243021 h 2453566"/>
              <a:gd name="connsiteX19" fmla="*/ 662215 w 4082143"/>
              <a:gd name="connsiteY19" fmla="*/ 2088807 h 2453566"/>
              <a:gd name="connsiteX20" fmla="*/ 326572 w 4082143"/>
              <a:gd name="connsiteY20" fmla="*/ 1934592 h 2453566"/>
              <a:gd name="connsiteX21" fmla="*/ 127001 w 4082143"/>
              <a:gd name="connsiteY21" fmla="*/ 1771307 h 2453566"/>
              <a:gd name="connsiteX22" fmla="*/ 0 w 4082143"/>
              <a:gd name="connsiteY22" fmla="*/ 1571735 h 2453566"/>
              <a:gd name="connsiteX0" fmla="*/ 0 w 4082143"/>
              <a:gd name="connsiteY0" fmla="*/ 1571735 h 2453566"/>
              <a:gd name="connsiteX1" fmla="*/ 189746 w 4082143"/>
              <a:gd name="connsiteY1" fmla="*/ 907094 h 2453566"/>
              <a:gd name="connsiteX2" fmla="*/ 353786 w 4082143"/>
              <a:gd name="connsiteY2" fmla="*/ 292664 h 2453566"/>
              <a:gd name="connsiteX3" fmla="*/ 480466 w 4082143"/>
              <a:gd name="connsiteY3" fmla="*/ 0 h 2453566"/>
              <a:gd name="connsiteX4" fmla="*/ 571182 w 4082143"/>
              <a:gd name="connsiteY4" fmla="*/ 34860 h 2453566"/>
              <a:gd name="connsiteX5" fmla="*/ 697940 w 4082143"/>
              <a:gd name="connsiteY5" fmla="*/ 511806 h 2453566"/>
              <a:gd name="connsiteX6" fmla="*/ 815949 w 4082143"/>
              <a:gd name="connsiteY6" fmla="*/ 989736 h 2453566"/>
              <a:gd name="connsiteX7" fmla="*/ 988467 w 4082143"/>
              <a:gd name="connsiteY7" fmla="*/ 1290521 h 2453566"/>
              <a:gd name="connsiteX8" fmla="*/ 1242786 w 4082143"/>
              <a:gd name="connsiteY8" fmla="*/ 1662450 h 2453566"/>
              <a:gd name="connsiteX9" fmla="*/ 1442357 w 4082143"/>
              <a:gd name="connsiteY9" fmla="*/ 1843878 h 2453566"/>
              <a:gd name="connsiteX10" fmla="*/ 1732643 w 4082143"/>
              <a:gd name="connsiteY10" fmla="*/ 2025307 h 2453566"/>
              <a:gd name="connsiteX11" fmla="*/ 2222500 w 4082143"/>
              <a:gd name="connsiteY11" fmla="*/ 2161378 h 2453566"/>
              <a:gd name="connsiteX12" fmla="*/ 2766946 w 4082143"/>
              <a:gd name="connsiteY12" fmla="*/ 2307948 h 2453566"/>
              <a:gd name="connsiteX13" fmla="*/ 3456215 w 4082143"/>
              <a:gd name="connsiteY13" fmla="*/ 2388164 h 2453566"/>
              <a:gd name="connsiteX14" fmla="*/ 4082143 w 4082143"/>
              <a:gd name="connsiteY14" fmla="*/ 2453566 h 2453566"/>
              <a:gd name="connsiteX15" fmla="*/ 3166409 w 4082143"/>
              <a:gd name="connsiteY15" fmla="*/ 2425876 h 2453566"/>
              <a:gd name="connsiteX16" fmla="*/ 2195286 w 4082143"/>
              <a:gd name="connsiteY16" fmla="*/ 2342807 h 2453566"/>
              <a:gd name="connsiteX17" fmla="*/ 1813807 w 4082143"/>
              <a:gd name="connsiteY17" fmla="*/ 2326566 h 2453566"/>
              <a:gd name="connsiteX18" fmla="*/ 1170215 w 4082143"/>
              <a:gd name="connsiteY18" fmla="*/ 2243021 h 2453566"/>
              <a:gd name="connsiteX19" fmla="*/ 662215 w 4082143"/>
              <a:gd name="connsiteY19" fmla="*/ 2088807 h 2453566"/>
              <a:gd name="connsiteX20" fmla="*/ 326572 w 4082143"/>
              <a:gd name="connsiteY20" fmla="*/ 1934592 h 2453566"/>
              <a:gd name="connsiteX21" fmla="*/ 127001 w 4082143"/>
              <a:gd name="connsiteY21" fmla="*/ 1771307 h 2453566"/>
              <a:gd name="connsiteX22" fmla="*/ 0 w 4082143"/>
              <a:gd name="connsiteY22" fmla="*/ 1571735 h 2453566"/>
              <a:gd name="connsiteX0" fmla="*/ 0 w 4082143"/>
              <a:gd name="connsiteY0" fmla="*/ 1571735 h 2453566"/>
              <a:gd name="connsiteX1" fmla="*/ 189746 w 4082143"/>
              <a:gd name="connsiteY1" fmla="*/ 907094 h 2453566"/>
              <a:gd name="connsiteX2" fmla="*/ 375748 w 4082143"/>
              <a:gd name="connsiteY2" fmla="*/ 305838 h 2453566"/>
              <a:gd name="connsiteX3" fmla="*/ 480466 w 4082143"/>
              <a:gd name="connsiteY3" fmla="*/ 0 h 2453566"/>
              <a:gd name="connsiteX4" fmla="*/ 571182 w 4082143"/>
              <a:gd name="connsiteY4" fmla="*/ 34860 h 2453566"/>
              <a:gd name="connsiteX5" fmla="*/ 697940 w 4082143"/>
              <a:gd name="connsiteY5" fmla="*/ 511806 h 2453566"/>
              <a:gd name="connsiteX6" fmla="*/ 815949 w 4082143"/>
              <a:gd name="connsiteY6" fmla="*/ 989736 h 2453566"/>
              <a:gd name="connsiteX7" fmla="*/ 988467 w 4082143"/>
              <a:gd name="connsiteY7" fmla="*/ 1290521 h 2453566"/>
              <a:gd name="connsiteX8" fmla="*/ 1242786 w 4082143"/>
              <a:gd name="connsiteY8" fmla="*/ 1662450 h 2453566"/>
              <a:gd name="connsiteX9" fmla="*/ 1442357 w 4082143"/>
              <a:gd name="connsiteY9" fmla="*/ 1843878 h 2453566"/>
              <a:gd name="connsiteX10" fmla="*/ 1732643 w 4082143"/>
              <a:gd name="connsiteY10" fmla="*/ 2025307 h 2453566"/>
              <a:gd name="connsiteX11" fmla="*/ 2222500 w 4082143"/>
              <a:gd name="connsiteY11" fmla="*/ 2161378 h 2453566"/>
              <a:gd name="connsiteX12" fmla="*/ 2766946 w 4082143"/>
              <a:gd name="connsiteY12" fmla="*/ 2307948 h 2453566"/>
              <a:gd name="connsiteX13" fmla="*/ 3456215 w 4082143"/>
              <a:gd name="connsiteY13" fmla="*/ 2388164 h 2453566"/>
              <a:gd name="connsiteX14" fmla="*/ 4082143 w 4082143"/>
              <a:gd name="connsiteY14" fmla="*/ 2453566 h 2453566"/>
              <a:gd name="connsiteX15" fmla="*/ 3166409 w 4082143"/>
              <a:gd name="connsiteY15" fmla="*/ 2425876 h 2453566"/>
              <a:gd name="connsiteX16" fmla="*/ 2195286 w 4082143"/>
              <a:gd name="connsiteY16" fmla="*/ 2342807 h 2453566"/>
              <a:gd name="connsiteX17" fmla="*/ 1813807 w 4082143"/>
              <a:gd name="connsiteY17" fmla="*/ 2326566 h 2453566"/>
              <a:gd name="connsiteX18" fmla="*/ 1170215 w 4082143"/>
              <a:gd name="connsiteY18" fmla="*/ 2243021 h 2453566"/>
              <a:gd name="connsiteX19" fmla="*/ 662215 w 4082143"/>
              <a:gd name="connsiteY19" fmla="*/ 2088807 h 2453566"/>
              <a:gd name="connsiteX20" fmla="*/ 326572 w 4082143"/>
              <a:gd name="connsiteY20" fmla="*/ 1934592 h 2453566"/>
              <a:gd name="connsiteX21" fmla="*/ 127001 w 4082143"/>
              <a:gd name="connsiteY21" fmla="*/ 1771307 h 2453566"/>
              <a:gd name="connsiteX22" fmla="*/ 0 w 4082143"/>
              <a:gd name="connsiteY22" fmla="*/ 1571735 h 2453566"/>
              <a:gd name="connsiteX0" fmla="*/ 0 w 4082143"/>
              <a:gd name="connsiteY0" fmla="*/ 1584909 h 2466740"/>
              <a:gd name="connsiteX1" fmla="*/ 189746 w 4082143"/>
              <a:gd name="connsiteY1" fmla="*/ 920268 h 2466740"/>
              <a:gd name="connsiteX2" fmla="*/ 375748 w 4082143"/>
              <a:gd name="connsiteY2" fmla="*/ 319012 h 2466740"/>
              <a:gd name="connsiteX3" fmla="*/ 508702 w 4082143"/>
              <a:gd name="connsiteY3" fmla="*/ 0 h 2466740"/>
              <a:gd name="connsiteX4" fmla="*/ 571182 w 4082143"/>
              <a:gd name="connsiteY4" fmla="*/ 48034 h 2466740"/>
              <a:gd name="connsiteX5" fmla="*/ 697940 w 4082143"/>
              <a:gd name="connsiteY5" fmla="*/ 524980 h 2466740"/>
              <a:gd name="connsiteX6" fmla="*/ 815949 w 4082143"/>
              <a:gd name="connsiteY6" fmla="*/ 1002910 h 2466740"/>
              <a:gd name="connsiteX7" fmla="*/ 988467 w 4082143"/>
              <a:gd name="connsiteY7" fmla="*/ 1303695 h 2466740"/>
              <a:gd name="connsiteX8" fmla="*/ 1242786 w 4082143"/>
              <a:gd name="connsiteY8" fmla="*/ 1675624 h 2466740"/>
              <a:gd name="connsiteX9" fmla="*/ 1442357 w 4082143"/>
              <a:gd name="connsiteY9" fmla="*/ 1857052 h 2466740"/>
              <a:gd name="connsiteX10" fmla="*/ 1732643 w 4082143"/>
              <a:gd name="connsiteY10" fmla="*/ 2038481 h 2466740"/>
              <a:gd name="connsiteX11" fmla="*/ 2222500 w 4082143"/>
              <a:gd name="connsiteY11" fmla="*/ 2174552 h 2466740"/>
              <a:gd name="connsiteX12" fmla="*/ 2766946 w 4082143"/>
              <a:gd name="connsiteY12" fmla="*/ 2321122 h 2466740"/>
              <a:gd name="connsiteX13" fmla="*/ 3456215 w 4082143"/>
              <a:gd name="connsiteY13" fmla="*/ 2401338 h 2466740"/>
              <a:gd name="connsiteX14" fmla="*/ 4082143 w 4082143"/>
              <a:gd name="connsiteY14" fmla="*/ 2466740 h 2466740"/>
              <a:gd name="connsiteX15" fmla="*/ 3166409 w 4082143"/>
              <a:gd name="connsiteY15" fmla="*/ 2439050 h 2466740"/>
              <a:gd name="connsiteX16" fmla="*/ 2195286 w 4082143"/>
              <a:gd name="connsiteY16" fmla="*/ 2355981 h 2466740"/>
              <a:gd name="connsiteX17" fmla="*/ 1813807 w 4082143"/>
              <a:gd name="connsiteY17" fmla="*/ 2339740 h 2466740"/>
              <a:gd name="connsiteX18" fmla="*/ 1170215 w 4082143"/>
              <a:gd name="connsiteY18" fmla="*/ 2256195 h 2466740"/>
              <a:gd name="connsiteX19" fmla="*/ 662215 w 4082143"/>
              <a:gd name="connsiteY19" fmla="*/ 2101981 h 2466740"/>
              <a:gd name="connsiteX20" fmla="*/ 326572 w 4082143"/>
              <a:gd name="connsiteY20" fmla="*/ 1947766 h 2466740"/>
              <a:gd name="connsiteX21" fmla="*/ 127001 w 4082143"/>
              <a:gd name="connsiteY21" fmla="*/ 1784481 h 2466740"/>
              <a:gd name="connsiteX22" fmla="*/ 0 w 4082143"/>
              <a:gd name="connsiteY22" fmla="*/ 1584909 h 2466740"/>
              <a:gd name="connsiteX0" fmla="*/ 0 w 4082143"/>
              <a:gd name="connsiteY0" fmla="*/ 1584909 h 2466740"/>
              <a:gd name="connsiteX1" fmla="*/ 189746 w 4082143"/>
              <a:gd name="connsiteY1" fmla="*/ 920268 h 2466740"/>
              <a:gd name="connsiteX2" fmla="*/ 375748 w 4082143"/>
              <a:gd name="connsiteY2" fmla="*/ 319012 h 2466740"/>
              <a:gd name="connsiteX3" fmla="*/ 508702 w 4082143"/>
              <a:gd name="connsiteY3" fmla="*/ 0 h 2466740"/>
              <a:gd name="connsiteX4" fmla="*/ 571182 w 4082143"/>
              <a:gd name="connsiteY4" fmla="*/ 48034 h 2466740"/>
              <a:gd name="connsiteX5" fmla="*/ 697940 w 4082143"/>
              <a:gd name="connsiteY5" fmla="*/ 524980 h 2466740"/>
              <a:gd name="connsiteX6" fmla="*/ 815949 w 4082143"/>
              <a:gd name="connsiteY6" fmla="*/ 1002910 h 2466740"/>
              <a:gd name="connsiteX7" fmla="*/ 988467 w 4082143"/>
              <a:gd name="connsiteY7" fmla="*/ 1303695 h 2466740"/>
              <a:gd name="connsiteX8" fmla="*/ 1242786 w 4082143"/>
              <a:gd name="connsiteY8" fmla="*/ 1675624 h 2466740"/>
              <a:gd name="connsiteX9" fmla="*/ 1442357 w 4082143"/>
              <a:gd name="connsiteY9" fmla="*/ 1857052 h 2466740"/>
              <a:gd name="connsiteX10" fmla="*/ 1732643 w 4082143"/>
              <a:gd name="connsiteY10" fmla="*/ 2038481 h 2466740"/>
              <a:gd name="connsiteX11" fmla="*/ 2222500 w 4082143"/>
              <a:gd name="connsiteY11" fmla="*/ 2174552 h 2466740"/>
              <a:gd name="connsiteX12" fmla="*/ 2766946 w 4082143"/>
              <a:gd name="connsiteY12" fmla="*/ 2321122 h 2466740"/>
              <a:gd name="connsiteX13" fmla="*/ 3456215 w 4082143"/>
              <a:gd name="connsiteY13" fmla="*/ 2401338 h 2466740"/>
              <a:gd name="connsiteX14" fmla="*/ 4082143 w 4082143"/>
              <a:gd name="connsiteY14" fmla="*/ 2466740 h 2466740"/>
              <a:gd name="connsiteX15" fmla="*/ 3166409 w 4082143"/>
              <a:gd name="connsiteY15" fmla="*/ 2439050 h 2466740"/>
              <a:gd name="connsiteX16" fmla="*/ 2195286 w 4082143"/>
              <a:gd name="connsiteY16" fmla="*/ 2355981 h 2466740"/>
              <a:gd name="connsiteX17" fmla="*/ 1813807 w 4082143"/>
              <a:gd name="connsiteY17" fmla="*/ 2339740 h 2466740"/>
              <a:gd name="connsiteX18" fmla="*/ 1170215 w 4082143"/>
              <a:gd name="connsiteY18" fmla="*/ 2256195 h 2466740"/>
              <a:gd name="connsiteX19" fmla="*/ 662215 w 4082143"/>
              <a:gd name="connsiteY19" fmla="*/ 2101981 h 2466740"/>
              <a:gd name="connsiteX20" fmla="*/ 326572 w 4082143"/>
              <a:gd name="connsiteY20" fmla="*/ 1947766 h 2466740"/>
              <a:gd name="connsiteX21" fmla="*/ 127001 w 4082143"/>
              <a:gd name="connsiteY21" fmla="*/ 1784481 h 2466740"/>
              <a:gd name="connsiteX22" fmla="*/ 0 w 4082143"/>
              <a:gd name="connsiteY22" fmla="*/ 1584909 h 2466740"/>
              <a:gd name="connsiteX0" fmla="*/ 0 w 4082143"/>
              <a:gd name="connsiteY0" fmla="*/ 1584909 h 2466740"/>
              <a:gd name="connsiteX1" fmla="*/ 189746 w 4082143"/>
              <a:gd name="connsiteY1" fmla="*/ 920268 h 2466740"/>
              <a:gd name="connsiteX2" fmla="*/ 375748 w 4082143"/>
              <a:gd name="connsiteY2" fmla="*/ 319012 h 2466740"/>
              <a:gd name="connsiteX3" fmla="*/ 508702 w 4082143"/>
              <a:gd name="connsiteY3" fmla="*/ 0 h 2466740"/>
              <a:gd name="connsiteX4" fmla="*/ 571182 w 4082143"/>
              <a:gd name="connsiteY4" fmla="*/ 48034 h 2466740"/>
              <a:gd name="connsiteX5" fmla="*/ 697940 w 4082143"/>
              <a:gd name="connsiteY5" fmla="*/ 524980 h 2466740"/>
              <a:gd name="connsiteX6" fmla="*/ 815949 w 4082143"/>
              <a:gd name="connsiteY6" fmla="*/ 1002910 h 2466740"/>
              <a:gd name="connsiteX7" fmla="*/ 988467 w 4082143"/>
              <a:gd name="connsiteY7" fmla="*/ 1303695 h 2466740"/>
              <a:gd name="connsiteX8" fmla="*/ 1242786 w 4082143"/>
              <a:gd name="connsiteY8" fmla="*/ 1675624 h 2466740"/>
              <a:gd name="connsiteX9" fmla="*/ 1442357 w 4082143"/>
              <a:gd name="connsiteY9" fmla="*/ 1857052 h 2466740"/>
              <a:gd name="connsiteX10" fmla="*/ 1732643 w 4082143"/>
              <a:gd name="connsiteY10" fmla="*/ 2038481 h 2466740"/>
              <a:gd name="connsiteX11" fmla="*/ 2222500 w 4082143"/>
              <a:gd name="connsiteY11" fmla="*/ 2174552 h 2466740"/>
              <a:gd name="connsiteX12" fmla="*/ 2766946 w 4082143"/>
              <a:gd name="connsiteY12" fmla="*/ 2321122 h 2466740"/>
              <a:gd name="connsiteX13" fmla="*/ 3456215 w 4082143"/>
              <a:gd name="connsiteY13" fmla="*/ 2401338 h 2466740"/>
              <a:gd name="connsiteX14" fmla="*/ 4082143 w 4082143"/>
              <a:gd name="connsiteY14" fmla="*/ 2466740 h 2466740"/>
              <a:gd name="connsiteX15" fmla="*/ 3166409 w 4082143"/>
              <a:gd name="connsiteY15" fmla="*/ 2439050 h 2466740"/>
              <a:gd name="connsiteX16" fmla="*/ 2195286 w 4082143"/>
              <a:gd name="connsiteY16" fmla="*/ 2355981 h 2466740"/>
              <a:gd name="connsiteX17" fmla="*/ 1813807 w 4082143"/>
              <a:gd name="connsiteY17" fmla="*/ 2339740 h 2466740"/>
              <a:gd name="connsiteX18" fmla="*/ 1170215 w 4082143"/>
              <a:gd name="connsiteY18" fmla="*/ 2256195 h 2466740"/>
              <a:gd name="connsiteX19" fmla="*/ 662215 w 4082143"/>
              <a:gd name="connsiteY19" fmla="*/ 2101981 h 2466740"/>
              <a:gd name="connsiteX20" fmla="*/ 326572 w 4082143"/>
              <a:gd name="connsiteY20" fmla="*/ 1947766 h 2466740"/>
              <a:gd name="connsiteX21" fmla="*/ 142687 w 4082143"/>
              <a:gd name="connsiteY21" fmla="*/ 1771307 h 2466740"/>
              <a:gd name="connsiteX22" fmla="*/ 0 w 4082143"/>
              <a:gd name="connsiteY22" fmla="*/ 1584909 h 2466740"/>
              <a:gd name="connsiteX0" fmla="*/ 0 w 4082143"/>
              <a:gd name="connsiteY0" fmla="*/ 1584909 h 2466740"/>
              <a:gd name="connsiteX1" fmla="*/ 189746 w 4082143"/>
              <a:gd name="connsiteY1" fmla="*/ 920268 h 2466740"/>
              <a:gd name="connsiteX2" fmla="*/ 375748 w 4082143"/>
              <a:gd name="connsiteY2" fmla="*/ 319012 h 2466740"/>
              <a:gd name="connsiteX3" fmla="*/ 508702 w 4082143"/>
              <a:gd name="connsiteY3" fmla="*/ 0 h 2466740"/>
              <a:gd name="connsiteX4" fmla="*/ 571182 w 4082143"/>
              <a:gd name="connsiteY4" fmla="*/ 48034 h 2466740"/>
              <a:gd name="connsiteX5" fmla="*/ 697940 w 4082143"/>
              <a:gd name="connsiteY5" fmla="*/ 524980 h 2466740"/>
              <a:gd name="connsiteX6" fmla="*/ 815949 w 4082143"/>
              <a:gd name="connsiteY6" fmla="*/ 1002910 h 2466740"/>
              <a:gd name="connsiteX7" fmla="*/ 988467 w 4082143"/>
              <a:gd name="connsiteY7" fmla="*/ 1303695 h 2466740"/>
              <a:gd name="connsiteX8" fmla="*/ 1242786 w 4082143"/>
              <a:gd name="connsiteY8" fmla="*/ 1675624 h 2466740"/>
              <a:gd name="connsiteX9" fmla="*/ 1442357 w 4082143"/>
              <a:gd name="connsiteY9" fmla="*/ 1857052 h 2466740"/>
              <a:gd name="connsiteX10" fmla="*/ 1732643 w 4082143"/>
              <a:gd name="connsiteY10" fmla="*/ 2038481 h 2466740"/>
              <a:gd name="connsiteX11" fmla="*/ 2222500 w 4082143"/>
              <a:gd name="connsiteY11" fmla="*/ 2174552 h 2466740"/>
              <a:gd name="connsiteX12" fmla="*/ 2766946 w 4082143"/>
              <a:gd name="connsiteY12" fmla="*/ 2321122 h 2466740"/>
              <a:gd name="connsiteX13" fmla="*/ 3456215 w 4082143"/>
              <a:gd name="connsiteY13" fmla="*/ 2401338 h 2466740"/>
              <a:gd name="connsiteX14" fmla="*/ 4082143 w 4082143"/>
              <a:gd name="connsiteY14" fmla="*/ 2466740 h 2466740"/>
              <a:gd name="connsiteX15" fmla="*/ 3166409 w 4082143"/>
              <a:gd name="connsiteY15" fmla="*/ 2439050 h 2466740"/>
              <a:gd name="connsiteX16" fmla="*/ 2195286 w 4082143"/>
              <a:gd name="connsiteY16" fmla="*/ 2355981 h 2466740"/>
              <a:gd name="connsiteX17" fmla="*/ 1813807 w 4082143"/>
              <a:gd name="connsiteY17" fmla="*/ 2339740 h 2466740"/>
              <a:gd name="connsiteX18" fmla="*/ 1170215 w 4082143"/>
              <a:gd name="connsiteY18" fmla="*/ 2256195 h 2466740"/>
              <a:gd name="connsiteX19" fmla="*/ 662215 w 4082143"/>
              <a:gd name="connsiteY19" fmla="*/ 2101981 h 2466740"/>
              <a:gd name="connsiteX20" fmla="*/ 329709 w 4082143"/>
              <a:gd name="connsiteY20" fmla="*/ 1934592 h 2466740"/>
              <a:gd name="connsiteX21" fmla="*/ 142687 w 4082143"/>
              <a:gd name="connsiteY21" fmla="*/ 1771307 h 2466740"/>
              <a:gd name="connsiteX22" fmla="*/ 0 w 4082143"/>
              <a:gd name="connsiteY22" fmla="*/ 1584909 h 2466740"/>
              <a:gd name="connsiteX0" fmla="*/ 0 w 4082143"/>
              <a:gd name="connsiteY0" fmla="*/ 1584909 h 2466740"/>
              <a:gd name="connsiteX1" fmla="*/ 189746 w 4082143"/>
              <a:gd name="connsiteY1" fmla="*/ 920268 h 2466740"/>
              <a:gd name="connsiteX2" fmla="*/ 375748 w 4082143"/>
              <a:gd name="connsiteY2" fmla="*/ 319012 h 2466740"/>
              <a:gd name="connsiteX3" fmla="*/ 508702 w 4082143"/>
              <a:gd name="connsiteY3" fmla="*/ 0 h 2466740"/>
              <a:gd name="connsiteX4" fmla="*/ 571182 w 4082143"/>
              <a:gd name="connsiteY4" fmla="*/ 48034 h 2466740"/>
              <a:gd name="connsiteX5" fmla="*/ 697940 w 4082143"/>
              <a:gd name="connsiteY5" fmla="*/ 524980 h 2466740"/>
              <a:gd name="connsiteX6" fmla="*/ 815949 w 4082143"/>
              <a:gd name="connsiteY6" fmla="*/ 1002910 h 2466740"/>
              <a:gd name="connsiteX7" fmla="*/ 988467 w 4082143"/>
              <a:gd name="connsiteY7" fmla="*/ 1303695 h 2466740"/>
              <a:gd name="connsiteX8" fmla="*/ 1242786 w 4082143"/>
              <a:gd name="connsiteY8" fmla="*/ 1675624 h 2466740"/>
              <a:gd name="connsiteX9" fmla="*/ 1442357 w 4082143"/>
              <a:gd name="connsiteY9" fmla="*/ 1857052 h 2466740"/>
              <a:gd name="connsiteX10" fmla="*/ 1732643 w 4082143"/>
              <a:gd name="connsiteY10" fmla="*/ 2038481 h 2466740"/>
              <a:gd name="connsiteX11" fmla="*/ 2222500 w 4082143"/>
              <a:gd name="connsiteY11" fmla="*/ 2174552 h 2466740"/>
              <a:gd name="connsiteX12" fmla="*/ 2766946 w 4082143"/>
              <a:gd name="connsiteY12" fmla="*/ 2321122 h 2466740"/>
              <a:gd name="connsiteX13" fmla="*/ 3456215 w 4082143"/>
              <a:gd name="connsiteY13" fmla="*/ 2401338 h 2466740"/>
              <a:gd name="connsiteX14" fmla="*/ 4082143 w 4082143"/>
              <a:gd name="connsiteY14" fmla="*/ 2466740 h 2466740"/>
              <a:gd name="connsiteX15" fmla="*/ 3166409 w 4082143"/>
              <a:gd name="connsiteY15" fmla="*/ 2439050 h 2466740"/>
              <a:gd name="connsiteX16" fmla="*/ 2195286 w 4082143"/>
              <a:gd name="connsiteY16" fmla="*/ 2355981 h 2466740"/>
              <a:gd name="connsiteX17" fmla="*/ 1813807 w 4082143"/>
              <a:gd name="connsiteY17" fmla="*/ 2339740 h 2466740"/>
              <a:gd name="connsiteX18" fmla="*/ 1170215 w 4082143"/>
              <a:gd name="connsiteY18" fmla="*/ 2256195 h 2466740"/>
              <a:gd name="connsiteX19" fmla="*/ 668490 w 4082143"/>
              <a:gd name="connsiteY19" fmla="*/ 2092101 h 2466740"/>
              <a:gd name="connsiteX20" fmla="*/ 329709 w 4082143"/>
              <a:gd name="connsiteY20" fmla="*/ 1934592 h 2466740"/>
              <a:gd name="connsiteX21" fmla="*/ 142687 w 4082143"/>
              <a:gd name="connsiteY21" fmla="*/ 1771307 h 2466740"/>
              <a:gd name="connsiteX22" fmla="*/ 0 w 4082143"/>
              <a:gd name="connsiteY22" fmla="*/ 1584909 h 2466740"/>
              <a:gd name="connsiteX0" fmla="*/ 0 w 4082143"/>
              <a:gd name="connsiteY0" fmla="*/ 1584909 h 2466740"/>
              <a:gd name="connsiteX1" fmla="*/ 189746 w 4082143"/>
              <a:gd name="connsiteY1" fmla="*/ 920268 h 2466740"/>
              <a:gd name="connsiteX2" fmla="*/ 375748 w 4082143"/>
              <a:gd name="connsiteY2" fmla="*/ 319012 h 2466740"/>
              <a:gd name="connsiteX3" fmla="*/ 508702 w 4082143"/>
              <a:gd name="connsiteY3" fmla="*/ 0 h 2466740"/>
              <a:gd name="connsiteX4" fmla="*/ 571182 w 4082143"/>
              <a:gd name="connsiteY4" fmla="*/ 48034 h 2466740"/>
              <a:gd name="connsiteX5" fmla="*/ 697940 w 4082143"/>
              <a:gd name="connsiteY5" fmla="*/ 524980 h 2466740"/>
              <a:gd name="connsiteX6" fmla="*/ 815949 w 4082143"/>
              <a:gd name="connsiteY6" fmla="*/ 1002910 h 2466740"/>
              <a:gd name="connsiteX7" fmla="*/ 988467 w 4082143"/>
              <a:gd name="connsiteY7" fmla="*/ 1303695 h 2466740"/>
              <a:gd name="connsiteX8" fmla="*/ 1242786 w 4082143"/>
              <a:gd name="connsiteY8" fmla="*/ 1675624 h 2466740"/>
              <a:gd name="connsiteX9" fmla="*/ 1442357 w 4082143"/>
              <a:gd name="connsiteY9" fmla="*/ 1857052 h 2466740"/>
              <a:gd name="connsiteX10" fmla="*/ 1732643 w 4082143"/>
              <a:gd name="connsiteY10" fmla="*/ 2038481 h 2466740"/>
              <a:gd name="connsiteX11" fmla="*/ 2222500 w 4082143"/>
              <a:gd name="connsiteY11" fmla="*/ 2174552 h 2466740"/>
              <a:gd name="connsiteX12" fmla="*/ 2766946 w 4082143"/>
              <a:gd name="connsiteY12" fmla="*/ 2321122 h 2466740"/>
              <a:gd name="connsiteX13" fmla="*/ 3456215 w 4082143"/>
              <a:gd name="connsiteY13" fmla="*/ 2401338 h 2466740"/>
              <a:gd name="connsiteX14" fmla="*/ 4082143 w 4082143"/>
              <a:gd name="connsiteY14" fmla="*/ 2466740 h 2466740"/>
              <a:gd name="connsiteX15" fmla="*/ 3166409 w 4082143"/>
              <a:gd name="connsiteY15" fmla="*/ 2439050 h 2466740"/>
              <a:gd name="connsiteX16" fmla="*/ 2195286 w 4082143"/>
              <a:gd name="connsiteY16" fmla="*/ 2355981 h 2466740"/>
              <a:gd name="connsiteX17" fmla="*/ 1813807 w 4082143"/>
              <a:gd name="connsiteY17" fmla="*/ 2339740 h 2466740"/>
              <a:gd name="connsiteX18" fmla="*/ 1179627 w 4082143"/>
              <a:gd name="connsiteY18" fmla="*/ 2243021 h 2466740"/>
              <a:gd name="connsiteX19" fmla="*/ 668490 w 4082143"/>
              <a:gd name="connsiteY19" fmla="*/ 2092101 h 2466740"/>
              <a:gd name="connsiteX20" fmla="*/ 329709 w 4082143"/>
              <a:gd name="connsiteY20" fmla="*/ 1934592 h 2466740"/>
              <a:gd name="connsiteX21" fmla="*/ 142687 w 4082143"/>
              <a:gd name="connsiteY21" fmla="*/ 1771307 h 2466740"/>
              <a:gd name="connsiteX22" fmla="*/ 0 w 4082143"/>
              <a:gd name="connsiteY22" fmla="*/ 1584909 h 2466740"/>
              <a:gd name="connsiteX0" fmla="*/ 0 w 4082143"/>
              <a:gd name="connsiteY0" fmla="*/ 1584909 h 2466740"/>
              <a:gd name="connsiteX1" fmla="*/ 189746 w 4082143"/>
              <a:gd name="connsiteY1" fmla="*/ 920268 h 2466740"/>
              <a:gd name="connsiteX2" fmla="*/ 375748 w 4082143"/>
              <a:gd name="connsiteY2" fmla="*/ 319012 h 2466740"/>
              <a:gd name="connsiteX3" fmla="*/ 508702 w 4082143"/>
              <a:gd name="connsiteY3" fmla="*/ 0 h 2466740"/>
              <a:gd name="connsiteX4" fmla="*/ 571182 w 4082143"/>
              <a:gd name="connsiteY4" fmla="*/ 48034 h 2466740"/>
              <a:gd name="connsiteX5" fmla="*/ 697940 w 4082143"/>
              <a:gd name="connsiteY5" fmla="*/ 524980 h 2466740"/>
              <a:gd name="connsiteX6" fmla="*/ 815949 w 4082143"/>
              <a:gd name="connsiteY6" fmla="*/ 1002910 h 2466740"/>
              <a:gd name="connsiteX7" fmla="*/ 988467 w 4082143"/>
              <a:gd name="connsiteY7" fmla="*/ 1303695 h 2466740"/>
              <a:gd name="connsiteX8" fmla="*/ 1242786 w 4082143"/>
              <a:gd name="connsiteY8" fmla="*/ 1675624 h 2466740"/>
              <a:gd name="connsiteX9" fmla="*/ 1442357 w 4082143"/>
              <a:gd name="connsiteY9" fmla="*/ 1857052 h 2466740"/>
              <a:gd name="connsiteX10" fmla="*/ 1732643 w 4082143"/>
              <a:gd name="connsiteY10" fmla="*/ 2038481 h 2466740"/>
              <a:gd name="connsiteX11" fmla="*/ 2222500 w 4082143"/>
              <a:gd name="connsiteY11" fmla="*/ 2174552 h 2466740"/>
              <a:gd name="connsiteX12" fmla="*/ 2766946 w 4082143"/>
              <a:gd name="connsiteY12" fmla="*/ 2321122 h 2466740"/>
              <a:gd name="connsiteX13" fmla="*/ 3456215 w 4082143"/>
              <a:gd name="connsiteY13" fmla="*/ 2401338 h 2466740"/>
              <a:gd name="connsiteX14" fmla="*/ 4082143 w 4082143"/>
              <a:gd name="connsiteY14" fmla="*/ 2466740 h 2466740"/>
              <a:gd name="connsiteX15" fmla="*/ 3166409 w 4082143"/>
              <a:gd name="connsiteY15" fmla="*/ 2439050 h 2466740"/>
              <a:gd name="connsiteX16" fmla="*/ 2195286 w 4082143"/>
              <a:gd name="connsiteY16" fmla="*/ 2355981 h 2466740"/>
              <a:gd name="connsiteX17" fmla="*/ 1813808 w 4082143"/>
              <a:gd name="connsiteY17" fmla="*/ 2326565 h 2466740"/>
              <a:gd name="connsiteX18" fmla="*/ 1179627 w 4082143"/>
              <a:gd name="connsiteY18" fmla="*/ 2243021 h 2466740"/>
              <a:gd name="connsiteX19" fmla="*/ 668490 w 4082143"/>
              <a:gd name="connsiteY19" fmla="*/ 2092101 h 2466740"/>
              <a:gd name="connsiteX20" fmla="*/ 329709 w 4082143"/>
              <a:gd name="connsiteY20" fmla="*/ 1934592 h 2466740"/>
              <a:gd name="connsiteX21" fmla="*/ 142687 w 4082143"/>
              <a:gd name="connsiteY21" fmla="*/ 1771307 h 2466740"/>
              <a:gd name="connsiteX22" fmla="*/ 0 w 4082143"/>
              <a:gd name="connsiteY22" fmla="*/ 1584909 h 2466740"/>
              <a:gd name="connsiteX0" fmla="*/ 0 w 4082143"/>
              <a:gd name="connsiteY0" fmla="*/ 1584909 h 2466740"/>
              <a:gd name="connsiteX1" fmla="*/ 189746 w 4082143"/>
              <a:gd name="connsiteY1" fmla="*/ 920268 h 2466740"/>
              <a:gd name="connsiteX2" fmla="*/ 375748 w 4082143"/>
              <a:gd name="connsiteY2" fmla="*/ 319012 h 2466740"/>
              <a:gd name="connsiteX3" fmla="*/ 508702 w 4082143"/>
              <a:gd name="connsiteY3" fmla="*/ 0 h 2466740"/>
              <a:gd name="connsiteX4" fmla="*/ 571182 w 4082143"/>
              <a:gd name="connsiteY4" fmla="*/ 48034 h 2466740"/>
              <a:gd name="connsiteX5" fmla="*/ 697940 w 4082143"/>
              <a:gd name="connsiteY5" fmla="*/ 524980 h 2466740"/>
              <a:gd name="connsiteX6" fmla="*/ 815949 w 4082143"/>
              <a:gd name="connsiteY6" fmla="*/ 1002910 h 2466740"/>
              <a:gd name="connsiteX7" fmla="*/ 988467 w 4082143"/>
              <a:gd name="connsiteY7" fmla="*/ 1303695 h 2466740"/>
              <a:gd name="connsiteX8" fmla="*/ 1242786 w 4082143"/>
              <a:gd name="connsiteY8" fmla="*/ 1675624 h 2466740"/>
              <a:gd name="connsiteX9" fmla="*/ 1442357 w 4082143"/>
              <a:gd name="connsiteY9" fmla="*/ 1857052 h 2466740"/>
              <a:gd name="connsiteX10" fmla="*/ 1732643 w 4082143"/>
              <a:gd name="connsiteY10" fmla="*/ 2038481 h 2466740"/>
              <a:gd name="connsiteX11" fmla="*/ 2222500 w 4082143"/>
              <a:gd name="connsiteY11" fmla="*/ 2174552 h 2466740"/>
              <a:gd name="connsiteX12" fmla="*/ 2766946 w 4082143"/>
              <a:gd name="connsiteY12" fmla="*/ 2321122 h 2466740"/>
              <a:gd name="connsiteX13" fmla="*/ 3456215 w 4082143"/>
              <a:gd name="connsiteY13" fmla="*/ 2401338 h 2466740"/>
              <a:gd name="connsiteX14" fmla="*/ 4082143 w 4082143"/>
              <a:gd name="connsiteY14" fmla="*/ 2466740 h 2466740"/>
              <a:gd name="connsiteX15" fmla="*/ 3166409 w 4082143"/>
              <a:gd name="connsiteY15" fmla="*/ 2439050 h 2466740"/>
              <a:gd name="connsiteX16" fmla="*/ 2195286 w 4082143"/>
              <a:gd name="connsiteY16" fmla="*/ 2355981 h 2466740"/>
              <a:gd name="connsiteX17" fmla="*/ 1813808 w 4082143"/>
              <a:gd name="connsiteY17" fmla="*/ 2326565 h 2466740"/>
              <a:gd name="connsiteX18" fmla="*/ 1179627 w 4082143"/>
              <a:gd name="connsiteY18" fmla="*/ 2229847 h 2466740"/>
              <a:gd name="connsiteX19" fmla="*/ 668490 w 4082143"/>
              <a:gd name="connsiteY19" fmla="*/ 2092101 h 2466740"/>
              <a:gd name="connsiteX20" fmla="*/ 329709 w 4082143"/>
              <a:gd name="connsiteY20" fmla="*/ 1934592 h 2466740"/>
              <a:gd name="connsiteX21" fmla="*/ 142687 w 4082143"/>
              <a:gd name="connsiteY21" fmla="*/ 1771307 h 2466740"/>
              <a:gd name="connsiteX22" fmla="*/ 0 w 4082143"/>
              <a:gd name="connsiteY22" fmla="*/ 1584909 h 2466740"/>
              <a:gd name="connsiteX0" fmla="*/ 0 w 4082143"/>
              <a:gd name="connsiteY0" fmla="*/ 1584909 h 2466740"/>
              <a:gd name="connsiteX1" fmla="*/ 189746 w 4082143"/>
              <a:gd name="connsiteY1" fmla="*/ 920268 h 2466740"/>
              <a:gd name="connsiteX2" fmla="*/ 375748 w 4082143"/>
              <a:gd name="connsiteY2" fmla="*/ 319012 h 2466740"/>
              <a:gd name="connsiteX3" fmla="*/ 508702 w 4082143"/>
              <a:gd name="connsiteY3" fmla="*/ 0 h 2466740"/>
              <a:gd name="connsiteX4" fmla="*/ 571182 w 4082143"/>
              <a:gd name="connsiteY4" fmla="*/ 48034 h 2466740"/>
              <a:gd name="connsiteX5" fmla="*/ 697940 w 4082143"/>
              <a:gd name="connsiteY5" fmla="*/ 524980 h 2466740"/>
              <a:gd name="connsiteX6" fmla="*/ 815949 w 4082143"/>
              <a:gd name="connsiteY6" fmla="*/ 1002910 h 2466740"/>
              <a:gd name="connsiteX7" fmla="*/ 988467 w 4082143"/>
              <a:gd name="connsiteY7" fmla="*/ 1303695 h 2466740"/>
              <a:gd name="connsiteX8" fmla="*/ 1242786 w 4082143"/>
              <a:gd name="connsiteY8" fmla="*/ 1675624 h 2466740"/>
              <a:gd name="connsiteX9" fmla="*/ 1442357 w 4082143"/>
              <a:gd name="connsiteY9" fmla="*/ 1857052 h 2466740"/>
              <a:gd name="connsiteX10" fmla="*/ 1732643 w 4082143"/>
              <a:gd name="connsiteY10" fmla="*/ 2038481 h 2466740"/>
              <a:gd name="connsiteX11" fmla="*/ 2222500 w 4082143"/>
              <a:gd name="connsiteY11" fmla="*/ 2174552 h 2466740"/>
              <a:gd name="connsiteX12" fmla="*/ 2766946 w 4082143"/>
              <a:gd name="connsiteY12" fmla="*/ 2321122 h 2466740"/>
              <a:gd name="connsiteX13" fmla="*/ 3456215 w 4082143"/>
              <a:gd name="connsiteY13" fmla="*/ 2401338 h 2466740"/>
              <a:gd name="connsiteX14" fmla="*/ 4082143 w 4082143"/>
              <a:gd name="connsiteY14" fmla="*/ 2466740 h 2466740"/>
              <a:gd name="connsiteX15" fmla="*/ 3172684 w 4082143"/>
              <a:gd name="connsiteY15" fmla="*/ 2429169 h 2466740"/>
              <a:gd name="connsiteX16" fmla="*/ 2195286 w 4082143"/>
              <a:gd name="connsiteY16" fmla="*/ 2355981 h 2466740"/>
              <a:gd name="connsiteX17" fmla="*/ 1813808 w 4082143"/>
              <a:gd name="connsiteY17" fmla="*/ 2326565 h 2466740"/>
              <a:gd name="connsiteX18" fmla="*/ 1179627 w 4082143"/>
              <a:gd name="connsiteY18" fmla="*/ 2229847 h 2466740"/>
              <a:gd name="connsiteX19" fmla="*/ 668490 w 4082143"/>
              <a:gd name="connsiteY19" fmla="*/ 2092101 h 2466740"/>
              <a:gd name="connsiteX20" fmla="*/ 329709 w 4082143"/>
              <a:gd name="connsiteY20" fmla="*/ 1934592 h 2466740"/>
              <a:gd name="connsiteX21" fmla="*/ 142687 w 4082143"/>
              <a:gd name="connsiteY21" fmla="*/ 1771307 h 2466740"/>
              <a:gd name="connsiteX22" fmla="*/ 0 w 4082143"/>
              <a:gd name="connsiteY22" fmla="*/ 1584909 h 2466740"/>
              <a:gd name="connsiteX0" fmla="*/ 0 w 4082143"/>
              <a:gd name="connsiteY0" fmla="*/ 1584909 h 2466740"/>
              <a:gd name="connsiteX1" fmla="*/ 189746 w 4082143"/>
              <a:gd name="connsiteY1" fmla="*/ 920268 h 2466740"/>
              <a:gd name="connsiteX2" fmla="*/ 375748 w 4082143"/>
              <a:gd name="connsiteY2" fmla="*/ 319012 h 2466740"/>
              <a:gd name="connsiteX3" fmla="*/ 508702 w 4082143"/>
              <a:gd name="connsiteY3" fmla="*/ 0 h 2466740"/>
              <a:gd name="connsiteX4" fmla="*/ 571182 w 4082143"/>
              <a:gd name="connsiteY4" fmla="*/ 48034 h 2466740"/>
              <a:gd name="connsiteX5" fmla="*/ 697940 w 4082143"/>
              <a:gd name="connsiteY5" fmla="*/ 524980 h 2466740"/>
              <a:gd name="connsiteX6" fmla="*/ 815949 w 4082143"/>
              <a:gd name="connsiteY6" fmla="*/ 1002910 h 2466740"/>
              <a:gd name="connsiteX7" fmla="*/ 988467 w 4082143"/>
              <a:gd name="connsiteY7" fmla="*/ 1303695 h 2466740"/>
              <a:gd name="connsiteX8" fmla="*/ 1242786 w 4082143"/>
              <a:gd name="connsiteY8" fmla="*/ 1675624 h 2466740"/>
              <a:gd name="connsiteX9" fmla="*/ 1442357 w 4082143"/>
              <a:gd name="connsiteY9" fmla="*/ 1857052 h 2466740"/>
              <a:gd name="connsiteX10" fmla="*/ 1732643 w 4082143"/>
              <a:gd name="connsiteY10" fmla="*/ 2038481 h 2466740"/>
              <a:gd name="connsiteX11" fmla="*/ 2222500 w 4082143"/>
              <a:gd name="connsiteY11" fmla="*/ 2174552 h 2466740"/>
              <a:gd name="connsiteX12" fmla="*/ 2766946 w 4082143"/>
              <a:gd name="connsiteY12" fmla="*/ 2321122 h 2466740"/>
              <a:gd name="connsiteX13" fmla="*/ 3456215 w 4082143"/>
              <a:gd name="connsiteY13" fmla="*/ 2414512 h 2466740"/>
              <a:gd name="connsiteX14" fmla="*/ 4082143 w 4082143"/>
              <a:gd name="connsiteY14" fmla="*/ 2466740 h 2466740"/>
              <a:gd name="connsiteX15" fmla="*/ 3172684 w 4082143"/>
              <a:gd name="connsiteY15" fmla="*/ 2429169 h 2466740"/>
              <a:gd name="connsiteX16" fmla="*/ 2195286 w 4082143"/>
              <a:gd name="connsiteY16" fmla="*/ 2355981 h 2466740"/>
              <a:gd name="connsiteX17" fmla="*/ 1813808 w 4082143"/>
              <a:gd name="connsiteY17" fmla="*/ 2326565 h 2466740"/>
              <a:gd name="connsiteX18" fmla="*/ 1179627 w 4082143"/>
              <a:gd name="connsiteY18" fmla="*/ 2229847 h 2466740"/>
              <a:gd name="connsiteX19" fmla="*/ 668490 w 4082143"/>
              <a:gd name="connsiteY19" fmla="*/ 2092101 h 2466740"/>
              <a:gd name="connsiteX20" fmla="*/ 329709 w 4082143"/>
              <a:gd name="connsiteY20" fmla="*/ 1934592 h 2466740"/>
              <a:gd name="connsiteX21" fmla="*/ 142687 w 4082143"/>
              <a:gd name="connsiteY21" fmla="*/ 1771307 h 2466740"/>
              <a:gd name="connsiteX22" fmla="*/ 0 w 4082143"/>
              <a:gd name="connsiteY22" fmla="*/ 1584909 h 24667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</a:cxnLst>
            <a:rect l="l" t="t" r="r" b="b"/>
            <a:pathLst>
              <a:path w="4082143" h="2466740">
                <a:moveTo>
                  <a:pt x="0" y="1584909"/>
                </a:moveTo>
                <a:lnTo>
                  <a:pt x="189746" y="920268"/>
                </a:lnTo>
                <a:lnTo>
                  <a:pt x="375748" y="319012"/>
                </a:lnTo>
                <a:cubicBezTo>
                  <a:pt x="420066" y="212675"/>
                  <a:pt x="429873" y="96456"/>
                  <a:pt x="508702" y="0"/>
                </a:cubicBezTo>
                <a:lnTo>
                  <a:pt x="571182" y="48034"/>
                </a:lnTo>
                <a:lnTo>
                  <a:pt x="697940" y="524980"/>
                </a:lnTo>
                <a:lnTo>
                  <a:pt x="815949" y="1002910"/>
                </a:lnTo>
                <a:lnTo>
                  <a:pt x="988467" y="1303695"/>
                </a:lnTo>
                <a:lnTo>
                  <a:pt x="1242786" y="1675624"/>
                </a:lnTo>
                <a:lnTo>
                  <a:pt x="1442357" y="1857052"/>
                </a:lnTo>
                <a:lnTo>
                  <a:pt x="1732643" y="2038481"/>
                </a:lnTo>
                <a:lnTo>
                  <a:pt x="2222500" y="2174552"/>
                </a:lnTo>
                <a:lnTo>
                  <a:pt x="2766946" y="2321122"/>
                </a:lnTo>
                <a:lnTo>
                  <a:pt x="3456215" y="2414512"/>
                </a:lnTo>
                <a:lnTo>
                  <a:pt x="4082143" y="2466740"/>
                </a:lnTo>
                <a:lnTo>
                  <a:pt x="3172684" y="2429169"/>
                </a:lnTo>
                <a:lnTo>
                  <a:pt x="2195286" y="2355981"/>
                </a:lnTo>
                <a:lnTo>
                  <a:pt x="1813808" y="2326565"/>
                </a:lnTo>
                <a:lnTo>
                  <a:pt x="1179627" y="2229847"/>
                </a:lnTo>
                <a:lnTo>
                  <a:pt x="668490" y="2092101"/>
                </a:lnTo>
                <a:lnTo>
                  <a:pt x="329709" y="1934592"/>
                </a:lnTo>
                <a:lnTo>
                  <a:pt x="142687" y="1771307"/>
                </a:lnTo>
                <a:lnTo>
                  <a:pt x="0" y="1584909"/>
                </a:lnTo>
                <a:close/>
              </a:path>
            </a:pathLst>
          </a:custGeom>
          <a:pattFill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254000</xdr:colOff>
      <xdr:row>21</xdr:row>
      <xdr:rowOff>9072</xdr:rowOff>
    </xdr:from>
    <xdr:to>
      <xdr:col>16</xdr:col>
      <xdr:colOff>244929</xdr:colOff>
      <xdr:row>38</xdr:row>
      <xdr:rowOff>35379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259815-A628-470B-8B8C-834BEA0EA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208642</xdr:colOff>
      <xdr:row>40</xdr:row>
      <xdr:rowOff>0</xdr:rowOff>
    </xdr:from>
    <xdr:to>
      <xdr:col>16</xdr:col>
      <xdr:colOff>591335</xdr:colOff>
      <xdr:row>58</xdr:row>
      <xdr:rowOff>85937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C61DEE3-1234-46F3-A225-2776AF5A3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16933</xdr:colOff>
      <xdr:row>60</xdr:row>
      <xdr:rowOff>16934</xdr:rowOff>
    </xdr:from>
    <xdr:to>
      <xdr:col>16</xdr:col>
      <xdr:colOff>563033</xdr:colOff>
      <xdr:row>75</xdr:row>
      <xdr:rowOff>122767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61BB4A44-7915-4D1E-871E-E621D429C844}"/>
            </a:ext>
          </a:extLst>
        </xdr:cNvPr>
        <xdr:cNvGrpSpPr/>
      </xdr:nvGrpSpPr>
      <xdr:grpSpPr>
        <a:xfrm>
          <a:off x="6021211" y="11065934"/>
          <a:ext cx="6211711" cy="2857500"/>
          <a:chOff x="6028266" y="10862734"/>
          <a:chExt cx="6032500" cy="2899833"/>
        </a:xfrm>
      </xdr:grpSpPr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772E696B-E67F-4496-B325-A26E00403FBB}"/>
              </a:ext>
            </a:extLst>
          </xdr:cNvPr>
          <xdr:cNvGraphicFramePr>
            <a:graphicFrameLocks/>
          </xdr:cNvGraphicFramePr>
        </xdr:nvGraphicFramePr>
        <xdr:xfrm>
          <a:off x="6028266" y="10862734"/>
          <a:ext cx="6032500" cy="28998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11" name="Freeform: Shape 10">
            <a:extLst>
              <a:ext uri="{FF2B5EF4-FFF2-40B4-BE49-F238E27FC236}">
                <a16:creationId xmlns:a16="http://schemas.microsoft.com/office/drawing/2014/main" id="{0E1FE8DD-6124-421C-B43D-4E2A61067A6D}"/>
              </a:ext>
            </a:extLst>
          </xdr:cNvPr>
          <xdr:cNvSpPr/>
        </xdr:nvSpPr>
        <xdr:spPr>
          <a:xfrm>
            <a:off x="7005108" y="11146367"/>
            <a:ext cx="3175000" cy="776816"/>
          </a:xfrm>
          <a:custGeom>
            <a:avLst/>
            <a:gdLst>
              <a:gd name="connsiteX0" fmla="*/ 0 w 3175000"/>
              <a:gd name="connsiteY0" fmla="*/ 73025 h 768350"/>
              <a:gd name="connsiteX1" fmla="*/ 228600 w 3175000"/>
              <a:gd name="connsiteY1" fmla="*/ 9525 h 768350"/>
              <a:gd name="connsiteX2" fmla="*/ 431800 w 3175000"/>
              <a:gd name="connsiteY2" fmla="*/ 0 h 768350"/>
              <a:gd name="connsiteX3" fmla="*/ 701675 w 3175000"/>
              <a:gd name="connsiteY3" fmla="*/ 38100 h 768350"/>
              <a:gd name="connsiteX4" fmla="*/ 1079500 w 3175000"/>
              <a:gd name="connsiteY4" fmla="*/ 104775 h 768350"/>
              <a:gd name="connsiteX5" fmla="*/ 1724025 w 3175000"/>
              <a:gd name="connsiteY5" fmla="*/ 273050 h 768350"/>
              <a:gd name="connsiteX6" fmla="*/ 2355850 w 3175000"/>
              <a:gd name="connsiteY6" fmla="*/ 447675 h 768350"/>
              <a:gd name="connsiteX7" fmla="*/ 2708275 w 3175000"/>
              <a:gd name="connsiteY7" fmla="*/ 574675 h 768350"/>
              <a:gd name="connsiteX8" fmla="*/ 3051175 w 3175000"/>
              <a:gd name="connsiteY8" fmla="*/ 711200 h 768350"/>
              <a:gd name="connsiteX9" fmla="*/ 3175000 w 3175000"/>
              <a:gd name="connsiteY9" fmla="*/ 768350 h 768350"/>
              <a:gd name="connsiteX10" fmla="*/ 2952750 w 3175000"/>
              <a:gd name="connsiteY10" fmla="*/ 723900 h 768350"/>
              <a:gd name="connsiteX11" fmla="*/ 2555875 w 3175000"/>
              <a:gd name="connsiteY11" fmla="*/ 641350 h 768350"/>
              <a:gd name="connsiteX12" fmla="*/ 1762125 w 3175000"/>
              <a:gd name="connsiteY12" fmla="*/ 482600 h 768350"/>
              <a:gd name="connsiteX13" fmla="*/ 939800 w 3175000"/>
              <a:gd name="connsiteY13" fmla="*/ 292100 h 768350"/>
              <a:gd name="connsiteX14" fmla="*/ 0 w 3175000"/>
              <a:gd name="connsiteY14" fmla="*/ 73025 h 7683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</a:cxnLst>
            <a:rect l="l" t="t" r="r" b="b"/>
            <a:pathLst>
              <a:path w="3175000" h="768350">
                <a:moveTo>
                  <a:pt x="0" y="73025"/>
                </a:moveTo>
                <a:lnTo>
                  <a:pt x="228600" y="9525"/>
                </a:lnTo>
                <a:lnTo>
                  <a:pt x="431800" y="0"/>
                </a:lnTo>
                <a:lnTo>
                  <a:pt x="701675" y="38100"/>
                </a:lnTo>
                <a:lnTo>
                  <a:pt x="1079500" y="104775"/>
                </a:lnTo>
                <a:lnTo>
                  <a:pt x="1724025" y="273050"/>
                </a:lnTo>
                <a:lnTo>
                  <a:pt x="2355850" y="447675"/>
                </a:lnTo>
                <a:lnTo>
                  <a:pt x="2708275" y="574675"/>
                </a:lnTo>
                <a:lnTo>
                  <a:pt x="3051175" y="711200"/>
                </a:lnTo>
                <a:lnTo>
                  <a:pt x="3175000" y="768350"/>
                </a:lnTo>
                <a:lnTo>
                  <a:pt x="2952750" y="723900"/>
                </a:lnTo>
                <a:lnTo>
                  <a:pt x="2555875" y="641350"/>
                </a:lnTo>
                <a:lnTo>
                  <a:pt x="1762125" y="482600"/>
                </a:lnTo>
                <a:lnTo>
                  <a:pt x="939800" y="292100"/>
                </a:lnTo>
                <a:lnTo>
                  <a:pt x="0" y="73025"/>
                </a:lnTo>
                <a:close/>
              </a:path>
            </a:pathLst>
          </a:custGeom>
          <a:pattFill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2" name="Freeform: Shape 11">
            <a:extLst>
              <a:ext uri="{FF2B5EF4-FFF2-40B4-BE49-F238E27FC236}">
                <a16:creationId xmlns:a16="http://schemas.microsoft.com/office/drawing/2014/main" id="{1D7B8A82-A80F-4C5B-A64F-E8770421DC95}"/>
              </a:ext>
            </a:extLst>
          </xdr:cNvPr>
          <xdr:cNvSpPr/>
        </xdr:nvSpPr>
        <xdr:spPr>
          <a:xfrm>
            <a:off x="10453158" y="12004675"/>
            <a:ext cx="1441450" cy="732367"/>
          </a:xfrm>
          <a:custGeom>
            <a:avLst/>
            <a:gdLst>
              <a:gd name="connsiteX0" fmla="*/ 0 w 1441450"/>
              <a:gd name="connsiteY0" fmla="*/ 0 h 723900"/>
              <a:gd name="connsiteX1" fmla="*/ 384175 w 1441450"/>
              <a:gd name="connsiteY1" fmla="*/ 98425 h 723900"/>
              <a:gd name="connsiteX2" fmla="*/ 1031875 w 1441450"/>
              <a:gd name="connsiteY2" fmla="*/ 219075 h 723900"/>
              <a:gd name="connsiteX3" fmla="*/ 1441450 w 1441450"/>
              <a:gd name="connsiteY3" fmla="*/ 295275 h 723900"/>
              <a:gd name="connsiteX4" fmla="*/ 1441450 w 1441450"/>
              <a:gd name="connsiteY4" fmla="*/ 723900 h 723900"/>
              <a:gd name="connsiteX5" fmla="*/ 1089025 w 1441450"/>
              <a:gd name="connsiteY5" fmla="*/ 530225 h 723900"/>
              <a:gd name="connsiteX6" fmla="*/ 638175 w 1441450"/>
              <a:gd name="connsiteY6" fmla="*/ 304800 h 723900"/>
              <a:gd name="connsiteX7" fmla="*/ 155575 w 1441450"/>
              <a:gd name="connsiteY7" fmla="*/ 79375 h 723900"/>
              <a:gd name="connsiteX8" fmla="*/ 0 w 1441450"/>
              <a:gd name="connsiteY8" fmla="*/ 0 h 7239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41450" h="723900">
                <a:moveTo>
                  <a:pt x="0" y="0"/>
                </a:moveTo>
                <a:lnTo>
                  <a:pt x="384175" y="98425"/>
                </a:lnTo>
                <a:lnTo>
                  <a:pt x="1031875" y="219075"/>
                </a:lnTo>
                <a:lnTo>
                  <a:pt x="1441450" y="295275"/>
                </a:lnTo>
                <a:lnTo>
                  <a:pt x="1441450" y="723900"/>
                </a:lnTo>
                <a:lnTo>
                  <a:pt x="1089025" y="530225"/>
                </a:lnTo>
                <a:lnTo>
                  <a:pt x="638175" y="304800"/>
                </a:lnTo>
                <a:lnTo>
                  <a:pt x="155575" y="79375"/>
                </a:lnTo>
                <a:lnTo>
                  <a:pt x="0" y="0"/>
                </a:lnTo>
                <a:close/>
              </a:path>
            </a:pathLst>
          </a:custGeom>
          <a:pattFill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0</xdr:colOff>
      <xdr:row>78</xdr:row>
      <xdr:rowOff>0</xdr:rowOff>
    </xdr:from>
    <xdr:to>
      <xdr:col>16</xdr:col>
      <xdr:colOff>546100</xdr:colOff>
      <xdr:row>93</xdr:row>
      <xdr:rowOff>105833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B404C511-A03C-458F-90CC-A7DF39A947FA}"/>
            </a:ext>
          </a:extLst>
        </xdr:cNvPr>
        <xdr:cNvGrpSpPr/>
      </xdr:nvGrpSpPr>
      <xdr:grpSpPr>
        <a:xfrm>
          <a:off x="6004278" y="14351000"/>
          <a:ext cx="6211711" cy="2857500"/>
          <a:chOff x="6011333" y="14198600"/>
          <a:chExt cx="6032500" cy="2899833"/>
        </a:xfrm>
      </xdr:grpSpPr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8ED71A8B-C210-400C-AF95-F710A52F4E29}"/>
              </a:ext>
            </a:extLst>
          </xdr:cNvPr>
          <xdr:cNvGraphicFramePr>
            <a:graphicFrameLocks/>
          </xdr:cNvGraphicFramePr>
        </xdr:nvGraphicFramePr>
        <xdr:xfrm>
          <a:off x="6011333" y="14198600"/>
          <a:ext cx="6032500" cy="28998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14" name="Freeform: Shape 13">
            <a:extLst>
              <a:ext uri="{FF2B5EF4-FFF2-40B4-BE49-F238E27FC236}">
                <a16:creationId xmlns:a16="http://schemas.microsoft.com/office/drawing/2014/main" id="{93510CED-7627-4FDF-A72E-7E0E790DCFAD}"/>
              </a:ext>
            </a:extLst>
          </xdr:cNvPr>
          <xdr:cNvSpPr/>
        </xdr:nvSpPr>
        <xdr:spPr>
          <a:xfrm>
            <a:off x="6732058" y="14848681"/>
            <a:ext cx="5138737" cy="1450445"/>
          </a:xfrm>
          <a:custGeom>
            <a:avLst/>
            <a:gdLst>
              <a:gd name="connsiteX0" fmla="*/ 0 w 5151437"/>
              <a:gd name="connsiteY0" fmla="*/ 1420812 h 1420812"/>
              <a:gd name="connsiteX1" fmla="*/ 436562 w 5151437"/>
              <a:gd name="connsiteY1" fmla="*/ 1230312 h 1420812"/>
              <a:gd name="connsiteX2" fmla="*/ 817562 w 5151437"/>
              <a:gd name="connsiteY2" fmla="*/ 1067594 h 1420812"/>
              <a:gd name="connsiteX3" fmla="*/ 1452562 w 5151437"/>
              <a:gd name="connsiteY3" fmla="*/ 869156 h 1420812"/>
              <a:gd name="connsiteX4" fmla="*/ 2377281 w 5151437"/>
              <a:gd name="connsiteY4" fmla="*/ 627062 h 1420812"/>
              <a:gd name="connsiteX5" fmla="*/ 3425031 w 5151437"/>
              <a:gd name="connsiteY5" fmla="*/ 388937 h 1420812"/>
              <a:gd name="connsiteX6" fmla="*/ 4310062 w 5151437"/>
              <a:gd name="connsiteY6" fmla="*/ 186531 h 1420812"/>
              <a:gd name="connsiteX7" fmla="*/ 5151437 w 5151437"/>
              <a:gd name="connsiteY7" fmla="*/ 0 h 1420812"/>
              <a:gd name="connsiteX8" fmla="*/ 5151437 w 5151437"/>
              <a:gd name="connsiteY8" fmla="*/ 587375 h 1420812"/>
              <a:gd name="connsiteX9" fmla="*/ 4603750 w 5151437"/>
              <a:gd name="connsiteY9" fmla="*/ 662781 h 1420812"/>
              <a:gd name="connsiteX10" fmla="*/ 3750469 w 5151437"/>
              <a:gd name="connsiteY10" fmla="*/ 793750 h 1420812"/>
              <a:gd name="connsiteX11" fmla="*/ 2476500 w 5151437"/>
              <a:gd name="connsiteY11" fmla="*/ 984250 h 1420812"/>
              <a:gd name="connsiteX12" fmla="*/ 1674812 w 5151437"/>
              <a:gd name="connsiteY12" fmla="*/ 1115219 h 1420812"/>
              <a:gd name="connsiteX13" fmla="*/ 662781 w 5151437"/>
              <a:gd name="connsiteY13" fmla="*/ 1293812 h 1420812"/>
              <a:gd name="connsiteX14" fmla="*/ 0 w 5151437"/>
              <a:gd name="connsiteY14" fmla="*/ 1420812 h 142081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</a:cxnLst>
            <a:rect l="l" t="t" r="r" b="b"/>
            <a:pathLst>
              <a:path w="5151437" h="1420812">
                <a:moveTo>
                  <a:pt x="0" y="1420812"/>
                </a:moveTo>
                <a:lnTo>
                  <a:pt x="436562" y="1230312"/>
                </a:lnTo>
                <a:lnTo>
                  <a:pt x="817562" y="1067594"/>
                </a:lnTo>
                <a:lnTo>
                  <a:pt x="1452562" y="869156"/>
                </a:lnTo>
                <a:lnTo>
                  <a:pt x="2377281" y="627062"/>
                </a:lnTo>
                <a:lnTo>
                  <a:pt x="3425031" y="388937"/>
                </a:lnTo>
                <a:lnTo>
                  <a:pt x="4310062" y="186531"/>
                </a:lnTo>
                <a:lnTo>
                  <a:pt x="5151437" y="0"/>
                </a:lnTo>
                <a:lnTo>
                  <a:pt x="5151437" y="587375"/>
                </a:lnTo>
                <a:lnTo>
                  <a:pt x="4603750" y="662781"/>
                </a:lnTo>
                <a:lnTo>
                  <a:pt x="3750469" y="793750"/>
                </a:lnTo>
                <a:lnTo>
                  <a:pt x="2476500" y="984250"/>
                </a:lnTo>
                <a:lnTo>
                  <a:pt x="1674812" y="1115219"/>
                </a:lnTo>
                <a:lnTo>
                  <a:pt x="662781" y="1293812"/>
                </a:lnTo>
                <a:lnTo>
                  <a:pt x="0" y="1420812"/>
                </a:lnTo>
                <a:close/>
              </a:path>
            </a:pathLst>
          </a:custGeom>
          <a:pattFill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0</xdr:colOff>
      <xdr:row>81</xdr:row>
      <xdr:rowOff>143933</xdr:rowOff>
    </xdr:from>
    <xdr:to>
      <xdr:col>6</xdr:col>
      <xdr:colOff>448734</xdr:colOff>
      <xdr:row>97</xdr:row>
      <xdr:rowOff>63499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EF5D2ED-6C2F-463A-BB98-7DEA6705E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99</xdr:row>
      <xdr:rowOff>0</xdr:rowOff>
    </xdr:from>
    <xdr:to>
      <xdr:col>7</xdr:col>
      <xdr:colOff>21167</xdr:colOff>
      <xdr:row>114</xdr:row>
      <xdr:rowOff>105833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66A2192C-3D03-4491-85A7-57A3A2DC1A3A}"/>
            </a:ext>
          </a:extLst>
        </xdr:cNvPr>
        <xdr:cNvGrpSpPr/>
      </xdr:nvGrpSpPr>
      <xdr:grpSpPr>
        <a:xfrm>
          <a:off x="0" y="18203333"/>
          <a:ext cx="6025445" cy="2857500"/>
          <a:chOff x="0" y="18110200"/>
          <a:chExt cx="6032500" cy="2899833"/>
        </a:xfrm>
      </xdr:grpSpPr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1FE5BDEF-E6F8-42CC-AFE6-2591F57FA38E}"/>
              </a:ext>
            </a:extLst>
          </xdr:cNvPr>
          <xdr:cNvGraphicFramePr>
            <a:graphicFrameLocks/>
          </xdr:cNvGraphicFramePr>
        </xdr:nvGraphicFramePr>
        <xdr:xfrm>
          <a:off x="0" y="18110200"/>
          <a:ext cx="6032500" cy="28998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17" name="Freeform: Shape 16">
            <a:extLst>
              <a:ext uri="{FF2B5EF4-FFF2-40B4-BE49-F238E27FC236}">
                <a16:creationId xmlns:a16="http://schemas.microsoft.com/office/drawing/2014/main" id="{F3BCFFA5-4C11-47C2-B254-31F9238581A0}"/>
              </a:ext>
            </a:extLst>
          </xdr:cNvPr>
          <xdr:cNvSpPr/>
        </xdr:nvSpPr>
        <xdr:spPr>
          <a:xfrm>
            <a:off x="960967" y="18927233"/>
            <a:ext cx="4906433" cy="999067"/>
          </a:xfrm>
          <a:custGeom>
            <a:avLst/>
            <a:gdLst>
              <a:gd name="connsiteX0" fmla="*/ 0 w 4906433"/>
              <a:gd name="connsiteY0" fmla="*/ 999067 h 999067"/>
              <a:gd name="connsiteX1" fmla="*/ 275166 w 4906433"/>
              <a:gd name="connsiteY1" fmla="*/ 842434 h 999067"/>
              <a:gd name="connsiteX2" fmla="*/ 465666 w 4906433"/>
              <a:gd name="connsiteY2" fmla="*/ 673100 h 999067"/>
              <a:gd name="connsiteX3" fmla="*/ 732366 w 4906433"/>
              <a:gd name="connsiteY3" fmla="*/ 541867 h 999067"/>
              <a:gd name="connsiteX4" fmla="*/ 1100666 w 4906433"/>
              <a:gd name="connsiteY4" fmla="*/ 397934 h 999067"/>
              <a:gd name="connsiteX5" fmla="*/ 1638300 w 4906433"/>
              <a:gd name="connsiteY5" fmla="*/ 279400 h 999067"/>
              <a:gd name="connsiteX6" fmla="*/ 2286000 w 4906433"/>
              <a:gd name="connsiteY6" fmla="*/ 182034 h 999067"/>
              <a:gd name="connsiteX7" fmla="*/ 3081866 w 4906433"/>
              <a:gd name="connsiteY7" fmla="*/ 101600 h 999067"/>
              <a:gd name="connsiteX8" fmla="*/ 3636433 w 4906433"/>
              <a:gd name="connsiteY8" fmla="*/ 63500 h 999067"/>
              <a:gd name="connsiteX9" fmla="*/ 4508500 w 4906433"/>
              <a:gd name="connsiteY9" fmla="*/ 21167 h 999067"/>
              <a:gd name="connsiteX10" fmla="*/ 4906433 w 4906433"/>
              <a:gd name="connsiteY10" fmla="*/ 0 h 999067"/>
              <a:gd name="connsiteX11" fmla="*/ 4902200 w 4906433"/>
              <a:gd name="connsiteY11" fmla="*/ 592667 h 999067"/>
              <a:gd name="connsiteX12" fmla="*/ 4246033 w 4906433"/>
              <a:gd name="connsiteY12" fmla="*/ 622300 h 999067"/>
              <a:gd name="connsiteX13" fmla="*/ 3420533 w 4906433"/>
              <a:gd name="connsiteY13" fmla="*/ 660400 h 999067"/>
              <a:gd name="connsiteX14" fmla="*/ 2671233 w 4906433"/>
              <a:gd name="connsiteY14" fmla="*/ 702734 h 999067"/>
              <a:gd name="connsiteX15" fmla="*/ 2010833 w 4906433"/>
              <a:gd name="connsiteY15" fmla="*/ 749300 h 999067"/>
              <a:gd name="connsiteX16" fmla="*/ 1460500 w 4906433"/>
              <a:gd name="connsiteY16" fmla="*/ 800100 h 999067"/>
              <a:gd name="connsiteX17" fmla="*/ 948266 w 4906433"/>
              <a:gd name="connsiteY17" fmla="*/ 846667 h 999067"/>
              <a:gd name="connsiteX18" fmla="*/ 622300 w 4906433"/>
              <a:gd name="connsiteY18" fmla="*/ 889000 h 999067"/>
              <a:gd name="connsiteX19" fmla="*/ 270933 w 4906433"/>
              <a:gd name="connsiteY19" fmla="*/ 939800 h 999067"/>
              <a:gd name="connsiteX20" fmla="*/ 0 w 4906433"/>
              <a:gd name="connsiteY20" fmla="*/ 999067 h 99906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</a:cxnLst>
            <a:rect l="l" t="t" r="r" b="b"/>
            <a:pathLst>
              <a:path w="4906433" h="999067">
                <a:moveTo>
                  <a:pt x="0" y="999067"/>
                </a:moveTo>
                <a:lnTo>
                  <a:pt x="275166" y="842434"/>
                </a:lnTo>
                <a:lnTo>
                  <a:pt x="465666" y="673100"/>
                </a:lnTo>
                <a:lnTo>
                  <a:pt x="732366" y="541867"/>
                </a:lnTo>
                <a:lnTo>
                  <a:pt x="1100666" y="397934"/>
                </a:lnTo>
                <a:lnTo>
                  <a:pt x="1638300" y="279400"/>
                </a:lnTo>
                <a:lnTo>
                  <a:pt x="2286000" y="182034"/>
                </a:lnTo>
                <a:lnTo>
                  <a:pt x="3081866" y="101600"/>
                </a:lnTo>
                <a:lnTo>
                  <a:pt x="3636433" y="63500"/>
                </a:lnTo>
                <a:lnTo>
                  <a:pt x="4508500" y="21167"/>
                </a:lnTo>
                <a:lnTo>
                  <a:pt x="4906433" y="0"/>
                </a:lnTo>
                <a:lnTo>
                  <a:pt x="4902200" y="592667"/>
                </a:lnTo>
                <a:lnTo>
                  <a:pt x="4246033" y="622300"/>
                </a:lnTo>
                <a:lnTo>
                  <a:pt x="3420533" y="660400"/>
                </a:lnTo>
                <a:lnTo>
                  <a:pt x="2671233" y="702734"/>
                </a:lnTo>
                <a:lnTo>
                  <a:pt x="2010833" y="749300"/>
                </a:lnTo>
                <a:lnTo>
                  <a:pt x="1460500" y="800100"/>
                </a:lnTo>
                <a:lnTo>
                  <a:pt x="948266" y="846667"/>
                </a:lnTo>
                <a:lnTo>
                  <a:pt x="622300" y="889000"/>
                </a:lnTo>
                <a:lnTo>
                  <a:pt x="270933" y="939800"/>
                </a:lnTo>
                <a:lnTo>
                  <a:pt x="0" y="999067"/>
                </a:lnTo>
                <a:close/>
              </a:path>
            </a:pathLst>
          </a:custGeom>
          <a:pattFill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50800</xdr:colOff>
      <xdr:row>96</xdr:row>
      <xdr:rowOff>0</xdr:rowOff>
    </xdr:from>
    <xdr:to>
      <xdr:col>16</xdr:col>
      <xdr:colOff>596900</xdr:colOff>
      <xdr:row>111</xdr:row>
      <xdr:rowOff>105833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23EA828B-4950-4863-995B-EBD73D2E4E6C}"/>
            </a:ext>
          </a:extLst>
        </xdr:cNvPr>
        <xdr:cNvGrpSpPr/>
      </xdr:nvGrpSpPr>
      <xdr:grpSpPr>
        <a:xfrm>
          <a:off x="6055078" y="17653000"/>
          <a:ext cx="6211711" cy="2857500"/>
          <a:chOff x="6062133" y="17551400"/>
          <a:chExt cx="6032500" cy="2899833"/>
        </a:xfrm>
      </xdr:grpSpPr>
      <xdr:graphicFrame macro="">
        <xdr:nvGraphicFramePr>
          <xdr:cNvPr id="18" name="Chart 17">
            <a:extLst>
              <a:ext uri="{FF2B5EF4-FFF2-40B4-BE49-F238E27FC236}">
                <a16:creationId xmlns:a16="http://schemas.microsoft.com/office/drawing/2014/main" id="{7660436C-FD40-424C-A7F3-699845486876}"/>
              </a:ext>
            </a:extLst>
          </xdr:cNvPr>
          <xdr:cNvGraphicFramePr>
            <a:graphicFrameLocks/>
          </xdr:cNvGraphicFramePr>
        </xdr:nvGraphicFramePr>
        <xdr:xfrm>
          <a:off x="6062133" y="17551400"/>
          <a:ext cx="6032500" cy="28998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">
        <xdr:nvSpPr>
          <xdr:cNvPr id="20" name="Freeform: Shape 19">
            <a:extLst>
              <a:ext uri="{FF2B5EF4-FFF2-40B4-BE49-F238E27FC236}">
                <a16:creationId xmlns:a16="http://schemas.microsoft.com/office/drawing/2014/main" id="{4AE26816-7A78-4956-87E8-63858C230BFE}"/>
              </a:ext>
            </a:extLst>
          </xdr:cNvPr>
          <xdr:cNvSpPr/>
        </xdr:nvSpPr>
        <xdr:spPr>
          <a:xfrm>
            <a:off x="6859058" y="18344092"/>
            <a:ext cx="3784600" cy="1590674"/>
          </a:xfrm>
          <a:custGeom>
            <a:avLst/>
            <a:gdLst>
              <a:gd name="connsiteX0" fmla="*/ 0 w 3778250"/>
              <a:gd name="connsiteY0" fmla="*/ 936625 h 1582208"/>
              <a:gd name="connsiteX1" fmla="*/ 121708 w 3778250"/>
              <a:gd name="connsiteY1" fmla="*/ 672042 h 1582208"/>
              <a:gd name="connsiteX2" fmla="*/ 216958 w 3778250"/>
              <a:gd name="connsiteY2" fmla="*/ 407458 h 1582208"/>
              <a:gd name="connsiteX3" fmla="*/ 322791 w 3778250"/>
              <a:gd name="connsiteY3" fmla="*/ 206375 h 1582208"/>
              <a:gd name="connsiteX4" fmla="*/ 418041 w 3778250"/>
              <a:gd name="connsiteY4" fmla="*/ 63500 h 1582208"/>
              <a:gd name="connsiteX5" fmla="*/ 481541 w 3778250"/>
              <a:gd name="connsiteY5" fmla="*/ 5292 h 1582208"/>
              <a:gd name="connsiteX6" fmla="*/ 523875 w 3778250"/>
              <a:gd name="connsiteY6" fmla="*/ 0 h 1582208"/>
              <a:gd name="connsiteX7" fmla="*/ 592666 w 3778250"/>
              <a:gd name="connsiteY7" fmla="*/ 63500 h 1582208"/>
              <a:gd name="connsiteX8" fmla="*/ 693208 w 3778250"/>
              <a:gd name="connsiteY8" fmla="*/ 264583 h 1582208"/>
              <a:gd name="connsiteX9" fmla="*/ 857250 w 3778250"/>
              <a:gd name="connsiteY9" fmla="*/ 560917 h 1582208"/>
              <a:gd name="connsiteX10" fmla="*/ 1068916 w 3778250"/>
              <a:gd name="connsiteY10" fmla="*/ 772583 h 1582208"/>
              <a:gd name="connsiteX11" fmla="*/ 1354666 w 3778250"/>
              <a:gd name="connsiteY11" fmla="*/ 1031875 h 1582208"/>
              <a:gd name="connsiteX12" fmla="*/ 1698625 w 3778250"/>
              <a:gd name="connsiteY12" fmla="*/ 1206500 h 1582208"/>
              <a:gd name="connsiteX13" fmla="*/ 1973791 w 3778250"/>
              <a:gd name="connsiteY13" fmla="*/ 1312333 h 1582208"/>
              <a:gd name="connsiteX14" fmla="*/ 2524125 w 3778250"/>
              <a:gd name="connsiteY14" fmla="*/ 1428750 h 1582208"/>
              <a:gd name="connsiteX15" fmla="*/ 2873375 w 3778250"/>
              <a:gd name="connsiteY15" fmla="*/ 1492250 h 1582208"/>
              <a:gd name="connsiteX16" fmla="*/ 3206750 w 3778250"/>
              <a:gd name="connsiteY16" fmla="*/ 1534583 h 1582208"/>
              <a:gd name="connsiteX17" fmla="*/ 3778250 w 3778250"/>
              <a:gd name="connsiteY17" fmla="*/ 1582208 h 1582208"/>
              <a:gd name="connsiteX18" fmla="*/ 2857500 w 3778250"/>
              <a:gd name="connsiteY18" fmla="*/ 1539875 h 1582208"/>
              <a:gd name="connsiteX19" fmla="*/ 2428875 w 3778250"/>
              <a:gd name="connsiteY19" fmla="*/ 1518708 h 1582208"/>
              <a:gd name="connsiteX20" fmla="*/ 2053166 w 3778250"/>
              <a:gd name="connsiteY20" fmla="*/ 1492250 h 1582208"/>
              <a:gd name="connsiteX21" fmla="*/ 1703916 w 3778250"/>
              <a:gd name="connsiteY21" fmla="*/ 1460500 h 1582208"/>
              <a:gd name="connsiteX22" fmla="*/ 1307041 w 3778250"/>
              <a:gd name="connsiteY22" fmla="*/ 1407583 h 1582208"/>
              <a:gd name="connsiteX23" fmla="*/ 941916 w 3778250"/>
              <a:gd name="connsiteY23" fmla="*/ 1344083 h 1582208"/>
              <a:gd name="connsiteX24" fmla="*/ 560916 w 3778250"/>
              <a:gd name="connsiteY24" fmla="*/ 1243542 h 1582208"/>
              <a:gd name="connsiteX25" fmla="*/ 301625 w 3778250"/>
              <a:gd name="connsiteY25" fmla="*/ 1148292 h 1582208"/>
              <a:gd name="connsiteX26" fmla="*/ 95250 w 3778250"/>
              <a:gd name="connsiteY26" fmla="*/ 1021292 h 1582208"/>
              <a:gd name="connsiteX27" fmla="*/ 0 w 3778250"/>
              <a:gd name="connsiteY27" fmla="*/ 936625 h 15822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</a:cxnLst>
            <a:rect l="l" t="t" r="r" b="b"/>
            <a:pathLst>
              <a:path w="3778250" h="1582208">
                <a:moveTo>
                  <a:pt x="0" y="936625"/>
                </a:moveTo>
                <a:lnTo>
                  <a:pt x="121708" y="672042"/>
                </a:lnTo>
                <a:lnTo>
                  <a:pt x="216958" y="407458"/>
                </a:lnTo>
                <a:lnTo>
                  <a:pt x="322791" y="206375"/>
                </a:lnTo>
                <a:lnTo>
                  <a:pt x="418041" y="63500"/>
                </a:lnTo>
                <a:lnTo>
                  <a:pt x="481541" y="5292"/>
                </a:lnTo>
                <a:lnTo>
                  <a:pt x="523875" y="0"/>
                </a:lnTo>
                <a:lnTo>
                  <a:pt x="592666" y="63500"/>
                </a:lnTo>
                <a:lnTo>
                  <a:pt x="693208" y="264583"/>
                </a:lnTo>
                <a:lnTo>
                  <a:pt x="857250" y="560917"/>
                </a:lnTo>
                <a:lnTo>
                  <a:pt x="1068916" y="772583"/>
                </a:lnTo>
                <a:lnTo>
                  <a:pt x="1354666" y="1031875"/>
                </a:lnTo>
                <a:lnTo>
                  <a:pt x="1698625" y="1206500"/>
                </a:lnTo>
                <a:lnTo>
                  <a:pt x="1973791" y="1312333"/>
                </a:lnTo>
                <a:lnTo>
                  <a:pt x="2524125" y="1428750"/>
                </a:lnTo>
                <a:lnTo>
                  <a:pt x="2873375" y="1492250"/>
                </a:lnTo>
                <a:lnTo>
                  <a:pt x="3206750" y="1534583"/>
                </a:lnTo>
                <a:lnTo>
                  <a:pt x="3778250" y="1582208"/>
                </a:lnTo>
                <a:lnTo>
                  <a:pt x="2857500" y="1539875"/>
                </a:lnTo>
                <a:lnTo>
                  <a:pt x="2428875" y="1518708"/>
                </a:lnTo>
                <a:lnTo>
                  <a:pt x="2053166" y="1492250"/>
                </a:lnTo>
                <a:lnTo>
                  <a:pt x="1703916" y="1460500"/>
                </a:lnTo>
                <a:lnTo>
                  <a:pt x="1307041" y="1407583"/>
                </a:lnTo>
                <a:lnTo>
                  <a:pt x="941916" y="1344083"/>
                </a:lnTo>
                <a:lnTo>
                  <a:pt x="560916" y="1243542"/>
                </a:lnTo>
                <a:lnTo>
                  <a:pt x="301625" y="1148292"/>
                </a:lnTo>
                <a:lnTo>
                  <a:pt x="95250" y="1021292"/>
                </a:lnTo>
                <a:lnTo>
                  <a:pt x="0" y="936625"/>
                </a:lnTo>
                <a:close/>
              </a:path>
            </a:pathLst>
          </a:custGeom>
          <a:pattFill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0</xdr:colOff>
      <xdr:row>116</xdr:row>
      <xdr:rowOff>0</xdr:rowOff>
    </xdr:from>
    <xdr:to>
      <xdr:col>7</xdr:col>
      <xdr:colOff>31750</xdr:colOff>
      <xdr:row>131</xdr:row>
      <xdr:rowOff>121708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177E547-A734-49CA-9FB0-AF357D280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915458</xdr:colOff>
      <xdr:row>121</xdr:row>
      <xdr:rowOff>31750</xdr:rowOff>
    </xdr:from>
    <xdr:to>
      <xdr:col>6</xdr:col>
      <xdr:colOff>476250</xdr:colOff>
      <xdr:row>126</xdr:row>
      <xdr:rowOff>21166</xdr:rowOff>
    </xdr:to>
    <xdr:sp macro="" textlink="">
      <xdr:nvSpPr>
        <xdr:cNvPr id="22" name="Freeform: Shape 21">
          <a:extLst>
            <a:ext uri="{FF2B5EF4-FFF2-40B4-BE49-F238E27FC236}">
              <a16:creationId xmlns:a16="http://schemas.microsoft.com/office/drawing/2014/main" id="{0BEC6ADF-AD7E-49D5-A6DE-0F0A5365C6FC}"/>
            </a:ext>
          </a:extLst>
        </xdr:cNvPr>
        <xdr:cNvSpPr/>
      </xdr:nvSpPr>
      <xdr:spPr>
        <a:xfrm>
          <a:off x="915458" y="22113875"/>
          <a:ext cx="4953000" cy="915458"/>
        </a:xfrm>
        <a:custGeom>
          <a:avLst/>
          <a:gdLst>
            <a:gd name="connsiteX0" fmla="*/ 0 w 4953000"/>
            <a:gd name="connsiteY0" fmla="*/ 571500 h 915458"/>
            <a:gd name="connsiteX1" fmla="*/ 111125 w 4953000"/>
            <a:gd name="connsiteY1" fmla="*/ 365125 h 915458"/>
            <a:gd name="connsiteX2" fmla="*/ 201084 w 4953000"/>
            <a:gd name="connsiteY2" fmla="*/ 185208 h 915458"/>
            <a:gd name="connsiteX3" fmla="*/ 333375 w 4953000"/>
            <a:gd name="connsiteY3" fmla="*/ 47625 h 915458"/>
            <a:gd name="connsiteX4" fmla="*/ 444500 w 4953000"/>
            <a:gd name="connsiteY4" fmla="*/ 0 h 915458"/>
            <a:gd name="connsiteX5" fmla="*/ 571500 w 4953000"/>
            <a:gd name="connsiteY5" fmla="*/ 31750 h 915458"/>
            <a:gd name="connsiteX6" fmla="*/ 682625 w 4953000"/>
            <a:gd name="connsiteY6" fmla="*/ 132292 h 915458"/>
            <a:gd name="connsiteX7" fmla="*/ 873125 w 4953000"/>
            <a:gd name="connsiteY7" fmla="*/ 269875 h 915458"/>
            <a:gd name="connsiteX8" fmla="*/ 1121834 w 4953000"/>
            <a:gd name="connsiteY8" fmla="*/ 386292 h 915458"/>
            <a:gd name="connsiteX9" fmla="*/ 1555750 w 4953000"/>
            <a:gd name="connsiteY9" fmla="*/ 523875 h 915458"/>
            <a:gd name="connsiteX10" fmla="*/ 2323042 w 4953000"/>
            <a:gd name="connsiteY10" fmla="*/ 624417 h 915458"/>
            <a:gd name="connsiteX11" fmla="*/ 3005667 w 4953000"/>
            <a:gd name="connsiteY11" fmla="*/ 672042 h 915458"/>
            <a:gd name="connsiteX12" fmla="*/ 3423709 w 4953000"/>
            <a:gd name="connsiteY12" fmla="*/ 693208 h 915458"/>
            <a:gd name="connsiteX13" fmla="*/ 4000500 w 4953000"/>
            <a:gd name="connsiteY13" fmla="*/ 714375 h 915458"/>
            <a:gd name="connsiteX14" fmla="*/ 4386792 w 4953000"/>
            <a:gd name="connsiteY14" fmla="*/ 714375 h 915458"/>
            <a:gd name="connsiteX15" fmla="*/ 4953000 w 4953000"/>
            <a:gd name="connsiteY15" fmla="*/ 714375 h 915458"/>
            <a:gd name="connsiteX16" fmla="*/ 4947709 w 4953000"/>
            <a:gd name="connsiteY16" fmla="*/ 915458 h 915458"/>
            <a:gd name="connsiteX17" fmla="*/ 3989917 w 4953000"/>
            <a:gd name="connsiteY17" fmla="*/ 904875 h 915458"/>
            <a:gd name="connsiteX18" fmla="*/ 3492500 w 4953000"/>
            <a:gd name="connsiteY18" fmla="*/ 904875 h 915458"/>
            <a:gd name="connsiteX19" fmla="*/ 3032125 w 4953000"/>
            <a:gd name="connsiteY19" fmla="*/ 894292 h 915458"/>
            <a:gd name="connsiteX20" fmla="*/ 2413000 w 4953000"/>
            <a:gd name="connsiteY20" fmla="*/ 878417 h 915458"/>
            <a:gd name="connsiteX21" fmla="*/ 1915584 w 4953000"/>
            <a:gd name="connsiteY21" fmla="*/ 862542 h 915458"/>
            <a:gd name="connsiteX22" fmla="*/ 1524000 w 4953000"/>
            <a:gd name="connsiteY22" fmla="*/ 836083 h 915458"/>
            <a:gd name="connsiteX23" fmla="*/ 1058334 w 4953000"/>
            <a:gd name="connsiteY23" fmla="*/ 809625 h 915458"/>
            <a:gd name="connsiteX24" fmla="*/ 724959 w 4953000"/>
            <a:gd name="connsiteY24" fmla="*/ 772583 h 915458"/>
            <a:gd name="connsiteX25" fmla="*/ 465667 w 4953000"/>
            <a:gd name="connsiteY25" fmla="*/ 730250 h 915458"/>
            <a:gd name="connsiteX26" fmla="*/ 169334 w 4953000"/>
            <a:gd name="connsiteY26" fmla="*/ 661458 h 915458"/>
            <a:gd name="connsiteX27" fmla="*/ 0 w 4953000"/>
            <a:gd name="connsiteY27" fmla="*/ 571500 h 915458"/>
            <a:gd name="connsiteX0" fmla="*/ 0 w 4953000"/>
            <a:gd name="connsiteY0" fmla="*/ 571500 h 915458"/>
            <a:gd name="connsiteX1" fmla="*/ 111125 w 4953000"/>
            <a:gd name="connsiteY1" fmla="*/ 365125 h 915458"/>
            <a:gd name="connsiteX2" fmla="*/ 158751 w 4953000"/>
            <a:gd name="connsiteY2" fmla="*/ 201083 h 915458"/>
            <a:gd name="connsiteX3" fmla="*/ 333375 w 4953000"/>
            <a:gd name="connsiteY3" fmla="*/ 47625 h 915458"/>
            <a:gd name="connsiteX4" fmla="*/ 444500 w 4953000"/>
            <a:gd name="connsiteY4" fmla="*/ 0 h 915458"/>
            <a:gd name="connsiteX5" fmla="*/ 571500 w 4953000"/>
            <a:gd name="connsiteY5" fmla="*/ 31750 h 915458"/>
            <a:gd name="connsiteX6" fmla="*/ 682625 w 4953000"/>
            <a:gd name="connsiteY6" fmla="*/ 132292 h 915458"/>
            <a:gd name="connsiteX7" fmla="*/ 873125 w 4953000"/>
            <a:gd name="connsiteY7" fmla="*/ 269875 h 915458"/>
            <a:gd name="connsiteX8" fmla="*/ 1121834 w 4953000"/>
            <a:gd name="connsiteY8" fmla="*/ 386292 h 915458"/>
            <a:gd name="connsiteX9" fmla="*/ 1555750 w 4953000"/>
            <a:gd name="connsiteY9" fmla="*/ 523875 h 915458"/>
            <a:gd name="connsiteX10" fmla="*/ 2323042 w 4953000"/>
            <a:gd name="connsiteY10" fmla="*/ 624417 h 915458"/>
            <a:gd name="connsiteX11" fmla="*/ 3005667 w 4953000"/>
            <a:gd name="connsiteY11" fmla="*/ 672042 h 915458"/>
            <a:gd name="connsiteX12" fmla="*/ 3423709 w 4953000"/>
            <a:gd name="connsiteY12" fmla="*/ 693208 h 915458"/>
            <a:gd name="connsiteX13" fmla="*/ 4000500 w 4953000"/>
            <a:gd name="connsiteY13" fmla="*/ 714375 h 915458"/>
            <a:gd name="connsiteX14" fmla="*/ 4386792 w 4953000"/>
            <a:gd name="connsiteY14" fmla="*/ 714375 h 915458"/>
            <a:gd name="connsiteX15" fmla="*/ 4953000 w 4953000"/>
            <a:gd name="connsiteY15" fmla="*/ 714375 h 915458"/>
            <a:gd name="connsiteX16" fmla="*/ 4947709 w 4953000"/>
            <a:gd name="connsiteY16" fmla="*/ 915458 h 915458"/>
            <a:gd name="connsiteX17" fmla="*/ 3989917 w 4953000"/>
            <a:gd name="connsiteY17" fmla="*/ 904875 h 915458"/>
            <a:gd name="connsiteX18" fmla="*/ 3492500 w 4953000"/>
            <a:gd name="connsiteY18" fmla="*/ 904875 h 915458"/>
            <a:gd name="connsiteX19" fmla="*/ 3032125 w 4953000"/>
            <a:gd name="connsiteY19" fmla="*/ 894292 h 915458"/>
            <a:gd name="connsiteX20" fmla="*/ 2413000 w 4953000"/>
            <a:gd name="connsiteY20" fmla="*/ 878417 h 915458"/>
            <a:gd name="connsiteX21" fmla="*/ 1915584 w 4953000"/>
            <a:gd name="connsiteY21" fmla="*/ 862542 h 915458"/>
            <a:gd name="connsiteX22" fmla="*/ 1524000 w 4953000"/>
            <a:gd name="connsiteY22" fmla="*/ 836083 h 915458"/>
            <a:gd name="connsiteX23" fmla="*/ 1058334 w 4953000"/>
            <a:gd name="connsiteY23" fmla="*/ 809625 h 915458"/>
            <a:gd name="connsiteX24" fmla="*/ 724959 w 4953000"/>
            <a:gd name="connsiteY24" fmla="*/ 772583 h 915458"/>
            <a:gd name="connsiteX25" fmla="*/ 465667 w 4953000"/>
            <a:gd name="connsiteY25" fmla="*/ 730250 h 915458"/>
            <a:gd name="connsiteX26" fmla="*/ 169334 w 4953000"/>
            <a:gd name="connsiteY26" fmla="*/ 661458 h 915458"/>
            <a:gd name="connsiteX27" fmla="*/ 0 w 4953000"/>
            <a:gd name="connsiteY27" fmla="*/ 571500 h 9154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4953000" h="915458">
              <a:moveTo>
                <a:pt x="0" y="571500"/>
              </a:moveTo>
              <a:lnTo>
                <a:pt x="111125" y="365125"/>
              </a:lnTo>
              <a:lnTo>
                <a:pt x="158751" y="201083"/>
              </a:lnTo>
              <a:lnTo>
                <a:pt x="333375" y="47625"/>
              </a:lnTo>
              <a:lnTo>
                <a:pt x="444500" y="0"/>
              </a:lnTo>
              <a:lnTo>
                <a:pt x="571500" y="31750"/>
              </a:lnTo>
              <a:lnTo>
                <a:pt x="682625" y="132292"/>
              </a:lnTo>
              <a:lnTo>
                <a:pt x="873125" y="269875"/>
              </a:lnTo>
              <a:lnTo>
                <a:pt x="1121834" y="386292"/>
              </a:lnTo>
              <a:lnTo>
                <a:pt x="1555750" y="523875"/>
              </a:lnTo>
              <a:lnTo>
                <a:pt x="2323042" y="624417"/>
              </a:lnTo>
              <a:lnTo>
                <a:pt x="3005667" y="672042"/>
              </a:lnTo>
              <a:lnTo>
                <a:pt x="3423709" y="693208"/>
              </a:lnTo>
              <a:lnTo>
                <a:pt x="4000500" y="714375"/>
              </a:lnTo>
              <a:lnTo>
                <a:pt x="4386792" y="714375"/>
              </a:lnTo>
              <a:lnTo>
                <a:pt x="4953000" y="714375"/>
              </a:lnTo>
              <a:lnTo>
                <a:pt x="4947709" y="915458"/>
              </a:lnTo>
              <a:lnTo>
                <a:pt x="3989917" y="904875"/>
              </a:lnTo>
              <a:lnTo>
                <a:pt x="3492500" y="904875"/>
              </a:lnTo>
              <a:lnTo>
                <a:pt x="3032125" y="894292"/>
              </a:lnTo>
              <a:lnTo>
                <a:pt x="2413000" y="878417"/>
              </a:lnTo>
              <a:lnTo>
                <a:pt x="1915584" y="862542"/>
              </a:lnTo>
              <a:lnTo>
                <a:pt x="1524000" y="836083"/>
              </a:lnTo>
              <a:lnTo>
                <a:pt x="1058334" y="809625"/>
              </a:lnTo>
              <a:lnTo>
                <a:pt x="724959" y="772583"/>
              </a:lnTo>
              <a:lnTo>
                <a:pt x="465667" y="730250"/>
              </a:lnTo>
              <a:lnTo>
                <a:pt x="169334" y="661458"/>
              </a:lnTo>
              <a:lnTo>
                <a:pt x="0" y="571500"/>
              </a:lnTo>
              <a:close/>
            </a:path>
          </a:pathLst>
        </a:custGeom>
        <a:pattFill prst="ltUpDiag">
          <a:fgClr>
            <a:schemeClr val="bg2">
              <a:lumMod val="75000"/>
            </a:schemeClr>
          </a:fgClr>
          <a:bgClr>
            <a:schemeClr val="bg1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115</xdr:row>
      <xdr:rowOff>152399</xdr:rowOff>
    </xdr:from>
    <xdr:to>
      <xdr:col>7</xdr:col>
      <xdr:colOff>31750</xdr:colOff>
      <xdr:row>131</xdr:row>
      <xdr:rowOff>87841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44EFAED5-AD6E-4FCF-9C3A-C4853DDBC560}"/>
            </a:ext>
          </a:extLst>
        </xdr:cNvPr>
        <xdr:cNvGrpSpPr/>
      </xdr:nvGrpSpPr>
      <xdr:grpSpPr>
        <a:xfrm>
          <a:off x="0" y="21290843"/>
          <a:ext cx="6036028" cy="2870554"/>
          <a:chOff x="42333" y="21251333"/>
          <a:chExt cx="6043083" cy="2915708"/>
        </a:xfrm>
      </xdr:grpSpPr>
      <xdr:graphicFrame macro="">
        <xdr:nvGraphicFramePr>
          <xdr:cNvPr id="27" name="Chart 26">
            <a:extLst>
              <a:ext uri="{FF2B5EF4-FFF2-40B4-BE49-F238E27FC236}">
                <a16:creationId xmlns:a16="http://schemas.microsoft.com/office/drawing/2014/main" id="{9989A432-B30E-4A2B-BDC6-885BE7272783}"/>
              </a:ext>
            </a:extLst>
          </xdr:cNvPr>
          <xdr:cNvGraphicFramePr>
            <a:graphicFrameLocks/>
          </xdr:cNvGraphicFramePr>
        </xdr:nvGraphicFramePr>
        <xdr:xfrm>
          <a:off x="42333" y="21251333"/>
          <a:ext cx="6043083" cy="29157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sp macro="" textlink="">
        <xdr:nvSpPr>
          <xdr:cNvPr id="28" name="Freeform: Shape 27">
            <a:extLst>
              <a:ext uri="{FF2B5EF4-FFF2-40B4-BE49-F238E27FC236}">
                <a16:creationId xmlns:a16="http://schemas.microsoft.com/office/drawing/2014/main" id="{6BFE574C-2E7F-4FAB-A5DB-77FE33426F9A}"/>
              </a:ext>
            </a:extLst>
          </xdr:cNvPr>
          <xdr:cNvSpPr/>
        </xdr:nvSpPr>
        <xdr:spPr>
          <a:xfrm>
            <a:off x="957791" y="22214417"/>
            <a:ext cx="4962525" cy="920749"/>
          </a:xfrm>
          <a:custGeom>
            <a:avLst/>
            <a:gdLst>
              <a:gd name="connsiteX0" fmla="*/ 0 w 4953000"/>
              <a:gd name="connsiteY0" fmla="*/ 571500 h 915458"/>
              <a:gd name="connsiteX1" fmla="*/ 111125 w 4953000"/>
              <a:gd name="connsiteY1" fmla="*/ 365125 h 915458"/>
              <a:gd name="connsiteX2" fmla="*/ 201084 w 4953000"/>
              <a:gd name="connsiteY2" fmla="*/ 185208 h 915458"/>
              <a:gd name="connsiteX3" fmla="*/ 333375 w 4953000"/>
              <a:gd name="connsiteY3" fmla="*/ 47625 h 915458"/>
              <a:gd name="connsiteX4" fmla="*/ 444500 w 4953000"/>
              <a:gd name="connsiteY4" fmla="*/ 0 h 915458"/>
              <a:gd name="connsiteX5" fmla="*/ 571500 w 4953000"/>
              <a:gd name="connsiteY5" fmla="*/ 31750 h 915458"/>
              <a:gd name="connsiteX6" fmla="*/ 682625 w 4953000"/>
              <a:gd name="connsiteY6" fmla="*/ 132292 h 915458"/>
              <a:gd name="connsiteX7" fmla="*/ 873125 w 4953000"/>
              <a:gd name="connsiteY7" fmla="*/ 269875 h 915458"/>
              <a:gd name="connsiteX8" fmla="*/ 1121834 w 4953000"/>
              <a:gd name="connsiteY8" fmla="*/ 386292 h 915458"/>
              <a:gd name="connsiteX9" fmla="*/ 1555750 w 4953000"/>
              <a:gd name="connsiteY9" fmla="*/ 523875 h 915458"/>
              <a:gd name="connsiteX10" fmla="*/ 2323042 w 4953000"/>
              <a:gd name="connsiteY10" fmla="*/ 624417 h 915458"/>
              <a:gd name="connsiteX11" fmla="*/ 3005667 w 4953000"/>
              <a:gd name="connsiteY11" fmla="*/ 672042 h 915458"/>
              <a:gd name="connsiteX12" fmla="*/ 3423709 w 4953000"/>
              <a:gd name="connsiteY12" fmla="*/ 693208 h 915458"/>
              <a:gd name="connsiteX13" fmla="*/ 4000500 w 4953000"/>
              <a:gd name="connsiteY13" fmla="*/ 714375 h 915458"/>
              <a:gd name="connsiteX14" fmla="*/ 4386792 w 4953000"/>
              <a:gd name="connsiteY14" fmla="*/ 714375 h 915458"/>
              <a:gd name="connsiteX15" fmla="*/ 4953000 w 4953000"/>
              <a:gd name="connsiteY15" fmla="*/ 714375 h 915458"/>
              <a:gd name="connsiteX16" fmla="*/ 4947709 w 4953000"/>
              <a:gd name="connsiteY16" fmla="*/ 915458 h 915458"/>
              <a:gd name="connsiteX17" fmla="*/ 3989917 w 4953000"/>
              <a:gd name="connsiteY17" fmla="*/ 904875 h 915458"/>
              <a:gd name="connsiteX18" fmla="*/ 3492500 w 4953000"/>
              <a:gd name="connsiteY18" fmla="*/ 904875 h 915458"/>
              <a:gd name="connsiteX19" fmla="*/ 3032125 w 4953000"/>
              <a:gd name="connsiteY19" fmla="*/ 894292 h 915458"/>
              <a:gd name="connsiteX20" fmla="*/ 2413000 w 4953000"/>
              <a:gd name="connsiteY20" fmla="*/ 878417 h 915458"/>
              <a:gd name="connsiteX21" fmla="*/ 1915584 w 4953000"/>
              <a:gd name="connsiteY21" fmla="*/ 862542 h 915458"/>
              <a:gd name="connsiteX22" fmla="*/ 1524000 w 4953000"/>
              <a:gd name="connsiteY22" fmla="*/ 836083 h 915458"/>
              <a:gd name="connsiteX23" fmla="*/ 1058334 w 4953000"/>
              <a:gd name="connsiteY23" fmla="*/ 809625 h 915458"/>
              <a:gd name="connsiteX24" fmla="*/ 724959 w 4953000"/>
              <a:gd name="connsiteY24" fmla="*/ 772583 h 915458"/>
              <a:gd name="connsiteX25" fmla="*/ 465667 w 4953000"/>
              <a:gd name="connsiteY25" fmla="*/ 730250 h 915458"/>
              <a:gd name="connsiteX26" fmla="*/ 169334 w 4953000"/>
              <a:gd name="connsiteY26" fmla="*/ 661458 h 915458"/>
              <a:gd name="connsiteX27" fmla="*/ 0 w 4953000"/>
              <a:gd name="connsiteY27" fmla="*/ 571500 h 915458"/>
              <a:gd name="connsiteX0" fmla="*/ 0 w 4953000"/>
              <a:gd name="connsiteY0" fmla="*/ 571500 h 915458"/>
              <a:gd name="connsiteX1" fmla="*/ 111125 w 4953000"/>
              <a:gd name="connsiteY1" fmla="*/ 365125 h 915458"/>
              <a:gd name="connsiteX2" fmla="*/ 158751 w 4953000"/>
              <a:gd name="connsiteY2" fmla="*/ 201083 h 915458"/>
              <a:gd name="connsiteX3" fmla="*/ 333375 w 4953000"/>
              <a:gd name="connsiteY3" fmla="*/ 47625 h 915458"/>
              <a:gd name="connsiteX4" fmla="*/ 444500 w 4953000"/>
              <a:gd name="connsiteY4" fmla="*/ 0 h 915458"/>
              <a:gd name="connsiteX5" fmla="*/ 571500 w 4953000"/>
              <a:gd name="connsiteY5" fmla="*/ 31750 h 915458"/>
              <a:gd name="connsiteX6" fmla="*/ 682625 w 4953000"/>
              <a:gd name="connsiteY6" fmla="*/ 132292 h 915458"/>
              <a:gd name="connsiteX7" fmla="*/ 873125 w 4953000"/>
              <a:gd name="connsiteY7" fmla="*/ 269875 h 915458"/>
              <a:gd name="connsiteX8" fmla="*/ 1121834 w 4953000"/>
              <a:gd name="connsiteY8" fmla="*/ 386292 h 915458"/>
              <a:gd name="connsiteX9" fmla="*/ 1555750 w 4953000"/>
              <a:gd name="connsiteY9" fmla="*/ 523875 h 915458"/>
              <a:gd name="connsiteX10" fmla="*/ 2323042 w 4953000"/>
              <a:gd name="connsiteY10" fmla="*/ 624417 h 915458"/>
              <a:gd name="connsiteX11" fmla="*/ 3005667 w 4953000"/>
              <a:gd name="connsiteY11" fmla="*/ 672042 h 915458"/>
              <a:gd name="connsiteX12" fmla="*/ 3423709 w 4953000"/>
              <a:gd name="connsiteY12" fmla="*/ 693208 h 915458"/>
              <a:gd name="connsiteX13" fmla="*/ 4000500 w 4953000"/>
              <a:gd name="connsiteY13" fmla="*/ 714375 h 915458"/>
              <a:gd name="connsiteX14" fmla="*/ 4386792 w 4953000"/>
              <a:gd name="connsiteY14" fmla="*/ 714375 h 915458"/>
              <a:gd name="connsiteX15" fmla="*/ 4953000 w 4953000"/>
              <a:gd name="connsiteY15" fmla="*/ 714375 h 915458"/>
              <a:gd name="connsiteX16" fmla="*/ 4947709 w 4953000"/>
              <a:gd name="connsiteY16" fmla="*/ 915458 h 915458"/>
              <a:gd name="connsiteX17" fmla="*/ 3989917 w 4953000"/>
              <a:gd name="connsiteY17" fmla="*/ 904875 h 915458"/>
              <a:gd name="connsiteX18" fmla="*/ 3492500 w 4953000"/>
              <a:gd name="connsiteY18" fmla="*/ 904875 h 915458"/>
              <a:gd name="connsiteX19" fmla="*/ 3032125 w 4953000"/>
              <a:gd name="connsiteY19" fmla="*/ 894292 h 915458"/>
              <a:gd name="connsiteX20" fmla="*/ 2413000 w 4953000"/>
              <a:gd name="connsiteY20" fmla="*/ 878417 h 915458"/>
              <a:gd name="connsiteX21" fmla="*/ 1915584 w 4953000"/>
              <a:gd name="connsiteY21" fmla="*/ 862542 h 915458"/>
              <a:gd name="connsiteX22" fmla="*/ 1524000 w 4953000"/>
              <a:gd name="connsiteY22" fmla="*/ 836083 h 915458"/>
              <a:gd name="connsiteX23" fmla="*/ 1058334 w 4953000"/>
              <a:gd name="connsiteY23" fmla="*/ 809625 h 915458"/>
              <a:gd name="connsiteX24" fmla="*/ 724959 w 4953000"/>
              <a:gd name="connsiteY24" fmla="*/ 772583 h 915458"/>
              <a:gd name="connsiteX25" fmla="*/ 465667 w 4953000"/>
              <a:gd name="connsiteY25" fmla="*/ 730250 h 915458"/>
              <a:gd name="connsiteX26" fmla="*/ 169334 w 4953000"/>
              <a:gd name="connsiteY26" fmla="*/ 661458 h 915458"/>
              <a:gd name="connsiteX27" fmla="*/ 0 w 4953000"/>
              <a:gd name="connsiteY27" fmla="*/ 571500 h 91545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</a:cxnLst>
            <a:rect l="l" t="t" r="r" b="b"/>
            <a:pathLst>
              <a:path w="4953000" h="915458">
                <a:moveTo>
                  <a:pt x="0" y="571500"/>
                </a:moveTo>
                <a:lnTo>
                  <a:pt x="111125" y="365125"/>
                </a:lnTo>
                <a:lnTo>
                  <a:pt x="158751" y="201083"/>
                </a:lnTo>
                <a:lnTo>
                  <a:pt x="333375" y="47625"/>
                </a:lnTo>
                <a:lnTo>
                  <a:pt x="444500" y="0"/>
                </a:lnTo>
                <a:lnTo>
                  <a:pt x="571500" y="31750"/>
                </a:lnTo>
                <a:lnTo>
                  <a:pt x="682625" y="132292"/>
                </a:lnTo>
                <a:lnTo>
                  <a:pt x="873125" y="269875"/>
                </a:lnTo>
                <a:lnTo>
                  <a:pt x="1121834" y="386292"/>
                </a:lnTo>
                <a:lnTo>
                  <a:pt x="1555750" y="523875"/>
                </a:lnTo>
                <a:lnTo>
                  <a:pt x="2323042" y="624417"/>
                </a:lnTo>
                <a:lnTo>
                  <a:pt x="3005667" y="672042"/>
                </a:lnTo>
                <a:lnTo>
                  <a:pt x="3423709" y="693208"/>
                </a:lnTo>
                <a:lnTo>
                  <a:pt x="4000500" y="714375"/>
                </a:lnTo>
                <a:lnTo>
                  <a:pt x="4386792" y="714375"/>
                </a:lnTo>
                <a:lnTo>
                  <a:pt x="4953000" y="714375"/>
                </a:lnTo>
                <a:lnTo>
                  <a:pt x="4947709" y="915458"/>
                </a:lnTo>
                <a:lnTo>
                  <a:pt x="3989917" y="904875"/>
                </a:lnTo>
                <a:lnTo>
                  <a:pt x="3492500" y="904875"/>
                </a:lnTo>
                <a:lnTo>
                  <a:pt x="3032125" y="894292"/>
                </a:lnTo>
                <a:lnTo>
                  <a:pt x="2413000" y="878417"/>
                </a:lnTo>
                <a:lnTo>
                  <a:pt x="1915584" y="862542"/>
                </a:lnTo>
                <a:lnTo>
                  <a:pt x="1524000" y="836083"/>
                </a:lnTo>
                <a:lnTo>
                  <a:pt x="1058334" y="809625"/>
                </a:lnTo>
                <a:lnTo>
                  <a:pt x="724959" y="772583"/>
                </a:lnTo>
                <a:lnTo>
                  <a:pt x="465667" y="730250"/>
                </a:lnTo>
                <a:lnTo>
                  <a:pt x="169334" y="661458"/>
                </a:lnTo>
                <a:lnTo>
                  <a:pt x="0" y="571500"/>
                </a:lnTo>
                <a:close/>
              </a:path>
            </a:pathLst>
          </a:custGeom>
          <a:pattFill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203200</xdr:colOff>
      <xdr:row>113</xdr:row>
      <xdr:rowOff>25400</xdr:rowOff>
    </xdr:from>
    <xdr:to>
      <xdr:col>16</xdr:col>
      <xdr:colOff>474133</xdr:colOff>
      <xdr:row>128</xdr:row>
      <xdr:rowOff>162984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8D1EF9E-30D2-48E4-9EBB-A02EA12E2254}"/>
            </a:ext>
          </a:extLst>
        </xdr:cNvPr>
        <xdr:cNvGrpSpPr/>
      </xdr:nvGrpSpPr>
      <xdr:grpSpPr>
        <a:xfrm>
          <a:off x="6207478" y="20796956"/>
          <a:ext cx="5936544" cy="2889250"/>
          <a:chOff x="6210300" y="20510500"/>
          <a:chExt cx="5757333" cy="2899834"/>
        </a:xfrm>
      </xdr:grpSpPr>
      <xdr:graphicFrame macro="">
        <xdr:nvGraphicFramePr>
          <xdr:cNvPr id="30" name="Chart 29">
            <a:extLst>
              <a:ext uri="{FF2B5EF4-FFF2-40B4-BE49-F238E27FC236}">
                <a16:creationId xmlns:a16="http://schemas.microsoft.com/office/drawing/2014/main" id="{3244829C-42E9-43DC-AF59-8AF1BC05389C}"/>
              </a:ext>
            </a:extLst>
          </xdr:cNvPr>
          <xdr:cNvGraphicFramePr>
            <a:graphicFrameLocks/>
          </xdr:cNvGraphicFramePr>
        </xdr:nvGraphicFramePr>
        <xdr:xfrm>
          <a:off x="6210300" y="20510500"/>
          <a:ext cx="5757333" cy="289983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sp macro="" textlink="">
        <xdr:nvSpPr>
          <xdr:cNvPr id="31" name="Freeform: Shape 30">
            <a:extLst>
              <a:ext uri="{FF2B5EF4-FFF2-40B4-BE49-F238E27FC236}">
                <a16:creationId xmlns:a16="http://schemas.microsoft.com/office/drawing/2014/main" id="{88C90F6E-4721-4338-A8A4-ADB6B1B1FE1D}"/>
              </a:ext>
            </a:extLst>
          </xdr:cNvPr>
          <xdr:cNvSpPr/>
        </xdr:nvSpPr>
        <xdr:spPr>
          <a:xfrm>
            <a:off x="7018867" y="21206884"/>
            <a:ext cx="4787900" cy="1492250"/>
          </a:xfrm>
          <a:custGeom>
            <a:avLst/>
            <a:gdLst>
              <a:gd name="connsiteX0" fmla="*/ 21167 w 4787900"/>
              <a:gd name="connsiteY0" fmla="*/ 381000 h 1511300"/>
              <a:gd name="connsiteX1" fmla="*/ 156633 w 4787900"/>
              <a:gd name="connsiteY1" fmla="*/ 220133 h 1511300"/>
              <a:gd name="connsiteX2" fmla="*/ 241300 w 4787900"/>
              <a:gd name="connsiteY2" fmla="*/ 127000 h 1511300"/>
              <a:gd name="connsiteX3" fmla="*/ 287867 w 4787900"/>
              <a:gd name="connsiteY3" fmla="*/ 118533 h 1511300"/>
              <a:gd name="connsiteX4" fmla="*/ 325967 w 4787900"/>
              <a:gd name="connsiteY4" fmla="*/ 139700 h 1511300"/>
              <a:gd name="connsiteX5" fmla="*/ 461433 w 4787900"/>
              <a:gd name="connsiteY5" fmla="*/ 262466 h 1511300"/>
              <a:gd name="connsiteX6" fmla="*/ 558800 w 4787900"/>
              <a:gd name="connsiteY6" fmla="*/ 330200 h 1511300"/>
              <a:gd name="connsiteX7" fmla="*/ 863600 w 4787900"/>
              <a:gd name="connsiteY7" fmla="*/ 287866 h 1511300"/>
              <a:gd name="connsiteX8" fmla="*/ 1104900 w 4787900"/>
              <a:gd name="connsiteY8" fmla="*/ 237066 h 1511300"/>
              <a:gd name="connsiteX9" fmla="*/ 1464733 w 4787900"/>
              <a:gd name="connsiteY9" fmla="*/ 165100 h 1511300"/>
              <a:gd name="connsiteX10" fmla="*/ 1680633 w 4787900"/>
              <a:gd name="connsiteY10" fmla="*/ 131233 h 1511300"/>
              <a:gd name="connsiteX11" fmla="*/ 1862667 w 4787900"/>
              <a:gd name="connsiteY11" fmla="*/ 122766 h 1511300"/>
              <a:gd name="connsiteX12" fmla="*/ 2048933 w 4787900"/>
              <a:gd name="connsiteY12" fmla="*/ 127000 h 1511300"/>
              <a:gd name="connsiteX13" fmla="*/ 2180167 w 4787900"/>
              <a:gd name="connsiteY13" fmla="*/ 67733 h 1511300"/>
              <a:gd name="connsiteX14" fmla="*/ 2370667 w 4787900"/>
              <a:gd name="connsiteY14" fmla="*/ 29633 h 1511300"/>
              <a:gd name="connsiteX15" fmla="*/ 2755900 w 4787900"/>
              <a:gd name="connsiteY15" fmla="*/ 4233 h 1511300"/>
              <a:gd name="connsiteX16" fmla="*/ 3272367 w 4787900"/>
              <a:gd name="connsiteY16" fmla="*/ 0 h 1511300"/>
              <a:gd name="connsiteX17" fmla="*/ 3589867 w 4787900"/>
              <a:gd name="connsiteY17" fmla="*/ 38100 h 1511300"/>
              <a:gd name="connsiteX18" fmla="*/ 3729567 w 4787900"/>
              <a:gd name="connsiteY18" fmla="*/ 59266 h 1511300"/>
              <a:gd name="connsiteX19" fmla="*/ 3911600 w 4787900"/>
              <a:gd name="connsiteY19" fmla="*/ 8466 h 1511300"/>
              <a:gd name="connsiteX20" fmla="*/ 4157133 w 4787900"/>
              <a:gd name="connsiteY20" fmla="*/ 4233 h 1511300"/>
              <a:gd name="connsiteX21" fmla="*/ 4787900 w 4787900"/>
              <a:gd name="connsiteY21" fmla="*/ 12700 h 1511300"/>
              <a:gd name="connsiteX22" fmla="*/ 4783667 w 4787900"/>
              <a:gd name="connsiteY22" fmla="*/ 1490133 h 1511300"/>
              <a:gd name="connsiteX23" fmla="*/ 3907367 w 4787900"/>
              <a:gd name="connsiteY23" fmla="*/ 1490133 h 1511300"/>
              <a:gd name="connsiteX24" fmla="*/ 3712633 w 4787900"/>
              <a:gd name="connsiteY24" fmla="*/ 1511300 h 1511300"/>
              <a:gd name="connsiteX25" fmla="*/ 3479800 w 4787900"/>
              <a:gd name="connsiteY25" fmla="*/ 1494366 h 1511300"/>
              <a:gd name="connsiteX26" fmla="*/ 3327400 w 4787900"/>
              <a:gd name="connsiteY26" fmla="*/ 1490133 h 1511300"/>
              <a:gd name="connsiteX27" fmla="*/ 2362200 w 4787900"/>
              <a:gd name="connsiteY27" fmla="*/ 1490133 h 1511300"/>
              <a:gd name="connsiteX28" fmla="*/ 2239433 w 4787900"/>
              <a:gd name="connsiteY28" fmla="*/ 1485900 h 1511300"/>
              <a:gd name="connsiteX29" fmla="*/ 2087033 w 4787900"/>
              <a:gd name="connsiteY29" fmla="*/ 1502833 h 1511300"/>
              <a:gd name="connsiteX30" fmla="*/ 1981200 w 4787900"/>
              <a:gd name="connsiteY30" fmla="*/ 1502833 h 1511300"/>
              <a:gd name="connsiteX31" fmla="*/ 1824567 w 4787900"/>
              <a:gd name="connsiteY31" fmla="*/ 1498600 h 1511300"/>
              <a:gd name="connsiteX32" fmla="*/ 1697567 w 4787900"/>
              <a:gd name="connsiteY32" fmla="*/ 1485900 h 1511300"/>
              <a:gd name="connsiteX33" fmla="*/ 1295400 w 4787900"/>
              <a:gd name="connsiteY33" fmla="*/ 1485900 h 1511300"/>
              <a:gd name="connsiteX34" fmla="*/ 855133 w 4787900"/>
              <a:gd name="connsiteY34" fmla="*/ 1481666 h 1511300"/>
              <a:gd name="connsiteX35" fmla="*/ 558800 w 4787900"/>
              <a:gd name="connsiteY35" fmla="*/ 1481666 h 1511300"/>
              <a:gd name="connsiteX36" fmla="*/ 372533 w 4787900"/>
              <a:gd name="connsiteY36" fmla="*/ 1485900 h 1511300"/>
              <a:gd name="connsiteX37" fmla="*/ 287867 w 4787900"/>
              <a:gd name="connsiteY37" fmla="*/ 1490133 h 1511300"/>
              <a:gd name="connsiteX38" fmla="*/ 156633 w 4787900"/>
              <a:gd name="connsiteY38" fmla="*/ 1481666 h 1511300"/>
              <a:gd name="connsiteX39" fmla="*/ 33867 w 4787900"/>
              <a:gd name="connsiteY39" fmla="*/ 1468966 h 1511300"/>
              <a:gd name="connsiteX40" fmla="*/ 0 w 4787900"/>
              <a:gd name="connsiteY40" fmla="*/ 1464733 h 1511300"/>
              <a:gd name="connsiteX41" fmla="*/ 21167 w 4787900"/>
              <a:gd name="connsiteY41" fmla="*/ 381000 h 15113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</a:cxnLst>
            <a:rect l="l" t="t" r="r" b="b"/>
            <a:pathLst>
              <a:path w="4787900" h="1511300">
                <a:moveTo>
                  <a:pt x="21167" y="381000"/>
                </a:moveTo>
                <a:lnTo>
                  <a:pt x="156633" y="220133"/>
                </a:lnTo>
                <a:lnTo>
                  <a:pt x="241300" y="127000"/>
                </a:lnTo>
                <a:lnTo>
                  <a:pt x="287867" y="118533"/>
                </a:lnTo>
                <a:lnTo>
                  <a:pt x="325967" y="139700"/>
                </a:lnTo>
                <a:lnTo>
                  <a:pt x="461433" y="262466"/>
                </a:lnTo>
                <a:lnTo>
                  <a:pt x="558800" y="330200"/>
                </a:lnTo>
                <a:lnTo>
                  <a:pt x="863600" y="287866"/>
                </a:lnTo>
                <a:lnTo>
                  <a:pt x="1104900" y="237066"/>
                </a:lnTo>
                <a:lnTo>
                  <a:pt x="1464733" y="165100"/>
                </a:lnTo>
                <a:lnTo>
                  <a:pt x="1680633" y="131233"/>
                </a:lnTo>
                <a:lnTo>
                  <a:pt x="1862667" y="122766"/>
                </a:lnTo>
                <a:lnTo>
                  <a:pt x="2048933" y="127000"/>
                </a:lnTo>
                <a:lnTo>
                  <a:pt x="2180167" y="67733"/>
                </a:lnTo>
                <a:lnTo>
                  <a:pt x="2370667" y="29633"/>
                </a:lnTo>
                <a:lnTo>
                  <a:pt x="2755900" y="4233"/>
                </a:lnTo>
                <a:lnTo>
                  <a:pt x="3272367" y="0"/>
                </a:lnTo>
                <a:lnTo>
                  <a:pt x="3589867" y="38100"/>
                </a:lnTo>
                <a:lnTo>
                  <a:pt x="3729567" y="59266"/>
                </a:lnTo>
                <a:lnTo>
                  <a:pt x="3911600" y="8466"/>
                </a:lnTo>
                <a:lnTo>
                  <a:pt x="4157133" y="4233"/>
                </a:lnTo>
                <a:lnTo>
                  <a:pt x="4787900" y="12700"/>
                </a:lnTo>
                <a:lnTo>
                  <a:pt x="4783667" y="1490133"/>
                </a:lnTo>
                <a:lnTo>
                  <a:pt x="3907367" y="1490133"/>
                </a:lnTo>
                <a:lnTo>
                  <a:pt x="3712633" y="1511300"/>
                </a:lnTo>
                <a:lnTo>
                  <a:pt x="3479800" y="1494366"/>
                </a:lnTo>
                <a:lnTo>
                  <a:pt x="3327400" y="1490133"/>
                </a:lnTo>
                <a:lnTo>
                  <a:pt x="2362200" y="1490133"/>
                </a:lnTo>
                <a:lnTo>
                  <a:pt x="2239433" y="1485900"/>
                </a:lnTo>
                <a:lnTo>
                  <a:pt x="2087033" y="1502833"/>
                </a:lnTo>
                <a:lnTo>
                  <a:pt x="1981200" y="1502833"/>
                </a:lnTo>
                <a:lnTo>
                  <a:pt x="1824567" y="1498600"/>
                </a:lnTo>
                <a:lnTo>
                  <a:pt x="1697567" y="1485900"/>
                </a:lnTo>
                <a:lnTo>
                  <a:pt x="1295400" y="1485900"/>
                </a:lnTo>
                <a:lnTo>
                  <a:pt x="855133" y="1481666"/>
                </a:lnTo>
                <a:lnTo>
                  <a:pt x="558800" y="1481666"/>
                </a:lnTo>
                <a:lnTo>
                  <a:pt x="372533" y="1485900"/>
                </a:lnTo>
                <a:lnTo>
                  <a:pt x="287867" y="1490133"/>
                </a:lnTo>
                <a:lnTo>
                  <a:pt x="156633" y="1481666"/>
                </a:lnTo>
                <a:lnTo>
                  <a:pt x="33867" y="1468966"/>
                </a:lnTo>
                <a:lnTo>
                  <a:pt x="0" y="1464733"/>
                </a:lnTo>
                <a:lnTo>
                  <a:pt x="21167" y="381000"/>
                </a:lnTo>
                <a:close/>
              </a:path>
            </a:pathLst>
          </a:custGeom>
          <a:pattFill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0</xdr:colOff>
      <xdr:row>133</xdr:row>
      <xdr:rowOff>0</xdr:rowOff>
    </xdr:from>
    <xdr:to>
      <xdr:col>6</xdr:col>
      <xdr:colOff>444500</xdr:colOff>
      <xdr:row>148</xdr:row>
      <xdr:rowOff>169334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3E48CF44-65E2-47A7-A423-6246A0B116B9}"/>
            </a:ext>
          </a:extLst>
        </xdr:cNvPr>
        <xdr:cNvGrpSpPr/>
      </xdr:nvGrpSpPr>
      <xdr:grpSpPr>
        <a:xfrm>
          <a:off x="0" y="24440444"/>
          <a:ext cx="5842000" cy="2921001"/>
          <a:chOff x="0" y="24402143"/>
          <a:chExt cx="5837464" cy="2958798"/>
        </a:xfrm>
      </xdr:grpSpPr>
      <xdr:graphicFrame macro="">
        <xdr:nvGraphicFramePr>
          <xdr:cNvPr id="32" name="Chart 31">
            <a:extLst>
              <a:ext uri="{FF2B5EF4-FFF2-40B4-BE49-F238E27FC236}">
                <a16:creationId xmlns:a16="http://schemas.microsoft.com/office/drawing/2014/main" id="{322A9FA4-80D7-40D8-92F2-F3A0535A6547}"/>
              </a:ext>
            </a:extLst>
          </xdr:cNvPr>
          <xdr:cNvGraphicFramePr>
            <a:graphicFrameLocks/>
          </xdr:cNvGraphicFramePr>
        </xdr:nvGraphicFramePr>
        <xdr:xfrm>
          <a:off x="0" y="24402143"/>
          <a:ext cx="5837464" cy="29587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sp macro="" textlink="">
        <xdr:nvSpPr>
          <xdr:cNvPr id="34" name="Freeform: Shape 33">
            <a:extLst>
              <a:ext uri="{FF2B5EF4-FFF2-40B4-BE49-F238E27FC236}">
                <a16:creationId xmlns:a16="http://schemas.microsoft.com/office/drawing/2014/main" id="{1A488352-E244-4688-B675-6C72337FE455}"/>
              </a:ext>
            </a:extLst>
          </xdr:cNvPr>
          <xdr:cNvSpPr/>
        </xdr:nvSpPr>
        <xdr:spPr>
          <a:xfrm>
            <a:off x="830036" y="26756179"/>
            <a:ext cx="163285" cy="99785"/>
          </a:xfrm>
          <a:custGeom>
            <a:avLst/>
            <a:gdLst>
              <a:gd name="connsiteX0" fmla="*/ 0 w 163285"/>
              <a:gd name="connsiteY0" fmla="*/ 99785 h 99785"/>
              <a:gd name="connsiteX1" fmla="*/ 0 w 163285"/>
              <a:gd name="connsiteY1" fmla="*/ 0 h 99785"/>
              <a:gd name="connsiteX2" fmla="*/ 95250 w 163285"/>
              <a:gd name="connsiteY2" fmla="*/ 40821 h 99785"/>
              <a:gd name="connsiteX3" fmla="*/ 163285 w 163285"/>
              <a:gd name="connsiteY3" fmla="*/ 72571 h 99785"/>
              <a:gd name="connsiteX4" fmla="*/ 0 w 163285"/>
              <a:gd name="connsiteY4" fmla="*/ 99785 h 9978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63285" h="99785">
                <a:moveTo>
                  <a:pt x="0" y="99785"/>
                </a:moveTo>
                <a:lnTo>
                  <a:pt x="0" y="0"/>
                </a:lnTo>
                <a:lnTo>
                  <a:pt x="95250" y="40821"/>
                </a:lnTo>
                <a:lnTo>
                  <a:pt x="163285" y="72571"/>
                </a:lnTo>
                <a:lnTo>
                  <a:pt x="0" y="99785"/>
                </a:lnTo>
                <a:close/>
              </a:path>
            </a:pathLst>
          </a:custGeom>
          <a:pattFill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5" name="Freeform: Shape 34">
            <a:extLst>
              <a:ext uri="{FF2B5EF4-FFF2-40B4-BE49-F238E27FC236}">
                <a16:creationId xmlns:a16="http://schemas.microsoft.com/office/drawing/2014/main" id="{2EB49839-37E5-4C0D-B940-2E76453AF70E}"/>
              </a:ext>
            </a:extLst>
          </xdr:cNvPr>
          <xdr:cNvSpPr/>
        </xdr:nvSpPr>
        <xdr:spPr>
          <a:xfrm>
            <a:off x="1124857" y="26651857"/>
            <a:ext cx="1079500" cy="249464"/>
          </a:xfrm>
          <a:custGeom>
            <a:avLst/>
            <a:gdLst>
              <a:gd name="connsiteX0" fmla="*/ 0 w 1079500"/>
              <a:gd name="connsiteY0" fmla="*/ 190500 h 226786"/>
              <a:gd name="connsiteX1" fmla="*/ 1079500 w 1079500"/>
              <a:gd name="connsiteY1" fmla="*/ 0 h 226786"/>
              <a:gd name="connsiteX2" fmla="*/ 875393 w 1079500"/>
              <a:gd name="connsiteY2" fmla="*/ 68036 h 226786"/>
              <a:gd name="connsiteX3" fmla="*/ 716643 w 1079500"/>
              <a:gd name="connsiteY3" fmla="*/ 113393 h 226786"/>
              <a:gd name="connsiteX4" fmla="*/ 485322 w 1079500"/>
              <a:gd name="connsiteY4" fmla="*/ 181429 h 226786"/>
              <a:gd name="connsiteX5" fmla="*/ 340179 w 1079500"/>
              <a:gd name="connsiteY5" fmla="*/ 217714 h 226786"/>
              <a:gd name="connsiteX6" fmla="*/ 208643 w 1079500"/>
              <a:gd name="connsiteY6" fmla="*/ 226786 h 226786"/>
              <a:gd name="connsiteX7" fmla="*/ 99786 w 1079500"/>
              <a:gd name="connsiteY7" fmla="*/ 222250 h 226786"/>
              <a:gd name="connsiteX8" fmla="*/ 0 w 1079500"/>
              <a:gd name="connsiteY8" fmla="*/ 190500 h 226786"/>
              <a:gd name="connsiteX0" fmla="*/ 0 w 1079500"/>
              <a:gd name="connsiteY0" fmla="*/ 190500 h 249464"/>
              <a:gd name="connsiteX1" fmla="*/ 1079500 w 1079500"/>
              <a:gd name="connsiteY1" fmla="*/ 0 h 249464"/>
              <a:gd name="connsiteX2" fmla="*/ 875393 w 1079500"/>
              <a:gd name="connsiteY2" fmla="*/ 68036 h 249464"/>
              <a:gd name="connsiteX3" fmla="*/ 716643 w 1079500"/>
              <a:gd name="connsiteY3" fmla="*/ 113393 h 249464"/>
              <a:gd name="connsiteX4" fmla="*/ 485322 w 1079500"/>
              <a:gd name="connsiteY4" fmla="*/ 181429 h 249464"/>
              <a:gd name="connsiteX5" fmla="*/ 340179 w 1079500"/>
              <a:gd name="connsiteY5" fmla="*/ 217714 h 249464"/>
              <a:gd name="connsiteX6" fmla="*/ 217714 w 1079500"/>
              <a:gd name="connsiteY6" fmla="*/ 249464 h 249464"/>
              <a:gd name="connsiteX7" fmla="*/ 99786 w 1079500"/>
              <a:gd name="connsiteY7" fmla="*/ 222250 h 249464"/>
              <a:gd name="connsiteX8" fmla="*/ 0 w 1079500"/>
              <a:gd name="connsiteY8" fmla="*/ 190500 h 249464"/>
              <a:gd name="connsiteX0" fmla="*/ 0 w 1079500"/>
              <a:gd name="connsiteY0" fmla="*/ 190500 h 249464"/>
              <a:gd name="connsiteX1" fmla="*/ 1079500 w 1079500"/>
              <a:gd name="connsiteY1" fmla="*/ 0 h 249464"/>
              <a:gd name="connsiteX2" fmla="*/ 875393 w 1079500"/>
              <a:gd name="connsiteY2" fmla="*/ 68036 h 249464"/>
              <a:gd name="connsiteX3" fmla="*/ 716643 w 1079500"/>
              <a:gd name="connsiteY3" fmla="*/ 113393 h 249464"/>
              <a:gd name="connsiteX4" fmla="*/ 485322 w 1079500"/>
              <a:gd name="connsiteY4" fmla="*/ 181429 h 249464"/>
              <a:gd name="connsiteX5" fmla="*/ 344714 w 1079500"/>
              <a:gd name="connsiteY5" fmla="*/ 231321 h 249464"/>
              <a:gd name="connsiteX6" fmla="*/ 217714 w 1079500"/>
              <a:gd name="connsiteY6" fmla="*/ 249464 h 249464"/>
              <a:gd name="connsiteX7" fmla="*/ 99786 w 1079500"/>
              <a:gd name="connsiteY7" fmla="*/ 222250 h 249464"/>
              <a:gd name="connsiteX8" fmla="*/ 0 w 1079500"/>
              <a:gd name="connsiteY8" fmla="*/ 190500 h 249464"/>
              <a:gd name="connsiteX0" fmla="*/ 0 w 1079500"/>
              <a:gd name="connsiteY0" fmla="*/ 190500 h 249464"/>
              <a:gd name="connsiteX1" fmla="*/ 1079500 w 1079500"/>
              <a:gd name="connsiteY1" fmla="*/ 0 h 249464"/>
              <a:gd name="connsiteX2" fmla="*/ 875393 w 1079500"/>
              <a:gd name="connsiteY2" fmla="*/ 68036 h 249464"/>
              <a:gd name="connsiteX3" fmla="*/ 716643 w 1079500"/>
              <a:gd name="connsiteY3" fmla="*/ 113393 h 249464"/>
              <a:gd name="connsiteX4" fmla="*/ 512536 w 1079500"/>
              <a:gd name="connsiteY4" fmla="*/ 185965 h 249464"/>
              <a:gd name="connsiteX5" fmla="*/ 344714 w 1079500"/>
              <a:gd name="connsiteY5" fmla="*/ 231321 h 249464"/>
              <a:gd name="connsiteX6" fmla="*/ 217714 w 1079500"/>
              <a:gd name="connsiteY6" fmla="*/ 249464 h 249464"/>
              <a:gd name="connsiteX7" fmla="*/ 99786 w 1079500"/>
              <a:gd name="connsiteY7" fmla="*/ 222250 h 249464"/>
              <a:gd name="connsiteX8" fmla="*/ 0 w 1079500"/>
              <a:gd name="connsiteY8" fmla="*/ 190500 h 249464"/>
              <a:gd name="connsiteX0" fmla="*/ 0 w 1079500"/>
              <a:gd name="connsiteY0" fmla="*/ 190500 h 249464"/>
              <a:gd name="connsiteX1" fmla="*/ 1079500 w 1079500"/>
              <a:gd name="connsiteY1" fmla="*/ 0 h 249464"/>
              <a:gd name="connsiteX2" fmla="*/ 875393 w 1079500"/>
              <a:gd name="connsiteY2" fmla="*/ 68036 h 249464"/>
              <a:gd name="connsiteX3" fmla="*/ 730250 w 1079500"/>
              <a:gd name="connsiteY3" fmla="*/ 117929 h 249464"/>
              <a:gd name="connsiteX4" fmla="*/ 512536 w 1079500"/>
              <a:gd name="connsiteY4" fmla="*/ 185965 h 249464"/>
              <a:gd name="connsiteX5" fmla="*/ 344714 w 1079500"/>
              <a:gd name="connsiteY5" fmla="*/ 231321 h 249464"/>
              <a:gd name="connsiteX6" fmla="*/ 217714 w 1079500"/>
              <a:gd name="connsiteY6" fmla="*/ 249464 h 249464"/>
              <a:gd name="connsiteX7" fmla="*/ 99786 w 1079500"/>
              <a:gd name="connsiteY7" fmla="*/ 222250 h 249464"/>
              <a:gd name="connsiteX8" fmla="*/ 0 w 1079500"/>
              <a:gd name="connsiteY8" fmla="*/ 190500 h 249464"/>
              <a:gd name="connsiteX0" fmla="*/ 0 w 1079500"/>
              <a:gd name="connsiteY0" fmla="*/ 190500 h 249464"/>
              <a:gd name="connsiteX1" fmla="*/ 1079500 w 1079500"/>
              <a:gd name="connsiteY1" fmla="*/ 0 h 249464"/>
              <a:gd name="connsiteX2" fmla="*/ 884464 w 1079500"/>
              <a:gd name="connsiteY2" fmla="*/ 86179 h 249464"/>
              <a:gd name="connsiteX3" fmla="*/ 730250 w 1079500"/>
              <a:gd name="connsiteY3" fmla="*/ 117929 h 249464"/>
              <a:gd name="connsiteX4" fmla="*/ 512536 w 1079500"/>
              <a:gd name="connsiteY4" fmla="*/ 185965 h 249464"/>
              <a:gd name="connsiteX5" fmla="*/ 344714 w 1079500"/>
              <a:gd name="connsiteY5" fmla="*/ 231321 h 249464"/>
              <a:gd name="connsiteX6" fmla="*/ 217714 w 1079500"/>
              <a:gd name="connsiteY6" fmla="*/ 249464 h 249464"/>
              <a:gd name="connsiteX7" fmla="*/ 99786 w 1079500"/>
              <a:gd name="connsiteY7" fmla="*/ 222250 h 249464"/>
              <a:gd name="connsiteX8" fmla="*/ 0 w 1079500"/>
              <a:gd name="connsiteY8" fmla="*/ 190500 h 24946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079500" h="249464">
                <a:moveTo>
                  <a:pt x="0" y="190500"/>
                </a:moveTo>
                <a:lnTo>
                  <a:pt x="1079500" y="0"/>
                </a:lnTo>
                <a:lnTo>
                  <a:pt x="884464" y="86179"/>
                </a:lnTo>
                <a:cubicBezTo>
                  <a:pt x="831547" y="101298"/>
                  <a:pt x="792238" y="101298"/>
                  <a:pt x="730250" y="117929"/>
                </a:cubicBezTo>
                <a:cubicBezTo>
                  <a:pt x="668262" y="134560"/>
                  <a:pt x="580572" y="161774"/>
                  <a:pt x="512536" y="185965"/>
                </a:cubicBezTo>
                <a:lnTo>
                  <a:pt x="344714" y="231321"/>
                </a:lnTo>
                <a:lnTo>
                  <a:pt x="217714" y="249464"/>
                </a:lnTo>
                <a:lnTo>
                  <a:pt x="99786" y="222250"/>
                </a:lnTo>
                <a:lnTo>
                  <a:pt x="0" y="190500"/>
                </a:lnTo>
                <a:close/>
              </a:path>
            </a:pathLst>
          </a:custGeom>
          <a:pattFill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7" name="Freeform: Shape 36">
            <a:extLst>
              <a:ext uri="{FF2B5EF4-FFF2-40B4-BE49-F238E27FC236}">
                <a16:creationId xmlns:a16="http://schemas.microsoft.com/office/drawing/2014/main" id="{F204B9BC-E8C4-4ADC-91EB-63C2E6781DB5}"/>
              </a:ext>
            </a:extLst>
          </xdr:cNvPr>
          <xdr:cNvSpPr/>
        </xdr:nvSpPr>
        <xdr:spPr>
          <a:xfrm>
            <a:off x="2458357" y="24501929"/>
            <a:ext cx="3220357" cy="2072821"/>
          </a:xfrm>
          <a:custGeom>
            <a:avLst/>
            <a:gdLst>
              <a:gd name="connsiteX0" fmla="*/ 0 w 3220357"/>
              <a:gd name="connsiteY0" fmla="*/ 2072821 h 2072821"/>
              <a:gd name="connsiteX1" fmla="*/ 503464 w 3220357"/>
              <a:gd name="connsiteY1" fmla="*/ 1882321 h 2072821"/>
              <a:gd name="connsiteX2" fmla="*/ 625929 w 3220357"/>
              <a:gd name="connsiteY2" fmla="*/ 1832428 h 2072821"/>
              <a:gd name="connsiteX3" fmla="*/ 975179 w 3220357"/>
              <a:gd name="connsiteY3" fmla="*/ 1655535 h 2072821"/>
              <a:gd name="connsiteX4" fmla="*/ 1342572 w 3220357"/>
              <a:gd name="connsiteY4" fmla="*/ 1437821 h 2072821"/>
              <a:gd name="connsiteX5" fmla="*/ 1800679 w 3220357"/>
              <a:gd name="connsiteY5" fmla="*/ 1133928 h 2072821"/>
              <a:gd name="connsiteX6" fmla="*/ 2304143 w 3220357"/>
              <a:gd name="connsiteY6" fmla="*/ 762000 h 2072821"/>
              <a:gd name="connsiteX7" fmla="*/ 2589893 w 3220357"/>
              <a:gd name="connsiteY7" fmla="*/ 535214 h 2072821"/>
              <a:gd name="connsiteX8" fmla="*/ 2862036 w 3220357"/>
              <a:gd name="connsiteY8" fmla="*/ 312964 h 2072821"/>
              <a:gd name="connsiteX9" fmla="*/ 3138714 w 3220357"/>
              <a:gd name="connsiteY9" fmla="*/ 86178 h 2072821"/>
              <a:gd name="connsiteX10" fmla="*/ 3220357 w 3220357"/>
              <a:gd name="connsiteY10" fmla="*/ 0 h 2072821"/>
              <a:gd name="connsiteX11" fmla="*/ 3211286 w 3220357"/>
              <a:gd name="connsiteY11" fmla="*/ 1537607 h 2072821"/>
              <a:gd name="connsiteX12" fmla="*/ 2889250 w 3220357"/>
              <a:gd name="connsiteY12" fmla="*/ 1592035 h 2072821"/>
              <a:gd name="connsiteX13" fmla="*/ 2295072 w 3220357"/>
              <a:gd name="connsiteY13" fmla="*/ 1691821 h 2072821"/>
              <a:gd name="connsiteX14" fmla="*/ 1832429 w 3220357"/>
              <a:gd name="connsiteY14" fmla="*/ 1768928 h 2072821"/>
              <a:gd name="connsiteX15" fmla="*/ 1397000 w 3220357"/>
              <a:gd name="connsiteY15" fmla="*/ 1841500 h 2072821"/>
              <a:gd name="connsiteX16" fmla="*/ 1052286 w 3220357"/>
              <a:gd name="connsiteY16" fmla="*/ 1891392 h 2072821"/>
              <a:gd name="connsiteX17" fmla="*/ 689429 w 3220357"/>
              <a:gd name="connsiteY17" fmla="*/ 1954892 h 2072821"/>
              <a:gd name="connsiteX18" fmla="*/ 335643 w 3220357"/>
              <a:gd name="connsiteY18" fmla="*/ 2018392 h 2072821"/>
              <a:gd name="connsiteX19" fmla="*/ 0 w 3220357"/>
              <a:gd name="connsiteY19" fmla="*/ 2072821 h 207282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</a:cxnLst>
            <a:rect l="l" t="t" r="r" b="b"/>
            <a:pathLst>
              <a:path w="3220357" h="2072821">
                <a:moveTo>
                  <a:pt x="0" y="2072821"/>
                </a:moveTo>
                <a:lnTo>
                  <a:pt x="503464" y="1882321"/>
                </a:lnTo>
                <a:lnTo>
                  <a:pt x="625929" y="1832428"/>
                </a:lnTo>
                <a:lnTo>
                  <a:pt x="975179" y="1655535"/>
                </a:lnTo>
                <a:lnTo>
                  <a:pt x="1342572" y="1437821"/>
                </a:lnTo>
                <a:lnTo>
                  <a:pt x="1800679" y="1133928"/>
                </a:lnTo>
                <a:lnTo>
                  <a:pt x="2304143" y="762000"/>
                </a:lnTo>
                <a:lnTo>
                  <a:pt x="2589893" y="535214"/>
                </a:lnTo>
                <a:lnTo>
                  <a:pt x="2862036" y="312964"/>
                </a:lnTo>
                <a:lnTo>
                  <a:pt x="3138714" y="86178"/>
                </a:lnTo>
                <a:lnTo>
                  <a:pt x="3220357" y="0"/>
                </a:lnTo>
                <a:cubicBezTo>
                  <a:pt x="3217333" y="512536"/>
                  <a:pt x="3214310" y="1025071"/>
                  <a:pt x="3211286" y="1537607"/>
                </a:cubicBezTo>
                <a:lnTo>
                  <a:pt x="2889250" y="1592035"/>
                </a:lnTo>
                <a:lnTo>
                  <a:pt x="2295072" y="1691821"/>
                </a:lnTo>
                <a:lnTo>
                  <a:pt x="1832429" y="1768928"/>
                </a:lnTo>
                <a:lnTo>
                  <a:pt x="1397000" y="1841500"/>
                </a:lnTo>
                <a:lnTo>
                  <a:pt x="1052286" y="1891392"/>
                </a:lnTo>
                <a:lnTo>
                  <a:pt x="689429" y="1954892"/>
                </a:lnTo>
                <a:lnTo>
                  <a:pt x="335643" y="2018392"/>
                </a:lnTo>
                <a:lnTo>
                  <a:pt x="0" y="2072821"/>
                </a:lnTo>
                <a:close/>
              </a:path>
            </a:pathLst>
          </a:custGeom>
          <a:pattFill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6</xdr:col>
      <xdr:colOff>603251</xdr:colOff>
      <xdr:row>148</xdr:row>
      <xdr:rowOff>10583</xdr:rowOff>
    </xdr:from>
    <xdr:to>
      <xdr:col>15</xdr:col>
      <xdr:colOff>285750</xdr:colOff>
      <xdr:row>163</xdr:row>
      <xdr:rowOff>36890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B29F026-8385-487C-B730-DEB7BCD24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539751</xdr:colOff>
      <xdr:row>164</xdr:row>
      <xdr:rowOff>74083</xdr:rowOff>
    </xdr:from>
    <xdr:to>
      <xdr:col>15</xdr:col>
      <xdr:colOff>391584</xdr:colOff>
      <xdr:row>179</xdr:row>
      <xdr:rowOff>100390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5C8AF3D8-B1B9-45CB-8F0B-00A7CF845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31</xdr:col>
      <xdr:colOff>21167</xdr:colOff>
      <xdr:row>55</xdr:row>
      <xdr:rowOff>26307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581FFB15-4C7E-4D9E-AA6B-633E4C1DC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0</xdr:colOff>
      <xdr:row>58</xdr:row>
      <xdr:rowOff>0</xdr:rowOff>
    </xdr:from>
    <xdr:to>
      <xdr:col>31</xdr:col>
      <xdr:colOff>21167</xdr:colOff>
      <xdr:row>73</xdr:row>
      <xdr:rowOff>26307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4FE78433-BEBE-4D0E-A36C-560C5EED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0</xdr:colOff>
      <xdr:row>75</xdr:row>
      <xdr:rowOff>0</xdr:rowOff>
    </xdr:from>
    <xdr:to>
      <xdr:col>31</xdr:col>
      <xdr:colOff>21167</xdr:colOff>
      <xdr:row>90</xdr:row>
      <xdr:rowOff>26307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72269434-27EE-4F52-BAC7-3CE3C635D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0</xdr:colOff>
      <xdr:row>93</xdr:row>
      <xdr:rowOff>0</xdr:rowOff>
    </xdr:from>
    <xdr:to>
      <xdr:col>31</xdr:col>
      <xdr:colOff>21167</xdr:colOff>
      <xdr:row>108</xdr:row>
      <xdr:rowOff>26307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C85AF2FD-732C-4F01-87D1-2F1ED8AD8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0</xdr:colOff>
      <xdr:row>111</xdr:row>
      <xdr:rowOff>0</xdr:rowOff>
    </xdr:from>
    <xdr:to>
      <xdr:col>31</xdr:col>
      <xdr:colOff>21167</xdr:colOff>
      <xdr:row>126</xdr:row>
      <xdr:rowOff>26307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8BDB6E40-B442-4674-9A66-0371B4398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128</xdr:row>
      <xdr:rowOff>0</xdr:rowOff>
    </xdr:from>
    <xdr:to>
      <xdr:col>31</xdr:col>
      <xdr:colOff>21167</xdr:colOff>
      <xdr:row>143</xdr:row>
      <xdr:rowOff>26307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77D3AFBE-0815-4A03-9C31-4F2F9EEEB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0</xdr:colOff>
      <xdr:row>145</xdr:row>
      <xdr:rowOff>0</xdr:rowOff>
    </xdr:from>
    <xdr:to>
      <xdr:col>31</xdr:col>
      <xdr:colOff>21167</xdr:colOff>
      <xdr:row>160</xdr:row>
      <xdr:rowOff>26307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CCE8BD43-2B1C-4C8A-A5E6-1E10D83AC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0</xdr:colOff>
      <xdr:row>164</xdr:row>
      <xdr:rowOff>0</xdr:rowOff>
    </xdr:from>
    <xdr:to>
      <xdr:col>31</xdr:col>
      <xdr:colOff>21167</xdr:colOff>
      <xdr:row>179</xdr:row>
      <xdr:rowOff>26307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822974A9-3784-4104-A2D5-4DD6C44E6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183</xdr:row>
      <xdr:rowOff>0</xdr:rowOff>
    </xdr:from>
    <xdr:to>
      <xdr:col>20</xdr:col>
      <xdr:colOff>21167</xdr:colOff>
      <xdr:row>198</xdr:row>
      <xdr:rowOff>26307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7EF0F817-2610-4690-B46F-544249BF2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0.12168</cdr:x>
      <cdr:y>0.23536</cdr:y>
    </cdr:from>
    <cdr:to>
      <cdr:x>0.95138</cdr:x>
      <cdr:y>0.69861</cdr:y>
    </cdr:to>
    <cdr:grpSp>
      <cdr:nvGrpSpPr>
        <cdr:cNvPr id="4" name="Group 3">
          <a:extLst xmlns:a="http://schemas.openxmlformats.org/drawingml/2006/main">
            <a:ext uri="{FF2B5EF4-FFF2-40B4-BE49-F238E27FC236}">
              <a16:creationId xmlns:a16="http://schemas.microsoft.com/office/drawing/2014/main" id="{CFA0DBCF-BA9C-45E2-A3C6-D18A861FE18B}"/>
            </a:ext>
          </a:extLst>
        </cdr:cNvPr>
        <cdr:cNvGrpSpPr/>
      </cdr:nvGrpSpPr>
      <cdr:grpSpPr>
        <a:xfrm xmlns:a="http://schemas.openxmlformats.org/drawingml/2006/main">
          <a:off x="735958" y="797385"/>
          <a:ext cx="5018277" cy="1569462"/>
          <a:chOff x="714149" y="809332"/>
          <a:chExt cx="4869577" cy="1593007"/>
        </a:xfrm>
      </cdr:grpSpPr>
      <cdr:sp macro="" textlink="">
        <cdr:nvSpPr>
          <cdr:cNvPr id="2" name="Freeform: Shape 1">
            <a:extLst xmlns:a="http://schemas.openxmlformats.org/drawingml/2006/main">
              <a:ext uri="{FF2B5EF4-FFF2-40B4-BE49-F238E27FC236}">
                <a16:creationId xmlns:a16="http://schemas.microsoft.com/office/drawing/2014/main" id="{0C863953-3495-4AE2-A993-0EF69FAC8335}"/>
              </a:ext>
            </a:extLst>
          </cdr:cNvPr>
          <cdr:cNvSpPr/>
        </cdr:nvSpPr>
        <cdr:spPr>
          <a:xfrm xmlns:a="http://schemas.openxmlformats.org/drawingml/2006/main">
            <a:off x="714149" y="2122125"/>
            <a:ext cx="213049" cy="280214"/>
          </a:xfrm>
          <a:custGeom xmlns:a="http://schemas.openxmlformats.org/drawingml/2006/main">
            <a:avLst/>
            <a:gdLst>
              <a:gd name="connsiteX0" fmla="*/ 3735 w 257735"/>
              <a:gd name="connsiteY0" fmla="*/ 321236 h 321236"/>
              <a:gd name="connsiteX1" fmla="*/ 93382 w 257735"/>
              <a:gd name="connsiteY1" fmla="*/ 235324 h 321236"/>
              <a:gd name="connsiteX2" fmla="*/ 183029 w 257735"/>
              <a:gd name="connsiteY2" fmla="*/ 127000 h 321236"/>
              <a:gd name="connsiteX3" fmla="*/ 257735 w 257735"/>
              <a:gd name="connsiteY3" fmla="*/ 0 h 321236"/>
              <a:gd name="connsiteX4" fmla="*/ 141941 w 257735"/>
              <a:gd name="connsiteY4" fmla="*/ 48559 h 321236"/>
              <a:gd name="connsiteX5" fmla="*/ 48559 w 257735"/>
              <a:gd name="connsiteY5" fmla="*/ 93383 h 321236"/>
              <a:gd name="connsiteX6" fmla="*/ 0 w 257735"/>
              <a:gd name="connsiteY6" fmla="*/ 108324 h 321236"/>
              <a:gd name="connsiteX7" fmla="*/ 3735 w 257735"/>
              <a:gd name="connsiteY7" fmla="*/ 321236 h 321236"/>
              <a:gd name="connsiteX0" fmla="*/ 3735 w 257735"/>
              <a:gd name="connsiteY0" fmla="*/ 321236 h 321236"/>
              <a:gd name="connsiteX1" fmla="*/ 86357 w 257735"/>
              <a:gd name="connsiteY1" fmla="*/ 218977 h 321236"/>
              <a:gd name="connsiteX2" fmla="*/ 183029 w 257735"/>
              <a:gd name="connsiteY2" fmla="*/ 127000 h 321236"/>
              <a:gd name="connsiteX3" fmla="*/ 257735 w 257735"/>
              <a:gd name="connsiteY3" fmla="*/ 0 h 321236"/>
              <a:gd name="connsiteX4" fmla="*/ 141941 w 257735"/>
              <a:gd name="connsiteY4" fmla="*/ 48559 h 321236"/>
              <a:gd name="connsiteX5" fmla="*/ 48559 w 257735"/>
              <a:gd name="connsiteY5" fmla="*/ 93383 h 321236"/>
              <a:gd name="connsiteX6" fmla="*/ 0 w 257735"/>
              <a:gd name="connsiteY6" fmla="*/ 108324 h 321236"/>
              <a:gd name="connsiteX7" fmla="*/ 3735 w 257735"/>
              <a:gd name="connsiteY7" fmla="*/ 321236 h 321236"/>
              <a:gd name="connsiteX0" fmla="*/ 7247 w 257735"/>
              <a:gd name="connsiteY0" fmla="*/ 288542 h 288542"/>
              <a:gd name="connsiteX1" fmla="*/ 86357 w 257735"/>
              <a:gd name="connsiteY1" fmla="*/ 218977 h 288542"/>
              <a:gd name="connsiteX2" fmla="*/ 183029 w 257735"/>
              <a:gd name="connsiteY2" fmla="*/ 127000 h 288542"/>
              <a:gd name="connsiteX3" fmla="*/ 257735 w 257735"/>
              <a:gd name="connsiteY3" fmla="*/ 0 h 288542"/>
              <a:gd name="connsiteX4" fmla="*/ 141941 w 257735"/>
              <a:gd name="connsiteY4" fmla="*/ 48559 h 288542"/>
              <a:gd name="connsiteX5" fmla="*/ 48559 w 257735"/>
              <a:gd name="connsiteY5" fmla="*/ 93383 h 288542"/>
              <a:gd name="connsiteX6" fmla="*/ 0 w 257735"/>
              <a:gd name="connsiteY6" fmla="*/ 108324 h 288542"/>
              <a:gd name="connsiteX7" fmla="*/ 7247 w 257735"/>
              <a:gd name="connsiteY7" fmla="*/ 288542 h 288542"/>
              <a:gd name="connsiteX0" fmla="*/ 0 w 250488"/>
              <a:gd name="connsiteY0" fmla="*/ 288542 h 288542"/>
              <a:gd name="connsiteX1" fmla="*/ 79110 w 250488"/>
              <a:gd name="connsiteY1" fmla="*/ 218977 h 288542"/>
              <a:gd name="connsiteX2" fmla="*/ 175782 w 250488"/>
              <a:gd name="connsiteY2" fmla="*/ 127000 h 288542"/>
              <a:gd name="connsiteX3" fmla="*/ 250488 w 250488"/>
              <a:gd name="connsiteY3" fmla="*/ 0 h 288542"/>
              <a:gd name="connsiteX4" fmla="*/ 134694 w 250488"/>
              <a:gd name="connsiteY4" fmla="*/ 48559 h 288542"/>
              <a:gd name="connsiteX5" fmla="*/ 41312 w 250488"/>
              <a:gd name="connsiteY5" fmla="*/ 93383 h 288542"/>
              <a:gd name="connsiteX6" fmla="*/ 3291 w 250488"/>
              <a:gd name="connsiteY6" fmla="*/ 121401 h 288542"/>
              <a:gd name="connsiteX7" fmla="*/ 0 w 250488"/>
              <a:gd name="connsiteY7" fmla="*/ 288542 h 288542"/>
              <a:gd name="connsiteX0" fmla="*/ 0 w 250488"/>
              <a:gd name="connsiteY0" fmla="*/ 288542 h 288542"/>
              <a:gd name="connsiteX1" fmla="*/ 79110 w 250488"/>
              <a:gd name="connsiteY1" fmla="*/ 218977 h 288542"/>
              <a:gd name="connsiteX2" fmla="*/ 175782 w 250488"/>
              <a:gd name="connsiteY2" fmla="*/ 127000 h 288542"/>
              <a:gd name="connsiteX3" fmla="*/ 250488 w 250488"/>
              <a:gd name="connsiteY3" fmla="*/ 0 h 288542"/>
              <a:gd name="connsiteX4" fmla="*/ 134694 w 250488"/>
              <a:gd name="connsiteY4" fmla="*/ 48559 h 288542"/>
              <a:gd name="connsiteX5" fmla="*/ 55361 w 250488"/>
              <a:gd name="connsiteY5" fmla="*/ 96653 h 288542"/>
              <a:gd name="connsiteX6" fmla="*/ 3291 w 250488"/>
              <a:gd name="connsiteY6" fmla="*/ 121401 h 288542"/>
              <a:gd name="connsiteX7" fmla="*/ 0 w 250488"/>
              <a:gd name="connsiteY7" fmla="*/ 288542 h 288542"/>
              <a:gd name="connsiteX0" fmla="*/ 0 w 250488"/>
              <a:gd name="connsiteY0" fmla="*/ 288542 h 288542"/>
              <a:gd name="connsiteX1" fmla="*/ 79110 w 250488"/>
              <a:gd name="connsiteY1" fmla="*/ 218977 h 288542"/>
              <a:gd name="connsiteX2" fmla="*/ 175782 w 250488"/>
              <a:gd name="connsiteY2" fmla="*/ 127000 h 288542"/>
              <a:gd name="connsiteX3" fmla="*/ 250488 w 250488"/>
              <a:gd name="connsiteY3" fmla="*/ 0 h 288542"/>
              <a:gd name="connsiteX4" fmla="*/ 145232 w 250488"/>
              <a:gd name="connsiteY4" fmla="*/ 55097 h 288542"/>
              <a:gd name="connsiteX5" fmla="*/ 55361 w 250488"/>
              <a:gd name="connsiteY5" fmla="*/ 96653 h 288542"/>
              <a:gd name="connsiteX6" fmla="*/ 3291 w 250488"/>
              <a:gd name="connsiteY6" fmla="*/ 121401 h 288542"/>
              <a:gd name="connsiteX7" fmla="*/ 0 w 250488"/>
              <a:gd name="connsiteY7" fmla="*/ 288542 h 288542"/>
              <a:gd name="connsiteX0" fmla="*/ 0 w 225901"/>
              <a:gd name="connsiteY0" fmla="*/ 275465 h 275465"/>
              <a:gd name="connsiteX1" fmla="*/ 79110 w 225901"/>
              <a:gd name="connsiteY1" fmla="*/ 205900 h 275465"/>
              <a:gd name="connsiteX2" fmla="*/ 175782 w 225901"/>
              <a:gd name="connsiteY2" fmla="*/ 113923 h 275465"/>
              <a:gd name="connsiteX3" fmla="*/ 225901 w 225901"/>
              <a:gd name="connsiteY3" fmla="*/ 0 h 275465"/>
              <a:gd name="connsiteX4" fmla="*/ 145232 w 225901"/>
              <a:gd name="connsiteY4" fmla="*/ 42020 h 275465"/>
              <a:gd name="connsiteX5" fmla="*/ 55361 w 225901"/>
              <a:gd name="connsiteY5" fmla="*/ 83576 h 275465"/>
              <a:gd name="connsiteX6" fmla="*/ 3291 w 225901"/>
              <a:gd name="connsiteY6" fmla="*/ 108324 h 275465"/>
              <a:gd name="connsiteX7" fmla="*/ 0 w 225901"/>
              <a:gd name="connsiteY7" fmla="*/ 275465 h 275465"/>
              <a:gd name="connsiteX0" fmla="*/ 0 w 225901"/>
              <a:gd name="connsiteY0" fmla="*/ 275465 h 275465"/>
              <a:gd name="connsiteX1" fmla="*/ 79110 w 225901"/>
              <a:gd name="connsiteY1" fmla="*/ 205900 h 275465"/>
              <a:gd name="connsiteX2" fmla="*/ 158220 w 225901"/>
              <a:gd name="connsiteY2" fmla="*/ 107385 h 275465"/>
              <a:gd name="connsiteX3" fmla="*/ 225901 w 225901"/>
              <a:gd name="connsiteY3" fmla="*/ 0 h 275465"/>
              <a:gd name="connsiteX4" fmla="*/ 145232 w 225901"/>
              <a:gd name="connsiteY4" fmla="*/ 42020 h 275465"/>
              <a:gd name="connsiteX5" fmla="*/ 55361 w 225901"/>
              <a:gd name="connsiteY5" fmla="*/ 83576 h 275465"/>
              <a:gd name="connsiteX6" fmla="*/ 3291 w 225901"/>
              <a:gd name="connsiteY6" fmla="*/ 108324 h 275465"/>
              <a:gd name="connsiteX7" fmla="*/ 0 w 225901"/>
              <a:gd name="connsiteY7" fmla="*/ 275465 h 275465"/>
              <a:gd name="connsiteX0" fmla="*/ 0 w 225901"/>
              <a:gd name="connsiteY0" fmla="*/ 275465 h 275465"/>
              <a:gd name="connsiteX1" fmla="*/ 51010 w 225901"/>
              <a:gd name="connsiteY1" fmla="*/ 199361 h 275465"/>
              <a:gd name="connsiteX2" fmla="*/ 158220 w 225901"/>
              <a:gd name="connsiteY2" fmla="*/ 107385 h 275465"/>
              <a:gd name="connsiteX3" fmla="*/ 225901 w 225901"/>
              <a:gd name="connsiteY3" fmla="*/ 0 h 275465"/>
              <a:gd name="connsiteX4" fmla="*/ 145232 w 225901"/>
              <a:gd name="connsiteY4" fmla="*/ 42020 h 275465"/>
              <a:gd name="connsiteX5" fmla="*/ 55361 w 225901"/>
              <a:gd name="connsiteY5" fmla="*/ 83576 h 275465"/>
              <a:gd name="connsiteX6" fmla="*/ 3291 w 225901"/>
              <a:gd name="connsiteY6" fmla="*/ 108324 h 275465"/>
              <a:gd name="connsiteX7" fmla="*/ 0 w 225901"/>
              <a:gd name="connsiteY7" fmla="*/ 275465 h 27546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225901" h="275465">
                <a:moveTo>
                  <a:pt x="0" y="275465"/>
                </a:moveTo>
                <a:lnTo>
                  <a:pt x="51010" y="199361"/>
                </a:lnTo>
                <a:lnTo>
                  <a:pt x="158220" y="107385"/>
                </a:lnTo>
                <a:lnTo>
                  <a:pt x="225901" y="0"/>
                </a:lnTo>
                <a:lnTo>
                  <a:pt x="145232" y="42020"/>
                </a:lnTo>
                <a:lnTo>
                  <a:pt x="55361" y="83576"/>
                </a:lnTo>
                <a:lnTo>
                  <a:pt x="3291" y="108324"/>
                </a:lnTo>
                <a:lnTo>
                  <a:pt x="0" y="275465"/>
                </a:lnTo>
                <a:close/>
              </a:path>
            </a:pathLst>
          </a:custGeom>
          <a:pattFill xmlns:a="http://schemas.openxmlformats.org/drawingml/2006/main" prst="ltUpDiag">
            <a:fgClr>
              <a:schemeClr val="bg2">
                <a:lumMod val="90000"/>
              </a:schemeClr>
            </a:fgClr>
            <a:bgClr>
              <a:schemeClr val="bg1"/>
            </a:bgClr>
          </a:patt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3" name="Freeform: Shape 2">
            <a:extLst xmlns:a="http://schemas.openxmlformats.org/drawingml/2006/main">
              <a:ext uri="{FF2B5EF4-FFF2-40B4-BE49-F238E27FC236}">
                <a16:creationId xmlns:a16="http://schemas.microsoft.com/office/drawing/2014/main" id="{581DFC1A-395A-43B4-AEDF-F26274595281}"/>
              </a:ext>
            </a:extLst>
          </cdr:cNvPr>
          <cdr:cNvSpPr/>
        </cdr:nvSpPr>
        <cdr:spPr>
          <a:xfrm xmlns:a="http://schemas.openxmlformats.org/drawingml/2006/main">
            <a:off x="1006482" y="809332"/>
            <a:ext cx="4577244" cy="1253895"/>
          </a:xfrm>
          <a:custGeom xmlns:a="http://schemas.openxmlformats.org/drawingml/2006/main">
            <a:avLst/>
            <a:gdLst>
              <a:gd name="connsiteX0" fmla="*/ 4572000 w 4572000"/>
              <a:gd name="connsiteY0" fmla="*/ 0 h 1232647"/>
              <a:gd name="connsiteX1" fmla="*/ 2159000 w 4572000"/>
              <a:gd name="connsiteY1" fmla="*/ 11206 h 1232647"/>
              <a:gd name="connsiteX2" fmla="*/ 1736911 w 4572000"/>
              <a:gd name="connsiteY2" fmla="*/ 44823 h 1232647"/>
              <a:gd name="connsiteX3" fmla="*/ 1408205 w 4572000"/>
              <a:gd name="connsiteY3" fmla="*/ 89647 h 1232647"/>
              <a:gd name="connsiteX4" fmla="*/ 1120588 w 4572000"/>
              <a:gd name="connsiteY4" fmla="*/ 153147 h 1232647"/>
              <a:gd name="connsiteX5" fmla="*/ 915147 w 4572000"/>
              <a:gd name="connsiteY5" fmla="*/ 227853 h 1232647"/>
              <a:gd name="connsiteX6" fmla="*/ 683558 w 4572000"/>
              <a:gd name="connsiteY6" fmla="*/ 358588 h 1232647"/>
              <a:gd name="connsiteX7" fmla="*/ 515470 w 4572000"/>
              <a:gd name="connsiteY7" fmla="*/ 478117 h 1232647"/>
              <a:gd name="connsiteX8" fmla="*/ 366058 w 4572000"/>
              <a:gd name="connsiteY8" fmla="*/ 623794 h 1232647"/>
              <a:gd name="connsiteX9" fmla="*/ 265205 w 4572000"/>
              <a:gd name="connsiteY9" fmla="*/ 758265 h 1232647"/>
              <a:gd name="connsiteX10" fmla="*/ 145676 w 4572000"/>
              <a:gd name="connsiteY10" fmla="*/ 974912 h 1232647"/>
              <a:gd name="connsiteX11" fmla="*/ 44823 w 4572000"/>
              <a:gd name="connsiteY11" fmla="*/ 1146735 h 1232647"/>
              <a:gd name="connsiteX12" fmla="*/ 0 w 4572000"/>
              <a:gd name="connsiteY12" fmla="*/ 1232647 h 1232647"/>
              <a:gd name="connsiteX13" fmla="*/ 127000 w 4572000"/>
              <a:gd name="connsiteY13" fmla="*/ 1199029 h 1232647"/>
              <a:gd name="connsiteX14" fmla="*/ 310029 w 4572000"/>
              <a:gd name="connsiteY14" fmla="*/ 1146735 h 1232647"/>
              <a:gd name="connsiteX15" fmla="*/ 590176 w 4572000"/>
              <a:gd name="connsiteY15" fmla="*/ 1083235 h 1232647"/>
              <a:gd name="connsiteX16" fmla="*/ 881529 w 4572000"/>
              <a:gd name="connsiteY16" fmla="*/ 1030941 h 1232647"/>
              <a:gd name="connsiteX17" fmla="*/ 1273735 w 4572000"/>
              <a:gd name="connsiteY17" fmla="*/ 982382 h 1232647"/>
              <a:gd name="connsiteX18" fmla="*/ 1949823 w 4572000"/>
              <a:gd name="connsiteY18" fmla="*/ 930088 h 1232647"/>
              <a:gd name="connsiteX19" fmla="*/ 2816411 w 4572000"/>
              <a:gd name="connsiteY19" fmla="*/ 892735 h 1232647"/>
              <a:gd name="connsiteX20" fmla="*/ 4557058 w 4572000"/>
              <a:gd name="connsiteY20" fmla="*/ 862853 h 1232647"/>
              <a:gd name="connsiteX21" fmla="*/ 4572000 w 4572000"/>
              <a:gd name="connsiteY21" fmla="*/ 0 h 123264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4572000" h="1232647">
                <a:moveTo>
                  <a:pt x="4572000" y="0"/>
                </a:moveTo>
                <a:lnTo>
                  <a:pt x="2159000" y="11206"/>
                </a:lnTo>
                <a:lnTo>
                  <a:pt x="1736911" y="44823"/>
                </a:lnTo>
                <a:lnTo>
                  <a:pt x="1408205" y="89647"/>
                </a:lnTo>
                <a:lnTo>
                  <a:pt x="1120588" y="153147"/>
                </a:lnTo>
                <a:lnTo>
                  <a:pt x="915147" y="227853"/>
                </a:lnTo>
                <a:lnTo>
                  <a:pt x="683558" y="358588"/>
                </a:lnTo>
                <a:lnTo>
                  <a:pt x="515470" y="478117"/>
                </a:lnTo>
                <a:lnTo>
                  <a:pt x="366058" y="623794"/>
                </a:lnTo>
                <a:lnTo>
                  <a:pt x="265205" y="758265"/>
                </a:lnTo>
                <a:lnTo>
                  <a:pt x="145676" y="974912"/>
                </a:lnTo>
                <a:lnTo>
                  <a:pt x="44823" y="1146735"/>
                </a:lnTo>
                <a:lnTo>
                  <a:pt x="0" y="1232647"/>
                </a:lnTo>
                <a:lnTo>
                  <a:pt x="127000" y="1199029"/>
                </a:lnTo>
                <a:lnTo>
                  <a:pt x="310029" y="1146735"/>
                </a:lnTo>
                <a:lnTo>
                  <a:pt x="590176" y="1083235"/>
                </a:lnTo>
                <a:lnTo>
                  <a:pt x="881529" y="1030941"/>
                </a:lnTo>
                <a:lnTo>
                  <a:pt x="1273735" y="982382"/>
                </a:lnTo>
                <a:lnTo>
                  <a:pt x="1949823" y="930088"/>
                </a:lnTo>
                <a:lnTo>
                  <a:pt x="2816411" y="892735"/>
                </a:lnTo>
                <a:lnTo>
                  <a:pt x="4557058" y="862853"/>
                </a:lnTo>
                <a:cubicBezTo>
                  <a:pt x="4559548" y="572745"/>
                  <a:pt x="4562039" y="282637"/>
                  <a:pt x="4572000" y="0"/>
                </a:cubicBezTo>
                <a:close/>
              </a:path>
            </a:pathLst>
          </a:custGeom>
          <a:pattFill xmlns:a="http://schemas.openxmlformats.org/drawingml/2006/main" prst="ltUpDiag">
            <a:fgClr>
              <a:schemeClr val="bg2">
                <a:lumMod val="75000"/>
              </a:schemeClr>
            </a:fgClr>
            <a:bgClr>
              <a:schemeClr val="bg1"/>
            </a:bgClr>
          </a:patt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n-US"/>
          </a:p>
        </cdr:txBody>
      </cdr:sp>
    </cdr:grp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0.11147</cdr:x>
      <cdr:y>0.09756</cdr:y>
    </cdr:from>
    <cdr:to>
      <cdr:x>0.97163</cdr:x>
      <cdr:y>0.74305</cdr:y>
    </cdr:to>
    <cdr:sp macro="" textlink="">
      <cdr:nvSpPr>
        <cdr:cNvPr id="2" name="Freeform: Shape 1">
          <a:extLst xmlns:a="http://schemas.openxmlformats.org/drawingml/2006/main">
            <a:ext uri="{FF2B5EF4-FFF2-40B4-BE49-F238E27FC236}">
              <a16:creationId xmlns:a16="http://schemas.microsoft.com/office/drawing/2014/main" id="{3E877B2F-06BE-40A9-A0A9-48194A0D7983}"/>
            </a:ext>
          </a:extLst>
        </cdr:cNvPr>
        <cdr:cNvSpPr/>
      </cdr:nvSpPr>
      <cdr:spPr>
        <a:xfrm xmlns:a="http://schemas.openxmlformats.org/drawingml/2006/main">
          <a:off x="671286" y="282424"/>
          <a:ext cx="5179785" cy="1868715"/>
        </a:xfrm>
        <a:custGeom xmlns:a="http://schemas.openxmlformats.org/drawingml/2006/main">
          <a:avLst/>
          <a:gdLst>
            <a:gd name="connsiteX0" fmla="*/ 0 w 5179785"/>
            <a:gd name="connsiteY0" fmla="*/ 1832429 h 1832429"/>
            <a:gd name="connsiteX1" fmla="*/ 553357 w 5179785"/>
            <a:gd name="connsiteY1" fmla="*/ 1605643 h 1832429"/>
            <a:gd name="connsiteX2" fmla="*/ 1102178 w 5179785"/>
            <a:gd name="connsiteY2" fmla="*/ 1397000 h 1832429"/>
            <a:gd name="connsiteX3" fmla="*/ 1855107 w 5179785"/>
            <a:gd name="connsiteY3" fmla="*/ 1133929 h 1832429"/>
            <a:gd name="connsiteX4" fmla="*/ 2993571 w 5179785"/>
            <a:gd name="connsiteY4" fmla="*/ 734786 h 1832429"/>
            <a:gd name="connsiteX5" fmla="*/ 3968750 w 5179785"/>
            <a:gd name="connsiteY5" fmla="*/ 408214 h 1832429"/>
            <a:gd name="connsiteX6" fmla="*/ 4844143 w 5179785"/>
            <a:gd name="connsiteY6" fmla="*/ 117929 h 1832429"/>
            <a:gd name="connsiteX7" fmla="*/ 5179785 w 5179785"/>
            <a:gd name="connsiteY7" fmla="*/ 0 h 1832429"/>
            <a:gd name="connsiteX8" fmla="*/ 5179785 w 5179785"/>
            <a:gd name="connsiteY8" fmla="*/ 226786 h 1832429"/>
            <a:gd name="connsiteX9" fmla="*/ 3832678 w 5179785"/>
            <a:gd name="connsiteY9" fmla="*/ 648607 h 1832429"/>
            <a:gd name="connsiteX10" fmla="*/ 2698750 w 5179785"/>
            <a:gd name="connsiteY10" fmla="*/ 1002393 h 1832429"/>
            <a:gd name="connsiteX11" fmla="*/ 1805214 w 5179785"/>
            <a:gd name="connsiteY11" fmla="*/ 1283607 h 1832429"/>
            <a:gd name="connsiteX12" fmla="*/ 957035 w 5179785"/>
            <a:gd name="connsiteY12" fmla="*/ 1560286 h 1832429"/>
            <a:gd name="connsiteX13" fmla="*/ 267607 w 5179785"/>
            <a:gd name="connsiteY13" fmla="*/ 1787072 h 1832429"/>
            <a:gd name="connsiteX14" fmla="*/ 0 w 5179785"/>
            <a:gd name="connsiteY14" fmla="*/ 1832429 h 1832429"/>
            <a:gd name="connsiteX0" fmla="*/ 0 w 5179785"/>
            <a:gd name="connsiteY0" fmla="*/ 1832429 h 1882322"/>
            <a:gd name="connsiteX1" fmla="*/ 553357 w 5179785"/>
            <a:gd name="connsiteY1" fmla="*/ 1605643 h 1882322"/>
            <a:gd name="connsiteX2" fmla="*/ 1102178 w 5179785"/>
            <a:gd name="connsiteY2" fmla="*/ 1397000 h 1882322"/>
            <a:gd name="connsiteX3" fmla="*/ 1855107 w 5179785"/>
            <a:gd name="connsiteY3" fmla="*/ 1133929 h 1882322"/>
            <a:gd name="connsiteX4" fmla="*/ 2993571 w 5179785"/>
            <a:gd name="connsiteY4" fmla="*/ 734786 h 1882322"/>
            <a:gd name="connsiteX5" fmla="*/ 3968750 w 5179785"/>
            <a:gd name="connsiteY5" fmla="*/ 408214 h 1882322"/>
            <a:gd name="connsiteX6" fmla="*/ 4844143 w 5179785"/>
            <a:gd name="connsiteY6" fmla="*/ 117929 h 1882322"/>
            <a:gd name="connsiteX7" fmla="*/ 5179785 w 5179785"/>
            <a:gd name="connsiteY7" fmla="*/ 0 h 1882322"/>
            <a:gd name="connsiteX8" fmla="*/ 5179785 w 5179785"/>
            <a:gd name="connsiteY8" fmla="*/ 226786 h 1882322"/>
            <a:gd name="connsiteX9" fmla="*/ 3832678 w 5179785"/>
            <a:gd name="connsiteY9" fmla="*/ 648607 h 1882322"/>
            <a:gd name="connsiteX10" fmla="*/ 2698750 w 5179785"/>
            <a:gd name="connsiteY10" fmla="*/ 1002393 h 1882322"/>
            <a:gd name="connsiteX11" fmla="*/ 1805214 w 5179785"/>
            <a:gd name="connsiteY11" fmla="*/ 1283607 h 1882322"/>
            <a:gd name="connsiteX12" fmla="*/ 957035 w 5179785"/>
            <a:gd name="connsiteY12" fmla="*/ 1560286 h 1882322"/>
            <a:gd name="connsiteX13" fmla="*/ 18143 w 5179785"/>
            <a:gd name="connsiteY13" fmla="*/ 1882322 h 1882322"/>
            <a:gd name="connsiteX14" fmla="*/ 0 w 5179785"/>
            <a:gd name="connsiteY14" fmla="*/ 1832429 h 1882322"/>
            <a:gd name="connsiteX0" fmla="*/ 0 w 5179785"/>
            <a:gd name="connsiteY0" fmla="*/ 1832429 h 1868715"/>
            <a:gd name="connsiteX1" fmla="*/ 553357 w 5179785"/>
            <a:gd name="connsiteY1" fmla="*/ 1605643 h 1868715"/>
            <a:gd name="connsiteX2" fmla="*/ 1102178 w 5179785"/>
            <a:gd name="connsiteY2" fmla="*/ 1397000 h 1868715"/>
            <a:gd name="connsiteX3" fmla="*/ 1855107 w 5179785"/>
            <a:gd name="connsiteY3" fmla="*/ 1133929 h 1868715"/>
            <a:gd name="connsiteX4" fmla="*/ 2993571 w 5179785"/>
            <a:gd name="connsiteY4" fmla="*/ 734786 h 1868715"/>
            <a:gd name="connsiteX5" fmla="*/ 3968750 w 5179785"/>
            <a:gd name="connsiteY5" fmla="*/ 408214 h 1868715"/>
            <a:gd name="connsiteX6" fmla="*/ 4844143 w 5179785"/>
            <a:gd name="connsiteY6" fmla="*/ 117929 h 1868715"/>
            <a:gd name="connsiteX7" fmla="*/ 5179785 w 5179785"/>
            <a:gd name="connsiteY7" fmla="*/ 0 h 1868715"/>
            <a:gd name="connsiteX8" fmla="*/ 5179785 w 5179785"/>
            <a:gd name="connsiteY8" fmla="*/ 226786 h 1868715"/>
            <a:gd name="connsiteX9" fmla="*/ 3832678 w 5179785"/>
            <a:gd name="connsiteY9" fmla="*/ 648607 h 1868715"/>
            <a:gd name="connsiteX10" fmla="*/ 2698750 w 5179785"/>
            <a:gd name="connsiteY10" fmla="*/ 1002393 h 1868715"/>
            <a:gd name="connsiteX11" fmla="*/ 1805214 w 5179785"/>
            <a:gd name="connsiteY11" fmla="*/ 1283607 h 1868715"/>
            <a:gd name="connsiteX12" fmla="*/ 957035 w 5179785"/>
            <a:gd name="connsiteY12" fmla="*/ 1560286 h 1868715"/>
            <a:gd name="connsiteX13" fmla="*/ 18143 w 5179785"/>
            <a:gd name="connsiteY13" fmla="*/ 1868715 h 1868715"/>
            <a:gd name="connsiteX14" fmla="*/ 0 w 5179785"/>
            <a:gd name="connsiteY14" fmla="*/ 1832429 h 18687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5179785" h="1868715">
              <a:moveTo>
                <a:pt x="0" y="1832429"/>
              </a:moveTo>
              <a:lnTo>
                <a:pt x="553357" y="1605643"/>
              </a:lnTo>
              <a:lnTo>
                <a:pt x="1102178" y="1397000"/>
              </a:lnTo>
              <a:lnTo>
                <a:pt x="1855107" y="1133929"/>
              </a:lnTo>
              <a:lnTo>
                <a:pt x="2993571" y="734786"/>
              </a:lnTo>
              <a:lnTo>
                <a:pt x="3968750" y="408214"/>
              </a:lnTo>
              <a:lnTo>
                <a:pt x="4844143" y="117929"/>
              </a:lnTo>
              <a:lnTo>
                <a:pt x="5179785" y="0"/>
              </a:lnTo>
              <a:lnTo>
                <a:pt x="5179785" y="226786"/>
              </a:lnTo>
              <a:lnTo>
                <a:pt x="3832678" y="648607"/>
              </a:lnTo>
              <a:lnTo>
                <a:pt x="2698750" y="1002393"/>
              </a:lnTo>
              <a:lnTo>
                <a:pt x="1805214" y="1283607"/>
              </a:lnTo>
              <a:lnTo>
                <a:pt x="957035" y="1560286"/>
              </a:lnTo>
              <a:lnTo>
                <a:pt x="18143" y="1868715"/>
              </a:lnTo>
              <a:lnTo>
                <a:pt x="0" y="1832429"/>
              </a:lnTo>
              <a:close/>
            </a:path>
          </a:pathLst>
        </a:custGeom>
        <a:pattFill xmlns:a="http://schemas.openxmlformats.org/drawingml/2006/main" prst="ltUpDiag">
          <a:fgClr>
            <a:schemeClr val="bg2">
              <a:lumMod val="75000"/>
            </a:schemeClr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396875</xdr:colOff>
      <xdr:row>1</xdr:row>
      <xdr:rowOff>25400</xdr:rowOff>
    </xdr:from>
    <xdr:ext cx="2259914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7FC37557-727C-4523-B450-634C30D5227D}"/>
                </a:ext>
              </a:extLst>
            </xdr:cNvPr>
            <xdr:cNvSpPr txBox="1"/>
          </xdr:nvSpPr>
          <xdr:spPr>
            <a:xfrm>
              <a:off x="10245725" y="209550"/>
              <a:ext cx="2259914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𝛽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</m:num>
                      <m:den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𝜎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+</m:t>
                    </m:r>
                    <m:rad>
                      <m:radPr>
                        <m:degHide m:val="on"/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begChr m:val="["/>
                                <m:endChr m:val="]"/>
                                <m:ctrlP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𝑟</m:t>
                                    </m:r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𝛿</m:t>
                                    </m:r>
                                  </m:num>
                                  <m:den>
                                    <m:sSup>
                                      <m:sSupPr>
                                        <m:ctrlP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𝜎</m:t>
                                        </m:r>
                                      </m:e>
                                      <m:sup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2</m:t>
                                        </m:r>
                                      </m:sup>
                                    </m:sSup>
                                  </m:den>
                                </m:f>
                                <m: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</m:t>
                                    </m:r>
                                  </m:num>
                                  <m:den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</m:t>
                                    </m:r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</m:num>
                          <m:den>
                            <m:sSup>
                              <m:s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𝜎</m:t>
                                </m:r>
                              </m:e>
                              <m:sup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den>
                        </m:f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7FC37557-727C-4523-B450-634C30D5227D}"/>
                </a:ext>
              </a:extLst>
            </xdr:cNvPr>
            <xdr:cNvSpPr txBox="1"/>
          </xdr:nvSpPr>
          <xdr:spPr>
            <a:xfrm>
              <a:off x="10245725" y="209550"/>
              <a:ext cx="2259914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1=1/2−(𝑟−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𝛿)/𝜎^</a:t>
              </a:r>
              <a:r>
                <a:rPr lang="es-MX" sz="1100" b="0" i="0">
                  <a:latin typeface="Cambria Math" panose="02040503050406030204" pitchFamily="18" charset="0"/>
                </a:rPr>
                <a:t>2 +√(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[(𝑟−𝛿)/𝜎^2 −1/2]^</a:t>
              </a:r>
              <a:r>
                <a:rPr lang="es-MX" sz="1100" b="0" i="0">
                  <a:latin typeface="Cambria Math" panose="02040503050406030204" pitchFamily="18" charset="0"/>
                </a:rPr>
                <a:t>2+2𝑟/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𝜎^</a:t>
              </a:r>
              <a:r>
                <a:rPr lang="es-MX" sz="1100" b="0" i="0">
                  <a:latin typeface="Cambria Math" panose="02040503050406030204" pitchFamily="18" charset="0"/>
                </a:rPr>
                <a:t>2 )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6350</xdr:colOff>
      <xdr:row>21</xdr:row>
      <xdr:rowOff>127000</xdr:rowOff>
    </xdr:from>
    <xdr:ext cx="2647950" cy="3168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AEF7AE2-8B0A-413F-8DFF-A83CF362A96F}"/>
                </a:ext>
              </a:extLst>
            </xdr:cNvPr>
            <xdr:cNvSpPr txBox="1"/>
          </xdr:nvSpPr>
          <xdr:spPr>
            <a:xfrm>
              <a:off x="10464800" y="3810000"/>
              <a:ext cx="2647950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𝐹</m:t>
                    </m:r>
                    <m:d>
                      <m:d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</m:d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b>
                    </m:sSub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p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𝜕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𝑖𝑓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𝑃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≥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𝑐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AEF7AE2-8B0A-413F-8DFF-A83CF362A96F}"/>
                </a:ext>
              </a:extLst>
            </xdr:cNvPr>
            <xdr:cNvSpPr txBox="1"/>
          </xdr:nvSpPr>
          <xdr:spPr>
            <a:xfrm>
              <a:off x="10464800" y="3810000"/>
              <a:ext cx="2647950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𝐹(𝑉)=𝐴_2 𝑃^(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𝛽_2 )</a:t>
              </a:r>
              <a:r>
                <a:rPr lang="es-MX" sz="1100" b="0" i="0">
                  <a:latin typeface="Cambria Math" panose="02040503050406030204" pitchFamily="18" charset="0"/>
                </a:rPr>
                <a:t>+𝑃/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𝜕</a:t>
              </a:r>
              <a:r>
                <a:rPr lang="es-MX" sz="1100" b="0" i="0">
                  <a:latin typeface="Cambria Math" panose="02040503050406030204" pitchFamily="18" charset="0"/>
                </a:rPr>
                <a:t>−𝑐/𝑟  𝑖𝑓 𝑃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≥𝑐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17</xdr:col>
      <xdr:colOff>114300</xdr:colOff>
      <xdr:row>4</xdr:row>
      <xdr:rowOff>107950</xdr:rowOff>
    </xdr:from>
    <xdr:ext cx="2298257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9EFDB2B5-EDFA-4845-A678-DEDB7BFF080E}"/>
                </a:ext>
              </a:extLst>
            </xdr:cNvPr>
            <xdr:cNvSpPr txBox="1"/>
          </xdr:nvSpPr>
          <xdr:spPr>
            <a:xfrm>
              <a:off x="12401550" y="660400"/>
              <a:ext cx="2298257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𝛽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</m:num>
                      <m:den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𝜎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rad>
                      <m:radPr>
                        <m:degHide m:val="on"/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begChr m:val="["/>
                                <m:endChr m:val="]"/>
                                <m:ctrlP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𝑟</m:t>
                                    </m:r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𝛿</m:t>
                                    </m:r>
                                  </m:num>
                                  <m:den>
                                    <m:sSup>
                                      <m:sSupPr>
                                        <m:ctrlP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𝜎</m:t>
                                        </m:r>
                                      </m:e>
                                      <m:sup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2</m:t>
                                        </m:r>
                                      </m:sup>
                                    </m:sSup>
                                  </m:den>
                                </m:f>
                                <m: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</m:t>
                                    </m:r>
                                  </m:num>
                                  <m:den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</m:t>
                                    </m:r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</m:num>
                          <m:den>
                            <m:sSup>
                              <m:s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𝜎</m:t>
                                </m:r>
                              </m:e>
                              <m:sup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den>
                        </m:f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9EFDB2B5-EDFA-4845-A678-DEDB7BFF080E}"/>
                </a:ext>
              </a:extLst>
            </xdr:cNvPr>
            <xdr:cNvSpPr txBox="1"/>
          </xdr:nvSpPr>
          <xdr:spPr>
            <a:xfrm>
              <a:off x="12401550" y="660400"/>
              <a:ext cx="2298257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2</a:t>
              </a:r>
              <a:r>
                <a:rPr lang="es-MX" sz="1100" b="0" i="0">
                  <a:latin typeface="Cambria Math" panose="02040503050406030204" pitchFamily="18" charset="0"/>
                </a:rPr>
                <a:t>=1/2−(𝑟−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𝛿)/𝜎^</a:t>
              </a:r>
              <a:r>
                <a:rPr lang="es-MX" sz="1100" b="0" i="0">
                  <a:latin typeface="Cambria Math" panose="02040503050406030204" pitchFamily="18" charset="0"/>
                </a:rPr>
                <a:t>2 −√(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[(𝑟−𝛿)/𝜎^2 −1/2]^</a:t>
              </a:r>
              <a:r>
                <a:rPr lang="es-MX" sz="1100" b="0" i="0">
                  <a:latin typeface="Cambria Math" panose="02040503050406030204" pitchFamily="18" charset="0"/>
                </a:rPr>
                <a:t>2+2𝑟/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𝜎^</a:t>
              </a:r>
              <a:r>
                <a:rPr lang="es-MX" sz="1100" b="0" i="0">
                  <a:latin typeface="Cambria Math" panose="02040503050406030204" pitchFamily="18" charset="0"/>
                </a:rPr>
                <a:t>2 )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323850</xdr:colOff>
      <xdr:row>19</xdr:row>
      <xdr:rowOff>82550</xdr:rowOff>
    </xdr:from>
    <xdr:ext cx="1708150" cy="1837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8B152087-B221-4BFC-BB4C-D25A272429CB}"/>
                </a:ext>
              </a:extLst>
            </xdr:cNvPr>
            <xdr:cNvSpPr txBox="1"/>
          </xdr:nvSpPr>
          <xdr:spPr>
            <a:xfrm>
              <a:off x="10782300" y="3397250"/>
              <a:ext cx="1708150" cy="1837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𝐹</m:t>
                    </m:r>
                    <m:d>
                      <m:d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</m:d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p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𝑖𝑓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𝑃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&lt;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𝑐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8B152087-B221-4BFC-BB4C-D25A272429CB}"/>
                </a:ext>
              </a:extLst>
            </xdr:cNvPr>
            <xdr:cNvSpPr txBox="1"/>
          </xdr:nvSpPr>
          <xdr:spPr>
            <a:xfrm>
              <a:off x="10782300" y="3397250"/>
              <a:ext cx="1708150" cy="1837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𝐹(𝑉)=𝐴_1 𝑃^(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1 )  𝑖𝑓 𝑃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&lt;𝑐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434975</xdr:colOff>
      <xdr:row>8</xdr:row>
      <xdr:rowOff>69850</xdr:rowOff>
    </xdr:from>
    <xdr:ext cx="1593257" cy="3570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77013E3A-39E5-4EE6-AADF-0A88B06D6CC0}"/>
                </a:ext>
              </a:extLst>
            </xdr:cNvPr>
            <xdr:cNvSpPr txBox="1"/>
          </xdr:nvSpPr>
          <xdr:spPr>
            <a:xfrm>
              <a:off x="10893425" y="1358900"/>
              <a:ext cx="1593257" cy="3570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𝛿</m:t>
                            </m:r>
                          </m:e>
                        </m:d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</m:den>
                    </m:f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sup>
                    </m:sSup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77013E3A-39E5-4EE6-AADF-0A88B06D6CC0}"/>
                </a:ext>
              </a:extLst>
            </xdr:cNvPr>
            <xdr:cNvSpPr txBox="1"/>
          </xdr:nvSpPr>
          <xdr:spPr>
            <a:xfrm>
              <a:off x="10893425" y="1358900"/>
              <a:ext cx="1593257" cy="3570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𝐴</a:t>
              </a:r>
              <a:r>
                <a:rPr lang="en-US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1=(𝑟−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2 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𝛿))/</a:t>
              </a:r>
              <a:r>
                <a:rPr lang="es-MX" sz="1100" b="0" i="0">
                  <a:latin typeface="Cambria Math" panose="02040503050406030204" pitchFamily="18" charset="0"/>
                </a:rPr>
                <a:t>𝑟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𝛿(𝛽_1−𝛽_2 )  </a:t>
              </a:r>
              <a:r>
                <a:rPr lang="es-MX" sz="1100" b="0" i="0">
                  <a:latin typeface="Cambria Math" panose="02040503050406030204" pitchFamily="18" charset="0"/>
                </a:rPr>
                <a:t>𝑐^(1−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1 )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425450</xdr:colOff>
      <xdr:row>11</xdr:row>
      <xdr:rowOff>82550</xdr:rowOff>
    </xdr:from>
    <xdr:ext cx="1593257" cy="3570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488A91F3-F8C7-4D84-BA98-D79F2F878777}"/>
                </a:ext>
              </a:extLst>
            </xdr:cNvPr>
            <xdr:cNvSpPr txBox="1"/>
          </xdr:nvSpPr>
          <xdr:spPr>
            <a:xfrm>
              <a:off x="10883900" y="1924050"/>
              <a:ext cx="1593257" cy="3570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𝛿</m:t>
                            </m:r>
                          </m:e>
                        </m:d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</m:den>
                    </m:f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sup>
                    </m:sSup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488A91F3-F8C7-4D84-BA98-D79F2F878777}"/>
                </a:ext>
              </a:extLst>
            </xdr:cNvPr>
            <xdr:cNvSpPr txBox="1"/>
          </xdr:nvSpPr>
          <xdr:spPr>
            <a:xfrm>
              <a:off x="10883900" y="1924050"/>
              <a:ext cx="1593257" cy="3570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𝐴</a:t>
              </a:r>
              <a:r>
                <a:rPr lang="en-US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2=(𝑟−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 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𝛿))/</a:t>
              </a:r>
              <a:r>
                <a:rPr lang="es-MX" sz="1100" b="0" i="0">
                  <a:latin typeface="Cambria Math" panose="02040503050406030204" pitchFamily="18" charset="0"/>
                </a:rPr>
                <a:t>𝑟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𝛿(𝛽_1−𝛽_2 )  </a:t>
              </a:r>
              <a:r>
                <a:rPr lang="es-MX" sz="1100" b="0" i="0">
                  <a:latin typeface="Cambria Math" panose="02040503050406030204" pitchFamily="18" charset="0"/>
                </a:rPr>
                <a:t>𝑐^(1−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2 )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488950</xdr:colOff>
      <xdr:row>25</xdr:row>
      <xdr:rowOff>82550</xdr:rowOff>
    </xdr:from>
    <xdr:ext cx="2647950" cy="3611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19E03FFD-E62C-4721-9B44-E38FB0720709}"/>
                </a:ext>
              </a:extLst>
            </xdr:cNvPr>
            <xdr:cNvSpPr txBox="1"/>
          </xdr:nvSpPr>
          <xdr:spPr>
            <a:xfrm>
              <a:off x="14947900" y="4502150"/>
              <a:ext cx="2647950" cy="3611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</m:num>
                      <m:den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den>
                    </m:f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p>
                              <m:s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𝑃</m:t>
                                </m:r>
                              </m:e>
                              <m:sup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∗</m:t>
                                </m:r>
                              </m:sup>
                            </m:sSup>
                          </m:e>
                        </m:d>
                      </m:e>
                      <m:sup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−1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den>
                    </m:f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∗</m:t>
                        </m:r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𝐼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=0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19E03FFD-E62C-4721-9B44-E38FB0720709}"/>
                </a:ext>
              </a:extLst>
            </xdr:cNvPr>
            <xdr:cNvSpPr txBox="1"/>
          </xdr:nvSpPr>
          <xdr:spPr>
            <a:xfrm>
              <a:off x="14947900" y="4502150"/>
              <a:ext cx="2647950" cy="3611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(𝐴_2 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2 ))/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  (𝑃^∗ )^(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2 )+(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1−1)/(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𝛿𝛽_1 ) </a:t>
              </a:r>
              <a:r>
                <a:rPr lang="es-MX" sz="1100" b="0" i="0">
                  <a:latin typeface="Cambria Math" panose="02040503050406030204" pitchFamily="18" charset="0"/>
                </a:rPr>
                <a:t>𝑃^∗−𝑐/𝑟−𝐼=0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0</xdr:colOff>
      <xdr:row>30</xdr:row>
      <xdr:rowOff>0</xdr:rowOff>
    </xdr:from>
    <xdr:ext cx="2647950" cy="4582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C3AADA65-FC75-44F0-8F13-93084771F801}"/>
                </a:ext>
              </a:extLst>
            </xdr:cNvPr>
            <xdr:cNvSpPr txBox="1"/>
          </xdr:nvSpPr>
          <xdr:spPr>
            <a:xfrm>
              <a:off x="10458450" y="5340350"/>
              <a:ext cx="2647950" cy="4582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∗</m:t>
                        </m:r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𝑐</m:t>
                                </m:r>
                              </m:num>
                              <m:den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𝑟</m:t>
                                </m:r>
                              </m:den>
                            </m:f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𝐼</m:t>
                            </m:r>
                          </m:e>
                        </m:d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𝐴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sSup>
                              <m:s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𝑃</m:t>
                                </m:r>
                              </m:e>
                              <m:sup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∗</m:t>
                                </m:r>
                              </m:sup>
                            </m:sSup>
                          </m:e>
                          <m:sup>
                            <m:sSubSup>
                              <m:sSub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  <m:sup/>
                            </m:sSubSup>
                          </m:sup>
                        </m:sSup>
                      </m:num>
                      <m:den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−1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C3AADA65-FC75-44F0-8F13-93084771F801}"/>
                </a:ext>
              </a:extLst>
            </xdr:cNvPr>
            <xdr:cNvSpPr txBox="1"/>
          </xdr:nvSpPr>
          <xdr:spPr>
            <a:xfrm>
              <a:off x="10458450" y="5340350"/>
              <a:ext cx="2647950" cy="4582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𝑃^∗=(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𝛿𝛽_1 (𝑐/𝑟+𝐼)−𝐴_2 𝛿(𝛽_1−𝛽_2 ) 〖𝑃^∗〗^(𝛽_</a:t>
              </a:r>
              <a:r>
                <a:rPr lang="es-MX" b="0" i="0">
                  <a:latin typeface="Cambria Math" panose="02040503050406030204" pitchFamily="18" charset="0"/>
                </a:rPr>
                <a:t>2</a:t>
              </a:r>
              <a:r>
                <a:rPr lang="en-US" b="0" i="0">
                  <a:latin typeface="Cambria Math" panose="02040503050406030204" pitchFamily="18" charset="0"/>
                </a:rPr>
                <a:t>^ 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 ))/(𝛽_</a:t>
              </a:r>
              <a:r>
                <a:rPr lang="es-MX" sz="1100" b="0" i="0">
                  <a:latin typeface="Cambria Math" panose="02040503050406030204" pitchFamily="18" charset="0"/>
                </a:rPr>
                <a:t>1−1)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</xdr:row>
      <xdr:rowOff>30480</xdr:rowOff>
    </xdr:from>
    <xdr:to>
      <xdr:col>9</xdr:col>
      <xdr:colOff>406400</xdr:colOff>
      <xdr:row>17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307038-B8A4-4793-B610-375F0ED734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36285</xdr:colOff>
      <xdr:row>1</xdr:row>
      <xdr:rowOff>154214</xdr:rowOff>
    </xdr:from>
    <xdr:to>
      <xdr:col>19</xdr:col>
      <xdr:colOff>263070</xdr:colOff>
      <xdr:row>16</xdr:row>
      <xdr:rowOff>145143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4FF0C3-8E8F-430F-A09B-CCBADC492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18</xdr:row>
      <xdr:rowOff>172358</xdr:rowOff>
    </xdr:from>
    <xdr:to>
      <xdr:col>9</xdr:col>
      <xdr:colOff>290286</xdr:colOff>
      <xdr:row>33</xdr:row>
      <xdr:rowOff>163286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DCDE5D-CB55-43D2-B860-883AED05F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90714</xdr:colOff>
      <xdr:row>18</xdr:row>
      <xdr:rowOff>72571</xdr:rowOff>
    </xdr:from>
    <xdr:to>
      <xdr:col>19</xdr:col>
      <xdr:colOff>371927</xdr:colOff>
      <xdr:row>34</xdr:row>
      <xdr:rowOff>172357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183108-5AA1-44ED-85AC-1D032024C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34</xdr:row>
      <xdr:rowOff>36286</xdr:rowOff>
    </xdr:from>
    <xdr:to>
      <xdr:col>9</xdr:col>
      <xdr:colOff>462643</xdr:colOff>
      <xdr:row>53</xdr:row>
      <xdr:rowOff>136072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597CBE0-BF72-41D7-BC70-947DAACF1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37</xdr:row>
      <xdr:rowOff>0</xdr:rowOff>
    </xdr:from>
    <xdr:to>
      <xdr:col>19</xdr:col>
      <xdr:colOff>226785</xdr:colOff>
      <xdr:row>51</xdr:row>
      <xdr:rowOff>172357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6DA2AE2-E045-4962-A146-248C55DF1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167641</xdr:colOff>
      <xdr:row>0</xdr:row>
      <xdr:rowOff>45357</xdr:rowOff>
    </xdr:from>
    <xdr:to>
      <xdr:col>9</xdr:col>
      <xdr:colOff>423333</xdr:colOff>
      <xdr:row>17</xdr:row>
      <xdr:rowOff>10584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91DD71-D712-4707-8864-7E26EB411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309941</xdr:colOff>
      <xdr:row>18</xdr:row>
      <xdr:rowOff>31749</xdr:rowOff>
    </xdr:from>
    <xdr:to>
      <xdr:col>9</xdr:col>
      <xdr:colOff>603251</xdr:colOff>
      <xdr:row>32</xdr:row>
      <xdr:rowOff>126999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572F25-B53B-4A63-8F5D-B806DE48D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75</xdr:row>
      <xdr:rowOff>63501</xdr:rowOff>
    </xdr:from>
    <xdr:to>
      <xdr:col>7</xdr:col>
      <xdr:colOff>476250</xdr:colOff>
      <xdr:row>94</xdr:row>
      <xdr:rowOff>105832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9B1BFEA-8775-4E33-B448-04B15936D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99</xdr:row>
      <xdr:rowOff>116418</xdr:rowOff>
    </xdr:from>
    <xdr:to>
      <xdr:col>9</xdr:col>
      <xdr:colOff>338667</xdr:colOff>
      <xdr:row>116</xdr:row>
      <xdr:rowOff>10584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AB881E-2048-4CF0-9BFE-9B379603BD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34</xdr:row>
      <xdr:rowOff>6049</xdr:rowOff>
    </xdr:from>
    <xdr:to>
      <xdr:col>7</xdr:col>
      <xdr:colOff>464154</xdr:colOff>
      <xdr:row>53</xdr:row>
      <xdr:rowOff>10585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C4DB2A-8B9D-44F2-A47E-CA357A9BC8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55</xdr:row>
      <xdr:rowOff>2</xdr:rowOff>
    </xdr:from>
    <xdr:to>
      <xdr:col>7</xdr:col>
      <xdr:colOff>455084</xdr:colOff>
      <xdr:row>74</xdr:row>
      <xdr:rowOff>21168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795A301-701B-4BA3-B51B-AC6D45EA1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0.29218</cdr:x>
      <cdr:y>0.87308</cdr:y>
    </cdr:from>
    <cdr:to>
      <cdr:x>0.33436</cdr:x>
      <cdr:y>0.91564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2B384A-2EEE-4E21-9B9C-2502E37777D3}"/>
            </a:ext>
          </a:extLst>
        </cdr:cNvPr>
        <cdr:cNvSpPr txBox="1"/>
      </cdr:nvSpPr>
      <cdr:spPr>
        <a:xfrm xmlns:a="http://schemas.openxmlformats.org/drawingml/2006/main">
          <a:off x="2576285" y="5757887"/>
          <a:ext cx="371929" cy="280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0.55247</cdr:x>
      <cdr:y>0.8707</cdr:y>
    </cdr:from>
    <cdr:to>
      <cdr:x>0.60802</cdr:x>
      <cdr:y>0.90922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AB6A411-0B92-489A-9A6B-D3BFC73E087A}"/>
            </a:ext>
          </a:extLst>
        </cdr:cNvPr>
        <cdr:cNvSpPr txBox="1"/>
      </cdr:nvSpPr>
      <cdr:spPr>
        <a:xfrm xmlns:a="http://schemas.openxmlformats.org/drawingml/2006/main">
          <a:off x="4871357" y="5742214"/>
          <a:ext cx="489857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10%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0.84979</cdr:x>
      <cdr:y>0.86795</cdr:y>
    </cdr:from>
    <cdr:to>
      <cdr:x>0.90123</cdr:x>
      <cdr:y>0.91334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675735B3-0FB2-4DAD-9F18-09BCC63E4296}"/>
            </a:ext>
          </a:extLst>
        </cdr:cNvPr>
        <cdr:cNvSpPr txBox="1"/>
      </cdr:nvSpPr>
      <cdr:spPr>
        <a:xfrm xmlns:a="http://schemas.openxmlformats.org/drawingml/2006/main">
          <a:off x="7493000" y="5724072"/>
          <a:ext cx="453571" cy="299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0.47016</cdr:x>
      <cdr:y>0.01651</cdr:y>
    </cdr:from>
    <cdr:to>
      <cdr:x>0.65535</cdr:x>
      <cdr:y>0.09216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6E3EBB8A-C56B-4BB7-AD4A-39174B737D59}"/>
            </a:ext>
          </a:extLst>
        </cdr:cNvPr>
        <cdr:cNvSpPr txBox="1"/>
      </cdr:nvSpPr>
      <cdr:spPr>
        <a:xfrm xmlns:a="http://schemas.openxmlformats.org/drawingml/2006/main">
          <a:off x="4145642" y="108858"/>
          <a:ext cx="1632857" cy="498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SCENARIO 3</a:t>
          </a:r>
          <a:endParaRPr lang="en-US" sz="5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0.28107</cdr:x>
      <cdr:y>0.85476</cdr:y>
    </cdr:from>
    <cdr:to>
      <cdr:x>0.32325</cdr:x>
      <cdr:y>0.89732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2B384A-2EEE-4E21-9B9C-2502E37777D3}"/>
            </a:ext>
          </a:extLst>
        </cdr:cNvPr>
        <cdr:cNvSpPr txBox="1"/>
      </cdr:nvSpPr>
      <cdr:spPr>
        <a:xfrm xmlns:a="http://schemas.openxmlformats.org/drawingml/2006/main">
          <a:off x="1338148" y="2961971"/>
          <a:ext cx="200819" cy="147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0.54136</cdr:x>
      <cdr:y>0.85238</cdr:y>
    </cdr:from>
    <cdr:to>
      <cdr:x>0.59691</cdr:x>
      <cdr:y>0.8909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AB6A411-0B92-489A-9A6B-D3BFC73E087A}"/>
            </a:ext>
          </a:extLst>
        </cdr:cNvPr>
        <cdr:cNvSpPr txBox="1"/>
      </cdr:nvSpPr>
      <cdr:spPr>
        <a:xfrm xmlns:a="http://schemas.openxmlformats.org/drawingml/2006/main">
          <a:off x="2577385" y="2953724"/>
          <a:ext cx="264473" cy="1334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10%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0.83868</cdr:x>
      <cdr:y>0.84963</cdr:y>
    </cdr:from>
    <cdr:to>
      <cdr:x>0.89012</cdr:x>
      <cdr:y>0.89502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675735B3-0FB2-4DAD-9F18-09BCC63E4296}"/>
            </a:ext>
          </a:extLst>
        </cdr:cNvPr>
        <cdr:cNvSpPr txBox="1"/>
      </cdr:nvSpPr>
      <cdr:spPr>
        <a:xfrm xmlns:a="http://schemas.openxmlformats.org/drawingml/2006/main">
          <a:off x="3992922" y="2944194"/>
          <a:ext cx="244905" cy="15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0.4975</cdr:x>
      <cdr:y>0.02945</cdr:y>
    </cdr:from>
    <cdr:to>
      <cdr:x>0.68269</cdr:x>
      <cdr:y>0.1051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6E3EBB8A-C56B-4BB7-AD4A-39174B737D59}"/>
            </a:ext>
          </a:extLst>
        </cdr:cNvPr>
        <cdr:cNvSpPr txBox="1"/>
      </cdr:nvSpPr>
      <cdr:spPr>
        <a:xfrm xmlns:a="http://schemas.openxmlformats.org/drawingml/2006/main">
          <a:off x="4428825" y="192650"/>
          <a:ext cx="1648579" cy="4947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SCENARIO 1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0.29218</cdr:x>
      <cdr:y>0.87308</cdr:y>
    </cdr:from>
    <cdr:to>
      <cdr:x>0.33436</cdr:x>
      <cdr:y>0.91564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2B384A-2EEE-4E21-9B9C-2502E37777D3}"/>
            </a:ext>
          </a:extLst>
        </cdr:cNvPr>
        <cdr:cNvSpPr txBox="1"/>
      </cdr:nvSpPr>
      <cdr:spPr>
        <a:xfrm xmlns:a="http://schemas.openxmlformats.org/drawingml/2006/main">
          <a:off x="2576285" y="5757887"/>
          <a:ext cx="371929" cy="280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0.55247</cdr:x>
      <cdr:y>0.8707</cdr:y>
    </cdr:from>
    <cdr:to>
      <cdr:x>0.60802</cdr:x>
      <cdr:y>0.90922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AB6A411-0B92-489A-9A6B-D3BFC73E087A}"/>
            </a:ext>
          </a:extLst>
        </cdr:cNvPr>
        <cdr:cNvSpPr txBox="1"/>
      </cdr:nvSpPr>
      <cdr:spPr>
        <a:xfrm xmlns:a="http://schemas.openxmlformats.org/drawingml/2006/main">
          <a:off x="4871357" y="5742214"/>
          <a:ext cx="489857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10%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0.84979</cdr:x>
      <cdr:y>0.86795</cdr:y>
    </cdr:from>
    <cdr:to>
      <cdr:x>0.90123</cdr:x>
      <cdr:y>0.91334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675735B3-0FB2-4DAD-9F18-09BCC63E4296}"/>
            </a:ext>
          </a:extLst>
        </cdr:cNvPr>
        <cdr:cNvSpPr txBox="1"/>
      </cdr:nvSpPr>
      <cdr:spPr>
        <a:xfrm xmlns:a="http://schemas.openxmlformats.org/drawingml/2006/main">
          <a:off x="7493000" y="5724072"/>
          <a:ext cx="453571" cy="299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0.47016</cdr:x>
      <cdr:y>0.01651</cdr:y>
    </cdr:from>
    <cdr:to>
      <cdr:x>0.65535</cdr:x>
      <cdr:y>0.09216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6E3EBB8A-C56B-4BB7-AD4A-39174B737D59}"/>
            </a:ext>
          </a:extLst>
        </cdr:cNvPr>
        <cdr:cNvSpPr txBox="1"/>
      </cdr:nvSpPr>
      <cdr:spPr>
        <a:xfrm xmlns:a="http://schemas.openxmlformats.org/drawingml/2006/main">
          <a:off x="4145642" y="108858"/>
          <a:ext cx="1632857" cy="498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SCENARIO 2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930275</xdr:colOff>
      <xdr:row>18</xdr:row>
      <xdr:rowOff>107950</xdr:rowOff>
    </xdr:from>
    <xdr:ext cx="3089628" cy="2663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1500EFC-069C-43D2-ACA9-F2770F72D40D}"/>
                </a:ext>
              </a:extLst>
            </xdr:cNvPr>
            <xdr:cNvSpPr txBox="1"/>
          </xdr:nvSpPr>
          <xdr:spPr>
            <a:xfrm>
              <a:off x="11064875" y="3346450"/>
              <a:ext cx="3089628" cy="2663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6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𝐸𝑥</m:t>
                        </m:r>
                      </m:e>
                      <m:sub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𝑓𝑢𝑒𝑙</m:t>
                        </m:r>
                      </m:sub>
                    </m:sSub>
                    <m:r>
                      <a:rPr lang="es-MX" sz="16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6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𝐸𝑥</m:t>
                        </m:r>
                      </m:e>
                      <m:sub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𝑝𝑟𝑜𝑑𝑢𝑐𝑡</m:t>
                        </m:r>
                      </m:sub>
                    </m:sSub>
                    <m:r>
                      <a:rPr lang="es-MX" sz="16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s-MX" sz="16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𝐸𝑥</m:t>
                        </m:r>
                      </m:e>
                      <m:sub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𝐷𝑒𝑠𝑡𝑟𝑢𝑐𝑡𝑖𝑜𝑛</m:t>
                        </m:r>
                      </m:sub>
                    </m:sSub>
                  </m:oMath>
                </m:oMathPara>
              </a14:m>
              <a:endParaRPr lang="en-US" sz="16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1500EFC-069C-43D2-ACA9-F2770F72D40D}"/>
                </a:ext>
              </a:extLst>
            </xdr:cNvPr>
            <xdr:cNvSpPr txBox="1"/>
          </xdr:nvSpPr>
          <xdr:spPr>
            <a:xfrm>
              <a:off x="11064875" y="3346450"/>
              <a:ext cx="3089628" cy="2663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600" i="0">
                  <a:latin typeface="Cambria Math" panose="02040503050406030204" pitchFamily="18" charset="0"/>
                </a:rPr>
                <a:t>〖</a:t>
              </a:r>
              <a:r>
                <a:rPr lang="es-MX" sz="1600" b="0" i="0">
                  <a:latin typeface="Cambria Math" panose="02040503050406030204" pitchFamily="18" charset="0"/>
                </a:rPr>
                <a:t>𝐸𝑥</a:t>
              </a:r>
              <a:r>
                <a:rPr lang="en-US" sz="1600" b="0" i="0">
                  <a:latin typeface="Cambria Math" panose="02040503050406030204" pitchFamily="18" charset="0"/>
                </a:rPr>
                <a:t>〗_</a:t>
              </a:r>
              <a:r>
                <a:rPr lang="es-MX" sz="1600" b="0" i="0">
                  <a:latin typeface="Cambria Math" panose="02040503050406030204" pitchFamily="18" charset="0"/>
                </a:rPr>
                <a:t>𝑓𝑢𝑒𝑙=〖𝐸𝑥〗_𝑝𝑟𝑜𝑑𝑢𝑐𝑡+〖𝐸𝑥〗_𝐷𝑒𝑠𝑡𝑟𝑢𝑐𝑡𝑖𝑜𝑛</a:t>
              </a:r>
              <a:endParaRPr lang="en-US" sz="1600"/>
            </a:p>
          </xdr:txBody>
        </xdr:sp>
      </mc:Fallback>
    </mc:AlternateContent>
    <xdr:clientData/>
  </xdr:oneCellAnchor>
  <xdr:oneCellAnchor>
    <xdr:from>
      <xdr:col>10</xdr:col>
      <xdr:colOff>904875</xdr:colOff>
      <xdr:row>14</xdr:row>
      <xdr:rowOff>146050</xdr:rowOff>
    </xdr:from>
    <xdr:ext cx="4012060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24ABA9F-AB76-4E5D-A06C-4D3CE28DFCBB}"/>
                </a:ext>
              </a:extLst>
            </xdr:cNvPr>
            <xdr:cNvSpPr txBox="1"/>
          </xdr:nvSpPr>
          <xdr:spPr>
            <a:xfrm>
              <a:off x="11039475" y="2590800"/>
              <a:ext cx="4012060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6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𝐸𝑥</m:t>
                        </m:r>
                      </m:e>
                      <m:sub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𝑚𝑎𝑡𝑒𝑟𝑖𝑎𝑙</m:t>
                        </m:r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𝑠𝑡𝑟𝑒𝑎𝑚</m:t>
                        </m:r>
                      </m:sub>
                    </m:sSub>
                    <m:r>
                      <a:rPr lang="es-MX" sz="16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MX" sz="1600" b="0" i="1">
                        <a:latin typeface="Cambria Math" panose="02040503050406030204" pitchFamily="18" charset="0"/>
                      </a:rPr>
                      <m:t>𝑚</m:t>
                    </m:r>
                    <m:d>
                      <m:dPr>
                        <m:begChr m:val="["/>
                        <m:endChr m:val="]"/>
                        <m:ctrlPr>
                          <a:rPr lang="es-MX" sz="16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d>
                          <m:dPr>
                            <m:ctrlPr>
                              <a:rPr lang="es-MX" sz="16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h</m:t>
                            </m:r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  <m:t>h</m:t>
                                </m:r>
                              </m:e>
                              <m:sub>
                                <m: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  <m:t>0</m:t>
                                </m:r>
                              </m:sub>
                            </m:sSub>
                          </m:e>
                        </m:d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6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𝑇</m:t>
                            </m:r>
                          </m:e>
                          <m:sub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0</m:t>
                            </m:r>
                          </m:sub>
                        </m:sSub>
                        <m:d>
                          <m:dPr>
                            <m:ctrlPr>
                              <a:rPr lang="es-MX" sz="16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𝑆</m:t>
                            </m:r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  <m:t>𝑆</m:t>
                                </m:r>
                              </m:e>
                              <m:sub>
                                <m: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  <m:t>0</m:t>
                                </m:r>
                              </m:sub>
                            </m:sSub>
                          </m:e>
                        </m:d>
                      </m:e>
                    </m:d>
                  </m:oMath>
                </m:oMathPara>
              </a14:m>
              <a:endParaRPr lang="en-US" sz="16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24ABA9F-AB76-4E5D-A06C-4D3CE28DFCBB}"/>
                </a:ext>
              </a:extLst>
            </xdr:cNvPr>
            <xdr:cNvSpPr txBox="1"/>
          </xdr:nvSpPr>
          <xdr:spPr>
            <a:xfrm>
              <a:off x="11039475" y="2590800"/>
              <a:ext cx="4012060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600" i="0">
                  <a:latin typeface="Cambria Math" panose="02040503050406030204" pitchFamily="18" charset="0"/>
                </a:rPr>
                <a:t>〖</a:t>
              </a:r>
              <a:r>
                <a:rPr lang="es-MX" sz="1600" b="0" i="0">
                  <a:latin typeface="Cambria Math" panose="02040503050406030204" pitchFamily="18" charset="0"/>
                </a:rPr>
                <a:t>𝐸𝑥</a:t>
              </a:r>
              <a:r>
                <a:rPr lang="en-US" sz="1600" b="0" i="0">
                  <a:latin typeface="Cambria Math" panose="02040503050406030204" pitchFamily="18" charset="0"/>
                </a:rPr>
                <a:t>〗_(</a:t>
              </a:r>
              <a:r>
                <a:rPr lang="es-MX" sz="1600" b="0" i="0">
                  <a:latin typeface="Cambria Math" panose="02040503050406030204" pitchFamily="18" charset="0"/>
                </a:rPr>
                <a:t>𝑚𝑎𝑡𝑒𝑟𝑖𝑎𝑙 𝑠𝑡𝑟𝑒𝑎𝑚</a:t>
              </a:r>
              <a:r>
                <a:rPr lang="en-US" sz="1600" b="0" i="0">
                  <a:latin typeface="Cambria Math" panose="02040503050406030204" pitchFamily="18" charset="0"/>
                </a:rPr>
                <a:t>)</a:t>
              </a:r>
              <a:r>
                <a:rPr lang="es-MX" sz="1600" b="0" i="0">
                  <a:latin typeface="Cambria Math" panose="02040503050406030204" pitchFamily="18" charset="0"/>
                </a:rPr>
                <a:t>=𝑚[(ℎ−ℎ_0 )−𝑇_0 (𝑆−𝑆_0 )]</a:t>
              </a:r>
              <a:endParaRPr lang="en-US" sz="1600"/>
            </a:p>
          </xdr:txBody>
        </xdr:sp>
      </mc:Fallback>
    </mc:AlternateContent>
    <xdr:clientData/>
  </xdr:oneCellAnchor>
  <xdr:twoCellAnchor>
    <xdr:from>
      <xdr:col>0</xdr:col>
      <xdr:colOff>833947</xdr:colOff>
      <xdr:row>89</xdr:row>
      <xdr:rowOff>0</xdr:rowOff>
    </xdr:from>
    <xdr:to>
      <xdr:col>4</xdr:col>
      <xdr:colOff>793750</xdr:colOff>
      <xdr:row>91</xdr:row>
      <xdr:rowOff>162358</xdr:rowOff>
    </xdr:to>
    <xdr:sp macro="" textlink="">
      <xdr:nvSpPr>
        <xdr:cNvPr id="4" name="TextBox 4">
          <a:extLst>
            <a:ext uri="{FF2B5EF4-FFF2-40B4-BE49-F238E27FC236}">
              <a16:creationId xmlns:a16="http://schemas.microsoft.com/office/drawing/2014/main" id="{0731743A-C2E3-4EEC-BFF0-B7FEA04680FE}"/>
            </a:ext>
          </a:extLst>
        </xdr:cNvPr>
        <xdr:cNvSpPr txBox="1"/>
      </xdr:nvSpPr>
      <xdr:spPr>
        <a:xfrm>
          <a:off x="833947" y="17329150"/>
          <a:ext cx="4576253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800"/>
            <a:t>Chemical Exergy for Polymer</a:t>
          </a:r>
        </a:p>
      </xdr:txBody>
    </xdr:sp>
    <xdr:clientData/>
  </xdr:twoCellAnchor>
  <xdr:twoCellAnchor>
    <xdr:from>
      <xdr:col>0</xdr:col>
      <xdr:colOff>0</xdr:colOff>
      <xdr:row>95</xdr:row>
      <xdr:rowOff>115870</xdr:rowOff>
    </xdr:from>
    <xdr:to>
      <xdr:col>4</xdr:col>
      <xdr:colOff>408259</xdr:colOff>
      <xdr:row>99</xdr:row>
      <xdr:rowOff>50031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5">
              <a:extLst>
                <a:ext uri="{FF2B5EF4-FFF2-40B4-BE49-F238E27FC236}">
                  <a16:creationId xmlns:a16="http://schemas.microsoft.com/office/drawing/2014/main" id="{B7D15BCF-8D1E-435F-BD2C-96955FD4F079}"/>
                </a:ext>
              </a:extLst>
            </xdr:cNvPr>
            <xdr:cNvSpPr txBox="1"/>
          </xdr:nvSpPr>
          <xdr:spPr>
            <a:xfrm>
              <a:off x="0" y="18549920"/>
              <a:ext cx="5024709" cy="670761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𝑥</m:t>
                        </m:r>
                      </m:sub>
                    </m:sSub>
                    <m:sSub>
                      <m:sSubPr>
                        <m:ctrlPr>
                          <a:rPr lang="en-US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𝑐h𝑒𝑚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𝑐𝑜𝑚𝑝𝑜𝑢𝑛𝑑</m:t>
                        </m:r>
                      </m:sub>
                    </m:sSub>
                    <m:r>
                      <a:rPr lang="es-MX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𝑔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𝑓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𝑐𝑜𝑚𝑝𝑜𝑢𝑛𝑑</m:t>
                        </m:r>
                      </m:sub>
                    </m:sSub>
                    <m:r>
                      <a:rPr lang="es-MX" b="0" i="1">
                        <a:latin typeface="Cambria Math" panose="02040503050406030204" pitchFamily="18" charset="0"/>
                      </a:rPr>
                      <m:t>+</m:t>
                    </m:r>
                    <m:nary>
                      <m:naryPr>
                        <m:chr m:val="∑"/>
                        <m:subHide m:val="on"/>
                        <m:supHide m:val="on"/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naryPr>
                      <m:sub/>
                      <m:sup/>
                      <m:e>
                        <m:sSub>
                          <m:sSubPr>
                            <m:ctrlPr>
                              <a:rPr lang="es-MX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</m:e>
                          <m:sub>
                            <m:r>
                              <a:rPr lang="es-MX" b="0" i="1">
                                <a:latin typeface="Cambria Math" panose="02040503050406030204" pitchFamily="18" charset="0"/>
                              </a:rPr>
                              <m:t>𝑒</m:t>
                            </m:r>
                          </m:sub>
                        </m:sSub>
                        <m:r>
                          <a:rPr lang="es-MX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</m:t>
                        </m:r>
                        <m:sSubSup>
                          <m:sSubSupPr>
                            <m:ctrlPr>
                              <a:rPr lang="es-MX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SupPr>
                          <m:e>
                            <m:r>
                              <a:rPr lang="es-MX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𝑒𝑥</m:t>
                            </m:r>
                          </m:e>
                          <m:sub>
                            <m:r>
                              <a:rPr lang="es-MX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𝑐h𝑒𝑚</m:t>
                            </m:r>
                            <m:r>
                              <a:rPr lang="es-MX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MX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𝑒</m:t>
                            </m:r>
                          </m:sub>
                          <m:sup>
                            <m:r>
                              <a:rPr lang="es-MX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0</m:t>
                            </m:r>
                          </m:sup>
                        </m:sSubSup>
                      </m:e>
                    </m:nary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5" name="TextBox 5">
              <a:extLst>
                <a:ext uri="{FF2B5EF4-FFF2-40B4-BE49-F238E27FC236}">
                  <a16:creationId xmlns:a16="http://schemas.microsoft.com/office/drawing/2014/main" id="{B7D15BCF-8D1E-435F-BD2C-96955FD4F079}"/>
                </a:ext>
              </a:extLst>
            </xdr:cNvPr>
            <xdr:cNvSpPr txBox="1"/>
          </xdr:nvSpPr>
          <xdr:spPr>
            <a:xfrm>
              <a:off x="0" y="18549920"/>
              <a:ext cx="5024709" cy="670761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MX" b="0" i="0">
                  <a:latin typeface="Cambria Math" panose="02040503050406030204" pitchFamily="18" charset="0"/>
                </a:rPr>
                <a:t>𝑒</a:t>
              </a:r>
              <a:r>
                <a:rPr lang="en-US" b="0" i="0">
                  <a:latin typeface="Cambria Math" panose="02040503050406030204" pitchFamily="18" charset="0"/>
                </a:rPr>
                <a:t>_</a:t>
              </a:r>
              <a:r>
                <a:rPr lang="es-MX" b="0" i="0">
                  <a:latin typeface="Cambria Math" panose="02040503050406030204" pitchFamily="18" charset="0"/>
                </a:rPr>
                <a:t>𝑥</a:t>
              </a:r>
              <a:r>
                <a:rPr lang="en-US" b="0" i="0">
                  <a:latin typeface="Cambria Math" panose="02040503050406030204" pitchFamily="18" charset="0"/>
                </a:rPr>
                <a:t> </a:t>
              </a:r>
              <a:r>
                <a:rPr lang="en-US" i="0">
                  <a:latin typeface="Cambria Math" panose="02040503050406030204" pitchFamily="18" charset="0"/>
                </a:rPr>
                <a:t>〖</a:t>
              </a:r>
              <a:r>
                <a:rPr lang="es-MX" b="0" i="0">
                  <a:latin typeface="Cambria Math" panose="02040503050406030204" pitchFamily="18" charset="0"/>
                </a:rPr>
                <a:t>𝑐ℎ𝑒𝑚</a:t>
              </a:r>
              <a:r>
                <a:rPr lang="en-US" b="0" i="0">
                  <a:latin typeface="Cambria Math" panose="02040503050406030204" pitchFamily="18" charset="0"/>
                </a:rPr>
                <a:t>〗_</a:t>
              </a:r>
              <a:r>
                <a:rPr lang="es-MX" b="0" i="0">
                  <a:latin typeface="Cambria Math" panose="02040503050406030204" pitchFamily="18" charset="0"/>
                </a:rPr>
                <a:t>𝑐𝑜𝑚𝑝𝑜𝑢𝑛𝑑=𝑔_(𝑓,𝑐𝑜𝑚𝑝𝑜𝑢𝑛𝑑)+∑</a:t>
              </a:r>
              <a:r>
                <a:rPr lang="es-MX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▒〖</a:t>
              </a:r>
              <a:r>
                <a:rPr lang="es-MX" b="0" i="0">
                  <a:latin typeface="Cambria Math" panose="02040503050406030204" pitchFamily="18" charset="0"/>
                </a:rPr>
                <a:t>𝑁_𝑒</a:t>
              </a:r>
              <a:r>
                <a:rPr lang="es-MX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∙〖𝑒𝑥〗_(𝑐ℎ𝑒𝑚,𝑒)^0 〗</a:t>
              </a:r>
              <a:endParaRPr lang="en-US"/>
            </a:p>
          </xdr:txBody>
        </xdr:sp>
      </mc:Fallback>
    </mc:AlternateContent>
    <xdr:clientData/>
  </xdr:twoCellAnchor>
  <xdr:twoCellAnchor>
    <xdr:from>
      <xdr:col>3</xdr:col>
      <xdr:colOff>248603</xdr:colOff>
      <xdr:row>101</xdr:row>
      <xdr:rowOff>0</xdr:rowOff>
    </xdr:from>
    <xdr:to>
      <xdr:col>4</xdr:col>
      <xdr:colOff>469724</xdr:colOff>
      <xdr:row>103</xdr:row>
      <xdr:rowOff>154920</xdr:rowOff>
    </xdr:to>
    <xdr:sp macro="" textlink="">
      <xdr:nvSpPr>
        <xdr:cNvPr id="6" name="TextBox 3">
          <a:extLst>
            <a:ext uri="{FF2B5EF4-FFF2-40B4-BE49-F238E27FC236}">
              <a16:creationId xmlns:a16="http://schemas.microsoft.com/office/drawing/2014/main" id="{55F52E29-BDEE-40A3-87EF-C64DDCB6ABC7}"/>
            </a:ext>
          </a:extLst>
        </xdr:cNvPr>
        <xdr:cNvSpPr txBox="1"/>
      </xdr:nvSpPr>
      <xdr:spPr>
        <a:xfrm>
          <a:off x="4001453" y="19538950"/>
          <a:ext cx="1084721" cy="523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800"/>
            <a:t>HPAM</a:t>
          </a:r>
        </a:p>
      </xdr:txBody>
    </xdr:sp>
    <xdr:clientData/>
  </xdr:twoCellAnchor>
  <xdr:twoCellAnchor editAs="oneCell">
    <xdr:from>
      <xdr:col>2</xdr:col>
      <xdr:colOff>446255</xdr:colOff>
      <xdr:row>105</xdr:row>
      <xdr:rowOff>20735</xdr:rowOff>
    </xdr:from>
    <xdr:to>
      <xdr:col>5</xdr:col>
      <xdr:colOff>303380</xdr:colOff>
      <xdr:row>114</xdr:row>
      <xdr:rowOff>30260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C64D50-9A83-4A25-9B60-8A5AFBFD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6755" y="20296285"/>
          <a:ext cx="3019425" cy="1666875"/>
        </a:xfrm>
        <a:prstGeom prst="rect">
          <a:avLst/>
        </a:prstGeom>
      </xdr:spPr>
    </xdr:pic>
    <xdr:clientData/>
  </xdr:twoCellAnchor>
  <xdr:twoCellAnchor>
    <xdr:from>
      <xdr:col>0</xdr:col>
      <xdr:colOff>123671</xdr:colOff>
      <xdr:row>117</xdr:row>
      <xdr:rowOff>140878</xdr:rowOff>
    </xdr:from>
    <xdr:to>
      <xdr:col>2</xdr:col>
      <xdr:colOff>764735</xdr:colOff>
      <xdr:row>120</xdr:row>
      <xdr:rowOff>114406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5">
              <a:extLst>
                <a:ext uri="{FF2B5EF4-FFF2-40B4-BE49-F238E27FC236}">
                  <a16:creationId xmlns:a16="http://schemas.microsoft.com/office/drawing/2014/main" id="{13D71DA4-776E-4E6A-8D88-6D099BCECE87}"/>
                </a:ext>
              </a:extLst>
            </xdr:cNvPr>
            <xdr:cNvSpPr txBox="1"/>
          </xdr:nvSpPr>
          <xdr:spPr>
            <a:xfrm>
              <a:off x="123671" y="22626228"/>
              <a:ext cx="3371564" cy="525978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𝑔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𝑓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𝑐𝑜𝑚𝑝𝑜𝑢𝑛𝑑</m:t>
                        </m:r>
                      </m:sub>
                    </m:sSub>
                    <m:r>
                      <a:rPr lang="es-MX" b="0" i="1">
                        <a:latin typeface="Cambria Math" panose="02040503050406030204" pitchFamily="18" charset="0"/>
                      </a:rPr>
                      <m:t>=50</m:t>
                    </m:r>
                    <m:f>
                      <m:fPr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𝑘𝑐𝑎𝑙</m:t>
                        </m:r>
                      </m:num>
                      <m:den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𝑚𝑜𝑙</m:t>
                        </m:r>
                      </m:den>
                    </m:f>
                    <m:r>
                      <a:rPr lang="es-MX" b="0" i="1">
                        <a:latin typeface="Cambria Math" panose="02040503050406030204" pitchFamily="18" charset="0"/>
                      </a:rPr>
                      <m:t>=209</m:t>
                    </m:r>
                    <m:f>
                      <m:fPr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𝑘𝐽</m:t>
                        </m:r>
                      </m:num>
                      <m:den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𝑚𝑜𝑙</m:t>
                        </m:r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8" name="TextBox 5">
              <a:extLst>
                <a:ext uri="{FF2B5EF4-FFF2-40B4-BE49-F238E27FC236}">
                  <a16:creationId xmlns:a16="http://schemas.microsoft.com/office/drawing/2014/main" id="{13D71DA4-776E-4E6A-8D88-6D099BCECE87}"/>
                </a:ext>
              </a:extLst>
            </xdr:cNvPr>
            <xdr:cNvSpPr txBox="1"/>
          </xdr:nvSpPr>
          <xdr:spPr>
            <a:xfrm>
              <a:off x="123671" y="22626228"/>
              <a:ext cx="3371564" cy="525978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MX" b="0" i="0">
                  <a:latin typeface="Cambria Math" panose="02040503050406030204" pitchFamily="18" charset="0"/>
                </a:rPr>
                <a:t>𝑔_(𝑓,𝑐𝑜𝑚𝑝𝑜𝑢𝑛𝑑)=50 𝑘𝑐𝑎𝑙/𝑚𝑜𝑙=209 𝑘𝐽/𝑚𝑜𝑙</a:t>
              </a:r>
              <a:endParaRPr lang="en-US"/>
            </a:p>
          </xdr:txBody>
        </xdr:sp>
      </mc:Fallback>
    </mc:AlternateContent>
    <xdr:clientData/>
  </xdr:twoCellAnchor>
  <xdr:twoCellAnchor>
    <xdr:from>
      <xdr:col>3</xdr:col>
      <xdr:colOff>712985</xdr:colOff>
      <xdr:row>118</xdr:row>
      <xdr:rowOff>113374</xdr:rowOff>
    </xdr:from>
    <xdr:to>
      <xdr:col>5</xdr:col>
      <xdr:colOff>303380</xdr:colOff>
      <xdr:row>120</xdr:row>
      <xdr:rowOff>114406</xdr:rowOff>
    </xdr:to>
    <xdr:sp macro="" textlink="">
      <xdr:nvSpPr>
        <xdr:cNvPr id="9" name="TextBox 6">
          <a:extLst>
            <a:ext uri="{FF2B5EF4-FFF2-40B4-BE49-F238E27FC236}">
              <a16:creationId xmlns:a16="http://schemas.microsoft.com/office/drawing/2014/main" id="{E451DBD1-8434-485D-8CEB-83EACA904812}"/>
            </a:ext>
          </a:extLst>
        </xdr:cNvPr>
        <xdr:cNvSpPr txBox="1"/>
      </xdr:nvSpPr>
      <xdr:spPr>
        <a:xfrm>
          <a:off x="4465835" y="22782874"/>
          <a:ext cx="1730345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(Ma et al., 2015)</a:t>
          </a:r>
        </a:p>
      </xdr:txBody>
    </xdr:sp>
    <xdr:clientData/>
  </xdr:twoCellAnchor>
  <xdr:twoCellAnchor>
    <xdr:from>
      <xdr:col>5</xdr:col>
      <xdr:colOff>942755</xdr:colOff>
      <xdr:row>106</xdr:row>
      <xdr:rowOff>125121</xdr:rowOff>
    </xdr:from>
    <xdr:to>
      <xdr:col>6</xdr:col>
      <xdr:colOff>571440</xdr:colOff>
      <xdr:row>108</xdr:row>
      <xdr:rowOff>33820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7">
              <a:extLst>
                <a:ext uri="{FF2B5EF4-FFF2-40B4-BE49-F238E27FC236}">
                  <a16:creationId xmlns:a16="http://schemas.microsoft.com/office/drawing/2014/main" id="{7BC5457C-D15A-442F-9FC0-A85756ECC84E}"/>
                </a:ext>
              </a:extLst>
            </xdr:cNvPr>
            <xdr:cNvSpPr txBox="1"/>
          </xdr:nvSpPr>
          <xdr:spPr>
            <a:xfrm>
              <a:off x="6835555" y="20584821"/>
              <a:ext cx="968535" cy="276999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6</m:t>
                        </m:r>
                      </m:sub>
                    </m:sSub>
                    <m:sSub>
                      <m:sSubPr>
                        <m:ctrlPr>
                          <a:rPr lang="en-US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𝐻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9</m:t>
                        </m:r>
                      </m:sub>
                    </m:sSub>
                    <m:r>
                      <a:rPr lang="es-MX" b="0" i="1">
                        <a:latin typeface="Cambria Math" panose="02040503050406030204" pitchFamily="18" charset="0"/>
                      </a:rPr>
                      <m:t>𝑁</m:t>
                    </m:r>
                    <m:sSub>
                      <m:sSubPr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𝑂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3</m:t>
                        </m:r>
                      </m:sub>
                    </m:sSub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10" name="TextBox 7">
              <a:extLst>
                <a:ext uri="{FF2B5EF4-FFF2-40B4-BE49-F238E27FC236}">
                  <a16:creationId xmlns:a16="http://schemas.microsoft.com/office/drawing/2014/main" id="{7BC5457C-D15A-442F-9FC0-A85756ECC84E}"/>
                </a:ext>
              </a:extLst>
            </xdr:cNvPr>
            <xdr:cNvSpPr txBox="1"/>
          </xdr:nvSpPr>
          <xdr:spPr>
            <a:xfrm>
              <a:off x="6835555" y="20584821"/>
              <a:ext cx="968535" cy="276999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MX" b="0" i="0">
                  <a:latin typeface="Cambria Math" panose="02040503050406030204" pitchFamily="18" charset="0"/>
                </a:rPr>
                <a:t>𝐶</a:t>
              </a:r>
              <a:r>
                <a:rPr lang="en-US" b="0" i="0">
                  <a:latin typeface="Cambria Math" panose="02040503050406030204" pitchFamily="18" charset="0"/>
                </a:rPr>
                <a:t>_</a:t>
              </a:r>
              <a:r>
                <a:rPr lang="es-MX" b="0" i="0">
                  <a:latin typeface="Cambria Math" panose="02040503050406030204" pitchFamily="18" charset="0"/>
                </a:rPr>
                <a:t>6</a:t>
              </a:r>
              <a:r>
                <a:rPr lang="en-US" b="0" i="0">
                  <a:latin typeface="Cambria Math" panose="02040503050406030204" pitchFamily="18" charset="0"/>
                </a:rPr>
                <a:t> </a:t>
              </a:r>
              <a:r>
                <a:rPr lang="es-MX" b="0" i="0">
                  <a:latin typeface="Cambria Math" panose="02040503050406030204" pitchFamily="18" charset="0"/>
                </a:rPr>
                <a:t>𝐻</a:t>
              </a:r>
              <a:r>
                <a:rPr lang="en-US" b="0" i="0">
                  <a:latin typeface="Cambria Math" panose="02040503050406030204" pitchFamily="18" charset="0"/>
                </a:rPr>
                <a:t>_</a:t>
              </a:r>
              <a:r>
                <a:rPr lang="es-MX" b="0" i="0">
                  <a:latin typeface="Cambria Math" panose="02040503050406030204" pitchFamily="18" charset="0"/>
                </a:rPr>
                <a:t>9 𝑁𝑂_3</a:t>
              </a:r>
              <a:endParaRPr lang="en-US"/>
            </a:p>
          </xdr:txBody>
        </xdr:sp>
      </mc:Fallback>
    </mc:AlternateContent>
    <xdr:clientData/>
  </xdr:twoCellAnchor>
  <xdr:twoCellAnchor>
    <xdr:from>
      <xdr:col>1</xdr:col>
      <xdr:colOff>188570</xdr:colOff>
      <xdr:row>125</xdr:row>
      <xdr:rowOff>13370</xdr:rowOff>
    </xdr:from>
    <xdr:to>
      <xdr:col>7</xdr:col>
      <xdr:colOff>532291</xdr:colOff>
      <xdr:row>126</xdr:row>
      <xdr:rowOff>127635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8">
              <a:extLst>
                <a:ext uri="{FF2B5EF4-FFF2-40B4-BE49-F238E27FC236}">
                  <a16:creationId xmlns:a16="http://schemas.microsoft.com/office/drawing/2014/main" id="{027793F1-CED3-46A9-9C21-7618216DABA1}"/>
                </a:ext>
              </a:extLst>
            </xdr:cNvPr>
            <xdr:cNvSpPr txBox="1"/>
          </xdr:nvSpPr>
          <xdr:spPr>
            <a:xfrm>
              <a:off x="1414120" y="23971920"/>
              <a:ext cx="7570021" cy="298415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𝑥</m:t>
                        </m:r>
                      </m:sub>
                    </m:sSub>
                    <m:sSub>
                      <m:sSubPr>
                        <m:ctrlPr>
                          <a:rPr lang="en-US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𝑐h𝑒𝑚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𝑐𝑜𝑚𝑝𝑜𝑢𝑛𝑑</m:t>
                        </m:r>
                      </m:sub>
                    </m:sSub>
                    <m:r>
                      <a:rPr lang="es-MX" b="0" i="1">
                        <a:latin typeface="Cambria Math" panose="02040503050406030204" pitchFamily="18" charset="0"/>
                      </a:rPr>
                      <m:t>=209+</m:t>
                    </m:r>
                    <m:d>
                      <m:dPr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6∗410.26</m:t>
                        </m:r>
                      </m:e>
                    </m:d>
                    <m:r>
                      <a:rPr lang="es-MX" b="0" i="1">
                        <a:latin typeface="Cambria Math" panose="02040503050406030204" pitchFamily="18" charset="0"/>
                      </a:rPr>
                      <m:t>+</m:t>
                    </m:r>
                    <m:d>
                      <m:dPr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9∗118</m:t>
                        </m:r>
                      </m:e>
                    </m:d>
                    <m:r>
                      <a:rPr lang="es-MX" b="0" i="1">
                        <a:latin typeface="Cambria Math" panose="02040503050406030204" pitchFamily="18" charset="0"/>
                      </a:rPr>
                      <m:t>+</m:t>
                    </m:r>
                    <m:d>
                      <m:dPr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1∗.36</m:t>
                        </m:r>
                      </m:e>
                    </m:d>
                    <m:r>
                      <a:rPr lang="es-MX" b="0" i="1">
                        <a:latin typeface="Cambria Math" panose="02040503050406030204" pitchFamily="18" charset="0"/>
                      </a:rPr>
                      <m:t>+(3∗1.985)</m:t>
                    </m:r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11" name="TextBox 8">
              <a:extLst>
                <a:ext uri="{FF2B5EF4-FFF2-40B4-BE49-F238E27FC236}">
                  <a16:creationId xmlns:a16="http://schemas.microsoft.com/office/drawing/2014/main" id="{027793F1-CED3-46A9-9C21-7618216DABA1}"/>
                </a:ext>
              </a:extLst>
            </xdr:cNvPr>
            <xdr:cNvSpPr txBox="1"/>
          </xdr:nvSpPr>
          <xdr:spPr>
            <a:xfrm>
              <a:off x="1414120" y="23971920"/>
              <a:ext cx="7570021" cy="298415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MX" b="0" i="0">
                  <a:latin typeface="Cambria Math" panose="02040503050406030204" pitchFamily="18" charset="0"/>
                </a:rPr>
                <a:t>𝑒</a:t>
              </a:r>
              <a:r>
                <a:rPr lang="en-US" b="0" i="0">
                  <a:latin typeface="Cambria Math" panose="02040503050406030204" pitchFamily="18" charset="0"/>
                </a:rPr>
                <a:t>_</a:t>
              </a:r>
              <a:r>
                <a:rPr lang="es-MX" b="0" i="0">
                  <a:latin typeface="Cambria Math" panose="02040503050406030204" pitchFamily="18" charset="0"/>
                </a:rPr>
                <a:t>𝑥</a:t>
              </a:r>
              <a:r>
                <a:rPr lang="en-US" b="0" i="0">
                  <a:latin typeface="Cambria Math" panose="02040503050406030204" pitchFamily="18" charset="0"/>
                </a:rPr>
                <a:t> </a:t>
              </a:r>
              <a:r>
                <a:rPr lang="en-US" i="0">
                  <a:latin typeface="Cambria Math" panose="02040503050406030204" pitchFamily="18" charset="0"/>
                </a:rPr>
                <a:t>〖</a:t>
              </a:r>
              <a:r>
                <a:rPr lang="es-MX" b="0" i="0">
                  <a:latin typeface="Cambria Math" panose="02040503050406030204" pitchFamily="18" charset="0"/>
                </a:rPr>
                <a:t>𝑐ℎ𝑒𝑚</a:t>
              </a:r>
              <a:r>
                <a:rPr lang="en-US" b="0" i="0">
                  <a:latin typeface="Cambria Math" panose="02040503050406030204" pitchFamily="18" charset="0"/>
                </a:rPr>
                <a:t>〗_</a:t>
              </a:r>
              <a:r>
                <a:rPr lang="es-MX" b="0" i="0">
                  <a:latin typeface="Cambria Math" panose="02040503050406030204" pitchFamily="18" charset="0"/>
                </a:rPr>
                <a:t>𝑐𝑜𝑚𝑝𝑜𝑢𝑛𝑑=209+(6∗410.26)+(9∗118)+(1∗.36)+(3∗1.985)</a:t>
              </a:r>
              <a:endParaRPr lang="en-US"/>
            </a:p>
          </xdr:txBody>
        </xdr:sp>
      </mc:Fallback>
    </mc:AlternateContent>
    <xdr:clientData/>
  </xdr:twoCellAnchor>
  <xdr:twoCellAnchor>
    <xdr:from>
      <xdr:col>0</xdr:col>
      <xdr:colOff>0</xdr:colOff>
      <xdr:row>129</xdr:row>
      <xdr:rowOff>44852</xdr:rowOff>
    </xdr:from>
    <xdr:to>
      <xdr:col>2</xdr:col>
      <xdr:colOff>525841</xdr:colOff>
      <xdr:row>132</xdr:row>
      <xdr:rowOff>18380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9">
              <a:extLst>
                <a:ext uri="{FF2B5EF4-FFF2-40B4-BE49-F238E27FC236}">
                  <a16:creationId xmlns:a16="http://schemas.microsoft.com/office/drawing/2014/main" id="{D08E164A-1BD3-444C-A5B9-1C12EF2A166A}"/>
                </a:ext>
              </a:extLst>
            </xdr:cNvPr>
            <xdr:cNvSpPr txBox="1"/>
          </xdr:nvSpPr>
          <xdr:spPr>
            <a:xfrm>
              <a:off x="0" y="24740002"/>
              <a:ext cx="3256341" cy="525978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𝑥</m:t>
                        </m:r>
                      </m:sub>
                    </m:sSub>
                    <m:sSub>
                      <m:sSubPr>
                        <m:ctrlPr>
                          <a:rPr lang="en-US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𝑐h𝑒𝑚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𝑐𝑜𝑚𝑝𝑜𝑢𝑛𝑑</m:t>
                        </m:r>
                      </m:sub>
                    </m:sSub>
                    <m:r>
                      <a:rPr lang="es-MX" b="0" i="1">
                        <a:latin typeface="Cambria Math" panose="02040503050406030204" pitchFamily="18" charset="0"/>
                      </a:rPr>
                      <m:t>=3530.33</m:t>
                    </m:r>
                    <m:f>
                      <m:fPr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𝑘𝐽</m:t>
                        </m:r>
                      </m:num>
                      <m:den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𝑚𝑜𝑙</m:t>
                        </m:r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12" name="TextBox 9">
              <a:extLst>
                <a:ext uri="{FF2B5EF4-FFF2-40B4-BE49-F238E27FC236}">
                  <a16:creationId xmlns:a16="http://schemas.microsoft.com/office/drawing/2014/main" id="{D08E164A-1BD3-444C-A5B9-1C12EF2A166A}"/>
                </a:ext>
              </a:extLst>
            </xdr:cNvPr>
            <xdr:cNvSpPr txBox="1"/>
          </xdr:nvSpPr>
          <xdr:spPr>
            <a:xfrm>
              <a:off x="0" y="24740002"/>
              <a:ext cx="3256341" cy="525978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MX" b="0" i="0">
                  <a:latin typeface="Cambria Math" panose="02040503050406030204" pitchFamily="18" charset="0"/>
                </a:rPr>
                <a:t>𝑒</a:t>
              </a:r>
              <a:r>
                <a:rPr lang="en-US" b="0" i="0">
                  <a:latin typeface="Cambria Math" panose="02040503050406030204" pitchFamily="18" charset="0"/>
                </a:rPr>
                <a:t>_</a:t>
              </a:r>
              <a:r>
                <a:rPr lang="es-MX" b="0" i="0">
                  <a:latin typeface="Cambria Math" panose="02040503050406030204" pitchFamily="18" charset="0"/>
                </a:rPr>
                <a:t>𝑥</a:t>
              </a:r>
              <a:r>
                <a:rPr lang="en-US" b="0" i="0">
                  <a:latin typeface="Cambria Math" panose="02040503050406030204" pitchFamily="18" charset="0"/>
                </a:rPr>
                <a:t> </a:t>
              </a:r>
              <a:r>
                <a:rPr lang="en-US" i="0">
                  <a:latin typeface="Cambria Math" panose="02040503050406030204" pitchFamily="18" charset="0"/>
                </a:rPr>
                <a:t>〖</a:t>
              </a:r>
              <a:r>
                <a:rPr lang="es-MX" b="0" i="0">
                  <a:latin typeface="Cambria Math" panose="02040503050406030204" pitchFamily="18" charset="0"/>
                </a:rPr>
                <a:t>𝑐ℎ𝑒𝑚</a:t>
              </a:r>
              <a:r>
                <a:rPr lang="en-US" b="0" i="0">
                  <a:latin typeface="Cambria Math" panose="02040503050406030204" pitchFamily="18" charset="0"/>
                </a:rPr>
                <a:t>〗_</a:t>
              </a:r>
              <a:r>
                <a:rPr lang="es-MX" b="0" i="0">
                  <a:latin typeface="Cambria Math" panose="02040503050406030204" pitchFamily="18" charset="0"/>
                </a:rPr>
                <a:t>𝑐𝑜𝑚𝑝𝑜𝑢𝑛𝑑=3530.33 𝑘𝐽/𝑚𝑜𝑙</a:t>
              </a:r>
              <a:endParaRPr lang="en-US"/>
            </a:p>
          </xdr:txBody>
        </xdr:sp>
      </mc:Fallback>
    </mc:AlternateContent>
    <xdr:clientData/>
  </xdr:twoCellAnchor>
  <xdr:twoCellAnchor>
    <xdr:from>
      <xdr:col>6</xdr:col>
      <xdr:colOff>886318</xdr:colOff>
      <xdr:row>128</xdr:row>
      <xdr:rowOff>44336</xdr:rowOff>
    </xdr:from>
    <xdr:to>
      <xdr:col>7</xdr:col>
      <xdr:colOff>1330715</xdr:colOff>
      <xdr:row>130</xdr:row>
      <xdr:rowOff>45368</xdr:rowOff>
    </xdr:to>
    <xdr:sp macro="" textlink="">
      <xdr:nvSpPr>
        <xdr:cNvPr id="13" name="TextBox 10">
          <a:extLst>
            <a:ext uri="{FF2B5EF4-FFF2-40B4-BE49-F238E27FC236}">
              <a16:creationId xmlns:a16="http://schemas.microsoft.com/office/drawing/2014/main" id="{B1A51068-7A75-4F0B-B673-7A53572B49D5}"/>
            </a:ext>
          </a:extLst>
        </xdr:cNvPr>
        <xdr:cNvSpPr txBox="1"/>
      </xdr:nvSpPr>
      <xdr:spPr>
        <a:xfrm>
          <a:off x="8118968" y="24555336"/>
          <a:ext cx="166359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(Stougie., 2014)</a:t>
          </a:r>
        </a:p>
      </xdr:txBody>
    </xdr:sp>
    <xdr:clientData/>
  </xdr:twoCellAnchor>
  <xdr:twoCellAnchor>
    <xdr:from>
      <xdr:col>3</xdr:col>
      <xdr:colOff>41214</xdr:colOff>
      <xdr:row>131</xdr:row>
      <xdr:rowOff>46741</xdr:rowOff>
    </xdr:from>
    <xdr:to>
      <xdr:col>5</xdr:col>
      <xdr:colOff>437471</xdr:colOff>
      <xdr:row>133</xdr:row>
      <xdr:rowOff>47773</xdr:rowOff>
    </xdr:to>
    <xdr:sp macro="" textlink="">
      <xdr:nvSpPr>
        <xdr:cNvPr id="14" name="TextBox 11">
          <a:extLst>
            <a:ext uri="{FF2B5EF4-FFF2-40B4-BE49-F238E27FC236}">
              <a16:creationId xmlns:a16="http://schemas.microsoft.com/office/drawing/2014/main" id="{253E55E1-2C97-4DCE-9267-39FCEEFB18F7}"/>
            </a:ext>
          </a:extLst>
        </xdr:cNvPr>
        <xdr:cNvSpPr txBox="1"/>
      </xdr:nvSpPr>
      <xdr:spPr>
        <a:xfrm>
          <a:off x="3794064" y="25110191"/>
          <a:ext cx="253620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Need mols in kg for kJ/kg</a:t>
          </a:r>
        </a:p>
      </xdr:txBody>
    </xdr:sp>
    <xdr:clientData/>
  </xdr:twoCellAnchor>
  <xdr:twoCellAnchor>
    <xdr:from>
      <xdr:col>0</xdr:col>
      <xdr:colOff>0</xdr:colOff>
      <xdr:row>138</xdr:row>
      <xdr:rowOff>0</xdr:rowOff>
    </xdr:from>
    <xdr:to>
      <xdr:col>5</xdr:col>
      <xdr:colOff>513697</xdr:colOff>
      <xdr:row>140</xdr:row>
      <xdr:rowOff>159409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4">
              <a:extLst>
                <a:ext uri="{FF2B5EF4-FFF2-40B4-BE49-F238E27FC236}">
                  <a16:creationId xmlns:a16="http://schemas.microsoft.com/office/drawing/2014/main" id="{D7383653-1452-45C3-B689-2E97F690255A}"/>
                </a:ext>
              </a:extLst>
            </xdr:cNvPr>
            <xdr:cNvSpPr txBox="1"/>
          </xdr:nvSpPr>
          <xdr:spPr>
            <a:xfrm>
              <a:off x="0" y="26352500"/>
              <a:ext cx="6406497" cy="527709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b="0" i="1">
                            <a:latin typeface="Cambria Math" panose="02040503050406030204" pitchFamily="18" charset="0"/>
                          </a:rPr>
                          <m:t>#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𝑚𝑜𝑙𝑒𝑠</m:t>
                        </m:r>
                      </m:e>
                      <m:sub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𝑐𝑜𝑚𝑝𝑜𝑢𝑛𝑑</m:t>
                        </m:r>
                      </m:sub>
                    </m:sSub>
                    <m:r>
                      <a:rPr lang="es-MX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𝑚𝑎𝑠𝑠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 (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𝑔𝑟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𝑟𝑒𝑙𝑎𝑡𝑖𝑣𝑒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𝑎𝑡𝑜𝑚𝑖𝑐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𝑚𝑎𝑠𝑠</m:t>
                        </m:r>
                      </m:den>
                    </m:f>
                    <m:r>
                      <a:rPr lang="es-MX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b="0" i="1">
                            <a:latin typeface="Cambria Math" panose="02040503050406030204" pitchFamily="18" charset="0"/>
                          </a:rPr>
                          <m:t>1000 </m:t>
                        </m:r>
                        <m:r>
                          <a:rPr lang="es-MX" b="0" i="1">
                            <a:latin typeface="Cambria Math" panose="02040503050406030204" pitchFamily="18" charset="0"/>
                          </a:rPr>
                          <m:t>𝑔𝑟</m:t>
                        </m:r>
                      </m:num>
                      <m:den>
                        <m:r>
                          <a:rPr lang="es-MX" b="0" i="1">
                            <a:latin typeface="Cambria Math" panose="02040503050406030204" pitchFamily="18" charset="0"/>
                          </a:rPr>
                          <m:t>143</m:t>
                        </m:r>
                      </m:den>
                    </m:f>
                    <m:r>
                      <a:rPr lang="es-MX" b="0" i="1">
                        <a:latin typeface="Cambria Math" panose="02040503050406030204" pitchFamily="18" charset="0"/>
                      </a:rPr>
                      <m:t>=7 </m:t>
                    </m:r>
                    <m:r>
                      <a:rPr lang="es-MX" b="0" i="1">
                        <a:latin typeface="Cambria Math" panose="02040503050406030204" pitchFamily="18" charset="0"/>
                      </a:rPr>
                      <m:t>𝑚𝑜𝑙𝑒𝑠</m:t>
                    </m:r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15" name="TextBox 4">
              <a:extLst>
                <a:ext uri="{FF2B5EF4-FFF2-40B4-BE49-F238E27FC236}">
                  <a16:creationId xmlns:a16="http://schemas.microsoft.com/office/drawing/2014/main" id="{D7383653-1452-45C3-B689-2E97F690255A}"/>
                </a:ext>
              </a:extLst>
            </xdr:cNvPr>
            <xdr:cNvSpPr txBox="1"/>
          </xdr:nvSpPr>
          <xdr:spPr>
            <a:xfrm>
              <a:off x="0" y="26352500"/>
              <a:ext cx="6406497" cy="527709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n-US" i="0">
                  <a:latin typeface="Cambria Math" panose="02040503050406030204" pitchFamily="18" charset="0"/>
                </a:rPr>
                <a:t>〖</a:t>
              </a:r>
              <a:r>
                <a:rPr lang="es-MX" b="0" i="0">
                  <a:latin typeface="Cambria Math" panose="02040503050406030204" pitchFamily="18" charset="0"/>
                </a:rPr>
                <a:t>#𝑚𝑜𝑙𝑒𝑠</a:t>
              </a:r>
              <a:r>
                <a:rPr lang="en-US" b="0" i="0">
                  <a:latin typeface="Cambria Math" panose="02040503050406030204" pitchFamily="18" charset="0"/>
                </a:rPr>
                <a:t>〗_</a:t>
              </a:r>
              <a:r>
                <a:rPr lang="es-MX" b="0" i="0">
                  <a:latin typeface="Cambria Math" panose="02040503050406030204" pitchFamily="18" charset="0"/>
                </a:rPr>
                <a:t>𝑐𝑜𝑚𝑝𝑜𝑢𝑛𝑑=(𝑚𝑎𝑠𝑠 (𝑔𝑟))/(𝑟𝑒𝑙𝑎𝑡𝑖𝑣𝑒 𝑎𝑡𝑜𝑚𝑖𝑐 𝑚𝑎𝑠𝑠)=(1000 𝑔𝑟)/143=7 𝑚𝑜𝑙𝑒𝑠</a:t>
              </a:r>
              <a:endParaRPr lang="en-US"/>
            </a:p>
          </xdr:txBody>
        </xdr:sp>
      </mc:Fallback>
    </mc:AlternateContent>
    <xdr:clientData/>
  </xdr:twoCellAnchor>
  <xdr:twoCellAnchor>
    <xdr:from>
      <xdr:col>1</xdr:col>
      <xdr:colOff>603250</xdr:colOff>
      <xdr:row>147</xdr:row>
      <xdr:rowOff>30047</xdr:rowOff>
    </xdr:from>
    <xdr:to>
      <xdr:col>5</xdr:col>
      <xdr:colOff>212940</xdr:colOff>
      <xdr:row>149</xdr:row>
      <xdr:rowOff>92314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5">
              <a:extLst>
                <a:ext uri="{FF2B5EF4-FFF2-40B4-BE49-F238E27FC236}">
                  <a16:creationId xmlns:a16="http://schemas.microsoft.com/office/drawing/2014/main" id="{CC9A7368-6482-4F23-BE7A-03ABEF141F96}"/>
                </a:ext>
              </a:extLst>
            </xdr:cNvPr>
            <xdr:cNvSpPr txBox="1"/>
          </xdr:nvSpPr>
          <xdr:spPr>
            <a:xfrm>
              <a:off x="1828800" y="28039897"/>
              <a:ext cx="4276940" cy="43056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s-MX" b="0"/>
                <a:t>Ch exergy</a:t>
              </a:r>
              <a14:m>
                <m:oMath xmlns:m="http://schemas.openxmlformats.org/officeDocument/2006/math">
                  <m:r>
                    <a:rPr lang="es-MX" b="0" i="1">
                      <a:latin typeface="Cambria Math" panose="02040503050406030204" pitchFamily="18" charset="0"/>
                    </a:rPr>
                    <m:t>=3530.33</m:t>
                  </m:r>
                  <m:f>
                    <m:fPr>
                      <m:ctrlPr>
                        <a:rPr lang="es-MX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b="0" i="1">
                          <a:latin typeface="Cambria Math" panose="02040503050406030204" pitchFamily="18" charset="0"/>
                        </a:rPr>
                        <m:t>𝑘𝐽</m:t>
                      </m:r>
                    </m:num>
                    <m:den>
                      <m:r>
                        <a:rPr lang="es-MX" b="0" i="1">
                          <a:latin typeface="Cambria Math" panose="02040503050406030204" pitchFamily="18" charset="0"/>
                        </a:rPr>
                        <m:t>𝑚𝑜𝑙</m:t>
                      </m:r>
                    </m:den>
                  </m:f>
                  <m:r>
                    <a:rPr lang="es-MX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×7</m:t>
                  </m:r>
                  <m:f>
                    <m:fPr>
                      <m:ctrlPr>
                        <a:rPr lang="es-MX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𝑚𝑜𝑙</m:t>
                      </m:r>
                    </m:num>
                    <m:den>
                      <m:r>
                        <a:rPr lang="es-MX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𝑘𝑔</m:t>
                      </m:r>
                    </m:den>
                  </m:f>
                  <m:r>
                    <a:rPr lang="es-MX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=24712</m:t>
                  </m:r>
                  <m:f>
                    <m:fPr>
                      <m:ctrlPr>
                        <a:rPr lang="es-MX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𝑘𝐽</m:t>
                      </m:r>
                    </m:num>
                    <m:den>
                      <m:r>
                        <a:rPr lang="es-MX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𝑘𝑔</m:t>
                      </m:r>
                    </m:den>
                  </m:f>
                </m:oMath>
              </a14:m>
              <a:endParaRPr lang="en-US"/>
            </a:p>
          </xdr:txBody>
        </xdr:sp>
      </mc:Choice>
      <mc:Fallback xmlns="">
        <xdr:sp macro="" textlink="">
          <xdr:nvSpPr>
            <xdr:cNvPr id="16" name="TextBox 5">
              <a:extLst>
                <a:ext uri="{FF2B5EF4-FFF2-40B4-BE49-F238E27FC236}">
                  <a16:creationId xmlns:a16="http://schemas.microsoft.com/office/drawing/2014/main" id="{CC9A7368-6482-4F23-BE7A-03ABEF141F96}"/>
                </a:ext>
              </a:extLst>
            </xdr:cNvPr>
            <xdr:cNvSpPr txBox="1"/>
          </xdr:nvSpPr>
          <xdr:spPr>
            <a:xfrm>
              <a:off x="1828800" y="28039897"/>
              <a:ext cx="4276940" cy="43056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s-MX" b="0"/>
                <a:t>Ch exergy</a:t>
              </a:r>
              <a:r>
                <a:rPr lang="es-MX" b="0" i="0">
                  <a:latin typeface="Cambria Math" panose="02040503050406030204" pitchFamily="18" charset="0"/>
                </a:rPr>
                <a:t>=3530.33 𝑘𝐽/𝑚𝑜𝑙</a:t>
              </a:r>
              <a:r>
                <a:rPr lang="es-MX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×7 𝑚𝑜𝑙/𝑘𝑔=24712 𝑘𝐽/𝑘𝑔</a:t>
              </a:r>
              <a:endParaRPr lang="en-US"/>
            </a:p>
          </xdr:txBody>
        </xdr:sp>
      </mc:Fallback>
    </mc:AlternateContent>
    <xdr:clientData/>
  </xdr:twoCellAnchor>
  <xdr:twoCellAnchor>
    <xdr:from>
      <xdr:col>5</xdr:col>
      <xdr:colOff>658145</xdr:colOff>
      <xdr:row>138</xdr:row>
      <xdr:rowOff>99081</xdr:rowOff>
    </xdr:from>
    <xdr:to>
      <xdr:col>7</xdr:col>
      <xdr:colOff>303737</xdr:colOff>
      <xdr:row>140</xdr:row>
      <xdr:rowOff>100113</xdr:rowOff>
    </xdr:to>
    <xdr:sp macro="" textlink="">
      <xdr:nvSpPr>
        <xdr:cNvPr id="17" name="TextBox 6">
          <a:extLst>
            <a:ext uri="{FF2B5EF4-FFF2-40B4-BE49-F238E27FC236}">
              <a16:creationId xmlns:a16="http://schemas.microsoft.com/office/drawing/2014/main" id="{53C58E22-BBF4-4153-B746-9463225AE276}"/>
            </a:ext>
          </a:extLst>
        </xdr:cNvPr>
        <xdr:cNvSpPr txBox="1"/>
      </xdr:nvSpPr>
      <xdr:spPr>
        <a:xfrm>
          <a:off x="6550945" y="26451581"/>
          <a:ext cx="2204642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Per every kg of HPAM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198120</xdr:colOff>
      <xdr:row>5</xdr:row>
      <xdr:rowOff>242570</xdr:rowOff>
    </xdr:from>
    <xdr:ext cx="140970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E13B9864-41F7-42D7-A207-D3EEB5A31655}"/>
                </a:ext>
              </a:extLst>
            </xdr:cNvPr>
            <xdr:cNvSpPr txBox="1"/>
          </xdr:nvSpPr>
          <xdr:spPr>
            <a:xfrm>
              <a:off x="19718020" y="1563370"/>
              <a:ext cx="140970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400" b="0" i="1"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es-MX" sz="1400" b="0" i="0">
                        <a:latin typeface="Cambria Math" panose="02040503050406030204" pitchFamily="18" charset="0"/>
                      </a:rPr>
                      <m:t>Q</m:t>
                    </m:r>
                    <m:r>
                      <a:rPr lang="es-MX" sz="1400" b="0" i="0">
                        <a:latin typeface="Cambria Math" panose="02040503050406030204" pitchFamily="18" charset="0"/>
                      </a:rPr>
                      <m:t>(</m:t>
                    </m:r>
                    <m:r>
                      <m:rPr>
                        <m:sty m:val="p"/>
                      </m:rPr>
                      <a:rPr lang="es-MX" sz="1400" b="0" i="0">
                        <a:latin typeface="Cambria Math" panose="02040503050406030204" pitchFamily="18" charset="0"/>
                      </a:rPr>
                      <m:t>t</m:t>
                    </m:r>
                    <m:r>
                      <a:rPr lang="es-MX" sz="1400" b="0" i="0">
                        <a:latin typeface="Cambria Math" panose="02040503050406030204" pitchFamily="18" charset="0"/>
                      </a:rPr>
                      <m:t>)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×∆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𝑃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0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E13B9864-41F7-42D7-A207-D3EEB5A31655}"/>
                </a:ext>
              </a:extLst>
            </xdr:cNvPr>
            <xdr:cNvSpPr txBox="1"/>
          </xdr:nvSpPr>
          <xdr:spPr>
            <a:xfrm>
              <a:off x="19718020" y="1563370"/>
              <a:ext cx="140970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〖𝑃𝑤〗_1=Q(t)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×∆𝑃0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26</xdr:col>
      <xdr:colOff>251460</xdr:colOff>
      <xdr:row>7</xdr:row>
      <xdr:rowOff>105410</xdr:rowOff>
    </xdr:from>
    <xdr:ext cx="2034540" cy="4033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FF3FB00C-7D9E-4BEE-9095-B4D529A8BC15}"/>
                </a:ext>
              </a:extLst>
            </xdr:cNvPr>
            <xdr:cNvSpPr txBox="1"/>
          </xdr:nvSpPr>
          <xdr:spPr>
            <a:xfrm>
              <a:off x="19161760" y="1959610"/>
              <a:ext cx="2034540" cy="4033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400" b="0" i="1">
                        <a:latin typeface="Cambria Math" panose="02040503050406030204" pitchFamily="18" charset="0"/>
                      </a:rPr>
                      <m:t>𝑄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)=</m:t>
                    </m:r>
                    <m:f>
                      <m:f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𝑄</m:t>
                        </m:r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×</m:t>
                        </m:r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𝐷</m:t>
                        </m:r>
                      </m:num>
                      <m:den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24</m:t>
                        </m:r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×3600</m:t>
                        </m:r>
                      </m:den>
                    </m:f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FF3FB00C-7D9E-4BEE-9095-B4D529A8BC15}"/>
                </a:ext>
              </a:extLst>
            </xdr:cNvPr>
            <xdr:cNvSpPr txBox="1"/>
          </xdr:nvSpPr>
          <xdr:spPr>
            <a:xfrm>
              <a:off x="19161760" y="1959610"/>
              <a:ext cx="2034540" cy="4033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𝑄(𝑡)=(𝑄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×𝐷)/(</a:t>
              </a:r>
              <a:r>
                <a:rPr lang="es-MX" sz="1400" b="0" i="0">
                  <a:latin typeface="Cambria Math" panose="02040503050406030204" pitchFamily="18" charset="0"/>
                </a:rPr>
                <a:t>24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×3600)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27</xdr:col>
      <xdr:colOff>45720</xdr:colOff>
      <xdr:row>10</xdr:row>
      <xdr:rowOff>173990</xdr:rowOff>
    </xdr:from>
    <xdr:ext cx="203454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48B65203-D2EB-4371-BDE8-DBD09B247DDC}"/>
                </a:ext>
              </a:extLst>
            </xdr:cNvPr>
            <xdr:cNvSpPr txBox="1"/>
          </xdr:nvSpPr>
          <xdr:spPr>
            <a:xfrm>
              <a:off x="19565620" y="2764790"/>
              <a:ext cx="203454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es-MX" sz="1400" b="0" i="0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𝑖𝑛</m:t>
                        </m:r>
                      </m:sub>
                    </m:sSub>
                    <m:r>
                      <a:rPr lang="es-MX" sz="14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𝑜𝑢𝑡</m:t>
                        </m:r>
                      </m:sub>
                    </m:sSub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48B65203-D2EB-4371-BDE8-DBD09B247DDC}"/>
                </a:ext>
              </a:extLst>
            </xdr:cNvPr>
            <xdr:cNvSpPr txBox="1"/>
          </xdr:nvSpPr>
          <xdr:spPr>
            <a:xfrm>
              <a:off x="19565620" y="2764790"/>
              <a:ext cx="203454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〖𝑃𝑤〗_2=〖𝑃𝑤〗_𝑖𝑛+〖𝑃𝑤〗_𝑜𝑢𝑡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26</xdr:col>
      <xdr:colOff>335280</xdr:colOff>
      <xdr:row>12</xdr:row>
      <xdr:rowOff>128270</xdr:rowOff>
    </xdr:from>
    <xdr:ext cx="284226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8A12D57B-A93F-415A-AD94-7D713D8B8510}"/>
                </a:ext>
              </a:extLst>
            </xdr:cNvPr>
            <xdr:cNvSpPr txBox="1"/>
          </xdr:nvSpPr>
          <xdr:spPr>
            <a:xfrm>
              <a:off x="19245580" y="3087370"/>
              <a:ext cx="284226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𝑖𝑛</m:t>
                        </m:r>
                      </m:sub>
                    </m:sSub>
                    <m:r>
                      <a:rPr lang="es-MX" sz="1400" b="0" i="0">
                        <a:latin typeface="Cambria Math" panose="02040503050406030204" pitchFamily="18" charset="0"/>
                      </a:rPr>
                      <m:t>=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𝑄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)×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𝜌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𝑤𝑎𝑡𝑒𝑟</m:t>
                        </m:r>
                      </m:sub>
                    </m:sSub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𝑔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𝑑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8A12D57B-A93F-415A-AD94-7D713D8B8510}"/>
                </a:ext>
              </a:extLst>
            </xdr:cNvPr>
            <xdr:cNvSpPr txBox="1"/>
          </xdr:nvSpPr>
          <xdr:spPr>
            <a:xfrm>
              <a:off x="19245580" y="3087370"/>
              <a:ext cx="284226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〖𝑃𝑤〗_𝑖𝑛=−𝑄(𝑡)×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es-MX" sz="1400" b="0" i="0">
                  <a:latin typeface="Cambria Math" panose="02040503050406030204" pitchFamily="18" charset="0"/>
                </a:rPr>
                <a:t>𝑤𝑎𝑡𝑒𝑟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×𝑔×𝑑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26</xdr:col>
      <xdr:colOff>22860</xdr:colOff>
      <xdr:row>14</xdr:row>
      <xdr:rowOff>135890</xdr:rowOff>
    </xdr:from>
    <xdr:ext cx="399288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D61890E-DE93-4391-B549-E76FBA23732E}"/>
                </a:ext>
              </a:extLst>
            </xdr:cNvPr>
            <xdr:cNvSpPr txBox="1"/>
          </xdr:nvSpPr>
          <xdr:spPr>
            <a:xfrm>
              <a:off x="18933160" y="3463290"/>
              <a:ext cx="399288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𝑜𝑢𝑡</m:t>
                        </m:r>
                      </m:sub>
                    </m:sSub>
                    <m:r>
                      <a:rPr lang="es-MX" sz="1400" b="0" i="0">
                        <a:latin typeface="Cambria Math" panose="02040503050406030204" pitchFamily="18" charset="0"/>
                      </a:rPr>
                      <m:t>=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𝑄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)×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𝑔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𝑑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d>
                      <m:dPr>
                        <m:begChr m:val="["/>
                        <m:endChr m:val="]"/>
                        <m:ctrlP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d>
                          <m:dPr>
                            <m:ctrlP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𝑓</m:t>
                                </m:r>
                              </m:e>
                              <m:sub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×</m:t>
                            </m:r>
                            <m:sSub>
                              <m:sSubPr>
                                <m:ctrlP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𝜌</m:t>
                                </m:r>
                              </m:e>
                              <m:sub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</m:e>
                        </m:d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+</m:t>
                        </m:r>
                        <m:d>
                          <m:dPr>
                            <m:ctrlP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1−</m:t>
                            </m:r>
                            <m:sSub>
                              <m:sSubPr>
                                <m:ctrlP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𝑓</m:t>
                                </m:r>
                              </m:e>
                              <m:sub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</m:e>
                        </m:d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×</m:t>
                        </m:r>
                        <m:sSub>
                          <m:sSubPr>
                            <m:ctrlP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𝜌</m:t>
                            </m:r>
                          </m:e>
                          <m:sub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𝑜</m:t>
                            </m:r>
                          </m:sub>
                        </m:sSub>
                      </m:e>
                    </m:d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D61890E-DE93-4391-B549-E76FBA23732E}"/>
                </a:ext>
              </a:extLst>
            </xdr:cNvPr>
            <xdr:cNvSpPr txBox="1"/>
          </xdr:nvSpPr>
          <xdr:spPr>
            <a:xfrm>
              <a:off x="18933160" y="3463290"/>
              <a:ext cx="399288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〖𝑃𝑤〗_𝑜𝑢𝑡=𝑄(𝑡)×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𝑔×𝑑×[(𝑓_𝑤×𝜌_𝑤 )+(1−𝑓_𝑤 )×𝜌_𝑜 ]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25</xdr:col>
      <xdr:colOff>110490</xdr:colOff>
      <xdr:row>17</xdr:row>
      <xdr:rowOff>21590</xdr:rowOff>
    </xdr:from>
    <xdr:ext cx="3992880" cy="2323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3BE329-12D2-4F1E-A404-48976F43FCA4}"/>
                </a:ext>
              </a:extLst>
            </xdr:cNvPr>
            <xdr:cNvSpPr txBox="1"/>
          </xdr:nvSpPr>
          <xdr:spPr>
            <a:xfrm>
              <a:off x="18411190" y="3901440"/>
              <a:ext cx="3992880" cy="2323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+1</m:t>
                        </m:r>
                      </m:sub>
                    </m:sSub>
                    <m:r>
                      <a:rPr lang="es-MX" sz="1400" b="0" i="0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𝑛</m:t>
                        </m:r>
                      </m:sub>
                    </m:sSub>
                    <m:r>
                      <a:rPr lang="es-MX" sz="14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+1</m:t>
                        </m:r>
                      </m:sub>
                    </m:sSub>
                    <m:d>
                      <m:d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s-MX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e>
                          <m:sub>
                            <m:r>
                              <a:rPr lang="es-MX" sz="14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  <m:r>
                              <a:rPr lang="es-MX" sz="1400" b="0" i="1">
                                <a:latin typeface="Cambria Math" panose="02040503050406030204" pitchFamily="18" charset="0"/>
                              </a:rPr>
                              <m:t>+1</m:t>
                            </m:r>
                          </m:sub>
                        </m:s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e>
                          <m:sub>
                            <m:r>
                              <a:rPr lang="es-MX" sz="14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sub>
                        </m:sSub>
                      </m:e>
                    </m:d>
                    <m:r>
                      <a:rPr lang="es-MX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𝑝𝑢𝑚𝑝</m:t>
                        </m:r>
                      </m:sub>
                    </m:sSub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3BE329-12D2-4F1E-A404-48976F43FCA4}"/>
                </a:ext>
              </a:extLst>
            </xdr:cNvPr>
            <xdr:cNvSpPr txBox="1"/>
          </xdr:nvSpPr>
          <xdr:spPr>
            <a:xfrm>
              <a:off x="18411190" y="3901440"/>
              <a:ext cx="3992880" cy="2323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𝐸_(𝑛+1)=𝐸_𝑛+𝑃_(𝑛+1) (𝑡_(𝑛+1)−𝑡_𝑛 )=𝐸_𝑝𝑢𝑚𝑝</a:t>
              </a:r>
              <a:endParaRPr lang="en-US" sz="1400"/>
            </a:p>
          </xdr:txBody>
        </xdr:sp>
      </mc:Fallback>
    </mc:AlternateContent>
    <xdr:clientData/>
  </xdr:oneCellAnchor>
  <xdr:twoCellAnchor>
    <xdr:from>
      <xdr:col>26</xdr:col>
      <xdr:colOff>406400</xdr:colOff>
      <xdr:row>8</xdr:row>
      <xdr:rowOff>323850</xdr:rowOff>
    </xdr:from>
    <xdr:to>
      <xdr:col>29</xdr:col>
      <xdr:colOff>311150</xdr:colOff>
      <xdr:row>9</xdr:row>
      <xdr:rowOff>368300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6EE07F-6488-4528-8C2F-1781D595A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4000" y="2546350"/>
          <a:ext cx="173355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24</xdr:col>
      <xdr:colOff>501650</xdr:colOff>
      <xdr:row>20</xdr:row>
      <xdr:rowOff>127000</xdr:rowOff>
    </xdr:from>
    <xdr:ext cx="3992880" cy="2323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D49A1A2B-D1D3-48D2-B683-E9862FB91123}"/>
                </a:ext>
              </a:extLst>
            </xdr:cNvPr>
            <xdr:cNvSpPr txBox="1"/>
          </xdr:nvSpPr>
          <xdr:spPr>
            <a:xfrm>
              <a:off x="22663150" y="6597650"/>
              <a:ext cx="3992880" cy="2323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es-MX" sz="1400" b="0" i="0">
                        <a:latin typeface="Cambria Math" panose="02040503050406030204" pitchFamily="18" charset="0"/>
                      </a:rPr>
                      <m:t>Q</m:t>
                    </m:r>
                    <m:r>
                      <a:rPr lang="es-MX" sz="1400" b="0" i="0"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es-MX" sz="1400" b="0" i="0">
                        <a:latin typeface="Cambria Math" panose="02040503050406030204" pitchFamily="18" charset="0"/>
                      </a:rPr>
                      <m:t>m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𝑝</m:t>
                        </m:r>
                      </m:sub>
                    </m:sSub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d>
                      <m:dPr>
                        <m:ctrlP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𝑇</m:t>
                            </m:r>
                          </m:e>
                          <m:sub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𝑇</m:t>
                            </m:r>
                          </m:e>
                          <m:sub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e>
                    </m:d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D49A1A2B-D1D3-48D2-B683-E9862FB91123}"/>
                </a:ext>
              </a:extLst>
            </xdr:cNvPr>
            <xdr:cNvSpPr txBox="1"/>
          </xdr:nvSpPr>
          <xdr:spPr>
            <a:xfrm>
              <a:off x="22663150" y="6597650"/>
              <a:ext cx="3992880" cy="2323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Q=m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×𝐶_𝑝×(𝑇_2−𝑇_1 )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27</xdr:col>
      <xdr:colOff>0</xdr:colOff>
      <xdr:row>2</xdr:row>
      <xdr:rowOff>0</xdr:rowOff>
    </xdr:from>
    <xdr:ext cx="2082814" cy="3688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6FB877BE-60C5-4FB2-AC7E-EA041239A87A}"/>
                </a:ext>
              </a:extLst>
            </xdr:cNvPr>
            <xdr:cNvSpPr txBox="1"/>
          </xdr:nvSpPr>
          <xdr:spPr>
            <a:xfrm>
              <a:off x="27865917" y="931333"/>
              <a:ext cx="2082814" cy="3688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𝐸𝑥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𝑅𝐹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𝐸𝑥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𝑝𝑟𝑜𝑑𝑢𝑐𝑡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𝐸𝑥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𝑓𝑢𝑒𝑙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𝐸𝑥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𝐸𝑥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𝑝𝑟𝑜𝑑𝑢𝑐𝑡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6FB877BE-60C5-4FB2-AC7E-EA041239A87A}"/>
                </a:ext>
              </a:extLst>
            </xdr:cNvPr>
            <xdr:cNvSpPr txBox="1"/>
          </xdr:nvSpPr>
          <xdr:spPr>
            <a:xfrm>
              <a:off x="27865917" y="931333"/>
              <a:ext cx="2082814" cy="3688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〖𝐸𝑥〗_𝑅𝐹=(〖𝐸𝑥〗_𝑝𝑟𝑜𝑑𝑢𝑐𝑡−〖𝐸𝑥〗_𝑓𝑢𝑒𝑙−〖𝐸𝑥〗_𝐷)/〖𝐸𝑥〗_𝑝𝑟𝑜𝑑𝑢𝑐𝑡 </a:t>
              </a:r>
              <a:endParaRPr lang="en-US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260"/>
  <sheetViews>
    <sheetView topLeftCell="A427" workbookViewId="0">
      <pane xSplit="6" topLeftCell="W1" activePane="topRight" state="frozen"/>
      <selection pane="topRight" activeCell="M11" sqref="M11"/>
    </sheetView>
  </sheetViews>
  <sheetFormatPr defaultRowHeight="14.5" x14ac:dyDescent="0.35"/>
  <cols>
    <col min="1" max="1" width="27.54296875" customWidth="1"/>
    <col min="6" max="6" width="16.54296875" customWidth="1"/>
    <col min="7" max="7" width="18.453125" customWidth="1"/>
    <col min="8" max="26" width="12" customWidth="1"/>
    <col min="27" max="30" width="15.90625" customWidth="1"/>
    <col min="31" max="32" width="14.36328125" customWidth="1"/>
    <col min="33" max="33" width="14.90625" customWidth="1"/>
    <col min="34" max="34" width="14.1796875" bestFit="1" customWidth="1"/>
    <col min="35" max="35" width="11.90625" bestFit="1" customWidth="1"/>
  </cols>
  <sheetData>
    <row r="1" spans="1:35" ht="18" x14ac:dyDescent="0.4">
      <c r="A1" s="286" t="s">
        <v>411</v>
      </c>
      <c r="B1" s="286"/>
      <c r="C1" s="286"/>
      <c r="D1" s="286"/>
      <c r="E1" s="286"/>
      <c r="F1" s="286"/>
      <c r="G1" s="286"/>
      <c r="H1" s="286"/>
      <c r="I1" s="286"/>
      <c r="J1" s="286"/>
    </row>
    <row r="3" spans="1:35" x14ac:dyDescent="0.35"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>
        <v>65</v>
      </c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 t="s">
        <v>406</v>
      </c>
    </row>
    <row r="4" spans="1:35" x14ac:dyDescent="0.35">
      <c r="A4" s="2" t="s">
        <v>45</v>
      </c>
      <c r="B4" s="7">
        <v>949910</v>
      </c>
      <c r="C4" t="s">
        <v>44</v>
      </c>
      <c r="E4" s="226"/>
      <c r="F4" s="13" t="s">
        <v>52</v>
      </c>
      <c r="G4" s="13" t="s">
        <v>53</v>
      </c>
      <c r="H4" s="13" t="s">
        <v>54</v>
      </c>
      <c r="I4" s="13" t="s">
        <v>55</v>
      </c>
      <c r="J4" s="13" t="s">
        <v>56</v>
      </c>
      <c r="K4" s="13" t="s">
        <v>57</v>
      </c>
      <c r="L4" s="13" t="s">
        <v>58</v>
      </c>
      <c r="M4" s="13" t="s">
        <v>59</v>
      </c>
      <c r="N4" s="13" t="s">
        <v>60</v>
      </c>
      <c r="O4" s="13" t="s">
        <v>61</v>
      </c>
      <c r="P4" s="13" t="s">
        <v>62</v>
      </c>
      <c r="Q4" s="13" t="s">
        <v>63</v>
      </c>
      <c r="R4" s="13" t="s">
        <v>64</v>
      </c>
      <c r="S4" s="13" t="s">
        <v>65</v>
      </c>
      <c r="T4" s="13" t="s">
        <v>66</v>
      </c>
      <c r="U4" s="13" t="s">
        <v>67</v>
      </c>
      <c r="V4" s="13" t="s">
        <v>68</v>
      </c>
      <c r="W4" s="13" t="s">
        <v>69</v>
      </c>
      <c r="X4" s="13" t="s">
        <v>70</v>
      </c>
      <c r="Y4" s="13" t="s">
        <v>71</v>
      </c>
      <c r="Z4" s="13" t="s">
        <v>72</v>
      </c>
      <c r="AA4" s="13" t="s">
        <v>73</v>
      </c>
      <c r="AB4" s="13" t="s">
        <v>74</v>
      </c>
      <c r="AC4" s="13" t="s">
        <v>407</v>
      </c>
      <c r="AD4" s="13" t="s">
        <v>75</v>
      </c>
      <c r="AE4" s="13" t="s">
        <v>76</v>
      </c>
      <c r="AF4" s="13" t="s">
        <v>77</v>
      </c>
      <c r="AG4" s="13" t="s">
        <v>78</v>
      </c>
      <c r="AH4" s="13" t="s">
        <v>79</v>
      </c>
      <c r="AI4" s="13" t="s">
        <v>408</v>
      </c>
    </row>
    <row r="5" spans="1:35" x14ac:dyDescent="0.35">
      <c r="A5" s="2" t="s">
        <v>46</v>
      </c>
      <c r="B5" s="7">
        <v>864000</v>
      </c>
      <c r="C5" t="s">
        <v>44</v>
      </c>
      <c r="E5" s="226"/>
      <c r="F5" s="227">
        <v>5.7077616438356172E-6</v>
      </c>
      <c r="G5" s="227">
        <v>2.0833330000000001E-3</v>
      </c>
      <c r="H5" s="227">
        <v>0</v>
      </c>
      <c r="I5" s="227">
        <v>1.3949E-6</v>
      </c>
      <c r="J5" s="227">
        <v>1.3926502401388892E-6</v>
      </c>
      <c r="K5" s="227">
        <v>129.6</v>
      </c>
      <c r="L5" s="227">
        <v>140</v>
      </c>
      <c r="M5" s="227">
        <v>134.19</v>
      </c>
      <c r="N5" s="227">
        <v>100.13</v>
      </c>
      <c r="O5" s="227">
        <v>112.18</v>
      </c>
      <c r="P5" s="227">
        <v>128.55000000000001</v>
      </c>
      <c r="Q5" s="227">
        <v>140</v>
      </c>
      <c r="R5" s="227">
        <v>127.44</v>
      </c>
      <c r="S5" s="227">
        <v>62.44</v>
      </c>
      <c r="T5" s="227">
        <v>79.5</v>
      </c>
      <c r="U5" s="227">
        <v>70.319999999999993</v>
      </c>
      <c r="V5" s="227">
        <v>79.5</v>
      </c>
      <c r="W5" s="227">
        <v>79.5</v>
      </c>
      <c r="X5" s="227">
        <v>79.5</v>
      </c>
      <c r="Y5" s="227">
        <v>79.5</v>
      </c>
      <c r="Z5" s="227">
        <v>77.314999999999998</v>
      </c>
      <c r="AA5" s="227">
        <v>79.5</v>
      </c>
      <c r="AB5" s="227">
        <v>577.55999999999995</v>
      </c>
      <c r="AC5" s="227">
        <v>0</v>
      </c>
      <c r="AD5" s="228">
        <v>6.6847222222222212E-3</v>
      </c>
      <c r="AE5" s="229">
        <v>1.2032498074800002</v>
      </c>
      <c r="AF5" s="228">
        <v>1.3013227084550001</v>
      </c>
      <c r="AG5" s="228">
        <v>1.2032498074800002</v>
      </c>
      <c r="AH5" s="228">
        <v>1.3013227084550001</v>
      </c>
      <c r="AI5" s="230">
        <v>0</v>
      </c>
    </row>
    <row r="6" spans="1:35" x14ac:dyDescent="0.35">
      <c r="A6" s="2" t="s">
        <v>47</v>
      </c>
      <c r="B6" s="7"/>
      <c r="E6" s="226"/>
      <c r="F6" s="227">
        <v>1.7123287671232879E-5</v>
      </c>
      <c r="G6" s="227">
        <v>6.2500000000000003E-3</v>
      </c>
      <c r="H6" s="227">
        <v>0</v>
      </c>
      <c r="I6" s="227">
        <v>4.1845999999999997E-6</v>
      </c>
      <c r="J6" s="227">
        <v>3.6251446317013895E-6</v>
      </c>
      <c r="K6" s="227">
        <v>138.26</v>
      </c>
      <c r="L6" s="227">
        <v>140</v>
      </c>
      <c r="M6" s="227">
        <v>140</v>
      </c>
      <c r="N6" s="227">
        <v>102.4</v>
      </c>
      <c r="O6" s="227">
        <v>118.6</v>
      </c>
      <c r="P6" s="227">
        <v>136.65</v>
      </c>
      <c r="Q6" s="227">
        <v>140</v>
      </c>
      <c r="R6" s="227">
        <v>136.13999999999999</v>
      </c>
      <c r="S6" s="227">
        <v>71.139999999999986</v>
      </c>
      <c r="T6" s="227">
        <v>79.5</v>
      </c>
      <c r="U6" s="227">
        <v>52.512</v>
      </c>
      <c r="V6" s="227">
        <v>73.207999999999998</v>
      </c>
      <c r="W6" s="227">
        <v>79.5</v>
      </c>
      <c r="X6" s="227">
        <v>79.5</v>
      </c>
      <c r="Y6" s="227">
        <v>79.5</v>
      </c>
      <c r="Z6" s="227">
        <v>64.010000000000005</v>
      </c>
      <c r="AA6" s="227">
        <v>79.5</v>
      </c>
      <c r="AB6" s="227">
        <v>462.93</v>
      </c>
      <c r="AC6" s="227">
        <v>0</v>
      </c>
      <c r="AD6" s="230">
        <v>5.3579861111111111E-3</v>
      </c>
      <c r="AE6" s="230">
        <v>1.9288751543100002</v>
      </c>
      <c r="AF6" s="230">
        <v>2.4467918624100005</v>
      </c>
      <c r="AG6" s="230">
        <v>3.1321249617900007</v>
      </c>
      <c r="AH6" s="230">
        <v>3.7481145708650008</v>
      </c>
      <c r="AI6" s="230">
        <v>0</v>
      </c>
    </row>
    <row r="7" spans="1:35" x14ac:dyDescent="0.35">
      <c r="A7" s="2" t="s">
        <v>48</v>
      </c>
      <c r="B7" s="7">
        <v>50</v>
      </c>
      <c r="E7" s="226"/>
      <c r="F7" s="227">
        <v>3.9954328767123291E-5</v>
      </c>
      <c r="G7" s="227">
        <v>1.458333E-2</v>
      </c>
      <c r="H7" s="227">
        <v>0</v>
      </c>
      <c r="I7" s="227">
        <v>9.7641000000000002E-6</v>
      </c>
      <c r="J7" s="227">
        <v>7.5106561947800937E-6</v>
      </c>
      <c r="K7" s="227">
        <v>140</v>
      </c>
      <c r="L7" s="227">
        <v>140</v>
      </c>
      <c r="M7" s="227">
        <v>140</v>
      </c>
      <c r="N7" s="227">
        <v>103.93</v>
      </c>
      <c r="O7" s="227">
        <v>123.56</v>
      </c>
      <c r="P7" s="227">
        <v>140</v>
      </c>
      <c r="Q7" s="227">
        <v>140</v>
      </c>
      <c r="R7" s="227">
        <v>140</v>
      </c>
      <c r="S7" s="227">
        <v>75</v>
      </c>
      <c r="T7" s="227">
        <v>71.025000000000006</v>
      </c>
      <c r="U7" s="227">
        <v>44.311</v>
      </c>
      <c r="V7" s="227">
        <v>63.470999999999997</v>
      </c>
      <c r="W7" s="227">
        <v>79.5</v>
      </c>
      <c r="X7" s="227">
        <v>79.5</v>
      </c>
      <c r="Y7" s="227">
        <v>74.986000000000004</v>
      </c>
      <c r="Z7" s="227">
        <v>57.192</v>
      </c>
      <c r="AA7" s="227">
        <v>73.638000000000005</v>
      </c>
      <c r="AB7" s="227">
        <v>402.85</v>
      </c>
      <c r="AC7" s="227">
        <v>0</v>
      </c>
      <c r="AD7" s="230">
        <v>4.6626157407407406E-3</v>
      </c>
      <c r="AE7" s="230">
        <v>3.3570819904999998</v>
      </c>
      <c r="AF7" s="230">
        <v>4.5301898545900006</v>
      </c>
      <c r="AG7" s="230">
        <v>6.4892069522900009</v>
      </c>
      <c r="AH7" s="230">
        <v>8.2783044254550013</v>
      </c>
      <c r="AI7" s="230">
        <v>0</v>
      </c>
    </row>
    <row r="8" spans="1:35" x14ac:dyDescent="0.35">
      <c r="A8" s="2" t="s">
        <v>49</v>
      </c>
      <c r="B8" s="7">
        <v>700</v>
      </c>
      <c r="E8" s="226"/>
      <c r="F8" s="227">
        <v>8.5616438356164384E-5</v>
      </c>
      <c r="G8" s="227">
        <v>3.125E-2</v>
      </c>
      <c r="H8" s="227">
        <v>0</v>
      </c>
      <c r="I8" s="227">
        <v>2.0922999999999999E-5</v>
      </c>
      <c r="J8" s="227">
        <v>1.4453173015381947E-5</v>
      </c>
      <c r="K8" s="227">
        <v>140</v>
      </c>
      <c r="L8" s="227">
        <v>140</v>
      </c>
      <c r="M8" s="227">
        <v>140</v>
      </c>
      <c r="N8" s="227">
        <v>104.92</v>
      </c>
      <c r="O8" s="227">
        <v>127.94</v>
      </c>
      <c r="P8" s="227">
        <v>140</v>
      </c>
      <c r="Q8" s="227">
        <v>140</v>
      </c>
      <c r="R8" s="227">
        <v>140</v>
      </c>
      <c r="S8" s="227">
        <v>75</v>
      </c>
      <c r="T8" s="227">
        <v>62.222000000000001</v>
      </c>
      <c r="U8" s="227">
        <v>39.286999999999999</v>
      </c>
      <c r="V8" s="227">
        <v>56.41</v>
      </c>
      <c r="W8" s="227">
        <v>79.5</v>
      </c>
      <c r="X8" s="227">
        <v>79.5</v>
      </c>
      <c r="Y8" s="227">
        <v>67.058999999999997</v>
      </c>
      <c r="Z8" s="227">
        <v>52.540999999999997</v>
      </c>
      <c r="AA8" s="227">
        <v>63.003999999999998</v>
      </c>
      <c r="AB8" s="227">
        <v>359.9</v>
      </c>
      <c r="AC8" s="227">
        <v>0</v>
      </c>
      <c r="AD8" s="230">
        <v>4.1655092592592594E-3</v>
      </c>
      <c r="AE8" s="230">
        <v>5.9983345330000004</v>
      </c>
      <c r="AF8" s="230">
        <v>8.3253849984099997</v>
      </c>
      <c r="AG8" s="230">
        <v>12.487541485290002</v>
      </c>
      <c r="AH8" s="230">
        <v>16.603689423864999</v>
      </c>
      <c r="AI8" s="230">
        <v>0</v>
      </c>
    </row>
    <row r="9" spans="1:35" x14ac:dyDescent="0.35">
      <c r="A9" s="2" t="s">
        <v>284</v>
      </c>
      <c r="B9" s="7">
        <v>0.7</v>
      </c>
      <c r="E9" s="226"/>
      <c r="F9" s="227">
        <v>1.7694063013698629E-4</v>
      </c>
      <c r="G9" s="227">
        <v>6.4583329999999994E-2</v>
      </c>
      <c r="H9" s="227">
        <v>0</v>
      </c>
      <c r="I9" s="227">
        <v>4.3241000000000002E-5</v>
      </c>
      <c r="J9" s="227">
        <v>2.7222076059479164E-5</v>
      </c>
      <c r="K9" s="227">
        <v>140</v>
      </c>
      <c r="L9" s="227">
        <v>140</v>
      </c>
      <c r="M9" s="227">
        <v>140</v>
      </c>
      <c r="N9" s="227">
        <v>105.29</v>
      </c>
      <c r="O9" s="227">
        <v>131.88</v>
      </c>
      <c r="P9" s="227">
        <v>140</v>
      </c>
      <c r="Q9" s="227">
        <v>140</v>
      </c>
      <c r="R9" s="227">
        <v>140</v>
      </c>
      <c r="S9" s="227">
        <v>75</v>
      </c>
      <c r="T9" s="227">
        <v>55.015000000000001</v>
      </c>
      <c r="U9" s="227">
        <v>35.902999999999999</v>
      </c>
      <c r="V9" s="227">
        <v>50.481000000000002</v>
      </c>
      <c r="W9" s="227">
        <v>79.5</v>
      </c>
      <c r="X9" s="227">
        <v>79.5</v>
      </c>
      <c r="Y9" s="227">
        <v>60.963999999999999</v>
      </c>
      <c r="Z9" s="227">
        <v>49.607999999999997</v>
      </c>
      <c r="AA9" s="227">
        <v>54.631</v>
      </c>
      <c r="AB9" s="227">
        <v>330.97</v>
      </c>
      <c r="AC9" s="227">
        <v>0</v>
      </c>
      <c r="AD9" s="230">
        <v>3.8306712962962964E-3</v>
      </c>
      <c r="AE9" s="230">
        <v>11.032332230099998</v>
      </c>
      <c r="AF9" s="230">
        <v>15.520065114659996</v>
      </c>
      <c r="AG9" s="230">
        <v>23.519873715389998</v>
      </c>
      <c r="AH9" s="230">
        <v>32.123754538524992</v>
      </c>
      <c r="AI9" s="230">
        <v>0</v>
      </c>
    </row>
    <row r="10" spans="1:35" x14ac:dyDescent="0.35">
      <c r="A10" s="2" t="s">
        <v>50</v>
      </c>
      <c r="B10" s="7">
        <v>1000</v>
      </c>
      <c r="E10" s="226"/>
      <c r="F10" s="227">
        <v>3.5958904109589042E-4</v>
      </c>
      <c r="G10" s="227">
        <v>0.13125000000000001</v>
      </c>
      <c r="H10" s="227">
        <v>0</v>
      </c>
      <c r="I10" s="227">
        <v>8.7876999999999999E-5</v>
      </c>
      <c r="J10" s="227">
        <v>5.169275629535879E-5</v>
      </c>
      <c r="K10" s="227">
        <v>140</v>
      </c>
      <c r="L10" s="227">
        <v>140</v>
      </c>
      <c r="M10" s="227">
        <v>140</v>
      </c>
      <c r="N10" s="227">
        <v>105.31</v>
      </c>
      <c r="O10" s="227">
        <v>135.25</v>
      </c>
      <c r="P10" s="227">
        <v>140</v>
      </c>
      <c r="Q10" s="227">
        <v>140</v>
      </c>
      <c r="R10" s="227">
        <v>140</v>
      </c>
      <c r="S10" s="227">
        <v>75</v>
      </c>
      <c r="T10" s="227">
        <v>48.691000000000003</v>
      </c>
      <c r="U10" s="227">
        <v>33.42</v>
      </c>
      <c r="V10" s="227">
        <v>45.170999999999999</v>
      </c>
      <c r="W10" s="227">
        <v>79.5</v>
      </c>
      <c r="X10" s="227">
        <v>79.5</v>
      </c>
      <c r="Y10" s="227">
        <v>56.274000000000001</v>
      </c>
      <c r="Z10" s="227">
        <v>48.302999999999997</v>
      </c>
      <c r="AA10" s="227">
        <v>48.436</v>
      </c>
      <c r="AB10" s="227">
        <v>317.14</v>
      </c>
      <c r="AC10" s="227">
        <v>0</v>
      </c>
      <c r="AD10" s="230">
        <v>3.6706018518518515E-3</v>
      </c>
      <c r="AE10" s="230">
        <v>21.142667723799999</v>
      </c>
      <c r="AF10" s="230">
        <v>29.286334797650007</v>
      </c>
      <c r="AG10" s="230">
        <v>44.662541439189994</v>
      </c>
      <c r="AH10" s="230">
        <v>61.410089336174998</v>
      </c>
      <c r="AI10" s="230">
        <v>0</v>
      </c>
    </row>
    <row r="11" spans="1:35" x14ac:dyDescent="0.35">
      <c r="A11" s="2" t="s">
        <v>51</v>
      </c>
      <c r="B11" s="7">
        <v>885</v>
      </c>
      <c r="E11" s="226"/>
      <c r="F11" s="227">
        <v>7.2488575342465761E-4</v>
      </c>
      <c r="G11" s="227">
        <v>0.26458330000000002</v>
      </c>
      <c r="H11" s="227">
        <v>0</v>
      </c>
      <c r="I11" s="227">
        <v>1.7715E-4</v>
      </c>
      <c r="J11" s="227">
        <v>1.0086095387984953E-4</v>
      </c>
      <c r="K11" s="227">
        <v>140</v>
      </c>
      <c r="L11" s="227">
        <v>140</v>
      </c>
      <c r="M11" s="227">
        <v>140</v>
      </c>
      <c r="N11" s="227">
        <v>105.19</v>
      </c>
      <c r="O11" s="227">
        <v>136.49</v>
      </c>
      <c r="P11" s="227">
        <v>140</v>
      </c>
      <c r="Q11" s="227">
        <v>140</v>
      </c>
      <c r="R11" s="227">
        <v>140</v>
      </c>
      <c r="S11" s="227">
        <v>75</v>
      </c>
      <c r="T11" s="227">
        <v>42.613999999999997</v>
      </c>
      <c r="U11" s="227">
        <v>31.129000000000001</v>
      </c>
      <c r="V11" s="227">
        <v>40.109000000000002</v>
      </c>
      <c r="W11" s="227">
        <v>79.5</v>
      </c>
      <c r="X11" s="227">
        <v>79.5</v>
      </c>
      <c r="Y11" s="227">
        <v>53.015000000000001</v>
      </c>
      <c r="Z11" s="227">
        <v>48.018000000000001</v>
      </c>
      <c r="AA11" s="227">
        <v>44.39</v>
      </c>
      <c r="AB11" s="227">
        <v>318.61</v>
      </c>
      <c r="AC11" s="227">
        <v>0</v>
      </c>
      <c r="AD11" s="230">
        <v>3.6876157407407409E-3</v>
      </c>
      <c r="AE11" s="230">
        <v>42.481322713000004</v>
      </c>
      <c r="AF11" s="230">
        <v>55.769986057500006</v>
      </c>
      <c r="AG11" s="230">
        <v>87.143864152189991</v>
      </c>
      <c r="AH11" s="230">
        <v>117.180075393675</v>
      </c>
      <c r="AI11" s="230">
        <v>0</v>
      </c>
    </row>
    <row r="12" spans="1:35" x14ac:dyDescent="0.35">
      <c r="A12" s="2" t="s">
        <v>80</v>
      </c>
      <c r="B12" s="7">
        <v>6.2898110000000003</v>
      </c>
      <c r="E12" s="226"/>
      <c r="F12" s="227">
        <v>1.4554794520547946E-3</v>
      </c>
      <c r="G12" s="227">
        <v>0.53125</v>
      </c>
      <c r="H12" s="227">
        <v>0</v>
      </c>
      <c r="I12" s="227">
        <v>3.5568999999999998E-4</v>
      </c>
      <c r="J12" s="227">
        <v>2.0438257175832175E-4</v>
      </c>
      <c r="K12" s="227">
        <v>140</v>
      </c>
      <c r="L12" s="227">
        <v>140</v>
      </c>
      <c r="M12" s="227">
        <v>140</v>
      </c>
      <c r="N12" s="227">
        <v>104.51</v>
      </c>
      <c r="O12" s="227">
        <v>133.25</v>
      </c>
      <c r="P12" s="227">
        <v>140</v>
      </c>
      <c r="Q12" s="227">
        <v>140</v>
      </c>
      <c r="R12" s="227">
        <v>140</v>
      </c>
      <c r="S12" s="227">
        <v>75</v>
      </c>
      <c r="T12" s="227">
        <v>37.927999999999997</v>
      </c>
      <c r="U12" s="227">
        <v>28.981000000000002</v>
      </c>
      <c r="V12" s="227">
        <v>36.293999999999997</v>
      </c>
      <c r="W12" s="227">
        <v>79.5</v>
      </c>
      <c r="X12" s="227">
        <v>79.5</v>
      </c>
      <c r="Y12" s="227">
        <v>53.493000000000002</v>
      </c>
      <c r="Z12" s="227">
        <v>50.667999999999999</v>
      </c>
      <c r="AA12" s="227">
        <v>43.533999999999999</v>
      </c>
      <c r="AB12" s="227">
        <v>335.41</v>
      </c>
      <c r="AC12" s="227">
        <v>0</v>
      </c>
      <c r="AD12" s="230">
        <v>3.8820601851851854E-3</v>
      </c>
      <c r="AE12" s="230">
        <v>89.442677847000013</v>
      </c>
      <c r="AF12" s="230">
        <v>109.30614699659998</v>
      </c>
      <c r="AG12" s="230">
        <v>176.58654199918999</v>
      </c>
      <c r="AH12" s="230">
        <v>226.48622239027497</v>
      </c>
      <c r="AI12" s="230">
        <v>0</v>
      </c>
    </row>
    <row r="13" spans="1:35" x14ac:dyDescent="0.35">
      <c r="A13" s="2" t="s">
        <v>81</v>
      </c>
      <c r="B13" s="7">
        <f>C13*100000</f>
        <v>6500000</v>
      </c>
      <c r="C13">
        <f>S3</f>
        <v>65</v>
      </c>
      <c r="D13" t="s">
        <v>6</v>
      </c>
      <c r="E13" s="226"/>
      <c r="F13" s="227">
        <v>2.9166657534246579E-3</v>
      </c>
      <c r="G13" s="227">
        <v>1.0645830000000001</v>
      </c>
      <c r="H13" s="227">
        <v>0</v>
      </c>
      <c r="I13" s="227">
        <v>7.1277999999999999E-4</v>
      </c>
      <c r="J13" s="227">
        <v>4.3280218208239591E-4</v>
      </c>
      <c r="K13" s="227">
        <v>140</v>
      </c>
      <c r="L13" s="227">
        <v>140</v>
      </c>
      <c r="M13" s="227">
        <v>140</v>
      </c>
      <c r="N13" s="227">
        <v>104.59</v>
      </c>
      <c r="O13" s="227">
        <v>129.61000000000001</v>
      </c>
      <c r="P13" s="227">
        <v>140</v>
      </c>
      <c r="Q13" s="227">
        <v>140</v>
      </c>
      <c r="R13" s="227">
        <v>140</v>
      </c>
      <c r="S13" s="227">
        <v>75</v>
      </c>
      <c r="T13" s="227">
        <v>35.899000000000001</v>
      </c>
      <c r="U13" s="227">
        <v>28.484000000000002</v>
      </c>
      <c r="V13" s="227">
        <v>34.802999999999997</v>
      </c>
      <c r="W13" s="227">
        <v>79.5</v>
      </c>
      <c r="X13" s="227">
        <v>79.5</v>
      </c>
      <c r="Y13" s="227">
        <v>58.97</v>
      </c>
      <c r="Z13" s="227">
        <v>61.082000000000001</v>
      </c>
      <c r="AA13" s="227">
        <v>46.87</v>
      </c>
      <c r="AB13" s="227">
        <v>370.04</v>
      </c>
      <c r="AC13" s="227">
        <v>0</v>
      </c>
      <c r="AD13" s="230">
        <v>4.2828703703703709E-3</v>
      </c>
      <c r="AE13" s="230">
        <v>197.35454332000003</v>
      </c>
      <c r="AF13" s="230">
        <v>226.72412496400005</v>
      </c>
      <c r="AG13" s="230">
        <v>373.94108531919005</v>
      </c>
      <c r="AH13" s="230">
        <v>453.21034735427503</v>
      </c>
      <c r="AI13" s="230">
        <v>0</v>
      </c>
    </row>
    <row r="14" spans="1:35" x14ac:dyDescent="0.35">
      <c r="A14" s="2" t="s">
        <v>82</v>
      </c>
      <c r="B14" s="7">
        <v>0.3</v>
      </c>
      <c r="E14" s="226"/>
      <c r="F14" s="227">
        <v>5.8390410958904116E-3</v>
      </c>
      <c r="G14" s="227">
        <v>2.1312500000000001</v>
      </c>
      <c r="H14" s="227">
        <v>0</v>
      </c>
      <c r="I14" s="227">
        <v>1.4270000000000001E-3</v>
      </c>
      <c r="J14" s="227">
        <v>9.4533320644582194E-4</v>
      </c>
      <c r="K14" s="227">
        <v>140</v>
      </c>
      <c r="L14" s="227">
        <v>140</v>
      </c>
      <c r="M14" s="227">
        <v>140</v>
      </c>
      <c r="N14" s="227">
        <v>105.55</v>
      </c>
      <c r="O14" s="227">
        <v>127.09</v>
      </c>
      <c r="P14" s="227">
        <v>140</v>
      </c>
      <c r="Q14" s="227">
        <v>140</v>
      </c>
      <c r="R14" s="227">
        <v>140</v>
      </c>
      <c r="S14" s="227">
        <v>75</v>
      </c>
      <c r="T14" s="227">
        <v>34.259</v>
      </c>
      <c r="U14" s="227">
        <v>30.556999999999999</v>
      </c>
      <c r="V14" s="227">
        <v>34.164000000000001</v>
      </c>
      <c r="W14" s="227">
        <v>79.5</v>
      </c>
      <c r="X14" s="227">
        <v>79.5</v>
      </c>
      <c r="Y14" s="227">
        <v>64.022999999999996</v>
      </c>
      <c r="Z14" s="227">
        <v>73.951999999999998</v>
      </c>
      <c r="AA14" s="227">
        <v>50.323999999999998</v>
      </c>
      <c r="AB14" s="227">
        <v>415.15</v>
      </c>
      <c r="AC14" s="227">
        <v>0</v>
      </c>
      <c r="AD14" s="230">
        <v>4.8049768518518519E-3</v>
      </c>
      <c r="AE14" s="230">
        <v>442.82680505000002</v>
      </c>
      <c r="AF14" s="230">
        <v>476.03108209300007</v>
      </c>
      <c r="AG14" s="230">
        <v>816.76789036919013</v>
      </c>
      <c r="AH14" s="230">
        <v>929.2414294472751</v>
      </c>
      <c r="AI14" s="230">
        <v>0</v>
      </c>
    </row>
    <row r="15" spans="1:35" x14ac:dyDescent="0.35">
      <c r="A15" s="2" t="s">
        <v>83</v>
      </c>
      <c r="B15" s="7">
        <f>1*365*24*3600</f>
        <v>31536000</v>
      </c>
      <c r="E15" s="226"/>
      <c r="F15" s="227">
        <v>1.1683789041095891E-2</v>
      </c>
      <c r="G15" s="227">
        <v>4.264583</v>
      </c>
      <c r="H15" s="227">
        <v>0</v>
      </c>
      <c r="I15" s="227">
        <v>2.8552999999999999E-3</v>
      </c>
      <c r="J15" s="227">
        <v>2.059481180508322E-3</v>
      </c>
      <c r="K15" s="227">
        <v>140</v>
      </c>
      <c r="L15" s="227">
        <v>140</v>
      </c>
      <c r="M15" s="227">
        <v>140</v>
      </c>
      <c r="N15" s="227">
        <v>106.28</v>
      </c>
      <c r="O15" s="227">
        <v>125.05</v>
      </c>
      <c r="P15" s="227">
        <v>140</v>
      </c>
      <c r="Q15" s="227">
        <v>135.33000000000001</v>
      </c>
      <c r="R15" s="227">
        <v>140</v>
      </c>
      <c r="S15" s="227">
        <v>75</v>
      </c>
      <c r="T15" s="227">
        <v>33.222999999999999</v>
      </c>
      <c r="U15" s="227">
        <v>33.89</v>
      </c>
      <c r="V15" s="227">
        <v>33.963999999999999</v>
      </c>
      <c r="W15" s="227">
        <v>79.5</v>
      </c>
      <c r="X15" s="227">
        <v>79.5</v>
      </c>
      <c r="Y15" s="227">
        <v>69.501000000000005</v>
      </c>
      <c r="Z15" s="227">
        <v>79.5</v>
      </c>
      <c r="AA15" s="227">
        <v>54.249000000000002</v>
      </c>
      <c r="AB15" s="227">
        <v>451.23</v>
      </c>
      <c r="AC15" s="227">
        <v>0</v>
      </c>
      <c r="AD15" s="230">
        <v>5.2225694444444446E-3</v>
      </c>
      <c r="AE15" s="230">
        <v>962.62384958999996</v>
      </c>
      <c r="AF15" s="230">
        <v>988.43077889099993</v>
      </c>
      <c r="AG15" s="230">
        <v>1779.3917399591901</v>
      </c>
      <c r="AH15" s="230">
        <v>1917.6722083382751</v>
      </c>
      <c r="AI15" s="230">
        <v>0</v>
      </c>
    </row>
    <row r="16" spans="1:35" x14ac:dyDescent="0.35">
      <c r="A16" s="2" t="s">
        <v>84</v>
      </c>
      <c r="B16" s="7">
        <v>18</v>
      </c>
      <c r="C16">
        <v>5</v>
      </c>
      <c r="D16" t="s">
        <v>85</v>
      </c>
      <c r="E16" s="226"/>
      <c r="F16" s="227">
        <v>2.0448054794520547E-2</v>
      </c>
      <c r="G16" s="227">
        <v>7.4635400000000001</v>
      </c>
      <c r="H16" s="227">
        <v>0</v>
      </c>
      <c r="I16" s="227">
        <v>4.9971E-3</v>
      </c>
      <c r="J16" s="227">
        <v>3.8080962406472105E-3</v>
      </c>
      <c r="K16" s="227">
        <v>140</v>
      </c>
      <c r="L16" s="227">
        <v>140</v>
      </c>
      <c r="M16" s="227">
        <v>140</v>
      </c>
      <c r="N16" s="227">
        <v>106.34</v>
      </c>
      <c r="O16" s="227">
        <v>123.19</v>
      </c>
      <c r="P16" s="227">
        <v>140</v>
      </c>
      <c r="Q16" s="227">
        <v>129.68</v>
      </c>
      <c r="R16" s="227">
        <v>140</v>
      </c>
      <c r="S16" s="227">
        <v>75</v>
      </c>
      <c r="T16" s="227">
        <v>32.933</v>
      </c>
      <c r="U16" s="227">
        <v>37.954999999999998</v>
      </c>
      <c r="V16" s="227">
        <v>34.335999999999999</v>
      </c>
      <c r="W16" s="227">
        <v>79.5</v>
      </c>
      <c r="X16" s="227">
        <v>79.5</v>
      </c>
      <c r="Y16" s="227">
        <v>74.870999999999995</v>
      </c>
      <c r="Z16" s="227">
        <v>79.5</v>
      </c>
      <c r="AA16" s="227">
        <v>58.180999999999997</v>
      </c>
      <c r="AB16" s="227">
        <v>472.28</v>
      </c>
      <c r="AC16" s="227">
        <v>0</v>
      </c>
      <c r="AD16" s="230">
        <v>5.4662037037037032E-3</v>
      </c>
      <c r="AE16" s="230">
        <v>1510.8034119599999</v>
      </c>
      <c r="AF16" s="230">
        <v>1525.1859226319998</v>
      </c>
      <c r="AG16" s="230">
        <v>3290.1951519191898</v>
      </c>
      <c r="AH16" s="230">
        <v>3442.8581309702749</v>
      </c>
      <c r="AI16" s="230">
        <v>0</v>
      </c>
    </row>
    <row r="17" spans="1:35" x14ac:dyDescent="0.35">
      <c r="A17" s="2" t="s">
        <v>86</v>
      </c>
      <c r="B17" s="7">
        <v>48000</v>
      </c>
      <c r="D17" s="137">
        <v>45634.5</v>
      </c>
      <c r="E17" s="226"/>
      <c r="F17" s="227">
        <v>3.688641095890411E-2</v>
      </c>
      <c r="G17" s="227">
        <v>13.46354</v>
      </c>
      <c r="H17" s="227">
        <v>0</v>
      </c>
      <c r="I17" s="227">
        <v>9.0142999999999994E-3</v>
      </c>
      <c r="J17" s="227">
        <v>7.224207351758322E-3</v>
      </c>
      <c r="K17" s="227">
        <v>140</v>
      </c>
      <c r="L17" s="227">
        <v>140</v>
      </c>
      <c r="M17" s="227">
        <v>140</v>
      </c>
      <c r="N17" s="227">
        <v>105.95</v>
      </c>
      <c r="O17" s="227">
        <v>121.46</v>
      </c>
      <c r="P17" s="227">
        <v>139.05000000000001</v>
      </c>
      <c r="Q17" s="227">
        <v>124.64</v>
      </c>
      <c r="R17" s="227">
        <v>140</v>
      </c>
      <c r="S17" s="227">
        <v>75</v>
      </c>
      <c r="T17" s="227">
        <v>33.113999999999997</v>
      </c>
      <c r="U17" s="227">
        <v>44.057000000000002</v>
      </c>
      <c r="V17" s="227">
        <v>35.201000000000001</v>
      </c>
      <c r="W17" s="227">
        <v>79.5</v>
      </c>
      <c r="X17" s="227">
        <v>79.5</v>
      </c>
      <c r="Y17" s="227">
        <v>79.5</v>
      </c>
      <c r="Z17" s="227">
        <v>79.5</v>
      </c>
      <c r="AA17" s="227">
        <v>63.283000000000001</v>
      </c>
      <c r="AB17" s="227">
        <v>491.92</v>
      </c>
      <c r="AC17" s="227">
        <v>0</v>
      </c>
      <c r="AD17" s="230">
        <v>5.6935185185185188E-3</v>
      </c>
      <c r="AE17" s="230">
        <v>2951.5200000000004</v>
      </c>
      <c r="AF17" s="230">
        <v>2961.93</v>
      </c>
      <c r="AG17" s="230">
        <v>6241.7151519191902</v>
      </c>
      <c r="AH17" s="230">
        <v>6404.7881309702752</v>
      </c>
      <c r="AI17" s="230">
        <v>0</v>
      </c>
    </row>
    <row r="18" spans="1:35" x14ac:dyDescent="0.35">
      <c r="A18" s="2" t="s">
        <v>87</v>
      </c>
      <c r="B18" s="7">
        <v>0.11799999999999999</v>
      </c>
      <c r="C18" t="s">
        <v>88</v>
      </c>
      <c r="E18" s="226"/>
      <c r="F18" s="227">
        <v>5.3324767123287667E-2</v>
      </c>
      <c r="G18" s="227">
        <v>19.463539999999998</v>
      </c>
      <c r="H18" s="227">
        <v>0</v>
      </c>
      <c r="I18" s="227">
        <v>1.3032E-2</v>
      </c>
      <c r="J18" s="227">
        <v>1.073372124064721E-2</v>
      </c>
      <c r="K18" s="227">
        <v>140</v>
      </c>
      <c r="L18" s="227">
        <v>140</v>
      </c>
      <c r="M18" s="227">
        <v>140</v>
      </c>
      <c r="N18" s="227">
        <v>105.38</v>
      </c>
      <c r="O18" s="227">
        <v>120.45</v>
      </c>
      <c r="P18" s="227">
        <v>136.66999999999999</v>
      </c>
      <c r="Q18" s="227">
        <v>121.66</v>
      </c>
      <c r="R18" s="227">
        <v>140</v>
      </c>
      <c r="S18" s="227">
        <v>75</v>
      </c>
      <c r="T18" s="227">
        <v>33.588000000000001</v>
      </c>
      <c r="U18" s="227">
        <v>49.954999999999998</v>
      </c>
      <c r="V18" s="227">
        <v>36.593000000000004</v>
      </c>
      <c r="W18" s="227">
        <v>79.5</v>
      </c>
      <c r="X18" s="227">
        <v>79.5</v>
      </c>
      <c r="Y18" s="227">
        <v>79.5</v>
      </c>
      <c r="Z18" s="227">
        <v>79.5</v>
      </c>
      <c r="AA18" s="227">
        <v>67.984999999999999</v>
      </c>
      <c r="AB18" s="227">
        <v>505.37</v>
      </c>
      <c r="AC18" s="227">
        <v>0</v>
      </c>
      <c r="AD18" s="230">
        <v>5.8491898148148149E-3</v>
      </c>
      <c r="AE18" s="230">
        <v>3032.2199999999989</v>
      </c>
      <c r="AF18" s="230">
        <v>3036.7259999999992</v>
      </c>
      <c r="AG18" s="230">
        <v>9273.9351519191896</v>
      </c>
      <c r="AH18" s="230">
        <v>9441.514130970274</v>
      </c>
      <c r="AI18" s="230">
        <v>0</v>
      </c>
    </row>
    <row r="19" spans="1:35" x14ac:dyDescent="0.35">
      <c r="A19" s="2"/>
      <c r="B19" s="7">
        <v>420</v>
      </c>
      <c r="C19" t="s">
        <v>89</v>
      </c>
      <c r="E19" s="226"/>
      <c r="F19" s="227">
        <v>6.976312328767123E-2</v>
      </c>
      <c r="G19" s="227">
        <v>25.463539999999998</v>
      </c>
      <c r="H19" s="227">
        <v>2.3999999999999998E-3</v>
      </c>
      <c r="I19" s="227">
        <v>1.7049000000000002E-2</v>
      </c>
      <c r="J19" s="227">
        <v>1.4319624018424987E-2</v>
      </c>
      <c r="K19" s="227">
        <v>140</v>
      </c>
      <c r="L19" s="227">
        <v>140</v>
      </c>
      <c r="M19" s="227">
        <v>140</v>
      </c>
      <c r="N19" s="227">
        <v>104.87</v>
      </c>
      <c r="O19" s="227">
        <v>119.86</v>
      </c>
      <c r="P19" s="227">
        <v>134.97</v>
      </c>
      <c r="Q19" s="227">
        <v>119.81</v>
      </c>
      <c r="R19" s="227">
        <v>140</v>
      </c>
      <c r="S19" s="227">
        <v>75</v>
      </c>
      <c r="T19" s="227">
        <v>34.01</v>
      </c>
      <c r="U19" s="227">
        <v>55.838999999999999</v>
      </c>
      <c r="V19" s="227">
        <v>37.872999999999998</v>
      </c>
      <c r="W19" s="227">
        <v>79.5</v>
      </c>
      <c r="X19" s="227">
        <v>79.5</v>
      </c>
      <c r="Y19" s="227">
        <v>79.5</v>
      </c>
      <c r="Z19" s="227">
        <v>79.5</v>
      </c>
      <c r="AA19" s="227">
        <v>72.399000000000001</v>
      </c>
      <c r="AB19" s="227">
        <v>516.37</v>
      </c>
      <c r="AC19" s="227">
        <v>0</v>
      </c>
      <c r="AD19" s="230">
        <v>5.9765046296296294E-3</v>
      </c>
      <c r="AE19" s="230">
        <v>3098.22</v>
      </c>
      <c r="AF19" s="230">
        <v>3108.7259999999997</v>
      </c>
      <c r="AG19" s="230">
        <v>12372.155151919189</v>
      </c>
      <c r="AH19" s="230">
        <v>12550.240130970273</v>
      </c>
      <c r="AI19" s="230">
        <v>0</v>
      </c>
    </row>
    <row r="20" spans="1:35" x14ac:dyDescent="0.35">
      <c r="A20" s="2" t="s">
        <v>90</v>
      </c>
      <c r="B20" s="7">
        <v>0.36</v>
      </c>
      <c r="E20" s="226"/>
      <c r="F20" s="227">
        <v>8.6201479452054794E-2</v>
      </c>
      <c r="G20" s="227">
        <v>31.463539999999998</v>
      </c>
      <c r="H20" s="227">
        <v>1.3599999999999999E-2</v>
      </c>
      <c r="I20" s="227">
        <v>2.1066000000000001E-2</v>
      </c>
      <c r="J20" s="227">
        <v>1.7950943462869431E-2</v>
      </c>
      <c r="K20" s="227">
        <v>140</v>
      </c>
      <c r="L20" s="227">
        <v>140</v>
      </c>
      <c r="M20" s="227">
        <v>140</v>
      </c>
      <c r="N20" s="227">
        <v>104.28</v>
      </c>
      <c r="O20" s="227">
        <v>119.4</v>
      </c>
      <c r="P20" s="227">
        <v>133.58000000000001</v>
      </c>
      <c r="Q20" s="227">
        <v>118.46</v>
      </c>
      <c r="R20" s="227">
        <v>140</v>
      </c>
      <c r="S20" s="227">
        <v>75</v>
      </c>
      <c r="T20" s="227">
        <v>34.436999999999998</v>
      </c>
      <c r="U20" s="227">
        <v>61.915999999999997</v>
      </c>
      <c r="V20" s="227">
        <v>39.225000000000001</v>
      </c>
      <c r="W20" s="227">
        <v>79.5</v>
      </c>
      <c r="X20" s="227">
        <v>79.5</v>
      </c>
      <c r="Y20" s="227">
        <v>79.5</v>
      </c>
      <c r="Z20" s="227">
        <v>79.5</v>
      </c>
      <c r="AA20" s="227">
        <v>76.769000000000005</v>
      </c>
      <c r="AB20" s="227">
        <v>522.91</v>
      </c>
      <c r="AC20" s="227">
        <v>0</v>
      </c>
      <c r="AD20" s="230">
        <v>6.0521990740740736E-3</v>
      </c>
      <c r="AE20" s="230">
        <v>3137.4599999999996</v>
      </c>
      <c r="AF20" s="230">
        <v>3182.0819999999999</v>
      </c>
      <c r="AG20" s="230">
        <v>15509.615151919188</v>
      </c>
      <c r="AH20" s="230">
        <v>15732.322130970273</v>
      </c>
      <c r="AI20" s="230">
        <v>0</v>
      </c>
    </row>
    <row r="21" spans="1:35" x14ac:dyDescent="0.35">
      <c r="A21" s="2" t="s">
        <v>91</v>
      </c>
      <c r="B21" s="7">
        <v>188</v>
      </c>
      <c r="C21" t="s">
        <v>92</v>
      </c>
      <c r="E21" s="226"/>
      <c r="F21" s="227">
        <v>0.10263983561643836</v>
      </c>
      <c r="G21" s="227">
        <v>37.463540000000002</v>
      </c>
      <c r="H21" s="227">
        <v>3.3000000000000002E-2</v>
      </c>
      <c r="I21" s="227">
        <v>2.5083000000000001E-2</v>
      </c>
      <c r="J21" s="227">
        <v>2.1587749018424987E-2</v>
      </c>
      <c r="K21" s="227">
        <v>140</v>
      </c>
      <c r="L21" s="227">
        <v>140</v>
      </c>
      <c r="M21" s="227">
        <v>140</v>
      </c>
      <c r="N21" s="227">
        <v>103.64</v>
      </c>
      <c r="O21" s="227">
        <v>118.78</v>
      </c>
      <c r="P21" s="227">
        <v>132.26</v>
      </c>
      <c r="Q21" s="227">
        <v>117.25</v>
      </c>
      <c r="R21" s="227">
        <v>139.07</v>
      </c>
      <c r="S21" s="227">
        <v>74.069999999999993</v>
      </c>
      <c r="T21" s="227">
        <v>34.881</v>
      </c>
      <c r="U21" s="227">
        <v>68.313000000000002</v>
      </c>
      <c r="V21" s="227">
        <v>40.776000000000003</v>
      </c>
      <c r="W21" s="227">
        <v>79.5</v>
      </c>
      <c r="X21" s="227">
        <v>79.5</v>
      </c>
      <c r="Y21" s="227">
        <v>79.5</v>
      </c>
      <c r="Z21" s="227">
        <v>79.5</v>
      </c>
      <c r="AA21" s="227">
        <v>79.5</v>
      </c>
      <c r="AB21" s="227">
        <v>523.70000000000005</v>
      </c>
      <c r="AC21" s="227">
        <v>0</v>
      </c>
      <c r="AD21" s="230">
        <v>6.061342592592593E-3</v>
      </c>
      <c r="AE21" s="230">
        <v>3142.2000000000016</v>
      </c>
      <c r="AF21" s="230">
        <v>3248.820000000002</v>
      </c>
      <c r="AG21" s="230">
        <v>18651.815151919189</v>
      </c>
      <c r="AH21" s="230">
        <v>18981.142130970275</v>
      </c>
      <c r="AI21" s="230">
        <v>0</v>
      </c>
    </row>
    <row r="22" spans="1:35" x14ac:dyDescent="0.35">
      <c r="A22" s="2" t="s">
        <v>93</v>
      </c>
      <c r="B22" s="7">
        <v>500</v>
      </c>
      <c r="C22" t="s">
        <v>94</v>
      </c>
      <c r="E22" s="226"/>
      <c r="F22" s="227">
        <v>0.11907819178082192</v>
      </c>
      <c r="G22" s="227">
        <v>43.463540000000002</v>
      </c>
      <c r="H22" s="227">
        <v>5.6899999999999999E-2</v>
      </c>
      <c r="I22" s="227">
        <v>2.9100000000000001E-2</v>
      </c>
      <c r="J22" s="227">
        <v>2.5195457351758321E-2</v>
      </c>
      <c r="K22" s="227">
        <v>140</v>
      </c>
      <c r="L22" s="227">
        <v>140</v>
      </c>
      <c r="M22" s="227">
        <v>140</v>
      </c>
      <c r="N22" s="227">
        <v>102.98</v>
      </c>
      <c r="O22" s="227">
        <v>117.78</v>
      </c>
      <c r="P22" s="227">
        <v>130.91</v>
      </c>
      <c r="Q22" s="227">
        <v>115.98</v>
      </c>
      <c r="R22" s="227">
        <v>136.74</v>
      </c>
      <c r="S22" s="227">
        <v>71.740000000000009</v>
      </c>
      <c r="T22" s="227">
        <v>35.372999999999998</v>
      </c>
      <c r="U22" s="227">
        <v>74.888999999999996</v>
      </c>
      <c r="V22" s="227">
        <v>42.610999999999997</v>
      </c>
      <c r="W22" s="227">
        <v>79.5</v>
      </c>
      <c r="X22" s="227">
        <v>79.5</v>
      </c>
      <c r="Y22" s="227">
        <v>79.5</v>
      </c>
      <c r="Z22" s="227">
        <v>79.5</v>
      </c>
      <c r="AA22" s="227">
        <v>79.5</v>
      </c>
      <c r="AB22" s="227">
        <v>519.51</v>
      </c>
      <c r="AC22" s="227">
        <v>0</v>
      </c>
      <c r="AD22" s="230">
        <v>6.0128472222222224E-3</v>
      </c>
      <c r="AE22" s="230">
        <v>3117.0600000000004</v>
      </c>
      <c r="AF22" s="230">
        <v>3302.2380000000003</v>
      </c>
      <c r="AG22" s="230">
        <v>21768.87515191919</v>
      </c>
      <c r="AH22" s="230">
        <v>22283.380130970276</v>
      </c>
      <c r="AI22" s="230">
        <v>0</v>
      </c>
    </row>
    <row r="23" spans="1:35" x14ac:dyDescent="0.35">
      <c r="A23" s="2" t="s">
        <v>95</v>
      </c>
      <c r="B23" s="7">
        <f>B21*B22/1000</f>
        <v>94</v>
      </c>
      <c r="C23" t="s">
        <v>96</v>
      </c>
      <c r="E23" s="226"/>
      <c r="F23" s="227">
        <v>0.13551654794520548</v>
      </c>
      <c r="G23" s="227">
        <v>49.463540000000002</v>
      </c>
      <c r="H23" s="227">
        <v>7.8299999999999995E-2</v>
      </c>
      <c r="I23" s="227">
        <v>3.3118000000000002E-2</v>
      </c>
      <c r="J23" s="227">
        <v>2.8771012907313875E-2</v>
      </c>
      <c r="K23" s="227">
        <v>140</v>
      </c>
      <c r="L23" s="227">
        <v>139.18</v>
      </c>
      <c r="M23" s="227">
        <v>140</v>
      </c>
      <c r="N23" s="227">
        <v>102.45</v>
      </c>
      <c r="O23" s="227">
        <v>116.71</v>
      </c>
      <c r="P23" s="227">
        <v>129.58000000000001</v>
      </c>
      <c r="Q23" s="227">
        <v>114.77</v>
      </c>
      <c r="R23" s="227">
        <v>134.57</v>
      </c>
      <c r="S23" s="227">
        <v>69.569999999999993</v>
      </c>
      <c r="T23" s="227">
        <v>36.174999999999997</v>
      </c>
      <c r="U23" s="227">
        <v>79.5</v>
      </c>
      <c r="V23" s="227">
        <v>44.765000000000001</v>
      </c>
      <c r="W23" s="227">
        <v>79.5</v>
      </c>
      <c r="X23" s="227">
        <v>79.5</v>
      </c>
      <c r="Y23" s="227">
        <v>79.5</v>
      </c>
      <c r="Z23" s="227">
        <v>79.5</v>
      </c>
      <c r="AA23" s="227">
        <v>79.5</v>
      </c>
      <c r="AB23" s="227">
        <v>514.88</v>
      </c>
      <c r="AC23" s="227">
        <v>0</v>
      </c>
      <c r="AD23" s="230">
        <v>5.9592592592592596E-3</v>
      </c>
      <c r="AE23" s="230">
        <v>3089.2799999999997</v>
      </c>
      <c r="AF23" s="230">
        <v>3347.6400000000003</v>
      </c>
      <c r="AG23" s="230">
        <v>24858.155151919189</v>
      </c>
      <c r="AH23" s="230">
        <v>25631.020130970275</v>
      </c>
      <c r="AI23" s="230">
        <v>0</v>
      </c>
    </row>
    <row r="24" spans="1:35" x14ac:dyDescent="0.35">
      <c r="A24" s="2" t="s">
        <v>97</v>
      </c>
      <c r="B24" s="7">
        <v>3</v>
      </c>
      <c r="C24" t="s">
        <v>98</v>
      </c>
      <c r="E24" s="226"/>
      <c r="F24" s="227">
        <v>0.15195490410958903</v>
      </c>
      <c r="G24" s="227">
        <v>55.463540000000002</v>
      </c>
      <c r="H24" s="227">
        <v>9.3700000000000006E-2</v>
      </c>
      <c r="I24" s="227">
        <v>3.7135000000000001E-2</v>
      </c>
      <c r="J24" s="227">
        <v>3.2314137907313877E-2</v>
      </c>
      <c r="K24" s="227">
        <v>140</v>
      </c>
      <c r="L24" s="227">
        <v>136.71</v>
      </c>
      <c r="M24" s="227">
        <v>140</v>
      </c>
      <c r="N24" s="227">
        <v>102.05</v>
      </c>
      <c r="O24" s="227">
        <v>115.57</v>
      </c>
      <c r="P24" s="227">
        <v>128.31</v>
      </c>
      <c r="Q24" s="227">
        <v>113.67</v>
      </c>
      <c r="R24" s="227">
        <v>132.55000000000001</v>
      </c>
      <c r="S24" s="227">
        <v>67.550000000000011</v>
      </c>
      <c r="T24" s="227">
        <v>37.743000000000002</v>
      </c>
      <c r="U24" s="227">
        <v>79.5</v>
      </c>
      <c r="V24" s="227">
        <v>47.323999999999998</v>
      </c>
      <c r="W24" s="227">
        <v>79.5</v>
      </c>
      <c r="X24" s="227">
        <v>79.5</v>
      </c>
      <c r="Y24" s="227">
        <v>79.5</v>
      </c>
      <c r="Z24" s="227">
        <v>79.5</v>
      </c>
      <c r="AA24" s="227">
        <v>79.5</v>
      </c>
      <c r="AB24" s="227">
        <v>510.21</v>
      </c>
      <c r="AC24" s="227">
        <v>0</v>
      </c>
      <c r="AD24" s="230">
        <v>5.9052083333333335E-3</v>
      </c>
      <c r="AE24" s="230">
        <v>3061.2599999999998</v>
      </c>
      <c r="AF24" s="230">
        <v>3372.402</v>
      </c>
      <c r="AG24" s="230">
        <v>27919.415151919187</v>
      </c>
      <c r="AH24" s="230">
        <v>29003.422130970277</v>
      </c>
      <c r="AI24" s="230">
        <v>0</v>
      </c>
    </row>
    <row r="25" spans="1:35" x14ac:dyDescent="0.35">
      <c r="A25" s="2" t="s">
        <v>99</v>
      </c>
      <c r="B25" s="7">
        <v>20</v>
      </c>
      <c r="C25" t="s">
        <v>35</v>
      </c>
      <c r="E25" s="226"/>
      <c r="F25" s="227">
        <v>0.16839326027397261</v>
      </c>
      <c r="G25" s="227">
        <v>61.463540000000002</v>
      </c>
      <c r="H25" s="227">
        <v>0.1069</v>
      </c>
      <c r="I25" s="227">
        <v>4.1152000000000001E-2</v>
      </c>
      <c r="J25" s="227">
        <v>3.5830040685091651E-2</v>
      </c>
      <c r="K25" s="227">
        <v>140</v>
      </c>
      <c r="L25" s="227">
        <v>134.63</v>
      </c>
      <c r="M25" s="227">
        <v>140</v>
      </c>
      <c r="N25" s="227">
        <v>101.88</v>
      </c>
      <c r="O25" s="227">
        <v>114.47</v>
      </c>
      <c r="P25" s="227">
        <v>127.19</v>
      </c>
      <c r="Q25" s="227">
        <v>112.71</v>
      </c>
      <c r="R25" s="227">
        <v>130.72</v>
      </c>
      <c r="S25" s="227">
        <v>65.72</v>
      </c>
      <c r="T25" s="227">
        <v>39.171999999999997</v>
      </c>
      <c r="U25" s="227">
        <v>79.5</v>
      </c>
      <c r="V25" s="227">
        <v>49.860999999999997</v>
      </c>
      <c r="W25" s="227">
        <v>79.5</v>
      </c>
      <c r="X25" s="227">
        <v>79.5</v>
      </c>
      <c r="Y25" s="227">
        <v>79.5</v>
      </c>
      <c r="Z25" s="227">
        <v>79.5</v>
      </c>
      <c r="AA25" s="227">
        <v>79.5</v>
      </c>
      <c r="AB25" s="227">
        <v>506.29</v>
      </c>
      <c r="AC25" s="227">
        <v>0</v>
      </c>
      <c r="AD25" s="230">
        <v>5.8598379629629634E-3</v>
      </c>
      <c r="AE25" s="230">
        <v>3037.7400000000002</v>
      </c>
      <c r="AF25" s="230">
        <v>3396.1980000000003</v>
      </c>
      <c r="AG25" s="230">
        <v>30957.155151919189</v>
      </c>
      <c r="AH25" s="230">
        <v>32399.620130970277</v>
      </c>
      <c r="AI25" s="230">
        <v>0</v>
      </c>
    </row>
    <row r="26" spans="1:35" x14ac:dyDescent="0.35">
      <c r="A26" s="2" t="s">
        <v>100</v>
      </c>
      <c r="B26" s="7">
        <f>+B24*B25</f>
        <v>60</v>
      </c>
      <c r="C26" t="s">
        <v>96</v>
      </c>
      <c r="E26" s="226"/>
      <c r="F26" s="227">
        <v>0.18483161643835616</v>
      </c>
      <c r="G26" s="227">
        <v>67.463539999999995</v>
      </c>
      <c r="H26" s="227">
        <v>0.1231</v>
      </c>
      <c r="I26" s="227">
        <v>4.5169000000000001E-2</v>
      </c>
      <c r="J26" s="227">
        <v>3.9306290685091644E-2</v>
      </c>
      <c r="K26" s="227">
        <v>140</v>
      </c>
      <c r="L26" s="227">
        <v>132.82</v>
      </c>
      <c r="M26" s="227">
        <v>140</v>
      </c>
      <c r="N26" s="227">
        <v>101.8</v>
      </c>
      <c r="O26" s="227">
        <v>113.33</v>
      </c>
      <c r="P26" s="227">
        <v>126.12</v>
      </c>
      <c r="Q26" s="227">
        <v>111.74</v>
      </c>
      <c r="R26" s="227">
        <v>128.96</v>
      </c>
      <c r="S26" s="227">
        <v>63.960000000000008</v>
      </c>
      <c r="T26" s="227">
        <v>40.515999999999998</v>
      </c>
      <c r="U26" s="227">
        <v>79.5</v>
      </c>
      <c r="V26" s="227">
        <v>52.470999999999997</v>
      </c>
      <c r="W26" s="227">
        <v>79.5</v>
      </c>
      <c r="X26" s="227">
        <v>79.5</v>
      </c>
      <c r="Y26" s="227">
        <v>79.5</v>
      </c>
      <c r="Z26" s="227">
        <v>79.5</v>
      </c>
      <c r="AA26" s="227">
        <v>79.5</v>
      </c>
      <c r="AB26" s="227">
        <v>500.58</v>
      </c>
      <c r="AC26" s="227">
        <v>0</v>
      </c>
      <c r="AD26" s="230">
        <v>5.7937499999999994E-3</v>
      </c>
      <c r="AE26" s="230">
        <v>3003.4799999999959</v>
      </c>
      <c r="AF26" s="230">
        <v>3419.9219999999959</v>
      </c>
      <c r="AG26" s="230">
        <v>33960.635151919181</v>
      </c>
      <c r="AH26" s="230">
        <v>35819.542130970272</v>
      </c>
      <c r="AI26" s="230">
        <v>0</v>
      </c>
    </row>
    <row r="27" spans="1:35" x14ac:dyDescent="0.35">
      <c r="A27" s="2" t="s">
        <v>45</v>
      </c>
      <c r="B27" s="7"/>
      <c r="E27" s="226"/>
      <c r="F27" s="227">
        <v>0.20126997260273971</v>
      </c>
      <c r="G27" s="227">
        <v>73.463539999999995</v>
      </c>
      <c r="H27" s="227">
        <v>0.1406</v>
      </c>
      <c r="I27" s="227">
        <v>4.9187000000000002E-2</v>
      </c>
      <c r="J27" s="227">
        <v>4.2736707351758309E-2</v>
      </c>
      <c r="K27" s="227">
        <v>140</v>
      </c>
      <c r="L27" s="227">
        <v>131.24</v>
      </c>
      <c r="M27" s="227">
        <v>140</v>
      </c>
      <c r="N27" s="227">
        <v>101.76</v>
      </c>
      <c r="O27" s="227">
        <v>112.19</v>
      </c>
      <c r="P27" s="227">
        <v>125.07</v>
      </c>
      <c r="Q27" s="227">
        <v>110.76</v>
      </c>
      <c r="R27" s="227">
        <v>127.23</v>
      </c>
      <c r="S27" s="227">
        <v>62.230000000000004</v>
      </c>
      <c r="T27" s="227">
        <v>41.774999999999999</v>
      </c>
      <c r="U27" s="227">
        <v>79.5</v>
      </c>
      <c r="V27" s="227">
        <v>55.177999999999997</v>
      </c>
      <c r="W27" s="227">
        <v>79.5</v>
      </c>
      <c r="X27" s="227">
        <v>79.5</v>
      </c>
      <c r="Y27" s="227">
        <v>79.5</v>
      </c>
      <c r="Z27" s="227">
        <v>79.5</v>
      </c>
      <c r="AA27" s="227">
        <v>79.5</v>
      </c>
      <c r="AB27" s="227">
        <v>493.98</v>
      </c>
      <c r="AC27" s="227">
        <v>0</v>
      </c>
      <c r="AD27" s="230">
        <v>5.7173611111111114E-3</v>
      </c>
      <c r="AE27" s="230">
        <v>2963.88</v>
      </c>
      <c r="AF27" s="230">
        <v>3443.7179999999998</v>
      </c>
      <c r="AG27" s="230">
        <v>36924.515151919179</v>
      </c>
      <c r="AH27" s="230">
        <v>39263.260130970273</v>
      </c>
      <c r="AI27" s="230">
        <v>0</v>
      </c>
    </row>
    <row r="28" spans="1:35" x14ac:dyDescent="0.35">
      <c r="A28" s="2" t="s">
        <v>101</v>
      </c>
      <c r="B28" s="7">
        <v>650</v>
      </c>
      <c r="C28" t="s">
        <v>102</v>
      </c>
      <c r="E28" s="226"/>
      <c r="F28" s="227">
        <v>0.21770832876712326</v>
      </c>
      <c r="G28" s="227">
        <v>79.463539999999995</v>
      </c>
      <c r="H28" s="227">
        <v>0.1605</v>
      </c>
      <c r="I28" s="227">
        <v>5.3204000000000001E-2</v>
      </c>
      <c r="J28" s="227">
        <v>4.6110249018424976E-2</v>
      </c>
      <c r="K28" s="227">
        <v>140</v>
      </c>
      <c r="L28" s="227">
        <v>129.91</v>
      </c>
      <c r="M28" s="227">
        <v>140</v>
      </c>
      <c r="N28" s="227">
        <v>101.79</v>
      </c>
      <c r="O28" s="227">
        <v>111.19</v>
      </c>
      <c r="P28" s="227">
        <v>124.04</v>
      </c>
      <c r="Q28" s="227">
        <v>109.85</v>
      </c>
      <c r="R28" s="227">
        <v>125.67</v>
      </c>
      <c r="S28" s="227">
        <v>60.67</v>
      </c>
      <c r="T28" s="227">
        <v>42.920999999999999</v>
      </c>
      <c r="U28" s="227">
        <v>79.5</v>
      </c>
      <c r="V28" s="227">
        <v>57.917999999999999</v>
      </c>
      <c r="W28" s="227">
        <v>79.5</v>
      </c>
      <c r="X28" s="227">
        <v>79.5</v>
      </c>
      <c r="Y28" s="227">
        <v>79.5</v>
      </c>
      <c r="Z28" s="227">
        <v>79.5</v>
      </c>
      <c r="AA28" s="227">
        <v>79.5</v>
      </c>
      <c r="AB28" s="227">
        <v>485.79</v>
      </c>
      <c r="AC28" s="227">
        <v>0</v>
      </c>
      <c r="AD28" s="230">
        <v>5.6225694444444448E-3</v>
      </c>
      <c r="AE28" s="230">
        <v>2914.7400000000002</v>
      </c>
      <c r="AF28" s="230">
        <v>3467.0339999999997</v>
      </c>
      <c r="AG28" s="230">
        <v>39839.255151919177</v>
      </c>
      <c r="AH28" s="230">
        <v>42730.294130970273</v>
      </c>
      <c r="AI28" s="230">
        <v>0</v>
      </c>
    </row>
    <row r="29" spans="1:35" x14ac:dyDescent="0.35">
      <c r="A29" s="2" t="s">
        <v>103</v>
      </c>
      <c r="B29" s="7">
        <v>0.1</v>
      </c>
      <c r="C29" t="s">
        <v>104</v>
      </c>
      <c r="E29" s="226"/>
      <c r="F29" s="227">
        <v>0.23414668493150684</v>
      </c>
      <c r="G29" s="227">
        <v>85.463539999999995</v>
      </c>
      <c r="H29" s="227">
        <v>0.1885</v>
      </c>
      <c r="I29" s="227">
        <v>5.7221000000000001E-2</v>
      </c>
      <c r="J29" s="227">
        <v>4.9397610129536085E-2</v>
      </c>
      <c r="K29" s="227">
        <v>140</v>
      </c>
      <c r="L29" s="227">
        <v>128.41</v>
      </c>
      <c r="M29" s="227">
        <v>140</v>
      </c>
      <c r="N29" s="227">
        <v>101.67</v>
      </c>
      <c r="O29" s="227">
        <v>110.07</v>
      </c>
      <c r="P29" s="227">
        <v>122.91</v>
      </c>
      <c r="Q29" s="227">
        <v>108.86</v>
      </c>
      <c r="R29" s="227">
        <v>124.06</v>
      </c>
      <c r="S29" s="227">
        <v>59.06</v>
      </c>
      <c r="T29" s="227">
        <v>44.332000000000001</v>
      </c>
      <c r="U29" s="227">
        <v>79.5</v>
      </c>
      <c r="V29" s="227">
        <v>60.994</v>
      </c>
      <c r="W29" s="227">
        <v>79.5</v>
      </c>
      <c r="X29" s="227">
        <v>79.5</v>
      </c>
      <c r="Y29" s="227">
        <v>79.5</v>
      </c>
      <c r="Z29" s="227">
        <v>79.5</v>
      </c>
      <c r="AA29" s="227">
        <v>79.5</v>
      </c>
      <c r="AB29" s="227">
        <v>473.38</v>
      </c>
      <c r="AC29" s="227">
        <v>0</v>
      </c>
      <c r="AD29" s="230">
        <v>5.4789351851851848E-3</v>
      </c>
      <c r="AE29" s="230">
        <v>2840.2799999999997</v>
      </c>
      <c r="AF29" s="230">
        <v>3493.9560000000001</v>
      </c>
      <c r="AG29" s="230">
        <v>42679.535151919175</v>
      </c>
      <c r="AH29" s="230">
        <v>46224.250130970271</v>
      </c>
      <c r="AI29" s="230">
        <v>0</v>
      </c>
    </row>
    <row r="30" spans="1:35" x14ac:dyDescent="0.35">
      <c r="A30" s="2" t="s">
        <v>105</v>
      </c>
      <c r="B30" s="7">
        <v>0.2</v>
      </c>
      <c r="E30" s="226"/>
      <c r="F30" s="227">
        <v>0.25058504109589042</v>
      </c>
      <c r="G30" s="227">
        <v>91.463539999999995</v>
      </c>
      <c r="H30" s="227">
        <v>0.221</v>
      </c>
      <c r="I30" s="227">
        <v>6.1238000000000001E-2</v>
      </c>
      <c r="J30" s="227">
        <v>5.2581707351758301E-2</v>
      </c>
      <c r="K30" s="227">
        <v>140</v>
      </c>
      <c r="L30" s="227">
        <v>126.81</v>
      </c>
      <c r="M30" s="227">
        <v>140</v>
      </c>
      <c r="N30" s="227">
        <v>101.38</v>
      </c>
      <c r="O30" s="227">
        <v>108.87</v>
      </c>
      <c r="P30" s="227">
        <v>121.65</v>
      </c>
      <c r="Q30" s="227">
        <v>107.75</v>
      </c>
      <c r="R30" s="227">
        <v>122.42</v>
      </c>
      <c r="S30" s="227">
        <v>57.42</v>
      </c>
      <c r="T30" s="227">
        <v>46</v>
      </c>
      <c r="U30" s="227">
        <v>79.5</v>
      </c>
      <c r="V30" s="227">
        <v>64.460999999999999</v>
      </c>
      <c r="W30" s="227">
        <v>79.5</v>
      </c>
      <c r="X30" s="227">
        <v>79.5</v>
      </c>
      <c r="Y30" s="227">
        <v>79.5</v>
      </c>
      <c r="Z30" s="227">
        <v>79.5</v>
      </c>
      <c r="AA30" s="227">
        <v>79.5</v>
      </c>
      <c r="AB30" s="227">
        <v>458.51</v>
      </c>
      <c r="AC30" s="227">
        <v>0</v>
      </c>
      <c r="AD30" s="230">
        <v>5.3068287037037034E-3</v>
      </c>
      <c r="AE30" s="230">
        <v>2751.06</v>
      </c>
      <c r="AF30" s="230">
        <v>3524.7660000000001</v>
      </c>
      <c r="AG30" s="230">
        <v>45430.595151919173</v>
      </c>
      <c r="AH30" s="230">
        <v>49749.016130970274</v>
      </c>
      <c r="AI30" s="230">
        <v>0</v>
      </c>
    </row>
    <row r="31" spans="1:35" x14ac:dyDescent="0.35">
      <c r="A31" s="2"/>
      <c r="B31" s="7">
        <v>660</v>
      </c>
      <c r="C31" t="s">
        <v>106</v>
      </c>
      <c r="E31" s="226"/>
      <c r="F31" s="227">
        <v>0.26702339726027396</v>
      </c>
      <c r="G31" s="227">
        <v>97.463539999999995</v>
      </c>
      <c r="H31" s="227">
        <v>0.251</v>
      </c>
      <c r="I31" s="227">
        <v>6.5254999999999994E-2</v>
      </c>
      <c r="J31" s="227">
        <v>5.5670874018424972E-2</v>
      </c>
      <c r="K31" s="227">
        <v>140</v>
      </c>
      <c r="L31" s="227">
        <v>125.29</v>
      </c>
      <c r="M31" s="227">
        <v>140</v>
      </c>
      <c r="N31" s="227">
        <v>101.06</v>
      </c>
      <c r="O31" s="227">
        <v>107.75</v>
      </c>
      <c r="P31" s="227">
        <v>120.37</v>
      </c>
      <c r="Q31" s="227">
        <v>106.68</v>
      </c>
      <c r="R31" s="227">
        <v>120.88</v>
      </c>
      <c r="S31" s="227">
        <v>55.879999999999995</v>
      </c>
      <c r="T31" s="227">
        <v>47.725000000000001</v>
      </c>
      <c r="U31" s="227">
        <v>79.5</v>
      </c>
      <c r="V31" s="227">
        <v>68.066999999999993</v>
      </c>
      <c r="W31" s="227">
        <v>79.5</v>
      </c>
      <c r="X31" s="227">
        <v>79.5</v>
      </c>
      <c r="Y31" s="227">
        <v>79.5</v>
      </c>
      <c r="Z31" s="227">
        <v>79.5</v>
      </c>
      <c r="AA31" s="227">
        <v>79.5</v>
      </c>
      <c r="AB31" s="227">
        <v>444.84</v>
      </c>
      <c r="AC31" s="227">
        <v>0</v>
      </c>
      <c r="AD31" s="230">
        <v>5.1486111111111107E-3</v>
      </c>
      <c r="AE31" s="230">
        <v>2669.04</v>
      </c>
      <c r="AF31" s="230">
        <v>3556.7519999999995</v>
      </c>
      <c r="AG31" s="230">
        <v>48099.635151919174</v>
      </c>
      <c r="AH31" s="230">
        <v>53305.768130970275</v>
      </c>
      <c r="AI31" s="230">
        <v>0</v>
      </c>
    </row>
    <row r="32" spans="1:35" x14ac:dyDescent="0.35">
      <c r="A32" s="2"/>
      <c r="B32" s="7">
        <v>1000</v>
      </c>
      <c r="E32" s="226"/>
      <c r="F32" s="227">
        <v>0.28346164383561645</v>
      </c>
      <c r="G32" s="227">
        <v>103.4635</v>
      </c>
      <c r="H32" s="227">
        <v>0.27789999999999998</v>
      </c>
      <c r="I32" s="227">
        <v>6.9273000000000001E-2</v>
      </c>
      <c r="J32" s="227">
        <v>5.8675715097128676E-2</v>
      </c>
      <c r="K32" s="227">
        <v>140</v>
      </c>
      <c r="L32" s="227">
        <v>123.85</v>
      </c>
      <c r="M32" s="227">
        <v>140</v>
      </c>
      <c r="N32" s="227">
        <v>100.75</v>
      </c>
      <c r="O32" s="227">
        <v>106.71</v>
      </c>
      <c r="P32" s="227">
        <v>119.14</v>
      </c>
      <c r="Q32" s="227">
        <v>105.69</v>
      </c>
      <c r="R32" s="227">
        <v>119.46</v>
      </c>
      <c r="S32" s="227">
        <v>54.459999999999994</v>
      </c>
      <c r="T32" s="227">
        <v>49.448999999999998</v>
      </c>
      <c r="U32" s="227">
        <v>79.5</v>
      </c>
      <c r="V32" s="227">
        <v>71.683999999999997</v>
      </c>
      <c r="W32" s="227">
        <v>79.5</v>
      </c>
      <c r="X32" s="227">
        <v>79.5</v>
      </c>
      <c r="Y32" s="227">
        <v>79.5</v>
      </c>
      <c r="Z32" s="227">
        <v>79.5</v>
      </c>
      <c r="AA32" s="227">
        <v>79.5</v>
      </c>
      <c r="AB32" s="227">
        <v>432.7</v>
      </c>
      <c r="AC32" s="227">
        <v>0</v>
      </c>
      <c r="AD32" s="230">
        <v>5.0081018518518521E-3</v>
      </c>
      <c r="AE32" s="230">
        <v>2596.1826920000008</v>
      </c>
      <c r="AF32" s="230">
        <v>3588.7740746800009</v>
      </c>
      <c r="AG32" s="230">
        <v>50695.817843919176</v>
      </c>
      <c r="AH32" s="230">
        <v>56894.542205650272</v>
      </c>
      <c r="AI32" s="230">
        <v>0</v>
      </c>
    </row>
    <row r="33" spans="5:35" x14ac:dyDescent="0.35">
      <c r="E33" s="226"/>
      <c r="F33" s="227">
        <v>0.2999</v>
      </c>
      <c r="G33" s="227">
        <v>109.4635</v>
      </c>
      <c r="H33" s="227">
        <v>0.30330000000000001</v>
      </c>
      <c r="I33" s="227">
        <v>7.3289999999999994E-2</v>
      </c>
      <c r="J33" s="227">
        <v>6.1600992874906453E-2</v>
      </c>
      <c r="K33" s="227">
        <v>140</v>
      </c>
      <c r="L33" s="227">
        <v>122.5</v>
      </c>
      <c r="M33" s="227">
        <v>140</v>
      </c>
      <c r="N33" s="227">
        <v>100.42</v>
      </c>
      <c r="O33" s="227">
        <v>105.75</v>
      </c>
      <c r="P33" s="227">
        <v>117.92</v>
      </c>
      <c r="Q33" s="227">
        <v>104.72</v>
      </c>
      <c r="R33" s="227">
        <v>118.11</v>
      </c>
      <c r="S33" s="227">
        <v>53.11</v>
      </c>
      <c r="T33" s="227">
        <v>51.191000000000003</v>
      </c>
      <c r="U33" s="227">
        <v>79.5</v>
      </c>
      <c r="V33" s="227">
        <v>75.346999999999994</v>
      </c>
      <c r="W33" s="227">
        <v>79.5</v>
      </c>
      <c r="X33" s="227">
        <v>79.5</v>
      </c>
      <c r="Y33" s="227">
        <v>79.5</v>
      </c>
      <c r="Z33" s="227">
        <v>79.5</v>
      </c>
      <c r="AA33" s="227">
        <v>79.5</v>
      </c>
      <c r="AB33" s="227">
        <v>421.24</v>
      </c>
      <c r="AC33" s="227">
        <v>0</v>
      </c>
      <c r="AD33" s="230">
        <v>4.8754629629629634E-3</v>
      </c>
      <c r="AE33" s="230">
        <v>2527.44</v>
      </c>
      <c r="AF33" s="230">
        <v>3621.2280000000001</v>
      </c>
      <c r="AG33" s="230">
        <v>53223.257843919178</v>
      </c>
      <c r="AH33" s="230">
        <v>60515.770205650275</v>
      </c>
      <c r="AI33" s="230">
        <v>0</v>
      </c>
    </row>
    <row r="34" spans="5:35" x14ac:dyDescent="0.35">
      <c r="E34" s="226"/>
      <c r="F34" s="227">
        <v>0.31633835616438355</v>
      </c>
      <c r="G34" s="227">
        <v>115.4635</v>
      </c>
      <c r="H34" s="227">
        <v>0.3266</v>
      </c>
      <c r="I34" s="227">
        <v>7.7307000000000001E-2</v>
      </c>
      <c r="J34" s="227">
        <v>6.4453353986017564E-2</v>
      </c>
      <c r="K34" s="227">
        <v>140</v>
      </c>
      <c r="L34" s="227">
        <v>121.25</v>
      </c>
      <c r="M34" s="227">
        <v>140</v>
      </c>
      <c r="N34" s="227">
        <v>100.12</v>
      </c>
      <c r="O34" s="227">
        <v>104.86</v>
      </c>
      <c r="P34" s="227">
        <v>116.75</v>
      </c>
      <c r="Q34" s="227">
        <v>103.8</v>
      </c>
      <c r="R34" s="227">
        <v>116.85</v>
      </c>
      <c r="S34" s="227">
        <v>51.849999999999994</v>
      </c>
      <c r="T34" s="227">
        <v>52.923000000000002</v>
      </c>
      <c r="U34" s="227">
        <v>79.5</v>
      </c>
      <c r="V34" s="227">
        <v>78.988</v>
      </c>
      <c r="W34" s="227">
        <v>79.5</v>
      </c>
      <c r="X34" s="227">
        <v>79.5</v>
      </c>
      <c r="Y34" s="227">
        <v>79.5</v>
      </c>
      <c r="Z34" s="227">
        <v>79.5</v>
      </c>
      <c r="AA34" s="227">
        <v>79.5</v>
      </c>
      <c r="AB34" s="227">
        <v>410.74</v>
      </c>
      <c r="AC34" s="227">
        <v>0</v>
      </c>
      <c r="AD34" s="230">
        <v>4.7539351851851857E-3</v>
      </c>
      <c r="AE34" s="230">
        <v>2464.44</v>
      </c>
      <c r="AF34" s="230">
        <v>3653.4660000000003</v>
      </c>
      <c r="AG34" s="230">
        <v>55687.697843919181</v>
      </c>
      <c r="AH34" s="230">
        <v>64169.236205650275</v>
      </c>
      <c r="AI34" s="230">
        <v>0</v>
      </c>
    </row>
    <row r="35" spans="5:35" x14ac:dyDescent="0.35">
      <c r="E35" s="226"/>
      <c r="F35" s="227">
        <v>0.3327767123287671</v>
      </c>
      <c r="G35" s="227">
        <v>121.4635</v>
      </c>
      <c r="H35" s="227">
        <v>0.34810000000000002</v>
      </c>
      <c r="I35" s="227">
        <v>8.1323999999999994E-2</v>
      </c>
      <c r="J35" s="227">
        <v>6.7230506763795342E-2</v>
      </c>
      <c r="K35" s="227">
        <v>140</v>
      </c>
      <c r="L35" s="227">
        <v>120</v>
      </c>
      <c r="M35" s="227">
        <v>138.97</v>
      </c>
      <c r="N35" s="227">
        <v>99.706000000000003</v>
      </c>
      <c r="O35" s="227">
        <v>104</v>
      </c>
      <c r="P35" s="227">
        <v>115.39</v>
      </c>
      <c r="Q35" s="227">
        <v>102.86</v>
      </c>
      <c r="R35" s="227">
        <v>115.64</v>
      </c>
      <c r="S35" s="227">
        <v>50.64</v>
      </c>
      <c r="T35" s="227">
        <v>55.8</v>
      </c>
      <c r="U35" s="227">
        <v>79.5</v>
      </c>
      <c r="V35" s="227">
        <v>79.5</v>
      </c>
      <c r="W35" s="227">
        <v>79.5</v>
      </c>
      <c r="X35" s="227">
        <v>79.5</v>
      </c>
      <c r="Y35" s="227">
        <v>79.5</v>
      </c>
      <c r="Z35" s="227">
        <v>79.5</v>
      </c>
      <c r="AA35" s="227">
        <v>79.5</v>
      </c>
      <c r="AB35" s="227">
        <v>399.91</v>
      </c>
      <c r="AC35" s="227">
        <v>0</v>
      </c>
      <c r="AD35" s="230">
        <v>4.6285879629629628E-3</v>
      </c>
      <c r="AE35" s="230">
        <v>2399.46</v>
      </c>
      <c r="AF35" s="230">
        <v>3673.7999999999997</v>
      </c>
      <c r="AG35" s="230">
        <v>58087.15784391918</v>
      </c>
      <c r="AH35" s="230">
        <v>67843.036205650278</v>
      </c>
      <c r="AI35" s="230">
        <v>0</v>
      </c>
    </row>
    <row r="36" spans="5:35" x14ac:dyDescent="0.35">
      <c r="E36" s="226"/>
      <c r="F36" s="227">
        <v>0.34921506849315065</v>
      </c>
      <c r="G36" s="227">
        <v>127.4635</v>
      </c>
      <c r="H36" s="227">
        <v>0.36849999999999999</v>
      </c>
      <c r="I36" s="227">
        <v>8.5342000000000001E-2</v>
      </c>
      <c r="J36" s="227">
        <v>6.9934742874906461E-2</v>
      </c>
      <c r="K36" s="227">
        <v>140</v>
      </c>
      <c r="L36" s="227">
        <v>118.83</v>
      </c>
      <c r="M36" s="227">
        <v>137.85</v>
      </c>
      <c r="N36" s="227">
        <v>99.290999999999997</v>
      </c>
      <c r="O36" s="227">
        <v>103.2</v>
      </c>
      <c r="P36" s="227">
        <v>114.08</v>
      </c>
      <c r="Q36" s="227">
        <v>101.97</v>
      </c>
      <c r="R36" s="227">
        <v>114.5</v>
      </c>
      <c r="S36" s="227">
        <v>49.5</v>
      </c>
      <c r="T36" s="227">
        <v>58.927</v>
      </c>
      <c r="U36" s="227">
        <v>79.5</v>
      </c>
      <c r="V36" s="227">
        <v>79.5</v>
      </c>
      <c r="W36" s="227">
        <v>79.5</v>
      </c>
      <c r="X36" s="227">
        <v>79.5</v>
      </c>
      <c r="Y36" s="227">
        <v>79.5</v>
      </c>
      <c r="Z36" s="227">
        <v>79.5</v>
      </c>
      <c r="AA36" s="227">
        <v>79.5</v>
      </c>
      <c r="AB36" s="227">
        <v>389.41</v>
      </c>
      <c r="AC36" s="227">
        <v>0</v>
      </c>
      <c r="AD36" s="230">
        <v>4.5070601851851851E-3</v>
      </c>
      <c r="AE36" s="230">
        <v>2336.46</v>
      </c>
      <c r="AF36" s="230">
        <v>3692.5619999999999</v>
      </c>
      <c r="AG36" s="230">
        <v>60423.617843919179</v>
      </c>
      <c r="AH36" s="230">
        <v>71535.598205650283</v>
      </c>
      <c r="AI36" s="230">
        <v>0</v>
      </c>
    </row>
    <row r="37" spans="5:35" x14ac:dyDescent="0.35">
      <c r="E37" s="226"/>
      <c r="F37" s="227">
        <v>0.36565342465753425</v>
      </c>
      <c r="G37" s="227">
        <v>133.46350000000001</v>
      </c>
      <c r="H37" s="227">
        <v>0.38850000000000001</v>
      </c>
      <c r="I37" s="227">
        <v>8.9358999999999994E-2</v>
      </c>
      <c r="J37" s="227">
        <v>7.2566409541573132E-2</v>
      </c>
      <c r="K37" s="227">
        <v>140</v>
      </c>
      <c r="L37" s="227">
        <v>117.75</v>
      </c>
      <c r="M37" s="227">
        <v>136.81</v>
      </c>
      <c r="N37" s="227">
        <v>98.88</v>
      </c>
      <c r="O37" s="227">
        <v>102.45</v>
      </c>
      <c r="P37" s="227">
        <v>112.85</v>
      </c>
      <c r="Q37" s="227">
        <v>101.1</v>
      </c>
      <c r="R37" s="227">
        <v>113.41</v>
      </c>
      <c r="S37" s="227">
        <v>48.41</v>
      </c>
      <c r="T37" s="227">
        <v>62.112000000000002</v>
      </c>
      <c r="U37" s="227">
        <v>79.5</v>
      </c>
      <c r="V37" s="227">
        <v>79.5</v>
      </c>
      <c r="W37" s="227">
        <v>79.5</v>
      </c>
      <c r="X37" s="227">
        <v>79.5</v>
      </c>
      <c r="Y37" s="227">
        <v>79.5</v>
      </c>
      <c r="Z37" s="227">
        <v>79.5</v>
      </c>
      <c r="AA37" s="227">
        <v>79.5</v>
      </c>
      <c r="AB37" s="227">
        <v>378.96</v>
      </c>
      <c r="AC37" s="227">
        <v>0</v>
      </c>
      <c r="AD37" s="230">
        <v>4.3861111111111106E-3</v>
      </c>
      <c r="AE37" s="230">
        <v>2273.7600000000048</v>
      </c>
      <c r="AF37" s="230">
        <v>3711.6720000000087</v>
      </c>
      <c r="AG37" s="230">
        <v>62697.377843919181</v>
      </c>
      <c r="AH37" s="230">
        <v>75247.270205650289</v>
      </c>
      <c r="AI37" s="230">
        <v>0</v>
      </c>
    </row>
    <row r="38" spans="5:35" x14ac:dyDescent="0.35">
      <c r="E38" s="226"/>
      <c r="F38" s="227">
        <v>0.38209178082191786</v>
      </c>
      <c r="G38" s="227">
        <v>139.46350000000001</v>
      </c>
      <c r="H38" s="227">
        <v>0.40739999999999998</v>
      </c>
      <c r="I38" s="227">
        <v>9.3376000000000001E-2</v>
      </c>
      <c r="J38" s="227">
        <v>7.5129951208239801E-2</v>
      </c>
      <c r="K38" s="227">
        <v>140</v>
      </c>
      <c r="L38" s="227">
        <v>116.75</v>
      </c>
      <c r="M38" s="227">
        <v>135.85</v>
      </c>
      <c r="N38" s="227">
        <v>98.484999999999999</v>
      </c>
      <c r="O38" s="227">
        <v>101.73</v>
      </c>
      <c r="P38" s="227">
        <v>111.69</v>
      </c>
      <c r="Q38" s="227">
        <v>100.25</v>
      </c>
      <c r="R38" s="227">
        <v>112.35</v>
      </c>
      <c r="S38" s="227">
        <v>47.349999999999994</v>
      </c>
      <c r="T38" s="227">
        <v>65.340999999999994</v>
      </c>
      <c r="U38" s="227">
        <v>79.5</v>
      </c>
      <c r="V38" s="227">
        <v>79.5</v>
      </c>
      <c r="W38" s="227">
        <v>79.5</v>
      </c>
      <c r="X38" s="227">
        <v>79.5</v>
      </c>
      <c r="Y38" s="227">
        <v>79.5</v>
      </c>
      <c r="Z38" s="227">
        <v>79.5</v>
      </c>
      <c r="AA38" s="227">
        <v>79.5</v>
      </c>
      <c r="AB38" s="227">
        <v>369.15</v>
      </c>
      <c r="AC38" s="227">
        <v>0</v>
      </c>
      <c r="AD38" s="230">
        <v>4.2725694444444443E-3</v>
      </c>
      <c r="AE38" s="230">
        <v>2214.9</v>
      </c>
      <c r="AF38" s="230">
        <v>3731.0460000000003</v>
      </c>
      <c r="AG38" s="230">
        <v>64912.277843919182</v>
      </c>
      <c r="AH38" s="230">
        <v>78978.316205650292</v>
      </c>
      <c r="AI38" s="230">
        <v>0</v>
      </c>
    </row>
    <row r="39" spans="5:35" x14ac:dyDescent="0.35">
      <c r="E39" s="226"/>
      <c r="F39" s="227">
        <v>0.39853013698630141</v>
      </c>
      <c r="G39" s="227">
        <v>145.46350000000001</v>
      </c>
      <c r="H39" s="227">
        <v>0.4244</v>
      </c>
      <c r="I39" s="227">
        <v>9.7392999999999993E-2</v>
      </c>
      <c r="J39" s="227">
        <v>7.7632520652684237E-2</v>
      </c>
      <c r="K39" s="227">
        <v>140</v>
      </c>
      <c r="L39" s="227">
        <v>115.82</v>
      </c>
      <c r="M39" s="227">
        <v>134.96</v>
      </c>
      <c r="N39" s="227">
        <v>98.122</v>
      </c>
      <c r="O39" s="227">
        <v>101.07</v>
      </c>
      <c r="P39" s="227">
        <v>110.66</v>
      </c>
      <c r="Q39" s="227">
        <v>99.451999999999998</v>
      </c>
      <c r="R39" s="227">
        <v>111.36</v>
      </c>
      <c r="S39" s="227">
        <v>46.36</v>
      </c>
      <c r="T39" s="227">
        <v>68.605000000000004</v>
      </c>
      <c r="U39" s="227">
        <v>79.5</v>
      </c>
      <c r="V39" s="227">
        <v>79.5</v>
      </c>
      <c r="W39" s="227">
        <v>79.5</v>
      </c>
      <c r="X39" s="227">
        <v>79.5</v>
      </c>
      <c r="Y39" s="227">
        <v>79.5</v>
      </c>
      <c r="Z39" s="227">
        <v>79.5</v>
      </c>
      <c r="AA39" s="227">
        <v>79.5</v>
      </c>
      <c r="AB39" s="227">
        <v>360.37</v>
      </c>
      <c r="AC39" s="227">
        <v>0</v>
      </c>
      <c r="AD39" s="230">
        <v>4.1709490740740743E-3</v>
      </c>
      <c r="AE39" s="230">
        <v>2162.2200000000003</v>
      </c>
      <c r="AF39" s="230">
        <v>3750.63</v>
      </c>
      <c r="AG39" s="230">
        <v>67074.497843919176</v>
      </c>
      <c r="AH39" s="230">
        <v>82728.946205650296</v>
      </c>
      <c r="AI39" s="230">
        <v>0</v>
      </c>
    </row>
    <row r="40" spans="5:35" x14ac:dyDescent="0.35">
      <c r="E40" s="226"/>
      <c r="F40" s="227">
        <v>0.41496849315068496</v>
      </c>
      <c r="G40" s="227">
        <v>151.46350000000001</v>
      </c>
      <c r="H40" s="227">
        <v>0.43969999999999998</v>
      </c>
      <c r="I40" s="227">
        <v>0.10141</v>
      </c>
      <c r="J40" s="227">
        <v>8.0081478986017557E-2</v>
      </c>
      <c r="K40" s="227">
        <v>140</v>
      </c>
      <c r="L40" s="227">
        <v>114.97</v>
      </c>
      <c r="M40" s="227">
        <v>134.13999999999999</v>
      </c>
      <c r="N40" s="227">
        <v>97.802999999999997</v>
      </c>
      <c r="O40" s="227">
        <v>100.47</v>
      </c>
      <c r="P40" s="227">
        <v>109.74</v>
      </c>
      <c r="Q40" s="227">
        <v>98.72</v>
      </c>
      <c r="R40" s="227">
        <v>110.43</v>
      </c>
      <c r="S40" s="227">
        <v>45.430000000000007</v>
      </c>
      <c r="T40" s="227">
        <v>71.897000000000006</v>
      </c>
      <c r="U40" s="227">
        <v>79.5</v>
      </c>
      <c r="V40" s="227">
        <v>79.5</v>
      </c>
      <c r="W40" s="227">
        <v>79.5</v>
      </c>
      <c r="X40" s="227">
        <v>79.5</v>
      </c>
      <c r="Y40" s="227">
        <v>79.5</v>
      </c>
      <c r="Z40" s="227">
        <v>79.5</v>
      </c>
      <c r="AA40" s="227">
        <v>79.5</v>
      </c>
      <c r="AB40" s="227">
        <v>352.65</v>
      </c>
      <c r="AC40" s="227">
        <v>0</v>
      </c>
      <c r="AD40" s="230">
        <v>4.0815972222222217E-3</v>
      </c>
      <c r="AE40" s="230">
        <v>2115.8999999999996</v>
      </c>
      <c r="AF40" s="230">
        <v>3770.3819999999996</v>
      </c>
      <c r="AG40" s="230">
        <v>69190.397843919171</v>
      </c>
      <c r="AH40" s="230">
        <v>86499.328205650294</v>
      </c>
      <c r="AI40" s="230">
        <v>0</v>
      </c>
    </row>
    <row r="41" spans="5:35" x14ac:dyDescent="0.35">
      <c r="E41" s="226"/>
      <c r="F41" s="227">
        <v>0.43140684931506851</v>
      </c>
      <c r="G41" s="227">
        <v>157.46350000000001</v>
      </c>
      <c r="H41" s="227">
        <v>0.45350000000000001</v>
      </c>
      <c r="I41" s="227">
        <v>0.10543</v>
      </c>
      <c r="J41" s="227">
        <v>8.248238176379534E-2</v>
      </c>
      <c r="K41" s="227">
        <v>140</v>
      </c>
      <c r="L41" s="227">
        <v>114.19</v>
      </c>
      <c r="M41" s="227">
        <v>133.38999999999999</v>
      </c>
      <c r="N41" s="227">
        <v>97.531000000000006</v>
      </c>
      <c r="O41" s="227">
        <v>99.915999999999997</v>
      </c>
      <c r="P41" s="227">
        <v>108.95</v>
      </c>
      <c r="Q41" s="227">
        <v>98.052999999999997</v>
      </c>
      <c r="R41" s="227">
        <v>109.56</v>
      </c>
      <c r="S41" s="227">
        <v>44.56</v>
      </c>
      <c r="T41" s="227">
        <v>75.231999999999999</v>
      </c>
      <c r="U41" s="227">
        <v>79.5</v>
      </c>
      <c r="V41" s="227">
        <v>79.5</v>
      </c>
      <c r="W41" s="227">
        <v>79.5</v>
      </c>
      <c r="X41" s="227">
        <v>79.5</v>
      </c>
      <c r="Y41" s="227">
        <v>79.5</v>
      </c>
      <c r="Z41" s="227">
        <v>79.5</v>
      </c>
      <c r="AA41" s="227">
        <v>79.5</v>
      </c>
      <c r="AB41" s="227">
        <v>345.73</v>
      </c>
      <c r="AC41" s="227">
        <v>0</v>
      </c>
      <c r="AD41" s="230">
        <v>4.00150462962963E-3</v>
      </c>
      <c r="AE41" s="230">
        <v>2074.3800000000006</v>
      </c>
      <c r="AF41" s="230">
        <v>3790.3919999999998</v>
      </c>
      <c r="AG41" s="230">
        <v>71264.777843919175</v>
      </c>
      <c r="AH41" s="230">
        <v>90289.720205650287</v>
      </c>
      <c r="AI41" s="230">
        <v>0</v>
      </c>
    </row>
    <row r="42" spans="5:35" x14ac:dyDescent="0.35">
      <c r="E42" s="226"/>
      <c r="F42" s="227">
        <v>0.44784520547945206</v>
      </c>
      <c r="G42" s="227">
        <v>163.46350000000001</v>
      </c>
      <c r="H42" s="227">
        <v>0.46650000000000003</v>
      </c>
      <c r="I42" s="227">
        <v>0.10944</v>
      </c>
      <c r="J42" s="227">
        <v>8.483828454157312E-2</v>
      </c>
      <c r="K42" s="227">
        <v>140</v>
      </c>
      <c r="L42" s="227">
        <v>113.47</v>
      </c>
      <c r="M42" s="227">
        <v>132.69999999999999</v>
      </c>
      <c r="N42" s="227">
        <v>97.298000000000002</v>
      </c>
      <c r="O42" s="227">
        <v>99.397999999999996</v>
      </c>
      <c r="P42" s="227">
        <v>108.24</v>
      </c>
      <c r="Q42" s="227">
        <v>97.426000000000002</v>
      </c>
      <c r="R42" s="227">
        <v>108.73</v>
      </c>
      <c r="S42" s="227">
        <v>43.730000000000004</v>
      </c>
      <c r="T42" s="227">
        <v>78.605999999999995</v>
      </c>
      <c r="U42" s="227">
        <v>79.5</v>
      </c>
      <c r="V42" s="227">
        <v>79.5</v>
      </c>
      <c r="W42" s="227">
        <v>79.5</v>
      </c>
      <c r="X42" s="227">
        <v>79.5</v>
      </c>
      <c r="Y42" s="227">
        <v>79.5</v>
      </c>
      <c r="Z42" s="227">
        <v>79.5</v>
      </c>
      <c r="AA42" s="227">
        <v>79.5</v>
      </c>
      <c r="AB42" s="227">
        <v>339.25</v>
      </c>
      <c r="AC42" s="227">
        <v>0</v>
      </c>
      <c r="AD42" s="230">
        <v>3.9265046296296296E-3</v>
      </c>
      <c r="AE42" s="230">
        <v>2035.4999999999998</v>
      </c>
      <c r="AF42" s="230">
        <v>3810.636</v>
      </c>
      <c r="AG42" s="230">
        <v>73300.277843919175</v>
      </c>
      <c r="AH42" s="230">
        <v>94100.356205650285</v>
      </c>
      <c r="AI42" s="230">
        <v>0</v>
      </c>
    </row>
    <row r="43" spans="5:35" x14ac:dyDescent="0.35">
      <c r="E43" s="226"/>
      <c r="F43" s="227">
        <v>0.46428356164383566</v>
      </c>
      <c r="G43" s="227">
        <v>169.46350000000001</v>
      </c>
      <c r="H43" s="227">
        <v>0.47910000000000003</v>
      </c>
      <c r="I43" s="227">
        <v>0.11346000000000001</v>
      </c>
      <c r="J43" s="227">
        <v>8.7142798430462021E-2</v>
      </c>
      <c r="K43" s="227">
        <v>138.94</v>
      </c>
      <c r="L43" s="227">
        <v>112.59</v>
      </c>
      <c r="M43" s="227">
        <v>131.63999999999999</v>
      </c>
      <c r="N43" s="227">
        <v>96.965000000000003</v>
      </c>
      <c r="O43" s="227">
        <v>98.846000000000004</v>
      </c>
      <c r="P43" s="227">
        <v>107.47</v>
      </c>
      <c r="Q43" s="227">
        <v>96.786000000000001</v>
      </c>
      <c r="R43" s="227">
        <v>107.87</v>
      </c>
      <c r="S43" s="227">
        <v>42.870000000000005</v>
      </c>
      <c r="T43" s="227">
        <v>79.5</v>
      </c>
      <c r="U43" s="227">
        <v>79.5</v>
      </c>
      <c r="V43" s="227">
        <v>79.5</v>
      </c>
      <c r="W43" s="227">
        <v>79.5</v>
      </c>
      <c r="X43" s="227">
        <v>79.5</v>
      </c>
      <c r="Y43" s="227">
        <v>79.5</v>
      </c>
      <c r="Z43" s="227">
        <v>79.5</v>
      </c>
      <c r="AA43" s="227">
        <v>79.5</v>
      </c>
      <c r="AB43" s="227">
        <v>331.85</v>
      </c>
      <c r="AC43" s="227">
        <v>0</v>
      </c>
      <c r="AD43" s="230">
        <v>3.8408564814814816E-3</v>
      </c>
      <c r="AE43" s="230">
        <v>1991.1000000000001</v>
      </c>
      <c r="AF43" s="230">
        <v>3816</v>
      </c>
      <c r="AG43" s="230">
        <v>75291.377843919181</v>
      </c>
      <c r="AH43" s="230">
        <v>97916.356205650285</v>
      </c>
      <c r="AI43" s="230">
        <v>0</v>
      </c>
    </row>
    <row r="44" spans="5:35" x14ac:dyDescent="0.35">
      <c r="E44" s="226"/>
      <c r="F44" s="227">
        <v>0.48072191780821921</v>
      </c>
      <c r="G44" s="227">
        <v>175.46350000000001</v>
      </c>
      <c r="H44" s="227">
        <v>0.49149999999999999</v>
      </c>
      <c r="I44" s="227">
        <v>0.11748</v>
      </c>
      <c r="J44" s="227">
        <v>8.9392937319350899E-2</v>
      </c>
      <c r="K44" s="227">
        <v>137.52000000000001</v>
      </c>
      <c r="L44" s="227">
        <v>111.66</v>
      </c>
      <c r="M44" s="227">
        <v>130.46</v>
      </c>
      <c r="N44" s="227">
        <v>96.585999999999999</v>
      </c>
      <c r="O44" s="227">
        <v>98.275000000000006</v>
      </c>
      <c r="P44" s="227">
        <v>106.72</v>
      </c>
      <c r="Q44" s="227">
        <v>96.143000000000001</v>
      </c>
      <c r="R44" s="227">
        <v>106.99</v>
      </c>
      <c r="S44" s="227">
        <v>41.989999999999995</v>
      </c>
      <c r="T44" s="227">
        <v>79.5</v>
      </c>
      <c r="U44" s="227">
        <v>79.5</v>
      </c>
      <c r="V44" s="227">
        <v>79.5</v>
      </c>
      <c r="W44" s="227">
        <v>79.5</v>
      </c>
      <c r="X44" s="227">
        <v>79.5</v>
      </c>
      <c r="Y44" s="227">
        <v>79.5</v>
      </c>
      <c r="Z44" s="227">
        <v>79.5</v>
      </c>
      <c r="AA44" s="227">
        <v>79.5</v>
      </c>
      <c r="AB44" s="227">
        <v>324.02</v>
      </c>
      <c r="AC44" s="227">
        <v>0</v>
      </c>
      <c r="AD44" s="230">
        <v>3.7502314814814811E-3</v>
      </c>
      <c r="AE44" s="230">
        <v>1944.12</v>
      </c>
      <c r="AF44" s="230">
        <v>3816</v>
      </c>
      <c r="AG44" s="230">
        <v>77235.497843919176</v>
      </c>
      <c r="AH44" s="230">
        <v>101732.35620565029</v>
      </c>
      <c r="AI44" s="230">
        <v>0</v>
      </c>
    </row>
    <row r="45" spans="5:35" x14ac:dyDescent="0.35">
      <c r="E45" s="226"/>
      <c r="F45" s="227">
        <v>0.49716027397260276</v>
      </c>
      <c r="G45" s="227">
        <v>181.46350000000001</v>
      </c>
      <c r="H45" s="227">
        <v>0.50329999999999997</v>
      </c>
      <c r="I45" s="227">
        <v>0.1215</v>
      </c>
      <c r="J45" s="227">
        <v>9.159057620823978E-2</v>
      </c>
      <c r="K45" s="227">
        <v>136.13999999999999</v>
      </c>
      <c r="L45" s="227">
        <v>110.79</v>
      </c>
      <c r="M45" s="227">
        <v>129.31</v>
      </c>
      <c r="N45" s="227">
        <v>96.216999999999999</v>
      </c>
      <c r="O45" s="227">
        <v>97.721999999999994</v>
      </c>
      <c r="P45" s="227">
        <v>106.03</v>
      </c>
      <c r="Q45" s="227">
        <v>95.528999999999996</v>
      </c>
      <c r="R45" s="227">
        <v>106.13</v>
      </c>
      <c r="S45" s="227">
        <v>41.129999999999995</v>
      </c>
      <c r="T45" s="227">
        <v>79.5</v>
      </c>
      <c r="U45" s="227">
        <v>79.5</v>
      </c>
      <c r="V45" s="227">
        <v>79.5</v>
      </c>
      <c r="W45" s="227">
        <v>79.5</v>
      </c>
      <c r="X45" s="227">
        <v>79.5</v>
      </c>
      <c r="Y45" s="227">
        <v>79.5</v>
      </c>
      <c r="Z45" s="227">
        <v>79.5</v>
      </c>
      <c r="AA45" s="227">
        <v>79.5</v>
      </c>
      <c r="AB45" s="227">
        <v>316.45999999999998</v>
      </c>
      <c r="AC45" s="227">
        <v>0</v>
      </c>
      <c r="AD45" s="230">
        <v>3.6627314814814812E-3</v>
      </c>
      <c r="AE45" s="230">
        <v>1898.7599999999998</v>
      </c>
      <c r="AF45" s="230">
        <v>3816</v>
      </c>
      <c r="AG45" s="230">
        <v>79134.257843919171</v>
      </c>
      <c r="AH45" s="230">
        <v>105548.35620565029</v>
      </c>
      <c r="AI45" s="230">
        <v>0</v>
      </c>
    </row>
    <row r="46" spans="5:35" x14ac:dyDescent="0.35">
      <c r="E46" s="226"/>
      <c r="F46" s="227">
        <v>0.51359863013698637</v>
      </c>
      <c r="G46" s="227">
        <v>187.46350000000001</v>
      </c>
      <c r="H46" s="227">
        <v>0.51449999999999996</v>
      </c>
      <c r="I46" s="227">
        <v>0.12551000000000001</v>
      </c>
      <c r="J46" s="227">
        <v>9.373870120823978E-2</v>
      </c>
      <c r="K46" s="227">
        <v>134.82</v>
      </c>
      <c r="L46" s="227">
        <v>109.96</v>
      </c>
      <c r="M46" s="227">
        <v>128.22</v>
      </c>
      <c r="N46" s="227">
        <v>95.864999999999995</v>
      </c>
      <c r="O46" s="227">
        <v>97.195999999999998</v>
      </c>
      <c r="P46" s="227">
        <v>105.41</v>
      </c>
      <c r="Q46" s="227">
        <v>94.950999999999993</v>
      </c>
      <c r="R46" s="227">
        <v>105.31</v>
      </c>
      <c r="S46" s="227">
        <v>40.31</v>
      </c>
      <c r="T46" s="227">
        <v>79.5</v>
      </c>
      <c r="U46" s="227">
        <v>79.5</v>
      </c>
      <c r="V46" s="227">
        <v>79.5</v>
      </c>
      <c r="W46" s="227">
        <v>79.5</v>
      </c>
      <c r="X46" s="227">
        <v>79.5</v>
      </c>
      <c r="Y46" s="227">
        <v>79.5</v>
      </c>
      <c r="Z46" s="227">
        <v>79.5</v>
      </c>
      <c r="AA46" s="227">
        <v>79.5</v>
      </c>
      <c r="AB46" s="227">
        <v>309.33</v>
      </c>
      <c r="AC46" s="227">
        <v>0</v>
      </c>
      <c r="AD46" s="230">
        <v>3.5802083333333332E-3</v>
      </c>
      <c r="AE46" s="230">
        <v>1855.98</v>
      </c>
      <c r="AF46" s="230">
        <v>3816</v>
      </c>
      <c r="AG46" s="230">
        <v>80990.237843919167</v>
      </c>
      <c r="AH46" s="230">
        <v>109364.35620565029</v>
      </c>
      <c r="AI46" s="230">
        <v>0</v>
      </c>
    </row>
    <row r="47" spans="5:35" x14ac:dyDescent="0.35">
      <c r="E47" s="226"/>
      <c r="F47" s="227">
        <v>0.53003698630136986</v>
      </c>
      <c r="G47" s="227">
        <v>193.46350000000001</v>
      </c>
      <c r="H47" s="227">
        <v>0.52490000000000003</v>
      </c>
      <c r="I47" s="227">
        <v>0.12953000000000001</v>
      </c>
      <c r="J47" s="227">
        <v>9.5840506763795338E-2</v>
      </c>
      <c r="K47" s="227">
        <v>133.57</v>
      </c>
      <c r="L47" s="227">
        <v>109.19</v>
      </c>
      <c r="M47" s="227">
        <v>127.18</v>
      </c>
      <c r="N47" s="227">
        <v>95.534000000000006</v>
      </c>
      <c r="O47" s="227">
        <v>96.697000000000003</v>
      </c>
      <c r="P47" s="227">
        <v>104.84</v>
      </c>
      <c r="Q47" s="227">
        <v>94.408000000000001</v>
      </c>
      <c r="R47" s="227">
        <v>104.53</v>
      </c>
      <c r="S47" s="227">
        <v>39.53</v>
      </c>
      <c r="T47" s="227">
        <v>79.5</v>
      </c>
      <c r="U47" s="227">
        <v>79.5</v>
      </c>
      <c r="V47" s="227">
        <v>79.5</v>
      </c>
      <c r="W47" s="227">
        <v>79.5</v>
      </c>
      <c r="X47" s="227">
        <v>79.5</v>
      </c>
      <c r="Y47" s="227">
        <v>79.5</v>
      </c>
      <c r="Z47" s="227">
        <v>79.5</v>
      </c>
      <c r="AA47" s="227">
        <v>79.5</v>
      </c>
      <c r="AB47" s="227">
        <v>302.66000000000003</v>
      </c>
      <c r="AC47" s="227">
        <v>0</v>
      </c>
      <c r="AD47" s="230">
        <v>3.5030092592592595E-3</v>
      </c>
      <c r="AE47" s="230">
        <v>1815.96</v>
      </c>
      <c r="AF47" s="230">
        <v>3816</v>
      </c>
      <c r="AG47" s="230">
        <v>82806.197843919173</v>
      </c>
      <c r="AH47" s="230">
        <v>113180.35620565029</v>
      </c>
      <c r="AI47" s="230">
        <v>0</v>
      </c>
    </row>
    <row r="48" spans="5:35" x14ac:dyDescent="0.35">
      <c r="E48" s="226"/>
      <c r="F48" s="227">
        <v>0.54647534246575347</v>
      </c>
      <c r="G48" s="227">
        <v>199.46350000000001</v>
      </c>
      <c r="H48" s="227">
        <v>0.53469999999999995</v>
      </c>
      <c r="I48" s="227">
        <v>0.13355</v>
      </c>
      <c r="J48" s="227">
        <v>9.7898909541573126E-2</v>
      </c>
      <c r="K48" s="227">
        <v>132.38</v>
      </c>
      <c r="L48" s="227">
        <v>108.46</v>
      </c>
      <c r="M48" s="227">
        <v>126.2</v>
      </c>
      <c r="N48" s="227">
        <v>95.22</v>
      </c>
      <c r="O48" s="227">
        <v>96.225999999999999</v>
      </c>
      <c r="P48" s="227">
        <v>104.32</v>
      </c>
      <c r="Q48" s="227">
        <v>93.897999999999996</v>
      </c>
      <c r="R48" s="227">
        <v>103.78</v>
      </c>
      <c r="S48" s="227">
        <v>38.78</v>
      </c>
      <c r="T48" s="227">
        <v>79.5</v>
      </c>
      <c r="U48" s="227">
        <v>79.5</v>
      </c>
      <c r="V48" s="227">
        <v>79.5</v>
      </c>
      <c r="W48" s="227">
        <v>79.5</v>
      </c>
      <c r="X48" s="227">
        <v>79.5</v>
      </c>
      <c r="Y48" s="227">
        <v>79.5</v>
      </c>
      <c r="Z48" s="227">
        <v>79.5</v>
      </c>
      <c r="AA48" s="227">
        <v>79.5</v>
      </c>
      <c r="AB48" s="227">
        <v>296.41000000000003</v>
      </c>
      <c r="AC48" s="227">
        <v>0</v>
      </c>
      <c r="AD48" s="230">
        <v>3.4306712962962967E-3</v>
      </c>
      <c r="AE48" s="230">
        <v>1778.4600000000003</v>
      </c>
      <c r="AF48" s="230">
        <v>3816</v>
      </c>
      <c r="AG48" s="230">
        <v>84584.65784391918</v>
      </c>
      <c r="AH48" s="230">
        <v>116996.35620565029</v>
      </c>
      <c r="AI48" s="230">
        <v>0</v>
      </c>
    </row>
    <row r="49" spans="5:35" x14ac:dyDescent="0.35">
      <c r="E49" s="226"/>
      <c r="F49" s="227">
        <v>0.56291369863013696</v>
      </c>
      <c r="G49" s="227">
        <v>205.46350000000001</v>
      </c>
      <c r="H49" s="227">
        <v>0.54400000000000004</v>
      </c>
      <c r="I49" s="227">
        <v>0.13757</v>
      </c>
      <c r="J49" s="227">
        <v>9.9915853986017572E-2</v>
      </c>
      <c r="K49" s="227">
        <v>131.24</v>
      </c>
      <c r="L49" s="227">
        <v>107.78</v>
      </c>
      <c r="M49" s="227">
        <v>125.25</v>
      </c>
      <c r="N49" s="227">
        <v>94.917000000000002</v>
      </c>
      <c r="O49" s="227">
        <v>95.772999999999996</v>
      </c>
      <c r="P49" s="227">
        <v>103.83</v>
      </c>
      <c r="Q49" s="227">
        <v>93.412000000000006</v>
      </c>
      <c r="R49" s="227">
        <v>103.05</v>
      </c>
      <c r="S49" s="227">
        <v>38.049999999999997</v>
      </c>
      <c r="T49" s="227">
        <v>79.5</v>
      </c>
      <c r="U49" s="227">
        <v>79.5</v>
      </c>
      <c r="V49" s="227">
        <v>79.5</v>
      </c>
      <c r="W49" s="227">
        <v>79.5</v>
      </c>
      <c r="X49" s="227">
        <v>79.5</v>
      </c>
      <c r="Y49" s="227">
        <v>79.5</v>
      </c>
      <c r="Z49" s="227">
        <v>79.5</v>
      </c>
      <c r="AA49" s="227">
        <v>79.5</v>
      </c>
      <c r="AB49" s="227">
        <v>290.44</v>
      </c>
      <c r="AC49" s="227">
        <v>0</v>
      </c>
      <c r="AD49" s="230">
        <v>3.3615740740740741E-3</v>
      </c>
      <c r="AE49" s="230">
        <v>1742.64</v>
      </c>
      <c r="AF49" s="230">
        <v>3816</v>
      </c>
      <c r="AG49" s="230">
        <v>86327.297843919179</v>
      </c>
      <c r="AH49" s="230">
        <v>120812.35620565029</v>
      </c>
      <c r="AI49" s="230">
        <v>0</v>
      </c>
    </row>
    <row r="50" spans="5:35" x14ac:dyDescent="0.35">
      <c r="E50" s="226"/>
      <c r="F50" s="227">
        <v>0.57935205479452057</v>
      </c>
      <c r="G50" s="227">
        <v>211.46350000000001</v>
      </c>
      <c r="H50" s="227">
        <v>0.55320000000000003</v>
      </c>
      <c r="I50" s="227">
        <v>0.14158000000000001</v>
      </c>
      <c r="J50" s="227">
        <v>0.101892173430462</v>
      </c>
      <c r="K50" s="227">
        <v>130.1</v>
      </c>
      <c r="L50" s="227">
        <v>107.13</v>
      </c>
      <c r="M50" s="227">
        <v>124.32</v>
      </c>
      <c r="N50" s="227">
        <v>94.616</v>
      </c>
      <c r="O50" s="227">
        <v>95.326999999999998</v>
      </c>
      <c r="P50" s="227">
        <v>103.39</v>
      </c>
      <c r="Q50" s="227">
        <v>92.941000000000003</v>
      </c>
      <c r="R50" s="227">
        <v>102.34</v>
      </c>
      <c r="S50" s="227">
        <v>37.340000000000003</v>
      </c>
      <c r="T50" s="227">
        <v>79.5</v>
      </c>
      <c r="U50" s="227">
        <v>79.5</v>
      </c>
      <c r="V50" s="227">
        <v>79.5</v>
      </c>
      <c r="W50" s="227">
        <v>79.5</v>
      </c>
      <c r="X50" s="227">
        <v>79.5</v>
      </c>
      <c r="Y50" s="227">
        <v>79.5</v>
      </c>
      <c r="Z50" s="227">
        <v>79.5</v>
      </c>
      <c r="AA50" s="227">
        <v>79.5</v>
      </c>
      <c r="AB50" s="227">
        <v>284.58999999999997</v>
      </c>
      <c r="AC50" s="227">
        <v>0</v>
      </c>
      <c r="AD50" s="230">
        <v>3.2938657407407404E-3</v>
      </c>
      <c r="AE50" s="230">
        <v>1707.54</v>
      </c>
      <c r="AF50" s="230">
        <v>3816</v>
      </c>
      <c r="AG50" s="230">
        <v>88034.837843919173</v>
      </c>
      <c r="AH50" s="230">
        <v>124628.35620565029</v>
      </c>
      <c r="AI50" s="230">
        <v>0</v>
      </c>
    </row>
    <row r="51" spans="5:35" x14ac:dyDescent="0.35">
      <c r="E51" s="226"/>
      <c r="F51" s="227">
        <v>0.59579041095890417</v>
      </c>
      <c r="G51" s="227">
        <v>217.46350000000001</v>
      </c>
      <c r="H51" s="227">
        <v>0.56210000000000004</v>
      </c>
      <c r="I51" s="227">
        <v>0.14560000000000001</v>
      </c>
      <c r="J51" s="227">
        <v>0.10382890954157312</v>
      </c>
      <c r="K51" s="227">
        <v>129</v>
      </c>
      <c r="L51" s="227">
        <v>106.51</v>
      </c>
      <c r="M51" s="227">
        <v>123.43</v>
      </c>
      <c r="N51" s="227">
        <v>94.323999999999998</v>
      </c>
      <c r="O51" s="227">
        <v>94.885999999999996</v>
      </c>
      <c r="P51" s="227">
        <v>102.97</v>
      </c>
      <c r="Q51" s="227">
        <v>92.483000000000004</v>
      </c>
      <c r="R51" s="227">
        <v>101.64</v>
      </c>
      <c r="S51" s="227">
        <v>36.64</v>
      </c>
      <c r="T51" s="227">
        <v>79.5</v>
      </c>
      <c r="U51" s="227">
        <v>79.5</v>
      </c>
      <c r="V51" s="227">
        <v>79.5</v>
      </c>
      <c r="W51" s="227">
        <v>79.5</v>
      </c>
      <c r="X51" s="227">
        <v>79.5</v>
      </c>
      <c r="Y51" s="227">
        <v>79.5</v>
      </c>
      <c r="Z51" s="227">
        <v>79.5</v>
      </c>
      <c r="AA51" s="227">
        <v>79.5</v>
      </c>
      <c r="AB51" s="227">
        <v>278.89</v>
      </c>
      <c r="AC51" s="227">
        <v>0</v>
      </c>
      <c r="AD51" s="230">
        <v>3.2278935185185184E-3</v>
      </c>
      <c r="AE51" s="230">
        <v>1673.34</v>
      </c>
      <c r="AF51" s="230">
        <v>3816</v>
      </c>
      <c r="AG51" s="230">
        <v>89708.177843919169</v>
      </c>
      <c r="AH51" s="230">
        <v>128444.35620565029</v>
      </c>
      <c r="AI51" s="230">
        <v>0</v>
      </c>
    </row>
    <row r="52" spans="5:35" x14ac:dyDescent="0.35">
      <c r="E52" s="226"/>
      <c r="F52" s="227">
        <v>0.61222876712328766</v>
      </c>
      <c r="G52" s="227">
        <v>223.46350000000001</v>
      </c>
      <c r="H52" s="227">
        <v>0.57069999999999999</v>
      </c>
      <c r="I52" s="227">
        <v>0.14962</v>
      </c>
      <c r="J52" s="227">
        <v>0.10572752065268422</v>
      </c>
      <c r="K52" s="227">
        <v>127.97</v>
      </c>
      <c r="L52" s="227">
        <v>105.94</v>
      </c>
      <c r="M52" s="227">
        <v>122.58</v>
      </c>
      <c r="N52" s="227">
        <v>94.048000000000002</v>
      </c>
      <c r="O52" s="227">
        <v>94.454999999999998</v>
      </c>
      <c r="P52" s="227">
        <v>102.59</v>
      </c>
      <c r="Q52" s="227">
        <v>92.043999999999997</v>
      </c>
      <c r="R52" s="227">
        <v>100.96</v>
      </c>
      <c r="S52" s="227">
        <v>35.959999999999994</v>
      </c>
      <c r="T52" s="227">
        <v>79.5</v>
      </c>
      <c r="U52" s="227">
        <v>79.5</v>
      </c>
      <c r="V52" s="227">
        <v>79.5</v>
      </c>
      <c r="W52" s="227">
        <v>79.5</v>
      </c>
      <c r="X52" s="227">
        <v>79.5</v>
      </c>
      <c r="Y52" s="227">
        <v>79.5</v>
      </c>
      <c r="Z52" s="227">
        <v>79.5</v>
      </c>
      <c r="AA52" s="227">
        <v>79.5</v>
      </c>
      <c r="AB52" s="227">
        <v>273.39999999999998</v>
      </c>
      <c r="AC52" s="227">
        <v>0</v>
      </c>
      <c r="AD52" s="230">
        <v>3.1643518518518518E-3</v>
      </c>
      <c r="AE52" s="230">
        <v>1640.3999999999999</v>
      </c>
      <c r="AF52" s="230">
        <v>3816</v>
      </c>
      <c r="AG52" s="230">
        <v>91348.577843919164</v>
      </c>
      <c r="AH52" s="230">
        <v>132260.35620565029</v>
      </c>
      <c r="AI52" s="230">
        <v>0</v>
      </c>
    </row>
    <row r="53" spans="5:35" x14ac:dyDescent="0.35">
      <c r="E53" s="226"/>
      <c r="F53" s="227">
        <v>0.62866712328767127</v>
      </c>
      <c r="G53" s="227">
        <v>229.46350000000001</v>
      </c>
      <c r="H53" s="227">
        <v>0.57879999999999998</v>
      </c>
      <c r="I53" s="227">
        <v>0.15362999999999999</v>
      </c>
      <c r="J53" s="227">
        <v>0.10759002065268422</v>
      </c>
      <c r="K53" s="227">
        <v>126.99</v>
      </c>
      <c r="L53" s="227">
        <v>105.41</v>
      </c>
      <c r="M53" s="227">
        <v>121.78</v>
      </c>
      <c r="N53" s="227">
        <v>93.790999999999997</v>
      </c>
      <c r="O53" s="227">
        <v>94.036000000000001</v>
      </c>
      <c r="P53" s="227">
        <v>102.24</v>
      </c>
      <c r="Q53" s="227">
        <v>91.623999999999995</v>
      </c>
      <c r="R53" s="227">
        <v>100.3</v>
      </c>
      <c r="S53" s="227">
        <v>35.299999999999997</v>
      </c>
      <c r="T53" s="227">
        <v>79.5</v>
      </c>
      <c r="U53" s="227">
        <v>79.5</v>
      </c>
      <c r="V53" s="227">
        <v>79.5</v>
      </c>
      <c r="W53" s="227">
        <v>79.5</v>
      </c>
      <c r="X53" s="227">
        <v>79.5</v>
      </c>
      <c r="Y53" s="227">
        <v>79.5</v>
      </c>
      <c r="Z53" s="227">
        <v>79.5</v>
      </c>
      <c r="AA53" s="227">
        <v>79.5</v>
      </c>
      <c r="AB53" s="227">
        <v>268.2</v>
      </c>
      <c r="AC53" s="227">
        <v>0</v>
      </c>
      <c r="AD53" s="230">
        <v>3.1041666666666665E-3</v>
      </c>
      <c r="AE53" s="230">
        <v>1609.1999999999998</v>
      </c>
      <c r="AF53" s="230">
        <v>3816</v>
      </c>
      <c r="AG53" s="230">
        <v>92957.777843919161</v>
      </c>
      <c r="AH53" s="230">
        <v>136076.35620565029</v>
      </c>
      <c r="AI53" s="230">
        <v>0</v>
      </c>
    </row>
    <row r="54" spans="5:35" x14ac:dyDescent="0.35">
      <c r="E54" s="226"/>
      <c r="F54" s="227">
        <v>0.64510547945205488</v>
      </c>
      <c r="G54" s="227">
        <v>235.46350000000001</v>
      </c>
      <c r="H54" s="227">
        <v>0.58640000000000003</v>
      </c>
      <c r="I54" s="227">
        <v>0.15765000000000001</v>
      </c>
      <c r="J54" s="227">
        <v>0.10941897898601755</v>
      </c>
      <c r="K54" s="227">
        <v>126.07</v>
      </c>
      <c r="L54" s="227">
        <v>104.93</v>
      </c>
      <c r="M54" s="227">
        <v>121.02</v>
      </c>
      <c r="N54" s="227">
        <v>93.555999999999997</v>
      </c>
      <c r="O54" s="227">
        <v>93.638999999999996</v>
      </c>
      <c r="P54" s="227">
        <v>101.91</v>
      </c>
      <c r="Q54" s="227">
        <v>91.23</v>
      </c>
      <c r="R54" s="227">
        <v>99.676000000000002</v>
      </c>
      <c r="S54" s="227">
        <v>34.676000000000002</v>
      </c>
      <c r="T54" s="227">
        <v>79.5</v>
      </c>
      <c r="U54" s="227">
        <v>79.5</v>
      </c>
      <c r="V54" s="227">
        <v>79.5</v>
      </c>
      <c r="W54" s="227">
        <v>79.5</v>
      </c>
      <c r="X54" s="227">
        <v>79.5</v>
      </c>
      <c r="Y54" s="227">
        <v>79.5</v>
      </c>
      <c r="Z54" s="227">
        <v>79.5</v>
      </c>
      <c r="AA54" s="227">
        <v>79.5</v>
      </c>
      <c r="AB54" s="227">
        <v>263.37</v>
      </c>
      <c r="AC54" s="227">
        <v>0</v>
      </c>
      <c r="AD54" s="230">
        <v>3.048263888888889E-3</v>
      </c>
      <c r="AE54" s="230">
        <v>1580.22</v>
      </c>
      <c r="AF54" s="230">
        <v>3816</v>
      </c>
      <c r="AG54" s="230">
        <v>94537.997843919162</v>
      </c>
      <c r="AH54" s="230">
        <v>139892.35620565029</v>
      </c>
      <c r="AI54" s="230">
        <v>0</v>
      </c>
    </row>
    <row r="55" spans="5:35" x14ac:dyDescent="0.35">
      <c r="E55" s="226"/>
      <c r="F55" s="227">
        <v>0.66154383561643837</v>
      </c>
      <c r="G55" s="227">
        <v>241.46350000000001</v>
      </c>
      <c r="H55" s="227">
        <v>0.59340000000000004</v>
      </c>
      <c r="I55" s="227">
        <v>0.16167000000000001</v>
      </c>
      <c r="J55" s="227">
        <v>0.11121689565268421</v>
      </c>
      <c r="K55" s="227">
        <v>125.19</v>
      </c>
      <c r="L55" s="227">
        <v>104.49</v>
      </c>
      <c r="M55" s="227">
        <v>120.29</v>
      </c>
      <c r="N55" s="227">
        <v>93.34</v>
      </c>
      <c r="O55" s="227">
        <v>93.26</v>
      </c>
      <c r="P55" s="227">
        <v>101.58</v>
      </c>
      <c r="Q55" s="227">
        <v>90.86</v>
      </c>
      <c r="R55" s="227">
        <v>99.081999999999994</v>
      </c>
      <c r="S55" s="227">
        <v>34.081999999999994</v>
      </c>
      <c r="T55" s="227">
        <v>79.5</v>
      </c>
      <c r="U55" s="227">
        <v>79.5</v>
      </c>
      <c r="V55" s="227">
        <v>79.5</v>
      </c>
      <c r="W55" s="227">
        <v>79.5</v>
      </c>
      <c r="X55" s="227">
        <v>79.5</v>
      </c>
      <c r="Y55" s="227">
        <v>79.5</v>
      </c>
      <c r="Z55" s="227">
        <v>79.5</v>
      </c>
      <c r="AA55" s="227">
        <v>79.5</v>
      </c>
      <c r="AB55" s="227">
        <v>258.89999999999998</v>
      </c>
      <c r="AC55" s="227">
        <v>0</v>
      </c>
      <c r="AD55" s="230">
        <v>2.9965277777777776E-3</v>
      </c>
      <c r="AE55" s="230">
        <v>1553.3999999999999</v>
      </c>
      <c r="AF55" s="230">
        <v>3816</v>
      </c>
      <c r="AG55" s="230">
        <v>96091.397843919156</v>
      </c>
      <c r="AH55" s="230">
        <v>143708.35620565029</v>
      </c>
      <c r="AI55" s="230">
        <v>0</v>
      </c>
    </row>
    <row r="56" spans="5:35" x14ac:dyDescent="0.35">
      <c r="E56" s="226"/>
      <c r="F56" s="227">
        <v>0.67798219178082197</v>
      </c>
      <c r="G56" s="227">
        <v>247.46350000000001</v>
      </c>
      <c r="H56" s="227">
        <v>0.6</v>
      </c>
      <c r="I56" s="227">
        <v>0.16569</v>
      </c>
      <c r="J56" s="227">
        <v>0.11298536787490644</v>
      </c>
      <c r="K56" s="227">
        <v>124.36</v>
      </c>
      <c r="L56" s="227">
        <v>104.07</v>
      </c>
      <c r="M56" s="227">
        <v>119.6</v>
      </c>
      <c r="N56" s="227">
        <v>93.14</v>
      </c>
      <c r="O56" s="227">
        <v>92.897999999999996</v>
      </c>
      <c r="P56" s="227">
        <v>101.26</v>
      </c>
      <c r="Q56" s="227">
        <v>90.509</v>
      </c>
      <c r="R56" s="227">
        <v>98.515000000000001</v>
      </c>
      <c r="S56" s="227">
        <v>33.515000000000001</v>
      </c>
      <c r="T56" s="227">
        <v>79.5</v>
      </c>
      <c r="U56" s="227">
        <v>79.5</v>
      </c>
      <c r="V56" s="227">
        <v>79.5</v>
      </c>
      <c r="W56" s="227">
        <v>79.5</v>
      </c>
      <c r="X56" s="227">
        <v>79.5</v>
      </c>
      <c r="Y56" s="227">
        <v>79.5</v>
      </c>
      <c r="Z56" s="227">
        <v>79.5</v>
      </c>
      <c r="AA56" s="227">
        <v>79.5</v>
      </c>
      <c r="AB56" s="227">
        <v>254.66</v>
      </c>
      <c r="AC56" s="227">
        <v>0</v>
      </c>
      <c r="AD56" s="230">
        <v>2.9474537037037039E-3</v>
      </c>
      <c r="AE56" s="230">
        <v>1527.96</v>
      </c>
      <c r="AF56" s="230">
        <v>3816</v>
      </c>
      <c r="AG56" s="230">
        <v>97619.357843919162</v>
      </c>
      <c r="AH56" s="230">
        <v>147524.35620565029</v>
      </c>
      <c r="AI56" s="230">
        <v>0</v>
      </c>
    </row>
    <row r="57" spans="5:35" x14ac:dyDescent="0.35">
      <c r="E57" s="226"/>
      <c r="F57" s="227">
        <v>0.69442054794520547</v>
      </c>
      <c r="G57" s="227">
        <v>253.46350000000001</v>
      </c>
      <c r="H57" s="227">
        <v>0.60640000000000005</v>
      </c>
      <c r="I57" s="227">
        <v>0.16969999999999999</v>
      </c>
      <c r="J57" s="227">
        <v>0.11472550676379532</v>
      </c>
      <c r="K57" s="227">
        <v>123.55</v>
      </c>
      <c r="L57" s="227">
        <v>103.68</v>
      </c>
      <c r="M57" s="227">
        <v>118.92</v>
      </c>
      <c r="N57" s="227">
        <v>92.950999999999993</v>
      </c>
      <c r="O57" s="227">
        <v>92.543999999999997</v>
      </c>
      <c r="P57" s="227">
        <v>100.95</v>
      </c>
      <c r="Q57" s="227">
        <v>90.174000000000007</v>
      </c>
      <c r="R57" s="227">
        <v>97.965000000000003</v>
      </c>
      <c r="S57" s="227">
        <v>32.965000000000003</v>
      </c>
      <c r="T57" s="227">
        <v>79.5</v>
      </c>
      <c r="U57" s="227">
        <v>79.5</v>
      </c>
      <c r="V57" s="227">
        <v>79.5</v>
      </c>
      <c r="W57" s="227">
        <v>79.5</v>
      </c>
      <c r="X57" s="227">
        <v>79.5</v>
      </c>
      <c r="Y57" s="227">
        <v>79.5</v>
      </c>
      <c r="Z57" s="227">
        <v>79.5</v>
      </c>
      <c r="AA57" s="227">
        <v>79.5</v>
      </c>
      <c r="AB57" s="227">
        <v>250.58</v>
      </c>
      <c r="AC57" s="227">
        <v>0</v>
      </c>
      <c r="AD57" s="230">
        <v>2.9002314814814815E-3</v>
      </c>
      <c r="AE57" s="230">
        <v>1503.48</v>
      </c>
      <c r="AF57" s="230">
        <v>3816</v>
      </c>
      <c r="AG57" s="230">
        <v>99122.837843919158</v>
      </c>
      <c r="AH57" s="230">
        <v>151340.35620565029</v>
      </c>
      <c r="AI57" s="230">
        <v>0</v>
      </c>
    </row>
    <row r="58" spans="5:35" x14ac:dyDescent="0.35">
      <c r="E58" s="226"/>
      <c r="F58" s="227">
        <v>0.71085890410958907</v>
      </c>
      <c r="G58" s="227">
        <v>259.46350000000001</v>
      </c>
      <c r="H58" s="227">
        <v>0.61240000000000006</v>
      </c>
      <c r="I58" s="227">
        <v>0.17372000000000001</v>
      </c>
      <c r="J58" s="227">
        <v>0.11643932620823977</v>
      </c>
      <c r="K58" s="227">
        <v>122.77</v>
      </c>
      <c r="L58" s="227">
        <v>103.32</v>
      </c>
      <c r="M58" s="227">
        <v>118.27</v>
      </c>
      <c r="N58" s="227">
        <v>92.775000000000006</v>
      </c>
      <c r="O58" s="227">
        <v>92.203999999999994</v>
      </c>
      <c r="P58" s="227">
        <v>100.65</v>
      </c>
      <c r="Q58" s="227">
        <v>89.856999999999999</v>
      </c>
      <c r="R58" s="227">
        <v>97.442999999999998</v>
      </c>
      <c r="S58" s="227">
        <v>32.442999999999998</v>
      </c>
      <c r="T58" s="227">
        <v>79.5</v>
      </c>
      <c r="U58" s="227">
        <v>79.5</v>
      </c>
      <c r="V58" s="227">
        <v>79.5</v>
      </c>
      <c r="W58" s="227">
        <v>79.5</v>
      </c>
      <c r="X58" s="227">
        <v>79.5</v>
      </c>
      <c r="Y58" s="227">
        <v>79.5</v>
      </c>
      <c r="Z58" s="227">
        <v>79.5</v>
      </c>
      <c r="AA58" s="227">
        <v>79.5</v>
      </c>
      <c r="AB58" s="227">
        <v>246.79</v>
      </c>
      <c r="AC58" s="227">
        <v>0</v>
      </c>
      <c r="AD58" s="230">
        <v>2.8563657407407405E-3</v>
      </c>
      <c r="AE58" s="230">
        <v>1480.7399999999998</v>
      </c>
      <c r="AF58" s="230">
        <v>3816</v>
      </c>
      <c r="AG58" s="230">
        <v>100603.57784391916</v>
      </c>
      <c r="AH58" s="230">
        <v>155156.35620565029</v>
      </c>
      <c r="AI58" s="230">
        <v>0</v>
      </c>
    </row>
    <row r="59" spans="5:35" x14ac:dyDescent="0.35">
      <c r="E59" s="226"/>
      <c r="F59" s="227">
        <v>0.72729726027397268</v>
      </c>
      <c r="G59" s="227">
        <v>265.46350000000001</v>
      </c>
      <c r="H59" s="227">
        <v>0.61780000000000002</v>
      </c>
      <c r="I59" s="227">
        <v>0.17774000000000001</v>
      </c>
      <c r="J59" s="227">
        <v>0.11812911787490643</v>
      </c>
      <c r="K59" s="227">
        <v>122.02</v>
      </c>
      <c r="L59" s="227">
        <v>102.97</v>
      </c>
      <c r="M59" s="227">
        <v>117.64</v>
      </c>
      <c r="N59" s="227">
        <v>92.611999999999995</v>
      </c>
      <c r="O59" s="227">
        <v>91.879000000000005</v>
      </c>
      <c r="P59" s="227">
        <v>100.38</v>
      </c>
      <c r="Q59" s="227">
        <v>89.56</v>
      </c>
      <c r="R59" s="227">
        <v>96.947999999999993</v>
      </c>
      <c r="S59" s="227">
        <v>31.947999999999993</v>
      </c>
      <c r="T59" s="227">
        <v>79.5</v>
      </c>
      <c r="U59" s="227">
        <v>79.5</v>
      </c>
      <c r="V59" s="227">
        <v>79.5</v>
      </c>
      <c r="W59" s="227">
        <v>79.5</v>
      </c>
      <c r="X59" s="227">
        <v>79.5</v>
      </c>
      <c r="Y59" s="227">
        <v>79.5</v>
      </c>
      <c r="Z59" s="227">
        <v>79.5</v>
      </c>
      <c r="AA59" s="227">
        <v>79.5</v>
      </c>
      <c r="AB59" s="227">
        <v>243.33</v>
      </c>
      <c r="AC59" s="227">
        <v>0</v>
      </c>
      <c r="AD59" s="230">
        <v>2.8163194444444446E-3</v>
      </c>
      <c r="AE59" s="230">
        <v>1459.9800000000002</v>
      </c>
      <c r="AF59" s="230">
        <v>3816</v>
      </c>
      <c r="AG59" s="230">
        <v>102063.55784391916</v>
      </c>
      <c r="AH59" s="230">
        <v>158972.35620565029</v>
      </c>
      <c r="AI59" s="230">
        <v>0</v>
      </c>
    </row>
    <row r="60" spans="5:35" x14ac:dyDescent="0.35">
      <c r="E60" s="226"/>
      <c r="F60" s="227">
        <v>0.74373561643835617</v>
      </c>
      <c r="G60" s="227">
        <v>271.46350000000001</v>
      </c>
      <c r="H60" s="227">
        <v>0.62270000000000003</v>
      </c>
      <c r="I60" s="227">
        <v>0.18174999999999999</v>
      </c>
      <c r="J60" s="227">
        <v>0.11979731231935088</v>
      </c>
      <c r="K60" s="227">
        <v>121.3</v>
      </c>
      <c r="L60" s="227">
        <v>102.66</v>
      </c>
      <c r="M60" s="227">
        <v>117.03</v>
      </c>
      <c r="N60" s="227">
        <v>92.463999999999999</v>
      </c>
      <c r="O60" s="227">
        <v>91.572000000000003</v>
      </c>
      <c r="P60" s="227">
        <v>100.12</v>
      </c>
      <c r="Q60" s="227">
        <v>89.284000000000006</v>
      </c>
      <c r="R60" s="227">
        <v>96.484999999999999</v>
      </c>
      <c r="S60" s="227">
        <v>31.484999999999999</v>
      </c>
      <c r="T60" s="227">
        <v>79.5</v>
      </c>
      <c r="U60" s="227">
        <v>79.5</v>
      </c>
      <c r="V60" s="227">
        <v>79.5</v>
      </c>
      <c r="W60" s="227">
        <v>79.5</v>
      </c>
      <c r="X60" s="227">
        <v>79.5</v>
      </c>
      <c r="Y60" s="227">
        <v>79.5</v>
      </c>
      <c r="Z60" s="227">
        <v>79.5</v>
      </c>
      <c r="AA60" s="227">
        <v>79.5</v>
      </c>
      <c r="AB60" s="227">
        <v>240.22</v>
      </c>
      <c r="AC60" s="227">
        <v>0</v>
      </c>
      <c r="AD60" s="230">
        <v>2.7803240740740739E-3</v>
      </c>
      <c r="AE60" s="230">
        <v>1441.32</v>
      </c>
      <c r="AF60" s="230">
        <v>3816</v>
      </c>
      <c r="AG60" s="230">
        <v>103504.87784391917</v>
      </c>
      <c r="AH60" s="230">
        <v>162788.35620565029</v>
      </c>
      <c r="AI60" s="230">
        <v>0</v>
      </c>
    </row>
    <row r="61" spans="5:35" x14ac:dyDescent="0.35">
      <c r="E61" s="226"/>
      <c r="F61" s="227">
        <v>0.76017397260273978</v>
      </c>
      <c r="G61" s="227">
        <v>277.46350000000001</v>
      </c>
      <c r="H61" s="227">
        <v>0.62709999999999999</v>
      </c>
      <c r="I61" s="227">
        <v>0.18576999999999999</v>
      </c>
      <c r="J61" s="227">
        <v>0.12144585398601755</v>
      </c>
      <c r="K61" s="227">
        <v>120.6</v>
      </c>
      <c r="L61" s="227">
        <v>102.36</v>
      </c>
      <c r="M61" s="227">
        <v>116.44</v>
      </c>
      <c r="N61" s="227">
        <v>92.326999999999998</v>
      </c>
      <c r="O61" s="227">
        <v>91.281000000000006</v>
      </c>
      <c r="P61" s="227">
        <v>99.876000000000005</v>
      </c>
      <c r="Q61" s="227">
        <v>89.025999999999996</v>
      </c>
      <c r="R61" s="227">
        <v>96.05</v>
      </c>
      <c r="S61" s="227">
        <v>31.049999999999997</v>
      </c>
      <c r="T61" s="227">
        <v>79.5</v>
      </c>
      <c r="U61" s="227">
        <v>79.5</v>
      </c>
      <c r="V61" s="227">
        <v>79.5</v>
      </c>
      <c r="W61" s="227">
        <v>79.5</v>
      </c>
      <c r="X61" s="227">
        <v>79.5</v>
      </c>
      <c r="Y61" s="227">
        <v>79.5</v>
      </c>
      <c r="Z61" s="227">
        <v>79.5</v>
      </c>
      <c r="AA61" s="227">
        <v>79.5</v>
      </c>
      <c r="AB61" s="227">
        <v>237.39</v>
      </c>
      <c r="AC61" s="227">
        <v>0</v>
      </c>
      <c r="AD61" s="230">
        <v>2.7475694444444444E-3</v>
      </c>
      <c r="AE61" s="230">
        <v>1424.34</v>
      </c>
      <c r="AF61" s="230">
        <v>3816</v>
      </c>
      <c r="AG61" s="230">
        <v>104929.21784391916</v>
      </c>
      <c r="AH61" s="230">
        <v>166604.35620565029</v>
      </c>
      <c r="AI61" s="230">
        <v>0</v>
      </c>
    </row>
    <row r="62" spans="5:35" x14ac:dyDescent="0.35">
      <c r="E62" s="226"/>
      <c r="F62" s="227">
        <v>0.77661232876712327</v>
      </c>
      <c r="G62" s="227">
        <v>283.46350000000001</v>
      </c>
      <c r="H62" s="227">
        <v>0.63119999999999998</v>
      </c>
      <c r="I62" s="227">
        <v>0.18978999999999999</v>
      </c>
      <c r="J62" s="227">
        <v>0.1230764095415731</v>
      </c>
      <c r="K62" s="227">
        <v>119.93</v>
      </c>
      <c r="L62" s="227">
        <v>102.09</v>
      </c>
      <c r="M62" s="227">
        <v>115.87</v>
      </c>
      <c r="N62" s="227">
        <v>92.201999999999998</v>
      </c>
      <c r="O62" s="227">
        <v>91.006</v>
      </c>
      <c r="P62" s="227">
        <v>99.653000000000006</v>
      </c>
      <c r="Q62" s="227">
        <v>88.786000000000001</v>
      </c>
      <c r="R62" s="227">
        <v>95.641000000000005</v>
      </c>
      <c r="S62" s="227">
        <v>30.641000000000005</v>
      </c>
      <c r="T62" s="227">
        <v>79.5</v>
      </c>
      <c r="U62" s="227">
        <v>79.5</v>
      </c>
      <c r="V62" s="227">
        <v>79.5</v>
      </c>
      <c r="W62" s="227">
        <v>79.5</v>
      </c>
      <c r="X62" s="227">
        <v>79.5</v>
      </c>
      <c r="Y62" s="227">
        <v>79.5</v>
      </c>
      <c r="Z62" s="227">
        <v>79.5</v>
      </c>
      <c r="AA62" s="227">
        <v>79.5</v>
      </c>
      <c r="AB62" s="227">
        <v>234.8</v>
      </c>
      <c r="AC62" s="227">
        <v>0</v>
      </c>
      <c r="AD62" s="230">
        <v>2.7175925925925926E-3</v>
      </c>
      <c r="AE62" s="230">
        <v>1408.8</v>
      </c>
      <c r="AF62" s="230">
        <v>3816</v>
      </c>
      <c r="AG62" s="230">
        <v>106338.01784391917</v>
      </c>
      <c r="AH62" s="230">
        <v>170420.35620565029</v>
      </c>
      <c r="AI62" s="230">
        <v>0</v>
      </c>
    </row>
    <row r="63" spans="5:35" x14ac:dyDescent="0.35">
      <c r="E63" s="226"/>
      <c r="F63" s="227">
        <v>0.79305068493150688</v>
      </c>
      <c r="G63" s="227">
        <v>289.46350000000001</v>
      </c>
      <c r="H63" s="227">
        <v>0.63490000000000002</v>
      </c>
      <c r="I63" s="227">
        <v>0.19381000000000001</v>
      </c>
      <c r="J63" s="227">
        <v>0.12469043731935089</v>
      </c>
      <c r="K63" s="227">
        <v>119.28</v>
      </c>
      <c r="L63" s="227">
        <v>101.85</v>
      </c>
      <c r="M63" s="227">
        <v>115.31</v>
      </c>
      <c r="N63" s="227">
        <v>92.087000000000003</v>
      </c>
      <c r="O63" s="227">
        <v>90.744</v>
      </c>
      <c r="P63" s="227">
        <v>99.445999999999998</v>
      </c>
      <c r="Q63" s="227">
        <v>88.56</v>
      </c>
      <c r="R63" s="227">
        <v>95.254999999999995</v>
      </c>
      <c r="S63" s="227">
        <v>30.254999999999995</v>
      </c>
      <c r="T63" s="227">
        <v>79.5</v>
      </c>
      <c r="U63" s="227">
        <v>79.5</v>
      </c>
      <c r="V63" s="227">
        <v>79.5</v>
      </c>
      <c r="W63" s="227">
        <v>79.5</v>
      </c>
      <c r="X63" s="227">
        <v>79.5</v>
      </c>
      <c r="Y63" s="227">
        <v>79.5</v>
      </c>
      <c r="Z63" s="227">
        <v>79.5</v>
      </c>
      <c r="AA63" s="227">
        <v>79.5</v>
      </c>
      <c r="AB63" s="227">
        <v>232.42</v>
      </c>
      <c r="AC63" s="227">
        <v>0</v>
      </c>
      <c r="AD63" s="230">
        <v>2.6900462962962963E-3</v>
      </c>
      <c r="AE63" s="230">
        <v>1394.52</v>
      </c>
      <c r="AF63" s="230">
        <v>3816</v>
      </c>
      <c r="AG63" s="230">
        <v>107732.53784391917</v>
      </c>
      <c r="AH63" s="230">
        <v>174236.35620565029</v>
      </c>
      <c r="AI63" s="230">
        <v>0</v>
      </c>
    </row>
    <row r="64" spans="5:35" x14ac:dyDescent="0.35">
      <c r="E64" s="226"/>
      <c r="F64" s="227">
        <v>0.80948904109589048</v>
      </c>
      <c r="G64" s="227">
        <v>295.46350000000001</v>
      </c>
      <c r="H64" s="227">
        <v>0.63829999999999998</v>
      </c>
      <c r="I64" s="227">
        <v>0.19782</v>
      </c>
      <c r="J64" s="227">
        <v>0.12628925676379535</v>
      </c>
      <c r="K64" s="227">
        <v>118.66</v>
      </c>
      <c r="L64" s="227">
        <v>101.62</v>
      </c>
      <c r="M64" s="227">
        <v>114.77</v>
      </c>
      <c r="N64" s="227">
        <v>91.98</v>
      </c>
      <c r="O64" s="227">
        <v>90.494</v>
      </c>
      <c r="P64" s="227">
        <v>99.25</v>
      </c>
      <c r="Q64" s="227">
        <v>88.349000000000004</v>
      </c>
      <c r="R64" s="227">
        <v>94.89</v>
      </c>
      <c r="S64" s="227">
        <v>29.89</v>
      </c>
      <c r="T64" s="227">
        <v>79.5</v>
      </c>
      <c r="U64" s="227">
        <v>79.5</v>
      </c>
      <c r="V64" s="227">
        <v>79.5</v>
      </c>
      <c r="W64" s="227">
        <v>79.5</v>
      </c>
      <c r="X64" s="227">
        <v>79.5</v>
      </c>
      <c r="Y64" s="227">
        <v>79.5</v>
      </c>
      <c r="Z64" s="227">
        <v>79.5</v>
      </c>
      <c r="AA64" s="227">
        <v>79.5</v>
      </c>
      <c r="AB64" s="227">
        <v>230.23</v>
      </c>
      <c r="AC64" s="227">
        <v>0</v>
      </c>
      <c r="AD64" s="230">
        <v>2.6646990740740741E-3</v>
      </c>
      <c r="AE64" s="230">
        <v>1381.3799999999999</v>
      </c>
      <c r="AF64" s="230">
        <v>3816</v>
      </c>
      <c r="AG64" s="230">
        <v>109113.91784391917</v>
      </c>
      <c r="AH64" s="230">
        <v>178052.35620565029</v>
      </c>
      <c r="AI64" s="230">
        <v>0</v>
      </c>
    </row>
    <row r="65" spans="5:35" x14ac:dyDescent="0.35">
      <c r="E65" s="226"/>
      <c r="F65" s="227">
        <v>0.82592739726027398</v>
      </c>
      <c r="G65" s="227">
        <v>301.46350000000001</v>
      </c>
      <c r="H65" s="227">
        <v>0.64149999999999996</v>
      </c>
      <c r="I65" s="227">
        <v>0.20183999999999999</v>
      </c>
      <c r="J65" s="227">
        <v>0.12787411787490646</v>
      </c>
      <c r="K65" s="227">
        <v>118.05</v>
      </c>
      <c r="L65" s="227">
        <v>101.42</v>
      </c>
      <c r="M65" s="227">
        <v>114.24</v>
      </c>
      <c r="N65" s="227">
        <v>91.88</v>
      </c>
      <c r="O65" s="227">
        <v>90.256</v>
      </c>
      <c r="P65" s="227">
        <v>99.061000000000007</v>
      </c>
      <c r="Q65" s="227">
        <v>88.15</v>
      </c>
      <c r="R65" s="227">
        <v>94.545000000000002</v>
      </c>
      <c r="S65" s="227">
        <v>29.545000000000002</v>
      </c>
      <c r="T65" s="227">
        <v>79.5</v>
      </c>
      <c r="U65" s="227">
        <v>79.5</v>
      </c>
      <c r="V65" s="227">
        <v>79.5</v>
      </c>
      <c r="W65" s="227">
        <v>79.5</v>
      </c>
      <c r="X65" s="227">
        <v>79.5</v>
      </c>
      <c r="Y65" s="227">
        <v>79.5</v>
      </c>
      <c r="Z65" s="227">
        <v>79.5</v>
      </c>
      <c r="AA65" s="227">
        <v>79.5</v>
      </c>
      <c r="AB65" s="227">
        <v>228.22</v>
      </c>
      <c r="AC65" s="227">
        <v>0</v>
      </c>
      <c r="AD65" s="230">
        <v>2.641435185185185E-3</v>
      </c>
      <c r="AE65" s="230">
        <v>1369.3200000000002</v>
      </c>
      <c r="AF65" s="230">
        <v>3816</v>
      </c>
      <c r="AG65" s="230">
        <v>110483.23784391918</v>
      </c>
      <c r="AH65" s="230">
        <v>181868.35620565029</v>
      </c>
      <c r="AI65" s="230">
        <v>0</v>
      </c>
    </row>
    <row r="66" spans="5:35" x14ac:dyDescent="0.35">
      <c r="E66" s="226"/>
      <c r="F66" s="227">
        <v>0.84236575342465758</v>
      </c>
      <c r="G66" s="227">
        <v>307.46350000000001</v>
      </c>
      <c r="H66" s="227">
        <v>0.64439999999999997</v>
      </c>
      <c r="I66" s="227">
        <v>0.20585999999999999</v>
      </c>
      <c r="J66" s="227">
        <v>0.12944606231935091</v>
      </c>
      <c r="K66" s="227">
        <v>117.45</v>
      </c>
      <c r="L66" s="227">
        <v>101.24</v>
      </c>
      <c r="M66" s="227">
        <v>113.72</v>
      </c>
      <c r="N66" s="227">
        <v>91.784000000000006</v>
      </c>
      <c r="O66" s="227">
        <v>90.028000000000006</v>
      </c>
      <c r="P66" s="227">
        <v>98.875</v>
      </c>
      <c r="Q66" s="227">
        <v>87.960999999999999</v>
      </c>
      <c r="R66" s="227">
        <v>94.218999999999994</v>
      </c>
      <c r="S66" s="227">
        <v>29.218999999999994</v>
      </c>
      <c r="T66" s="227">
        <v>79.5</v>
      </c>
      <c r="U66" s="227">
        <v>79.5</v>
      </c>
      <c r="V66" s="227">
        <v>79.5</v>
      </c>
      <c r="W66" s="227">
        <v>79.5</v>
      </c>
      <c r="X66" s="227">
        <v>79.5</v>
      </c>
      <c r="Y66" s="227">
        <v>79.5</v>
      </c>
      <c r="Z66" s="227">
        <v>79.5</v>
      </c>
      <c r="AA66" s="227">
        <v>79.5</v>
      </c>
      <c r="AB66" s="227">
        <v>226.36</v>
      </c>
      <c r="AC66" s="227">
        <v>0</v>
      </c>
      <c r="AD66" s="230">
        <v>2.6199074074074076E-3</v>
      </c>
      <c r="AE66" s="230">
        <v>1358.16</v>
      </c>
      <c r="AF66" s="230">
        <v>3816</v>
      </c>
      <c r="AG66" s="230">
        <v>111841.39784391919</v>
      </c>
      <c r="AH66" s="230">
        <v>185684.35620565029</v>
      </c>
      <c r="AI66" s="230">
        <v>0</v>
      </c>
    </row>
    <row r="67" spans="5:35" x14ac:dyDescent="0.35">
      <c r="E67" s="226"/>
      <c r="F67" s="227">
        <v>0.85880410958904108</v>
      </c>
      <c r="G67" s="227">
        <v>313.46350000000001</v>
      </c>
      <c r="H67" s="227">
        <v>0.64710000000000001</v>
      </c>
      <c r="I67" s="227">
        <v>0.20988000000000001</v>
      </c>
      <c r="J67" s="227">
        <v>0.13100606231935091</v>
      </c>
      <c r="K67" s="227">
        <v>116.86</v>
      </c>
      <c r="L67" s="227">
        <v>101.07</v>
      </c>
      <c r="M67" s="227">
        <v>113.2</v>
      </c>
      <c r="N67" s="227">
        <v>91.688000000000002</v>
      </c>
      <c r="O67" s="227">
        <v>89.81</v>
      </c>
      <c r="P67" s="227">
        <v>98.69</v>
      </c>
      <c r="Q67" s="227">
        <v>87.781999999999996</v>
      </c>
      <c r="R67" s="227">
        <v>93.909000000000006</v>
      </c>
      <c r="S67" s="227">
        <v>28.909000000000006</v>
      </c>
      <c r="T67" s="227">
        <v>79.5</v>
      </c>
      <c r="U67" s="227">
        <v>79.5</v>
      </c>
      <c r="V67" s="227">
        <v>79.5</v>
      </c>
      <c r="W67" s="227">
        <v>79.5</v>
      </c>
      <c r="X67" s="227">
        <v>79.5</v>
      </c>
      <c r="Y67" s="227">
        <v>79.5</v>
      </c>
      <c r="Z67" s="227">
        <v>79.5</v>
      </c>
      <c r="AA67" s="227">
        <v>79.5</v>
      </c>
      <c r="AB67" s="227">
        <v>224.64</v>
      </c>
      <c r="AC67" s="227">
        <v>0</v>
      </c>
      <c r="AD67" s="230">
        <v>2.5999999999999999E-3</v>
      </c>
      <c r="AE67" s="230">
        <v>1347.84</v>
      </c>
      <c r="AF67" s="230">
        <v>3816</v>
      </c>
      <c r="AG67" s="230">
        <v>113189.23784391918</v>
      </c>
      <c r="AH67" s="230">
        <v>189500.35620565029</v>
      </c>
      <c r="AI67" s="230">
        <v>0</v>
      </c>
    </row>
    <row r="68" spans="5:35" x14ac:dyDescent="0.35">
      <c r="E68" s="226"/>
      <c r="F68" s="227">
        <v>0.87524246575342468</v>
      </c>
      <c r="G68" s="227">
        <v>319.46350000000001</v>
      </c>
      <c r="H68" s="227">
        <v>0.64959999999999996</v>
      </c>
      <c r="I68" s="227">
        <v>0.21389</v>
      </c>
      <c r="J68" s="227">
        <v>0.1325548123193509</v>
      </c>
      <c r="K68" s="227">
        <v>116.27</v>
      </c>
      <c r="L68" s="227">
        <v>100.92</v>
      </c>
      <c r="M68" s="227">
        <v>112.69</v>
      </c>
      <c r="N68" s="227">
        <v>91.59</v>
      </c>
      <c r="O68" s="227">
        <v>89.599000000000004</v>
      </c>
      <c r="P68" s="227">
        <v>98.501999999999995</v>
      </c>
      <c r="Q68" s="227">
        <v>87.608999999999995</v>
      </c>
      <c r="R68" s="227">
        <v>93.613</v>
      </c>
      <c r="S68" s="227">
        <v>28.613</v>
      </c>
      <c r="T68" s="227">
        <v>79.5</v>
      </c>
      <c r="U68" s="227">
        <v>79.5</v>
      </c>
      <c r="V68" s="227">
        <v>79.5</v>
      </c>
      <c r="W68" s="227">
        <v>79.5</v>
      </c>
      <c r="X68" s="227">
        <v>79.5</v>
      </c>
      <c r="Y68" s="227">
        <v>79.5</v>
      </c>
      <c r="Z68" s="227">
        <v>79.5</v>
      </c>
      <c r="AA68" s="227">
        <v>79.5</v>
      </c>
      <c r="AB68" s="227">
        <v>223.02</v>
      </c>
      <c r="AC68" s="227">
        <v>0</v>
      </c>
      <c r="AD68" s="230">
        <v>2.5812500000000002E-3</v>
      </c>
      <c r="AE68" s="230">
        <v>1338.1200000000001</v>
      </c>
      <c r="AF68" s="230">
        <v>3816</v>
      </c>
      <c r="AG68" s="230">
        <v>114527.35784391918</v>
      </c>
      <c r="AH68" s="230">
        <v>193316.35620565029</v>
      </c>
      <c r="AI68" s="230">
        <v>0</v>
      </c>
    </row>
    <row r="69" spans="5:35" x14ac:dyDescent="0.35">
      <c r="E69" s="226"/>
      <c r="F69" s="227">
        <v>0.89168082191780829</v>
      </c>
      <c r="G69" s="227">
        <v>325.46350000000001</v>
      </c>
      <c r="H69" s="227">
        <v>0.65210000000000001</v>
      </c>
      <c r="I69" s="227">
        <v>0.21790999999999999</v>
      </c>
      <c r="J69" s="227">
        <v>0.13409259009712868</v>
      </c>
      <c r="K69" s="227">
        <v>115.69</v>
      </c>
      <c r="L69" s="227">
        <v>100.77</v>
      </c>
      <c r="M69" s="227">
        <v>112.17</v>
      </c>
      <c r="N69" s="227">
        <v>91.481999999999999</v>
      </c>
      <c r="O69" s="227">
        <v>89.393000000000001</v>
      </c>
      <c r="P69" s="227">
        <v>98.308999999999997</v>
      </c>
      <c r="Q69" s="227">
        <v>87.441999999999993</v>
      </c>
      <c r="R69" s="227">
        <v>93.328999999999994</v>
      </c>
      <c r="S69" s="227">
        <v>28.328999999999994</v>
      </c>
      <c r="T69" s="227">
        <v>79.5</v>
      </c>
      <c r="U69" s="227">
        <v>79.5</v>
      </c>
      <c r="V69" s="227">
        <v>79.5</v>
      </c>
      <c r="W69" s="227">
        <v>79.5</v>
      </c>
      <c r="X69" s="227">
        <v>79.5</v>
      </c>
      <c r="Y69" s="227">
        <v>79.5</v>
      </c>
      <c r="Z69" s="227">
        <v>79.5</v>
      </c>
      <c r="AA69" s="227">
        <v>79.5</v>
      </c>
      <c r="AB69" s="227">
        <v>221.44</v>
      </c>
      <c r="AC69" s="227">
        <v>0</v>
      </c>
      <c r="AD69" s="230">
        <v>2.5629629629629631E-3</v>
      </c>
      <c r="AE69" s="230">
        <v>1328.64</v>
      </c>
      <c r="AF69" s="230">
        <v>3816</v>
      </c>
      <c r="AG69" s="230">
        <v>115855.99784391918</v>
      </c>
      <c r="AH69" s="230">
        <v>197132.35620565029</v>
      </c>
      <c r="AI69" s="230">
        <v>0</v>
      </c>
    </row>
    <row r="70" spans="5:35" x14ac:dyDescent="0.35">
      <c r="E70" s="226"/>
      <c r="F70" s="227">
        <v>0.90811917808219178</v>
      </c>
      <c r="G70" s="227">
        <v>331.46350000000001</v>
      </c>
      <c r="H70" s="227">
        <v>0.65469999999999995</v>
      </c>
      <c r="I70" s="227">
        <v>0.22192999999999999</v>
      </c>
      <c r="J70" s="227">
        <v>0.13561904843046202</v>
      </c>
      <c r="K70" s="227">
        <v>115.11</v>
      </c>
      <c r="L70" s="227">
        <v>100.63</v>
      </c>
      <c r="M70" s="227">
        <v>111.65</v>
      </c>
      <c r="N70" s="227">
        <v>91.355000000000004</v>
      </c>
      <c r="O70" s="227">
        <v>89.19</v>
      </c>
      <c r="P70" s="227">
        <v>98.105000000000004</v>
      </c>
      <c r="Q70" s="227">
        <v>87.274000000000001</v>
      </c>
      <c r="R70" s="227">
        <v>93.052000000000007</v>
      </c>
      <c r="S70" s="227">
        <v>28.052000000000007</v>
      </c>
      <c r="T70" s="227">
        <v>79.5</v>
      </c>
      <c r="U70" s="227">
        <v>79.5</v>
      </c>
      <c r="V70" s="227">
        <v>79.5</v>
      </c>
      <c r="W70" s="227">
        <v>79.5</v>
      </c>
      <c r="X70" s="227">
        <v>79.5</v>
      </c>
      <c r="Y70" s="227">
        <v>79.5</v>
      </c>
      <c r="Z70" s="227">
        <v>79.5</v>
      </c>
      <c r="AA70" s="227">
        <v>79.5</v>
      </c>
      <c r="AB70" s="227">
        <v>219.81</v>
      </c>
      <c r="AC70" s="227">
        <v>0</v>
      </c>
      <c r="AD70" s="230">
        <v>2.5440972222222223E-3</v>
      </c>
      <c r="AE70" s="230">
        <v>1318.8600000000001</v>
      </c>
      <c r="AF70" s="230">
        <v>3816</v>
      </c>
      <c r="AG70" s="230">
        <v>117174.85784391918</v>
      </c>
      <c r="AH70" s="230">
        <v>200948.35620565029</v>
      </c>
      <c r="AI70" s="230">
        <v>0</v>
      </c>
    </row>
    <row r="71" spans="5:35" x14ac:dyDescent="0.35">
      <c r="E71" s="226"/>
      <c r="F71" s="227">
        <v>0.92455753424657539</v>
      </c>
      <c r="G71" s="227">
        <v>337.46350000000001</v>
      </c>
      <c r="H71" s="227">
        <v>0.65739999999999998</v>
      </c>
      <c r="I71" s="227">
        <v>0.22594</v>
      </c>
      <c r="J71" s="227">
        <v>0.13713335398601756</v>
      </c>
      <c r="K71" s="227">
        <v>114.52</v>
      </c>
      <c r="L71" s="227">
        <v>100.48</v>
      </c>
      <c r="M71" s="227">
        <v>111.12</v>
      </c>
      <c r="N71" s="227">
        <v>91.206000000000003</v>
      </c>
      <c r="O71" s="227">
        <v>88.986000000000004</v>
      </c>
      <c r="P71" s="227">
        <v>97.887</v>
      </c>
      <c r="Q71" s="227">
        <v>87.102999999999994</v>
      </c>
      <c r="R71" s="227">
        <v>92.78</v>
      </c>
      <c r="S71" s="227">
        <v>27.78</v>
      </c>
      <c r="T71" s="227">
        <v>79.5</v>
      </c>
      <c r="U71" s="227">
        <v>79.5</v>
      </c>
      <c r="V71" s="227">
        <v>79.5</v>
      </c>
      <c r="W71" s="227">
        <v>79.5</v>
      </c>
      <c r="X71" s="227">
        <v>79.5</v>
      </c>
      <c r="Y71" s="227">
        <v>79.5</v>
      </c>
      <c r="Z71" s="227">
        <v>79.5</v>
      </c>
      <c r="AA71" s="227">
        <v>79.5</v>
      </c>
      <c r="AB71" s="227">
        <v>218.06</v>
      </c>
      <c r="AC71" s="227">
        <v>0</v>
      </c>
      <c r="AD71" s="230">
        <v>2.5238425925925927E-3</v>
      </c>
      <c r="AE71" s="230">
        <v>1308.3599999999999</v>
      </c>
      <c r="AF71" s="230">
        <v>3816</v>
      </c>
      <c r="AG71" s="230">
        <v>118483.21784391918</v>
      </c>
      <c r="AH71" s="230">
        <v>204764.35620565029</v>
      </c>
      <c r="AI71" s="230">
        <v>0</v>
      </c>
    </row>
    <row r="72" spans="5:35" x14ac:dyDescent="0.35">
      <c r="E72" s="226"/>
      <c r="F72" s="227">
        <v>0.94099589041095888</v>
      </c>
      <c r="G72" s="227">
        <v>343.46350000000001</v>
      </c>
      <c r="H72" s="227">
        <v>0.66049999999999998</v>
      </c>
      <c r="I72" s="227">
        <v>0.22996</v>
      </c>
      <c r="J72" s="227">
        <v>0.13863425676379534</v>
      </c>
      <c r="K72" s="227">
        <v>113.92</v>
      </c>
      <c r="L72" s="227">
        <v>100.32</v>
      </c>
      <c r="M72" s="227">
        <v>110.58</v>
      </c>
      <c r="N72" s="227">
        <v>91.031000000000006</v>
      </c>
      <c r="O72" s="227">
        <v>88.78</v>
      </c>
      <c r="P72" s="227">
        <v>97.650999999999996</v>
      </c>
      <c r="Q72" s="227">
        <v>86.926000000000002</v>
      </c>
      <c r="R72" s="227">
        <v>92.509</v>
      </c>
      <c r="S72" s="227">
        <v>27.509</v>
      </c>
      <c r="T72" s="227">
        <v>79.5</v>
      </c>
      <c r="U72" s="227">
        <v>79.5</v>
      </c>
      <c r="V72" s="227">
        <v>79.5</v>
      </c>
      <c r="W72" s="227">
        <v>79.5</v>
      </c>
      <c r="X72" s="227">
        <v>79.5</v>
      </c>
      <c r="Y72" s="227">
        <v>79.5</v>
      </c>
      <c r="Z72" s="227">
        <v>79.5</v>
      </c>
      <c r="AA72" s="227">
        <v>79.5</v>
      </c>
      <c r="AB72" s="227">
        <v>216.13</v>
      </c>
      <c r="AC72" s="227">
        <v>0</v>
      </c>
      <c r="AD72" s="230">
        <v>2.5015046296296296E-3</v>
      </c>
      <c r="AE72" s="230">
        <v>1296.78</v>
      </c>
      <c r="AF72" s="230">
        <v>3816</v>
      </c>
      <c r="AG72" s="230">
        <v>119779.99784391918</v>
      </c>
      <c r="AH72" s="230">
        <v>208580.35620565029</v>
      </c>
      <c r="AI72" s="230">
        <v>0</v>
      </c>
    </row>
    <row r="73" spans="5:35" x14ac:dyDescent="0.35">
      <c r="E73" s="226"/>
      <c r="F73" s="227">
        <v>0.95743424657534248</v>
      </c>
      <c r="G73" s="227">
        <v>349.46350000000001</v>
      </c>
      <c r="H73" s="227">
        <v>0.66390000000000005</v>
      </c>
      <c r="I73" s="227">
        <v>0.23397999999999999</v>
      </c>
      <c r="J73" s="227">
        <v>0.14012015954157314</v>
      </c>
      <c r="K73" s="227">
        <v>113.32</v>
      </c>
      <c r="L73" s="227">
        <v>100.16</v>
      </c>
      <c r="M73" s="227">
        <v>110.03</v>
      </c>
      <c r="N73" s="227">
        <v>90.831000000000003</v>
      </c>
      <c r="O73" s="227">
        <v>88.569000000000003</v>
      </c>
      <c r="P73" s="227">
        <v>97.397000000000006</v>
      </c>
      <c r="Q73" s="227">
        <v>86.741</v>
      </c>
      <c r="R73" s="227">
        <v>92.238</v>
      </c>
      <c r="S73" s="227">
        <v>27.238</v>
      </c>
      <c r="T73" s="227">
        <v>79.5</v>
      </c>
      <c r="U73" s="227">
        <v>79.5</v>
      </c>
      <c r="V73" s="227">
        <v>79.5</v>
      </c>
      <c r="W73" s="227">
        <v>79.5</v>
      </c>
      <c r="X73" s="227">
        <v>79.5</v>
      </c>
      <c r="Y73" s="227">
        <v>79.5</v>
      </c>
      <c r="Z73" s="227">
        <v>79.5</v>
      </c>
      <c r="AA73" s="227">
        <v>79.5</v>
      </c>
      <c r="AB73" s="227">
        <v>213.97</v>
      </c>
      <c r="AC73" s="227">
        <v>0</v>
      </c>
      <c r="AD73" s="230">
        <v>2.4765046296296297E-3</v>
      </c>
      <c r="AE73" s="230">
        <v>1283.82</v>
      </c>
      <c r="AF73" s="230">
        <v>3816</v>
      </c>
      <c r="AG73" s="230">
        <v>121063.81784391918</v>
      </c>
      <c r="AH73" s="230">
        <v>212396.35620565029</v>
      </c>
      <c r="AI73" s="230">
        <v>0</v>
      </c>
    </row>
    <row r="74" spans="5:35" x14ac:dyDescent="0.35">
      <c r="E74" s="226"/>
      <c r="F74" s="227">
        <v>0.97387260273972609</v>
      </c>
      <c r="G74" s="227">
        <v>355.46350000000001</v>
      </c>
      <c r="H74" s="227">
        <v>0.66769999999999996</v>
      </c>
      <c r="I74" s="227">
        <v>0.23799999999999999</v>
      </c>
      <c r="J74" s="227">
        <v>0.14158925676379536</v>
      </c>
      <c r="K74" s="227">
        <v>112.71</v>
      </c>
      <c r="L74" s="227">
        <v>99.978999999999999</v>
      </c>
      <c r="M74" s="227">
        <v>109.46</v>
      </c>
      <c r="N74" s="227">
        <v>90.605999999999995</v>
      </c>
      <c r="O74" s="227">
        <v>88.352000000000004</v>
      </c>
      <c r="P74" s="227">
        <v>97.120999999999995</v>
      </c>
      <c r="Q74" s="227">
        <v>86.545000000000002</v>
      </c>
      <c r="R74" s="227">
        <v>91.963999999999999</v>
      </c>
      <c r="S74" s="227">
        <v>26.963999999999999</v>
      </c>
      <c r="T74" s="227">
        <v>79.5</v>
      </c>
      <c r="U74" s="227">
        <v>79.5</v>
      </c>
      <c r="V74" s="227">
        <v>79.5</v>
      </c>
      <c r="W74" s="227">
        <v>79.5</v>
      </c>
      <c r="X74" s="227">
        <v>79.5</v>
      </c>
      <c r="Y74" s="227">
        <v>79.5</v>
      </c>
      <c r="Z74" s="227">
        <v>79.5</v>
      </c>
      <c r="AA74" s="227">
        <v>79.5</v>
      </c>
      <c r="AB74" s="227">
        <v>211.55</v>
      </c>
      <c r="AC74" s="227">
        <v>0</v>
      </c>
      <c r="AD74" s="230">
        <v>2.4484953703703704E-3</v>
      </c>
      <c r="AE74" s="230">
        <v>1269.3000000000002</v>
      </c>
      <c r="AF74" s="230">
        <v>3816</v>
      </c>
      <c r="AG74" s="230">
        <v>122333.11784391919</v>
      </c>
      <c r="AH74" s="230">
        <v>216212.35620565029</v>
      </c>
      <c r="AI74" s="230">
        <v>0</v>
      </c>
    </row>
    <row r="75" spans="5:35" x14ac:dyDescent="0.35">
      <c r="E75" s="226"/>
      <c r="F75" s="227">
        <v>0.99031095890410958</v>
      </c>
      <c r="G75" s="227">
        <v>361.46350000000001</v>
      </c>
      <c r="H75" s="227">
        <v>0.67179999999999995</v>
      </c>
      <c r="I75" s="227">
        <v>0.24201</v>
      </c>
      <c r="J75" s="227">
        <v>0.14304015954157315</v>
      </c>
      <c r="K75" s="227">
        <v>112.1</v>
      </c>
      <c r="L75" s="227">
        <v>99.789000000000001</v>
      </c>
      <c r="M75" s="227">
        <v>108.89</v>
      </c>
      <c r="N75" s="227">
        <v>90.36</v>
      </c>
      <c r="O75" s="227">
        <v>88.129000000000005</v>
      </c>
      <c r="P75" s="227">
        <v>96.826999999999998</v>
      </c>
      <c r="Q75" s="227">
        <v>86.340999999999994</v>
      </c>
      <c r="R75" s="227">
        <v>91.686999999999998</v>
      </c>
      <c r="S75" s="227">
        <v>26.686999999999998</v>
      </c>
      <c r="T75" s="227">
        <v>79.5</v>
      </c>
      <c r="U75" s="227">
        <v>79.5</v>
      </c>
      <c r="V75" s="227">
        <v>79.5</v>
      </c>
      <c r="W75" s="227">
        <v>79.5</v>
      </c>
      <c r="X75" s="227">
        <v>79.5</v>
      </c>
      <c r="Y75" s="227">
        <v>79.5</v>
      </c>
      <c r="Z75" s="227">
        <v>79.5</v>
      </c>
      <c r="AA75" s="227">
        <v>79.5</v>
      </c>
      <c r="AB75" s="227">
        <v>208.93</v>
      </c>
      <c r="AC75" s="227">
        <v>0</v>
      </c>
      <c r="AD75" s="230">
        <v>2.4181712962962963E-3</v>
      </c>
      <c r="AE75" s="230">
        <v>1253.58</v>
      </c>
      <c r="AF75" s="230">
        <v>3816</v>
      </c>
      <c r="AG75" s="230">
        <v>123586.69784391919</v>
      </c>
      <c r="AH75" s="230">
        <v>220028.35620565029</v>
      </c>
      <c r="AI75" s="230">
        <v>0</v>
      </c>
    </row>
    <row r="76" spans="5:35" x14ac:dyDescent="0.35">
      <c r="E76" s="226"/>
      <c r="F76" s="227">
        <v>1.0067493150684932</v>
      </c>
      <c r="G76" s="227">
        <v>367.46350000000001</v>
      </c>
      <c r="H76" s="227">
        <v>0.67620000000000002</v>
      </c>
      <c r="I76" s="227">
        <v>0.24603</v>
      </c>
      <c r="J76" s="227">
        <v>0.14447154843046203</v>
      </c>
      <c r="K76" s="227">
        <v>111.49</v>
      </c>
      <c r="L76" s="227">
        <v>99.585999999999999</v>
      </c>
      <c r="M76" s="227">
        <v>108.31</v>
      </c>
      <c r="N76" s="227">
        <v>90.096000000000004</v>
      </c>
      <c r="O76" s="227">
        <v>87.9</v>
      </c>
      <c r="P76" s="227">
        <v>96.513999999999996</v>
      </c>
      <c r="Q76" s="227">
        <v>86.126999999999995</v>
      </c>
      <c r="R76" s="227">
        <v>91.406999999999996</v>
      </c>
      <c r="S76" s="227">
        <v>26.406999999999996</v>
      </c>
      <c r="T76" s="227">
        <v>79.5</v>
      </c>
      <c r="U76" s="227">
        <v>79.5</v>
      </c>
      <c r="V76" s="227">
        <v>79.5</v>
      </c>
      <c r="W76" s="227">
        <v>79.5</v>
      </c>
      <c r="X76" s="227">
        <v>79.5</v>
      </c>
      <c r="Y76" s="227">
        <v>79.5</v>
      </c>
      <c r="Z76" s="227">
        <v>79.5</v>
      </c>
      <c r="AA76" s="227">
        <v>79.5</v>
      </c>
      <c r="AB76" s="227">
        <v>206.12</v>
      </c>
      <c r="AC76" s="227">
        <v>0</v>
      </c>
      <c r="AD76" s="230">
        <v>2.385648148148148E-3</v>
      </c>
      <c r="AE76" s="230">
        <v>1236.72</v>
      </c>
      <c r="AF76" s="230">
        <v>3816</v>
      </c>
      <c r="AG76" s="230">
        <v>124823.41784391919</v>
      </c>
      <c r="AH76" s="230">
        <v>223844.35620565029</v>
      </c>
      <c r="AI76" s="230">
        <v>0</v>
      </c>
    </row>
    <row r="77" spans="5:35" x14ac:dyDescent="0.35">
      <c r="E77" s="226"/>
      <c r="F77" s="227">
        <v>1.0231876712328767</v>
      </c>
      <c r="G77" s="227">
        <v>373.46350000000001</v>
      </c>
      <c r="H77" s="227">
        <v>0.68089999999999995</v>
      </c>
      <c r="I77" s="227">
        <v>0.25004999999999999</v>
      </c>
      <c r="J77" s="227">
        <v>0.14588231231935089</v>
      </c>
      <c r="K77" s="227">
        <v>110.89</v>
      </c>
      <c r="L77" s="227">
        <v>99.370999999999995</v>
      </c>
      <c r="M77" s="227">
        <v>107.74</v>
      </c>
      <c r="N77" s="227">
        <v>89.816999999999993</v>
      </c>
      <c r="O77" s="227">
        <v>87.664000000000001</v>
      </c>
      <c r="P77" s="227">
        <v>96.188000000000002</v>
      </c>
      <c r="Q77" s="227">
        <v>85.906999999999996</v>
      </c>
      <c r="R77" s="227">
        <v>91.123000000000005</v>
      </c>
      <c r="S77" s="227">
        <v>26.123000000000005</v>
      </c>
      <c r="T77" s="227">
        <v>79.5</v>
      </c>
      <c r="U77" s="227">
        <v>79.5</v>
      </c>
      <c r="V77" s="227">
        <v>79.5</v>
      </c>
      <c r="W77" s="227">
        <v>79.5</v>
      </c>
      <c r="X77" s="227">
        <v>79.5</v>
      </c>
      <c r="Y77" s="227">
        <v>79.5</v>
      </c>
      <c r="Z77" s="227">
        <v>79.5</v>
      </c>
      <c r="AA77" s="227">
        <v>79.5</v>
      </c>
      <c r="AB77" s="227">
        <v>203.15</v>
      </c>
      <c r="AC77" s="227">
        <v>0</v>
      </c>
      <c r="AD77" s="230">
        <v>2.3512731481481483E-3</v>
      </c>
      <c r="AE77" s="230">
        <v>1218.9000000000001</v>
      </c>
      <c r="AF77" s="230">
        <v>3816</v>
      </c>
      <c r="AG77" s="230">
        <v>126042.31784391918</v>
      </c>
      <c r="AH77" s="230">
        <v>227660.35620565029</v>
      </c>
      <c r="AI77" s="230">
        <v>0</v>
      </c>
    </row>
    <row r="78" spans="5:35" x14ac:dyDescent="0.35">
      <c r="E78" s="226"/>
      <c r="F78" s="227">
        <v>1.0396260273972604</v>
      </c>
      <c r="G78" s="227">
        <v>379.46350000000001</v>
      </c>
      <c r="H78" s="227">
        <v>0.68579999999999997</v>
      </c>
      <c r="I78" s="227">
        <v>0.25406000000000001</v>
      </c>
      <c r="J78" s="227">
        <v>0.14727147898601758</v>
      </c>
      <c r="K78" s="227">
        <v>110.28</v>
      </c>
      <c r="L78" s="227">
        <v>99.144000000000005</v>
      </c>
      <c r="M78" s="227">
        <v>107.16</v>
      </c>
      <c r="N78" s="227">
        <v>89.522999999999996</v>
      </c>
      <c r="O78" s="227">
        <v>87.423000000000002</v>
      </c>
      <c r="P78" s="227">
        <v>95.850999999999999</v>
      </c>
      <c r="Q78" s="227">
        <v>85.679000000000002</v>
      </c>
      <c r="R78" s="227">
        <v>90.835999999999999</v>
      </c>
      <c r="S78" s="227">
        <v>25.835999999999999</v>
      </c>
      <c r="T78" s="227">
        <v>79.5</v>
      </c>
      <c r="U78" s="227">
        <v>79.5</v>
      </c>
      <c r="V78" s="227">
        <v>79.5</v>
      </c>
      <c r="W78" s="227">
        <v>79.5</v>
      </c>
      <c r="X78" s="227">
        <v>79.5</v>
      </c>
      <c r="Y78" s="227">
        <v>79.5</v>
      </c>
      <c r="Z78" s="227">
        <v>79.5</v>
      </c>
      <c r="AA78" s="227">
        <v>79.5</v>
      </c>
      <c r="AB78" s="227">
        <v>200.04</v>
      </c>
      <c r="AC78" s="227">
        <v>0</v>
      </c>
      <c r="AD78" s="230">
        <v>2.3152777777777776E-3</v>
      </c>
      <c r="AE78" s="230">
        <v>1200.24</v>
      </c>
      <c r="AF78" s="230">
        <v>3816</v>
      </c>
      <c r="AG78" s="230">
        <v>127242.55784391919</v>
      </c>
      <c r="AH78" s="230">
        <v>231476.35620565029</v>
      </c>
      <c r="AI78" s="230">
        <v>0</v>
      </c>
    </row>
    <row r="79" spans="5:35" x14ac:dyDescent="0.35">
      <c r="E79" s="226"/>
      <c r="F79" s="227">
        <v>1.0560643835616439</v>
      </c>
      <c r="G79" s="227">
        <v>385.46350000000001</v>
      </c>
      <c r="H79" s="227">
        <v>0.69089999999999996</v>
      </c>
      <c r="I79" s="227">
        <v>0.25807999999999998</v>
      </c>
      <c r="J79" s="227">
        <v>0.14863800676379535</v>
      </c>
      <c r="K79" s="227">
        <v>109.68</v>
      </c>
      <c r="L79" s="227">
        <v>98.906999999999996</v>
      </c>
      <c r="M79" s="227">
        <v>106.59</v>
      </c>
      <c r="N79" s="227">
        <v>89.215999999999994</v>
      </c>
      <c r="O79" s="227">
        <v>87.176000000000002</v>
      </c>
      <c r="P79" s="227">
        <v>95.504000000000005</v>
      </c>
      <c r="Q79" s="227">
        <v>85.444000000000003</v>
      </c>
      <c r="R79" s="227">
        <v>90.545000000000002</v>
      </c>
      <c r="S79" s="227">
        <v>25.545000000000002</v>
      </c>
      <c r="T79" s="227">
        <v>79.5</v>
      </c>
      <c r="U79" s="227">
        <v>79.5</v>
      </c>
      <c r="V79" s="227">
        <v>79.5</v>
      </c>
      <c r="W79" s="227">
        <v>79.5</v>
      </c>
      <c r="X79" s="227">
        <v>79.5</v>
      </c>
      <c r="Y79" s="227">
        <v>79.5</v>
      </c>
      <c r="Z79" s="227">
        <v>79.5</v>
      </c>
      <c r="AA79" s="227">
        <v>79.5</v>
      </c>
      <c r="AB79" s="227">
        <v>196.78</v>
      </c>
      <c r="AC79" s="227">
        <v>0</v>
      </c>
      <c r="AD79" s="230">
        <v>2.2775462962962962E-3</v>
      </c>
      <c r="AE79" s="230">
        <v>1180.6799999999998</v>
      </c>
      <c r="AF79" s="230">
        <v>3816</v>
      </c>
      <c r="AG79" s="230">
        <v>128423.23784391918</v>
      </c>
      <c r="AH79" s="230">
        <v>235292.35620565029</v>
      </c>
      <c r="AI79" s="230">
        <v>0</v>
      </c>
    </row>
    <row r="80" spans="5:35" x14ac:dyDescent="0.35">
      <c r="E80" s="226"/>
      <c r="F80" s="227">
        <v>1.0725027397260274</v>
      </c>
      <c r="G80" s="227">
        <v>391.46350000000001</v>
      </c>
      <c r="H80" s="227">
        <v>0.69620000000000004</v>
      </c>
      <c r="I80" s="227">
        <v>0.2621</v>
      </c>
      <c r="J80" s="227">
        <v>0.14998099287490646</v>
      </c>
      <c r="K80" s="227">
        <v>109.09</v>
      </c>
      <c r="L80" s="227">
        <v>98.659000000000006</v>
      </c>
      <c r="M80" s="227">
        <v>106.02</v>
      </c>
      <c r="N80" s="227">
        <v>88.900999999999996</v>
      </c>
      <c r="O80" s="227">
        <v>86.924000000000007</v>
      </c>
      <c r="P80" s="227">
        <v>95.15</v>
      </c>
      <c r="Q80" s="227">
        <v>85.204999999999998</v>
      </c>
      <c r="R80" s="227">
        <v>90.251000000000005</v>
      </c>
      <c r="S80" s="227">
        <v>25.251000000000005</v>
      </c>
      <c r="T80" s="227">
        <v>79.5</v>
      </c>
      <c r="U80" s="227">
        <v>79.5</v>
      </c>
      <c r="V80" s="227">
        <v>79.5</v>
      </c>
      <c r="W80" s="227">
        <v>79.5</v>
      </c>
      <c r="X80" s="227">
        <v>79.5</v>
      </c>
      <c r="Y80" s="227">
        <v>79.5</v>
      </c>
      <c r="Z80" s="227">
        <v>79.5</v>
      </c>
      <c r="AA80" s="227">
        <v>79.5</v>
      </c>
      <c r="AB80" s="227">
        <v>193.39</v>
      </c>
      <c r="AC80" s="227">
        <v>0</v>
      </c>
      <c r="AD80" s="230">
        <v>2.2383101851851852E-3</v>
      </c>
      <c r="AE80" s="230">
        <v>1160.3399999999999</v>
      </c>
      <c r="AF80" s="230">
        <v>3816</v>
      </c>
      <c r="AG80" s="230">
        <v>129583.57784391918</v>
      </c>
      <c r="AH80" s="230">
        <v>239108.35620565029</v>
      </c>
      <c r="AI80" s="230">
        <v>0</v>
      </c>
    </row>
    <row r="81" spans="5:35" x14ac:dyDescent="0.35">
      <c r="E81" s="226"/>
      <c r="F81" s="227">
        <v>1.0889410958904109</v>
      </c>
      <c r="G81" s="227">
        <v>397.46350000000001</v>
      </c>
      <c r="H81" s="227">
        <v>0.70169999999999999</v>
      </c>
      <c r="I81" s="227">
        <v>0.26612000000000002</v>
      </c>
      <c r="J81" s="227">
        <v>0.15129988176379536</v>
      </c>
      <c r="K81" s="227">
        <v>108.5</v>
      </c>
      <c r="L81" s="227">
        <v>98.402000000000001</v>
      </c>
      <c r="M81" s="227">
        <v>105.45</v>
      </c>
      <c r="N81" s="227">
        <v>88.578000000000003</v>
      </c>
      <c r="O81" s="227">
        <v>86.668999999999997</v>
      </c>
      <c r="P81" s="227">
        <v>94.79</v>
      </c>
      <c r="Q81" s="227">
        <v>84.962000000000003</v>
      </c>
      <c r="R81" s="227">
        <v>89.956999999999994</v>
      </c>
      <c r="S81" s="227">
        <v>24.956999999999994</v>
      </c>
      <c r="T81" s="227">
        <v>79.5</v>
      </c>
      <c r="U81" s="227">
        <v>79.5</v>
      </c>
      <c r="V81" s="227">
        <v>79.5</v>
      </c>
      <c r="W81" s="227">
        <v>79.5</v>
      </c>
      <c r="X81" s="227">
        <v>79.5</v>
      </c>
      <c r="Y81" s="227">
        <v>79.5</v>
      </c>
      <c r="Z81" s="227">
        <v>79.5</v>
      </c>
      <c r="AA81" s="227">
        <v>79.5</v>
      </c>
      <c r="AB81" s="227">
        <v>189.92</v>
      </c>
      <c r="AC81" s="227">
        <v>0</v>
      </c>
      <c r="AD81" s="230">
        <v>2.1981481481481479E-3</v>
      </c>
      <c r="AE81" s="230">
        <v>1139.5199999999998</v>
      </c>
      <c r="AF81" s="230">
        <v>3816</v>
      </c>
      <c r="AG81" s="230">
        <v>130723.09784391918</v>
      </c>
      <c r="AH81" s="230">
        <v>242924.35620565029</v>
      </c>
      <c r="AI81" s="230">
        <v>0</v>
      </c>
    </row>
    <row r="82" spans="5:35" x14ac:dyDescent="0.35">
      <c r="E82" s="226"/>
      <c r="F82" s="227">
        <v>1.1053794520547946</v>
      </c>
      <c r="G82" s="227">
        <v>403.46350000000001</v>
      </c>
      <c r="H82" s="227">
        <v>0.70709999999999995</v>
      </c>
      <c r="I82" s="227">
        <v>0.27012999999999998</v>
      </c>
      <c r="J82" s="227">
        <v>0.1525946039860176</v>
      </c>
      <c r="K82" s="227">
        <v>107.92</v>
      </c>
      <c r="L82" s="227">
        <v>98.141000000000005</v>
      </c>
      <c r="M82" s="227">
        <v>104.89</v>
      </c>
      <c r="N82" s="227">
        <v>88.254000000000005</v>
      </c>
      <c r="O82" s="227">
        <v>86.415000000000006</v>
      </c>
      <c r="P82" s="227">
        <v>94.43</v>
      </c>
      <c r="Q82" s="227">
        <v>84.72</v>
      </c>
      <c r="R82" s="227">
        <v>89.664000000000001</v>
      </c>
      <c r="S82" s="227">
        <v>24.664000000000001</v>
      </c>
      <c r="T82" s="227">
        <v>79.5</v>
      </c>
      <c r="U82" s="227">
        <v>79.5</v>
      </c>
      <c r="V82" s="227">
        <v>79.5</v>
      </c>
      <c r="W82" s="227">
        <v>79.5</v>
      </c>
      <c r="X82" s="227">
        <v>79.5</v>
      </c>
      <c r="Y82" s="227">
        <v>79.5</v>
      </c>
      <c r="Z82" s="227">
        <v>79.5</v>
      </c>
      <c r="AA82" s="227">
        <v>79.5</v>
      </c>
      <c r="AB82" s="227">
        <v>186.44</v>
      </c>
      <c r="AC82" s="227">
        <v>0</v>
      </c>
      <c r="AD82" s="230">
        <v>2.1578703703703703E-3</v>
      </c>
      <c r="AE82" s="230">
        <v>1118.6399999999999</v>
      </c>
      <c r="AF82" s="230">
        <v>3816</v>
      </c>
      <c r="AG82" s="230">
        <v>131841.7378439192</v>
      </c>
      <c r="AH82" s="230">
        <v>246740.35620565029</v>
      </c>
      <c r="AI82" s="230">
        <v>0</v>
      </c>
    </row>
    <row r="83" spans="5:35" x14ac:dyDescent="0.35">
      <c r="E83" s="226"/>
      <c r="F83" s="227">
        <v>1.1218178082191781</v>
      </c>
      <c r="G83" s="227">
        <v>409.46350000000001</v>
      </c>
      <c r="H83" s="227">
        <v>0.71250000000000002</v>
      </c>
      <c r="I83" s="227">
        <v>0.27415</v>
      </c>
      <c r="J83" s="227">
        <v>0.15386564565268424</v>
      </c>
      <c r="K83" s="227">
        <v>107.36</v>
      </c>
      <c r="L83" s="227">
        <v>97.876999999999995</v>
      </c>
      <c r="M83" s="227">
        <v>104.35</v>
      </c>
      <c r="N83" s="227">
        <v>87.933000000000007</v>
      </c>
      <c r="O83" s="227">
        <v>86.162999999999997</v>
      </c>
      <c r="P83" s="227">
        <v>94.073999999999998</v>
      </c>
      <c r="Q83" s="227">
        <v>84.480999999999995</v>
      </c>
      <c r="R83" s="227">
        <v>89.376000000000005</v>
      </c>
      <c r="S83" s="227">
        <v>24.376000000000005</v>
      </c>
      <c r="T83" s="227">
        <v>79.5</v>
      </c>
      <c r="U83" s="227">
        <v>79.5</v>
      </c>
      <c r="V83" s="227">
        <v>79.5</v>
      </c>
      <c r="W83" s="227">
        <v>79.5</v>
      </c>
      <c r="X83" s="227">
        <v>79.5</v>
      </c>
      <c r="Y83" s="227">
        <v>79.5</v>
      </c>
      <c r="Z83" s="227">
        <v>79.5</v>
      </c>
      <c r="AA83" s="227">
        <v>79.5</v>
      </c>
      <c r="AB83" s="227">
        <v>183.03</v>
      </c>
      <c r="AC83" s="227">
        <v>0</v>
      </c>
      <c r="AD83" s="230">
        <v>2.1184027777777776E-3</v>
      </c>
      <c r="AE83" s="230">
        <v>1098.1799999999998</v>
      </c>
      <c r="AF83" s="230">
        <v>3816</v>
      </c>
      <c r="AG83" s="230">
        <v>132939.91784391919</v>
      </c>
      <c r="AH83" s="230">
        <v>250556.35620565029</v>
      </c>
      <c r="AI83" s="230">
        <v>0</v>
      </c>
    </row>
    <row r="84" spans="5:35" x14ac:dyDescent="0.35">
      <c r="E84" s="226"/>
      <c r="F84" s="227">
        <v>1.1382561643835616</v>
      </c>
      <c r="G84" s="227">
        <v>415.46350000000001</v>
      </c>
      <c r="H84" s="227">
        <v>0.7177</v>
      </c>
      <c r="I84" s="227">
        <v>0.27816999999999997</v>
      </c>
      <c r="J84" s="227">
        <v>0.15511363176379536</v>
      </c>
      <c r="K84" s="227">
        <v>106.8</v>
      </c>
      <c r="L84" s="227">
        <v>97.614000000000004</v>
      </c>
      <c r="M84" s="227">
        <v>103.82</v>
      </c>
      <c r="N84" s="227">
        <v>87.616</v>
      </c>
      <c r="O84" s="227">
        <v>85.917000000000002</v>
      </c>
      <c r="P84" s="227">
        <v>93.722999999999999</v>
      </c>
      <c r="Q84" s="227">
        <v>84.245999999999995</v>
      </c>
      <c r="R84" s="227">
        <v>89.094999999999999</v>
      </c>
      <c r="S84" s="227">
        <v>24.094999999999999</v>
      </c>
      <c r="T84" s="227">
        <v>79.5</v>
      </c>
      <c r="U84" s="227">
        <v>79.5</v>
      </c>
      <c r="V84" s="227">
        <v>79.5</v>
      </c>
      <c r="W84" s="227">
        <v>79.5</v>
      </c>
      <c r="X84" s="227">
        <v>79.5</v>
      </c>
      <c r="Y84" s="227">
        <v>79.5</v>
      </c>
      <c r="Z84" s="227">
        <v>79.5</v>
      </c>
      <c r="AA84" s="227">
        <v>79.5</v>
      </c>
      <c r="AB84" s="227">
        <v>179.71</v>
      </c>
      <c r="AC84" s="227">
        <v>0</v>
      </c>
      <c r="AD84" s="230">
        <v>2.079976851851852E-3</v>
      </c>
      <c r="AE84" s="230">
        <v>1078.26</v>
      </c>
      <c r="AF84" s="230">
        <v>3816</v>
      </c>
      <c r="AG84" s="230">
        <v>134018.1778439192</v>
      </c>
      <c r="AH84" s="230">
        <v>254372.35620565029</v>
      </c>
      <c r="AI84" s="230">
        <v>0</v>
      </c>
    </row>
    <row r="85" spans="5:35" x14ac:dyDescent="0.35">
      <c r="E85" s="226"/>
      <c r="F85" s="227">
        <v>1.1546945205479453</v>
      </c>
      <c r="G85" s="227">
        <v>421.46350000000001</v>
      </c>
      <c r="H85" s="227">
        <v>0.7228</v>
      </c>
      <c r="I85" s="227">
        <v>0.28219</v>
      </c>
      <c r="J85" s="227">
        <v>0.15633911787490648</v>
      </c>
      <c r="K85" s="227">
        <v>106.26</v>
      </c>
      <c r="L85" s="227">
        <v>97.350999999999999</v>
      </c>
      <c r="M85" s="227">
        <v>103.3</v>
      </c>
      <c r="N85" s="227">
        <v>87.302999999999997</v>
      </c>
      <c r="O85" s="227">
        <v>85.67</v>
      </c>
      <c r="P85" s="227">
        <v>93.379000000000005</v>
      </c>
      <c r="Q85" s="227">
        <v>84.015000000000001</v>
      </c>
      <c r="R85" s="227">
        <v>88.813999999999993</v>
      </c>
      <c r="S85" s="227">
        <v>23.813999999999993</v>
      </c>
      <c r="T85" s="227">
        <v>79.5</v>
      </c>
      <c r="U85" s="227">
        <v>79.5</v>
      </c>
      <c r="V85" s="227">
        <v>79.5</v>
      </c>
      <c r="W85" s="227">
        <v>79.5</v>
      </c>
      <c r="X85" s="227">
        <v>79.5</v>
      </c>
      <c r="Y85" s="227">
        <v>79.5</v>
      </c>
      <c r="Z85" s="227">
        <v>79.5</v>
      </c>
      <c r="AA85" s="227">
        <v>79.5</v>
      </c>
      <c r="AB85" s="227">
        <v>176.47</v>
      </c>
      <c r="AC85" s="227">
        <v>0</v>
      </c>
      <c r="AD85" s="230">
        <v>2.0424768518518517E-3</v>
      </c>
      <c r="AE85" s="230">
        <v>1058.82</v>
      </c>
      <c r="AF85" s="230">
        <v>3816</v>
      </c>
      <c r="AG85" s="230">
        <v>135076.99784391921</v>
      </c>
      <c r="AH85" s="230">
        <v>258188.35620565029</v>
      </c>
      <c r="AI85" s="230">
        <v>0</v>
      </c>
    </row>
    <row r="86" spans="5:35" x14ac:dyDescent="0.35">
      <c r="E86" s="226"/>
      <c r="F86" s="227">
        <v>1.1711328767123288</v>
      </c>
      <c r="G86" s="227">
        <v>427.46350000000001</v>
      </c>
      <c r="H86" s="227">
        <v>0.72770000000000001</v>
      </c>
      <c r="I86" s="227">
        <v>0.28620000000000001</v>
      </c>
      <c r="J86" s="227">
        <v>0.15754279843046207</v>
      </c>
      <c r="K86" s="227">
        <v>105.74</v>
      </c>
      <c r="L86" s="227">
        <v>97.09</v>
      </c>
      <c r="M86" s="227">
        <v>102.8</v>
      </c>
      <c r="N86" s="227">
        <v>86.995999999999995</v>
      </c>
      <c r="O86" s="227">
        <v>85.430999999999997</v>
      </c>
      <c r="P86" s="227">
        <v>93.040999999999997</v>
      </c>
      <c r="Q86" s="227">
        <v>83.79</v>
      </c>
      <c r="R86" s="227">
        <v>88.540999999999997</v>
      </c>
      <c r="S86" s="227">
        <v>23.540999999999997</v>
      </c>
      <c r="T86" s="227">
        <v>79.5</v>
      </c>
      <c r="U86" s="227">
        <v>79.5</v>
      </c>
      <c r="V86" s="227">
        <v>79.5</v>
      </c>
      <c r="W86" s="227">
        <v>79.5</v>
      </c>
      <c r="X86" s="227">
        <v>79.5</v>
      </c>
      <c r="Y86" s="227">
        <v>79.5</v>
      </c>
      <c r="Z86" s="227">
        <v>79.5</v>
      </c>
      <c r="AA86" s="227">
        <v>79.5</v>
      </c>
      <c r="AB86" s="227">
        <v>173.33</v>
      </c>
      <c r="AC86" s="227">
        <v>0</v>
      </c>
      <c r="AD86" s="230">
        <v>2.0061342592592596E-3</v>
      </c>
      <c r="AE86" s="230">
        <v>1039.9800000000002</v>
      </c>
      <c r="AF86" s="230">
        <v>3816</v>
      </c>
      <c r="AG86" s="230">
        <v>136116.97784391922</v>
      </c>
      <c r="AH86" s="230">
        <v>262004.35620565029</v>
      </c>
      <c r="AI86" s="230">
        <v>0</v>
      </c>
    </row>
    <row r="87" spans="5:35" x14ac:dyDescent="0.35">
      <c r="E87" s="226"/>
      <c r="F87" s="227">
        <v>1.1875712328767123</v>
      </c>
      <c r="G87" s="227">
        <v>433.46350000000001</v>
      </c>
      <c r="H87" s="227">
        <v>0.73250000000000004</v>
      </c>
      <c r="I87" s="227">
        <v>0.29021999999999998</v>
      </c>
      <c r="J87" s="227">
        <v>0.15872509009712873</v>
      </c>
      <c r="K87" s="227">
        <v>105.22</v>
      </c>
      <c r="L87" s="227">
        <v>96.831999999999994</v>
      </c>
      <c r="M87" s="227">
        <v>102.32</v>
      </c>
      <c r="N87" s="227">
        <v>86.694000000000003</v>
      </c>
      <c r="O87" s="227">
        <v>85.194999999999993</v>
      </c>
      <c r="P87" s="227">
        <v>92.71</v>
      </c>
      <c r="Q87" s="227">
        <v>83.567999999999998</v>
      </c>
      <c r="R87" s="227">
        <v>88.272999999999996</v>
      </c>
      <c r="S87" s="227">
        <v>23.272999999999996</v>
      </c>
      <c r="T87" s="227">
        <v>79.5</v>
      </c>
      <c r="U87" s="227">
        <v>79.5</v>
      </c>
      <c r="V87" s="227">
        <v>79.5</v>
      </c>
      <c r="W87" s="227">
        <v>79.5</v>
      </c>
      <c r="X87" s="227">
        <v>79.5</v>
      </c>
      <c r="Y87" s="227">
        <v>79.5</v>
      </c>
      <c r="Z87" s="227">
        <v>79.5</v>
      </c>
      <c r="AA87" s="227">
        <v>79.5</v>
      </c>
      <c r="AB87" s="227">
        <v>170.25</v>
      </c>
      <c r="AC87" s="227">
        <v>0</v>
      </c>
      <c r="AD87" s="230">
        <v>1.9704861111111112E-3</v>
      </c>
      <c r="AE87" s="230">
        <v>1021.5000000000001</v>
      </c>
      <c r="AF87" s="230">
        <v>3816</v>
      </c>
      <c r="AG87" s="230">
        <v>137138.47784391922</v>
      </c>
      <c r="AH87" s="230">
        <v>265820.35620565026</v>
      </c>
      <c r="AI87" s="230">
        <v>0</v>
      </c>
    </row>
    <row r="88" spans="5:35" x14ac:dyDescent="0.35">
      <c r="E88" s="226"/>
      <c r="F88" s="227">
        <v>1.204009589041096</v>
      </c>
      <c r="G88" s="227">
        <v>439.46350000000001</v>
      </c>
      <c r="H88" s="227">
        <v>0.73719999999999997</v>
      </c>
      <c r="I88" s="227">
        <v>0.29424</v>
      </c>
      <c r="J88" s="227">
        <v>0.15988668731935093</v>
      </c>
      <c r="K88" s="227">
        <v>104.72</v>
      </c>
      <c r="L88" s="227">
        <v>96.573999999999998</v>
      </c>
      <c r="M88" s="227">
        <v>101.84</v>
      </c>
      <c r="N88" s="227">
        <v>86.399000000000001</v>
      </c>
      <c r="O88" s="227">
        <v>84.968000000000004</v>
      </c>
      <c r="P88" s="227">
        <v>92.385999999999996</v>
      </c>
      <c r="Q88" s="227">
        <v>83.352999999999994</v>
      </c>
      <c r="R88" s="227">
        <v>88.013999999999996</v>
      </c>
      <c r="S88" s="227">
        <v>23.013999999999996</v>
      </c>
      <c r="T88" s="227">
        <v>79.5</v>
      </c>
      <c r="U88" s="227">
        <v>79.5</v>
      </c>
      <c r="V88" s="227">
        <v>79.5</v>
      </c>
      <c r="W88" s="227">
        <v>79.5</v>
      </c>
      <c r="X88" s="227">
        <v>79.5</v>
      </c>
      <c r="Y88" s="227">
        <v>79.5</v>
      </c>
      <c r="Z88" s="227">
        <v>79.5</v>
      </c>
      <c r="AA88" s="227">
        <v>79.5</v>
      </c>
      <c r="AB88" s="227">
        <v>167.27</v>
      </c>
      <c r="AC88" s="227">
        <v>0</v>
      </c>
      <c r="AD88" s="230">
        <v>1.9359953703703705E-3</v>
      </c>
      <c r="AE88" s="230">
        <v>1003.62</v>
      </c>
      <c r="AF88" s="230">
        <v>3816</v>
      </c>
      <c r="AG88" s="230">
        <v>138142.09784391921</v>
      </c>
      <c r="AH88" s="230">
        <v>269636.35620565026</v>
      </c>
      <c r="AI88" s="230">
        <v>0</v>
      </c>
    </row>
    <row r="89" spans="5:35" x14ac:dyDescent="0.35">
      <c r="E89" s="226"/>
      <c r="F89" s="227">
        <v>1.2204479452054795</v>
      </c>
      <c r="G89" s="227">
        <v>445.46350000000001</v>
      </c>
      <c r="H89" s="227">
        <v>0.74180000000000001</v>
      </c>
      <c r="I89" s="227">
        <v>0.29825000000000002</v>
      </c>
      <c r="J89" s="227">
        <v>0.16102800676379539</v>
      </c>
      <c r="K89" s="227">
        <v>104.23</v>
      </c>
      <c r="L89" s="227">
        <v>96.316999999999993</v>
      </c>
      <c r="M89" s="227">
        <v>101.38</v>
      </c>
      <c r="N89" s="227">
        <v>86.106999999999999</v>
      </c>
      <c r="O89" s="227">
        <v>84.742000000000004</v>
      </c>
      <c r="P89" s="227">
        <v>92.064999999999998</v>
      </c>
      <c r="Q89" s="227">
        <v>83.141000000000005</v>
      </c>
      <c r="R89" s="227">
        <v>87.759</v>
      </c>
      <c r="S89" s="227">
        <v>22.759</v>
      </c>
      <c r="T89" s="227">
        <v>79.5</v>
      </c>
      <c r="U89" s="227">
        <v>79.5</v>
      </c>
      <c r="V89" s="227">
        <v>79.5</v>
      </c>
      <c r="W89" s="227">
        <v>79.5</v>
      </c>
      <c r="X89" s="227">
        <v>79.5</v>
      </c>
      <c r="Y89" s="227">
        <v>79.5</v>
      </c>
      <c r="Z89" s="227">
        <v>79.5</v>
      </c>
      <c r="AA89" s="227">
        <v>79.5</v>
      </c>
      <c r="AB89" s="227">
        <v>164.35</v>
      </c>
      <c r="AC89" s="227">
        <v>0</v>
      </c>
      <c r="AD89" s="230">
        <v>1.9021990740740739E-3</v>
      </c>
      <c r="AE89" s="230">
        <v>986.1</v>
      </c>
      <c r="AF89" s="230">
        <v>3816</v>
      </c>
      <c r="AG89" s="230">
        <v>139128.19784391922</v>
      </c>
      <c r="AH89" s="230">
        <v>273452.35620565026</v>
      </c>
      <c r="AI89" s="230">
        <v>0</v>
      </c>
    </row>
    <row r="90" spans="5:35" x14ac:dyDescent="0.35">
      <c r="E90" s="226"/>
      <c r="F90" s="227">
        <v>1.236886301369863</v>
      </c>
      <c r="G90" s="227">
        <v>451.46350000000001</v>
      </c>
      <c r="H90" s="227">
        <v>0.74629999999999996</v>
      </c>
      <c r="I90" s="227">
        <v>0.30226999999999998</v>
      </c>
      <c r="J90" s="227">
        <v>0.1621496039860176</v>
      </c>
      <c r="K90" s="227">
        <v>103.76</v>
      </c>
      <c r="L90" s="227">
        <v>96.063000000000002</v>
      </c>
      <c r="M90" s="227">
        <v>100.93</v>
      </c>
      <c r="N90" s="227">
        <v>85.825000000000003</v>
      </c>
      <c r="O90" s="227">
        <v>84.522000000000006</v>
      </c>
      <c r="P90" s="227">
        <v>91.754000000000005</v>
      </c>
      <c r="Q90" s="227">
        <v>82.933999999999997</v>
      </c>
      <c r="R90" s="227">
        <v>87.509</v>
      </c>
      <c r="S90" s="227">
        <v>22.509</v>
      </c>
      <c r="T90" s="227">
        <v>79.5</v>
      </c>
      <c r="U90" s="227">
        <v>79.5</v>
      </c>
      <c r="V90" s="227">
        <v>79.5</v>
      </c>
      <c r="W90" s="227">
        <v>79.5</v>
      </c>
      <c r="X90" s="227">
        <v>79.5</v>
      </c>
      <c r="Y90" s="227">
        <v>79.5</v>
      </c>
      <c r="Z90" s="227">
        <v>79.5</v>
      </c>
      <c r="AA90" s="227">
        <v>79.5</v>
      </c>
      <c r="AB90" s="227">
        <v>161.51</v>
      </c>
      <c r="AC90" s="227">
        <v>0</v>
      </c>
      <c r="AD90" s="230">
        <v>1.8693287037037036E-3</v>
      </c>
      <c r="AE90" s="230">
        <v>969.05999999999983</v>
      </c>
      <c r="AF90" s="230">
        <v>3816</v>
      </c>
      <c r="AG90" s="230">
        <v>140097.25784391921</v>
      </c>
      <c r="AH90" s="230">
        <v>277268.35620565026</v>
      </c>
      <c r="AI90" s="230">
        <v>0</v>
      </c>
    </row>
    <row r="91" spans="5:35" x14ac:dyDescent="0.35">
      <c r="E91" s="226"/>
      <c r="F91" s="227">
        <v>1.2533246575342467</v>
      </c>
      <c r="G91" s="227">
        <v>457.46350000000001</v>
      </c>
      <c r="H91" s="227">
        <v>0.75060000000000004</v>
      </c>
      <c r="I91" s="227">
        <v>0.30629000000000001</v>
      </c>
      <c r="J91" s="227">
        <v>0.16325203454157317</v>
      </c>
      <c r="K91" s="227">
        <v>103.3</v>
      </c>
      <c r="L91" s="227">
        <v>95.81</v>
      </c>
      <c r="M91" s="227">
        <v>100.5</v>
      </c>
      <c r="N91" s="227">
        <v>85.549000000000007</v>
      </c>
      <c r="O91" s="227">
        <v>84.305999999999997</v>
      </c>
      <c r="P91" s="227">
        <v>91.447999999999993</v>
      </c>
      <c r="Q91" s="227">
        <v>82.730999999999995</v>
      </c>
      <c r="R91" s="227">
        <v>87.263999999999996</v>
      </c>
      <c r="S91" s="227">
        <v>22.263999999999996</v>
      </c>
      <c r="T91" s="227">
        <v>79.5</v>
      </c>
      <c r="U91" s="227">
        <v>79.5</v>
      </c>
      <c r="V91" s="227">
        <v>79.5</v>
      </c>
      <c r="W91" s="227">
        <v>79.5</v>
      </c>
      <c r="X91" s="227">
        <v>79.5</v>
      </c>
      <c r="Y91" s="227">
        <v>79.5</v>
      </c>
      <c r="Z91" s="227">
        <v>79.5</v>
      </c>
      <c r="AA91" s="227">
        <v>79.5</v>
      </c>
      <c r="AB91" s="227">
        <v>158.75</v>
      </c>
      <c r="AC91" s="227">
        <v>0</v>
      </c>
      <c r="AD91" s="230">
        <v>1.8373842592592593E-3</v>
      </c>
      <c r="AE91" s="230">
        <v>952.50000000000011</v>
      </c>
      <c r="AF91" s="230">
        <v>3816</v>
      </c>
      <c r="AG91" s="230">
        <v>141049.75784391921</v>
      </c>
      <c r="AH91" s="230">
        <v>281084.35620565026</v>
      </c>
      <c r="AI91" s="230">
        <v>0</v>
      </c>
    </row>
    <row r="92" spans="5:35" x14ac:dyDescent="0.35">
      <c r="E92" s="226"/>
      <c r="F92" s="227">
        <v>1.2697630136986302</v>
      </c>
      <c r="G92" s="227">
        <v>463.46350000000001</v>
      </c>
      <c r="H92" s="227">
        <v>0.75480000000000003</v>
      </c>
      <c r="I92" s="227">
        <v>0.31030999999999997</v>
      </c>
      <c r="J92" s="227">
        <v>0.16433585398601763</v>
      </c>
      <c r="K92" s="227">
        <v>102.85</v>
      </c>
      <c r="L92" s="227">
        <v>95.557000000000002</v>
      </c>
      <c r="M92" s="227">
        <v>100.07</v>
      </c>
      <c r="N92" s="227">
        <v>85.28</v>
      </c>
      <c r="O92" s="227">
        <v>84.094999999999999</v>
      </c>
      <c r="P92" s="227">
        <v>91.15</v>
      </c>
      <c r="Q92" s="227">
        <v>82.533000000000001</v>
      </c>
      <c r="R92" s="227">
        <v>87.024000000000001</v>
      </c>
      <c r="S92" s="227">
        <v>22.024000000000001</v>
      </c>
      <c r="T92" s="227">
        <v>79.5</v>
      </c>
      <c r="U92" s="227">
        <v>79.5</v>
      </c>
      <c r="V92" s="227">
        <v>79.5</v>
      </c>
      <c r="W92" s="227">
        <v>79.5</v>
      </c>
      <c r="X92" s="227">
        <v>79.5</v>
      </c>
      <c r="Y92" s="227">
        <v>79.5</v>
      </c>
      <c r="Z92" s="227">
        <v>79.5</v>
      </c>
      <c r="AA92" s="227">
        <v>79.5</v>
      </c>
      <c r="AB92" s="227">
        <v>156.07</v>
      </c>
      <c r="AC92" s="227">
        <v>0</v>
      </c>
      <c r="AD92" s="230">
        <v>1.8063657407407408E-3</v>
      </c>
      <c r="AE92" s="230">
        <v>936.42000000000007</v>
      </c>
      <c r="AF92" s="230">
        <v>3816</v>
      </c>
      <c r="AG92" s="230">
        <v>141986.17784391923</v>
      </c>
      <c r="AH92" s="230">
        <v>284900.35620565026</v>
      </c>
      <c r="AI92" s="230">
        <v>0</v>
      </c>
    </row>
    <row r="93" spans="5:35" x14ac:dyDescent="0.35">
      <c r="E93" s="226"/>
      <c r="F93" s="227">
        <v>1.2862013698630137</v>
      </c>
      <c r="G93" s="227">
        <v>469.46350000000001</v>
      </c>
      <c r="H93" s="227">
        <v>0.75890000000000002</v>
      </c>
      <c r="I93" s="227">
        <v>0.31431999999999999</v>
      </c>
      <c r="J93" s="227">
        <v>0.16540161787490651</v>
      </c>
      <c r="K93" s="227">
        <v>102.41</v>
      </c>
      <c r="L93" s="227">
        <v>95.308999999999997</v>
      </c>
      <c r="M93" s="227">
        <v>99.667000000000002</v>
      </c>
      <c r="N93" s="227">
        <v>85.019000000000005</v>
      </c>
      <c r="O93" s="227">
        <v>83.888000000000005</v>
      </c>
      <c r="P93" s="227">
        <v>90.861999999999995</v>
      </c>
      <c r="Q93" s="227">
        <v>82.340999999999994</v>
      </c>
      <c r="R93" s="227">
        <v>86.79</v>
      </c>
      <c r="S93" s="227">
        <v>21.790000000000006</v>
      </c>
      <c r="T93" s="227">
        <v>79.5</v>
      </c>
      <c r="U93" s="227">
        <v>79.5</v>
      </c>
      <c r="V93" s="227">
        <v>79.5</v>
      </c>
      <c r="W93" s="227">
        <v>79.5</v>
      </c>
      <c r="X93" s="227">
        <v>79.5</v>
      </c>
      <c r="Y93" s="227">
        <v>79.5</v>
      </c>
      <c r="Z93" s="227">
        <v>79.5</v>
      </c>
      <c r="AA93" s="227">
        <v>79.5</v>
      </c>
      <c r="AB93" s="227">
        <v>153.47</v>
      </c>
      <c r="AC93" s="227">
        <v>0</v>
      </c>
      <c r="AD93" s="230">
        <v>1.7762731481481481E-3</v>
      </c>
      <c r="AE93" s="230">
        <v>920.81999999999994</v>
      </c>
      <c r="AF93" s="230">
        <v>3816</v>
      </c>
      <c r="AG93" s="230">
        <v>142906.99784391923</v>
      </c>
      <c r="AH93" s="230">
        <v>288716.35620565026</v>
      </c>
      <c r="AI93" s="230">
        <v>0</v>
      </c>
    </row>
    <row r="94" spans="5:35" x14ac:dyDescent="0.35">
      <c r="E94" s="226"/>
      <c r="F94" s="227">
        <v>1.3026397260273972</v>
      </c>
      <c r="G94" s="227">
        <v>475.46350000000001</v>
      </c>
      <c r="H94" s="227">
        <v>0.76280000000000003</v>
      </c>
      <c r="I94" s="227">
        <v>0.31834000000000001</v>
      </c>
      <c r="J94" s="227">
        <v>0.16644974287490652</v>
      </c>
      <c r="K94" s="227">
        <v>101.99</v>
      </c>
      <c r="L94" s="227">
        <v>95.058000000000007</v>
      </c>
      <c r="M94" s="227">
        <v>99.268000000000001</v>
      </c>
      <c r="N94" s="227">
        <v>84.762</v>
      </c>
      <c r="O94" s="227">
        <v>83.683000000000007</v>
      </c>
      <c r="P94" s="227">
        <v>90.578000000000003</v>
      </c>
      <c r="Q94" s="227">
        <v>82.150999999999996</v>
      </c>
      <c r="R94" s="227">
        <v>86.558999999999997</v>
      </c>
      <c r="S94" s="227">
        <v>21.558999999999997</v>
      </c>
      <c r="T94" s="227">
        <v>79.5</v>
      </c>
      <c r="U94" s="227">
        <v>79.5</v>
      </c>
      <c r="V94" s="227">
        <v>79.5</v>
      </c>
      <c r="W94" s="227">
        <v>79.5</v>
      </c>
      <c r="X94" s="227">
        <v>79.5</v>
      </c>
      <c r="Y94" s="227">
        <v>79.5</v>
      </c>
      <c r="Z94" s="227">
        <v>79.5</v>
      </c>
      <c r="AA94" s="227">
        <v>79.5</v>
      </c>
      <c r="AB94" s="227">
        <v>150.93</v>
      </c>
      <c r="AC94" s="227">
        <v>0</v>
      </c>
      <c r="AD94" s="230">
        <v>1.7468750000000002E-3</v>
      </c>
      <c r="AE94" s="230">
        <v>905.58</v>
      </c>
      <c r="AF94" s="230">
        <v>3816</v>
      </c>
      <c r="AG94" s="230">
        <v>143812.57784391922</v>
      </c>
      <c r="AH94" s="230">
        <v>292532.35620565026</v>
      </c>
      <c r="AI94" s="230">
        <v>0</v>
      </c>
    </row>
    <row r="95" spans="5:35" x14ac:dyDescent="0.35">
      <c r="E95" s="226"/>
      <c r="F95" s="227">
        <v>1.3190780821917809</v>
      </c>
      <c r="G95" s="227">
        <v>481.46350000000001</v>
      </c>
      <c r="H95" s="227">
        <v>0.76670000000000005</v>
      </c>
      <c r="I95" s="227">
        <v>0.32235999999999998</v>
      </c>
      <c r="J95" s="227">
        <v>0.1674809928749065</v>
      </c>
      <c r="K95" s="227">
        <v>101.58</v>
      </c>
      <c r="L95" s="227">
        <v>94.814999999999998</v>
      </c>
      <c r="M95" s="227">
        <v>98.89</v>
      </c>
      <c r="N95" s="227">
        <v>84.516999999999996</v>
      </c>
      <c r="O95" s="227">
        <v>83.486999999999995</v>
      </c>
      <c r="P95" s="227">
        <v>90.307000000000002</v>
      </c>
      <c r="Q95" s="227">
        <v>81.97</v>
      </c>
      <c r="R95" s="227">
        <v>86.337000000000003</v>
      </c>
      <c r="S95" s="227">
        <v>21.337000000000003</v>
      </c>
      <c r="T95" s="227">
        <v>79.5</v>
      </c>
      <c r="U95" s="227">
        <v>79.5</v>
      </c>
      <c r="V95" s="227">
        <v>79.5</v>
      </c>
      <c r="W95" s="227">
        <v>79.5</v>
      </c>
      <c r="X95" s="227">
        <v>79.5</v>
      </c>
      <c r="Y95" s="227">
        <v>79.5</v>
      </c>
      <c r="Z95" s="227">
        <v>79.5</v>
      </c>
      <c r="AA95" s="227">
        <v>79.5</v>
      </c>
      <c r="AB95" s="227">
        <v>148.5</v>
      </c>
      <c r="AC95" s="227">
        <v>0</v>
      </c>
      <c r="AD95" s="230">
        <v>1.71875E-3</v>
      </c>
      <c r="AE95" s="230">
        <v>891</v>
      </c>
      <c r="AF95" s="230">
        <v>3816</v>
      </c>
      <c r="AG95" s="230">
        <v>144703.57784391922</v>
      </c>
      <c r="AH95" s="230">
        <v>296348.35620565026</v>
      </c>
      <c r="AI95" s="230">
        <v>0</v>
      </c>
    </row>
    <row r="96" spans="5:35" x14ac:dyDescent="0.35">
      <c r="E96" s="226"/>
      <c r="F96" s="227">
        <v>1.3355164383561644</v>
      </c>
      <c r="G96" s="227">
        <v>487.46350000000001</v>
      </c>
      <c r="H96" s="227">
        <v>0.77039999999999997</v>
      </c>
      <c r="I96" s="227">
        <v>0.32636999999999999</v>
      </c>
      <c r="J96" s="227">
        <v>0.16849578454157318</v>
      </c>
      <c r="K96" s="227">
        <v>101.18</v>
      </c>
      <c r="L96" s="227">
        <v>94.572000000000003</v>
      </c>
      <c r="M96" s="227">
        <v>98.518000000000001</v>
      </c>
      <c r="N96" s="227">
        <v>84.275999999999996</v>
      </c>
      <c r="O96" s="227">
        <v>83.293999999999997</v>
      </c>
      <c r="P96" s="227">
        <v>90.04</v>
      </c>
      <c r="Q96" s="227">
        <v>81.793000000000006</v>
      </c>
      <c r="R96" s="227">
        <v>86.119</v>
      </c>
      <c r="S96" s="227">
        <v>21.119</v>
      </c>
      <c r="T96" s="227">
        <v>79.5</v>
      </c>
      <c r="U96" s="227">
        <v>79.5</v>
      </c>
      <c r="V96" s="227">
        <v>79.5</v>
      </c>
      <c r="W96" s="227">
        <v>79.5</v>
      </c>
      <c r="X96" s="227">
        <v>79.5</v>
      </c>
      <c r="Y96" s="227">
        <v>79.5</v>
      </c>
      <c r="Z96" s="227">
        <v>79.5</v>
      </c>
      <c r="AA96" s="227">
        <v>79.5</v>
      </c>
      <c r="AB96" s="227">
        <v>146.13</v>
      </c>
      <c r="AC96" s="227">
        <v>0</v>
      </c>
      <c r="AD96" s="230">
        <v>1.6913194444444443E-3</v>
      </c>
      <c r="AE96" s="230">
        <v>876.78</v>
      </c>
      <c r="AF96" s="230">
        <v>3816</v>
      </c>
      <c r="AG96" s="230">
        <v>145580.35784391922</v>
      </c>
      <c r="AH96" s="230">
        <v>300164.35620565026</v>
      </c>
      <c r="AI96" s="230">
        <v>0</v>
      </c>
    </row>
    <row r="97" spans="5:35" x14ac:dyDescent="0.35">
      <c r="E97" s="226"/>
      <c r="F97" s="227">
        <v>1.3519547945205479</v>
      </c>
      <c r="G97" s="227">
        <v>493.46350000000001</v>
      </c>
      <c r="H97" s="227">
        <v>0.77400000000000002</v>
      </c>
      <c r="I97" s="227">
        <v>0.33039000000000002</v>
      </c>
      <c r="J97" s="227">
        <v>0.16949481231935096</v>
      </c>
      <c r="K97" s="227">
        <v>100.8</v>
      </c>
      <c r="L97" s="227">
        <v>94.334999999999994</v>
      </c>
      <c r="M97" s="227">
        <v>98.161000000000001</v>
      </c>
      <c r="N97" s="227">
        <v>84.045000000000002</v>
      </c>
      <c r="O97" s="227">
        <v>83.106999999999999</v>
      </c>
      <c r="P97" s="227">
        <v>89.783000000000001</v>
      </c>
      <c r="Q97" s="227">
        <v>81.620999999999995</v>
      </c>
      <c r="R97" s="227">
        <v>85.906999999999996</v>
      </c>
      <c r="S97" s="227">
        <v>20.906999999999996</v>
      </c>
      <c r="T97" s="227">
        <v>79.5</v>
      </c>
      <c r="U97" s="227">
        <v>79.5</v>
      </c>
      <c r="V97" s="227">
        <v>79.5</v>
      </c>
      <c r="W97" s="227">
        <v>79.5</v>
      </c>
      <c r="X97" s="227">
        <v>79.5</v>
      </c>
      <c r="Y97" s="227">
        <v>79.5</v>
      </c>
      <c r="Z97" s="227">
        <v>79.5</v>
      </c>
      <c r="AA97" s="227">
        <v>79.5</v>
      </c>
      <c r="AB97" s="227">
        <v>143.86000000000001</v>
      </c>
      <c r="AC97" s="227">
        <v>0</v>
      </c>
      <c r="AD97" s="230">
        <v>1.6650462962962964E-3</v>
      </c>
      <c r="AE97" s="230">
        <v>863.16000000000008</v>
      </c>
      <c r="AF97" s="230">
        <v>3816</v>
      </c>
      <c r="AG97" s="230">
        <v>146443.51784391922</v>
      </c>
      <c r="AH97" s="230">
        <v>303980.35620565026</v>
      </c>
      <c r="AI97" s="230">
        <v>0</v>
      </c>
    </row>
    <row r="98" spans="5:35" x14ac:dyDescent="0.35">
      <c r="E98" s="226"/>
      <c r="F98" s="227">
        <v>1.3683931506849316</v>
      </c>
      <c r="G98" s="227">
        <v>499.46350000000001</v>
      </c>
      <c r="H98" s="227">
        <v>0.77739999999999998</v>
      </c>
      <c r="I98" s="227">
        <v>0.33440999999999999</v>
      </c>
      <c r="J98" s="227">
        <v>0.17047849287490649</v>
      </c>
      <c r="K98" s="227">
        <v>100.42</v>
      </c>
      <c r="L98" s="227">
        <v>94.100999999999999</v>
      </c>
      <c r="M98" s="227">
        <v>97.811999999999998</v>
      </c>
      <c r="N98" s="227">
        <v>83.817999999999998</v>
      </c>
      <c r="O98" s="227">
        <v>82.923000000000002</v>
      </c>
      <c r="P98" s="227">
        <v>89.53</v>
      </c>
      <c r="Q98" s="227">
        <v>81.453000000000003</v>
      </c>
      <c r="R98" s="227">
        <v>85.7</v>
      </c>
      <c r="S98" s="227">
        <v>20.700000000000003</v>
      </c>
      <c r="T98" s="227">
        <v>79.5</v>
      </c>
      <c r="U98" s="227">
        <v>79.5</v>
      </c>
      <c r="V98" s="227">
        <v>79.5</v>
      </c>
      <c r="W98" s="227">
        <v>79.5</v>
      </c>
      <c r="X98" s="227">
        <v>79.5</v>
      </c>
      <c r="Y98" s="227">
        <v>79.5</v>
      </c>
      <c r="Z98" s="227">
        <v>79.5</v>
      </c>
      <c r="AA98" s="227">
        <v>79.5</v>
      </c>
      <c r="AB98" s="227">
        <v>141.65</v>
      </c>
      <c r="AC98" s="227">
        <v>0</v>
      </c>
      <c r="AD98" s="230">
        <v>1.6394675925925928E-3</v>
      </c>
      <c r="AE98" s="230">
        <v>849.90000000000009</v>
      </c>
      <c r="AF98" s="230">
        <v>3816</v>
      </c>
      <c r="AG98" s="230">
        <v>147293.41784391922</v>
      </c>
      <c r="AH98" s="230">
        <v>307796.35620565026</v>
      </c>
      <c r="AI98" s="230">
        <v>0</v>
      </c>
    </row>
    <row r="99" spans="5:35" x14ac:dyDescent="0.35">
      <c r="E99" s="226"/>
      <c r="F99" s="227">
        <v>1.3848315068493151</v>
      </c>
      <c r="G99" s="227">
        <v>505.46350000000001</v>
      </c>
      <c r="H99" s="227">
        <v>0.78080000000000005</v>
      </c>
      <c r="I99" s="227">
        <v>0.33843000000000001</v>
      </c>
      <c r="J99" s="227">
        <v>0.1714473817637954</v>
      </c>
      <c r="K99" s="227">
        <v>100.06</v>
      </c>
      <c r="L99" s="227">
        <v>93.873000000000005</v>
      </c>
      <c r="M99" s="227">
        <v>97.475999999999999</v>
      </c>
      <c r="N99" s="227">
        <v>83.599000000000004</v>
      </c>
      <c r="O99" s="227">
        <v>82.745000000000005</v>
      </c>
      <c r="P99" s="227">
        <v>89.286000000000001</v>
      </c>
      <c r="Q99" s="227">
        <v>81.290000000000006</v>
      </c>
      <c r="R99" s="227">
        <v>85.498999999999995</v>
      </c>
      <c r="S99" s="227">
        <v>20.498999999999995</v>
      </c>
      <c r="T99" s="227">
        <v>79.5</v>
      </c>
      <c r="U99" s="227">
        <v>79.5</v>
      </c>
      <c r="V99" s="227">
        <v>79.5</v>
      </c>
      <c r="W99" s="227">
        <v>79.5</v>
      </c>
      <c r="X99" s="227">
        <v>79.5</v>
      </c>
      <c r="Y99" s="227">
        <v>79.5</v>
      </c>
      <c r="Z99" s="227">
        <v>79.5</v>
      </c>
      <c r="AA99" s="227">
        <v>79.5</v>
      </c>
      <c r="AB99" s="227">
        <v>139.52000000000001</v>
      </c>
      <c r="AC99" s="227">
        <v>0</v>
      </c>
      <c r="AD99" s="230">
        <v>1.614814814814815E-3</v>
      </c>
      <c r="AE99" s="230">
        <v>837.12</v>
      </c>
      <c r="AF99" s="230">
        <v>3816</v>
      </c>
      <c r="AG99" s="230">
        <v>148130.53784391921</v>
      </c>
      <c r="AH99" s="230">
        <v>311612.35620565026</v>
      </c>
      <c r="AI99" s="230">
        <v>0</v>
      </c>
    </row>
    <row r="100" spans="5:35" x14ac:dyDescent="0.35">
      <c r="E100" s="226"/>
      <c r="F100" s="227">
        <v>1.4012698630136986</v>
      </c>
      <c r="G100" s="227">
        <v>511.46350000000001</v>
      </c>
      <c r="H100" s="227">
        <v>0.78400000000000003</v>
      </c>
      <c r="I100" s="227">
        <v>0.34244000000000002</v>
      </c>
      <c r="J100" s="227">
        <v>0.17240189565268429</v>
      </c>
      <c r="K100" s="227">
        <v>99.71</v>
      </c>
      <c r="L100" s="227">
        <v>93.647000000000006</v>
      </c>
      <c r="M100" s="227">
        <v>97.147999999999996</v>
      </c>
      <c r="N100" s="227">
        <v>83.385999999999996</v>
      </c>
      <c r="O100" s="227">
        <v>82.57</v>
      </c>
      <c r="P100" s="227">
        <v>89.046999999999997</v>
      </c>
      <c r="Q100" s="227">
        <v>81.13</v>
      </c>
      <c r="R100" s="227">
        <v>85.301000000000002</v>
      </c>
      <c r="S100" s="227">
        <v>20.301000000000002</v>
      </c>
      <c r="T100" s="227">
        <v>79.5</v>
      </c>
      <c r="U100" s="227">
        <v>79.5</v>
      </c>
      <c r="V100" s="227">
        <v>79.5</v>
      </c>
      <c r="W100" s="227">
        <v>79.5</v>
      </c>
      <c r="X100" s="227">
        <v>79.5</v>
      </c>
      <c r="Y100" s="227">
        <v>79.5</v>
      </c>
      <c r="Z100" s="227">
        <v>79.5</v>
      </c>
      <c r="AA100" s="227">
        <v>79.5</v>
      </c>
      <c r="AB100" s="227">
        <v>137.44999999999999</v>
      </c>
      <c r="AC100" s="227">
        <v>0</v>
      </c>
      <c r="AD100" s="230">
        <v>1.5908564814814813E-3</v>
      </c>
      <c r="AE100" s="230">
        <v>824.69999999999993</v>
      </c>
      <c r="AF100" s="230">
        <v>3816</v>
      </c>
      <c r="AG100" s="230">
        <v>148955.23784391923</v>
      </c>
      <c r="AH100" s="230">
        <v>315428.35620565026</v>
      </c>
      <c r="AI100" s="230">
        <v>0</v>
      </c>
    </row>
    <row r="101" spans="5:35" x14ac:dyDescent="0.35">
      <c r="E101" s="226"/>
      <c r="F101" s="227">
        <v>1.4177082191780821</v>
      </c>
      <c r="G101" s="227">
        <v>517.46349999999995</v>
      </c>
      <c r="H101" s="227">
        <v>0.78720000000000001</v>
      </c>
      <c r="I101" s="227">
        <v>0.34645999999999999</v>
      </c>
      <c r="J101" s="227">
        <v>0.17334252065268427</v>
      </c>
      <c r="K101" s="227">
        <v>99.367999999999995</v>
      </c>
      <c r="L101" s="227">
        <v>93.426000000000002</v>
      </c>
      <c r="M101" s="227">
        <v>96.831000000000003</v>
      </c>
      <c r="N101" s="227">
        <v>83.18</v>
      </c>
      <c r="O101" s="227">
        <v>82.400999999999996</v>
      </c>
      <c r="P101" s="227">
        <v>88.816000000000003</v>
      </c>
      <c r="Q101" s="227">
        <v>80.974999999999994</v>
      </c>
      <c r="R101" s="227">
        <v>85.108999999999995</v>
      </c>
      <c r="S101" s="227">
        <v>20.108999999999995</v>
      </c>
      <c r="T101" s="227">
        <v>79.5</v>
      </c>
      <c r="U101" s="227">
        <v>79.5</v>
      </c>
      <c r="V101" s="227">
        <v>79.5</v>
      </c>
      <c r="W101" s="227">
        <v>79.5</v>
      </c>
      <c r="X101" s="227">
        <v>79.5</v>
      </c>
      <c r="Y101" s="227">
        <v>79.5</v>
      </c>
      <c r="Z101" s="227">
        <v>79.5</v>
      </c>
      <c r="AA101" s="227">
        <v>79.5</v>
      </c>
      <c r="AB101" s="227">
        <v>135.44999999999999</v>
      </c>
      <c r="AC101" s="227">
        <v>0</v>
      </c>
      <c r="AD101" s="230">
        <v>1.5677083333333333E-3</v>
      </c>
      <c r="AE101" s="230">
        <v>812.69999999999231</v>
      </c>
      <c r="AF101" s="230">
        <v>3815.9999999999636</v>
      </c>
      <c r="AG101" s="230">
        <v>149767.93784391921</v>
      </c>
      <c r="AH101" s="230">
        <v>319244.3562056502</v>
      </c>
      <c r="AI101" s="230">
        <v>0</v>
      </c>
    </row>
    <row r="102" spans="5:35" x14ac:dyDescent="0.35">
      <c r="E102" s="226"/>
      <c r="F102" s="227">
        <v>1.4341465753424656</v>
      </c>
      <c r="G102" s="227">
        <v>523.46349999999995</v>
      </c>
      <c r="H102" s="227">
        <v>0.79020000000000001</v>
      </c>
      <c r="I102" s="227">
        <v>0.35048000000000001</v>
      </c>
      <c r="J102" s="227">
        <v>0.17426967343046204</v>
      </c>
      <c r="K102" s="227">
        <v>99.033000000000001</v>
      </c>
      <c r="L102" s="227">
        <v>93.206999999999994</v>
      </c>
      <c r="M102" s="227">
        <v>96.522000000000006</v>
      </c>
      <c r="N102" s="227">
        <v>82.98</v>
      </c>
      <c r="O102" s="227">
        <v>82.233999999999995</v>
      </c>
      <c r="P102" s="227">
        <v>88.59</v>
      </c>
      <c r="Q102" s="227">
        <v>80.823999999999998</v>
      </c>
      <c r="R102" s="227">
        <v>84.921999999999997</v>
      </c>
      <c r="S102" s="227">
        <v>19.921999999999997</v>
      </c>
      <c r="T102" s="227">
        <v>79.5</v>
      </c>
      <c r="U102" s="227">
        <v>79.5</v>
      </c>
      <c r="V102" s="227">
        <v>79.5</v>
      </c>
      <c r="W102" s="227">
        <v>79.5</v>
      </c>
      <c r="X102" s="227">
        <v>79.5</v>
      </c>
      <c r="Y102" s="227">
        <v>79.5</v>
      </c>
      <c r="Z102" s="227">
        <v>79.5</v>
      </c>
      <c r="AA102" s="227">
        <v>79.5</v>
      </c>
      <c r="AB102" s="227">
        <v>133.51</v>
      </c>
      <c r="AC102" s="227">
        <v>0</v>
      </c>
      <c r="AD102" s="230">
        <v>1.5452546296296295E-3</v>
      </c>
      <c r="AE102" s="230">
        <v>801.06000000000006</v>
      </c>
      <c r="AF102" s="230">
        <v>3816</v>
      </c>
      <c r="AG102" s="230">
        <v>150568.99784391921</v>
      </c>
      <c r="AH102" s="230">
        <v>323060.3562056502</v>
      </c>
      <c r="AI102" s="230">
        <v>0</v>
      </c>
    </row>
    <row r="103" spans="5:35" x14ac:dyDescent="0.35">
      <c r="E103" s="226"/>
      <c r="F103" s="227">
        <v>1.4505849315068491</v>
      </c>
      <c r="G103" s="227">
        <v>529.46349999999995</v>
      </c>
      <c r="H103" s="227">
        <v>0.79310000000000003</v>
      </c>
      <c r="I103" s="227">
        <v>0.35449999999999998</v>
      </c>
      <c r="J103" s="227">
        <v>0.1751838400971287</v>
      </c>
      <c r="K103" s="227">
        <v>98.709000000000003</v>
      </c>
      <c r="L103" s="227">
        <v>92.992999999999995</v>
      </c>
      <c r="M103" s="227">
        <v>96.222999999999999</v>
      </c>
      <c r="N103" s="227">
        <v>82.786000000000001</v>
      </c>
      <c r="O103" s="227">
        <v>82.072999999999993</v>
      </c>
      <c r="P103" s="227">
        <v>88.370999999999995</v>
      </c>
      <c r="Q103" s="227">
        <v>80.677999999999997</v>
      </c>
      <c r="R103" s="227">
        <v>84.739000000000004</v>
      </c>
      <c r="S103" s="227">
        <v>19.739000000000004</v>
      </c>
      <c r="T103" s="227">
        <v>79.5</v>
      </c>
      <c r="U103" s="227">
        <v>79.5</v>
      </c>
      <c r="V103" s="227">
        <v>79.5</v>
      </c>
      <c r="W103" s="227">
        <v>79.5</v>
      </c>
      <c r="X103" s="227">
        <v>79.5</v>
      </c>
      <c r="Y103" s="227">
        <v>79.5</v>
      </c>
      <c r="Z103" s="227">
        <v>79.5</v>
      </c>
      <c r="AA103" s="227">
        <v>79.5</v>
      </c>
      <c r="AB103" s="227">
        <v>131.63999999999999</v>
      </c>
      <c r="AC103" s="227">
        <v>0</v>
      </c>
      <c r="AD103" s="230">
        <v>1.523611111111111E-3</v>
      </c>
      <c r="AE103" s="230">
        <v>789.83999999999992</v>
      </c>
      <c r="AF103" s="230">
        <v>3816</v>
      </c>
      <c r="AG103" s="230">
        <v>151358.8378439192</v>
      </c>
      <c r="AH103" s="230">
        <v>326876.3562056502</v>
      </c>
      <c r="AI103" s="230">
        <v>0</v>
      </c>
    </row>
    <row r="104" spans="5:35" x14ac:dyDescent="0.35">
      <c r="E104" s="226"/>
      <c r="F104" s="227">
        <v>1.4670232876712328</v>
      </c>
      <c r="G104" s="227">
        <v>535.46349999999995</v>
      </c>
      <c r="H104" s="227">
        <v>0.79600000000000004</v>
      </c>
      <c r="I104" s="227">
        <v>0.35851</v>
      </c>
      <c r="J104" s="227">
        <v>0.17608543731935095</v>
      </c>
      <c r="K104" s="227">
        <v>98.393000000000001</v>
      </c>
      <c r="L104" s="227">
        <v>92.781999999999996</v>
      </c>
      <c r="M104" s="227">
        <v>95.932000000000002</v>
      </c>
      <c r="N104" s="227">
        <v>82.597999999999999</v>
      </c>
      <c r="O104" s="227">
        <v>81.915000000000006</v>
      </c>
      <c r="P104" s="227">
        <v>88.156999999999996</v>
      </c>
      <c r="Q104" s="227">
        <v>80.536000000000001</v>
      </c>
      <c r="R104" s="227">
        <v>84.561999999999998</v>
      </c>
      <c r="S104" s="227">
        <v>19.561999999999998</v>
      </c>
      <c r="T104" s="227">
        <v>79.5</v>
      </c>
      <c r="U104" s="227">
        <v>79.5</v>
      </c>
      <c r="V104" s="227">
        <v>79.5</v>
      </c>
      <c r="W104" s="227">
        <v>79.5</v>
      </c>
      <c r="X104" s="227">
        <v>79.5</v>
      </c>
      <c r="Y104" s="227">
        <v>79.5</v>
      </c>
      <c r="Z104" s="227">
        <v>79.5</v>
      </c>
      <c r="AA104" s="227">
        <v>79.5</v>
      </c>
      <c r="AB104" s="227">
        <v>129.83000000000001</v>
      </c>
      <c r="AC104" s="227">
        <v>0</v>
      </c>
      <c r="AD104" s="230">
        <v>1.5026620370370372E-3</v>
      </c>
      <c r="AE104" s="230">
        <v>778.98000000000013</v>
      </c>
      <c r="AF104" s="230">
        <v>3816</v>
      </c>
      <c r="AG104" s="230">
        <v>152137.81784391921</v>
      </c>
      <c r="AH104" s="230">
        <v>330692.3562056502</v>
      </c>
      <c r="AI104" s="230">
        <v>0</v>
      </c>
    </row>
    <row r="105" spans="5:35" x14ac:dyDescent="0.35">
      <c r="E105" s="226"/>
      <c r="F105" s="227">
        <v>1.4834616438356163</v>
      </c>
      <c r="G105" s="227">
        <v>541.46349999999995</v>
      </c>
      <c r="H105" s="227">
        <v>0.79869999999999997</v>
      </c>
      <c r="I105" s="227">
        <v>0.36253000000000002</v>
      </c>
      <c r="J105" s="227">
        <v>0.17697488176379539</v>
      </c>
      <c r="K105" s="227">
        <v>98.085999999999999</v>
      </c>
      <c r="L105" s="227">
        <v>92.575000000000003</v>
      </c>
      <c r="M105" s="227">
        <v>95.649000000000001</v>
      </c>
      <c r="N105" s="227">
        <v>82.417000000000002</v>
      </c>
      <c r="O105" s="227">
        <v>81.762</v>
      </c>
      <c r="P105" s="227">
        <v>87.95</v>
      </c>
      <c r="Q105" s="227">
        <v>80.397000000000006</v>
      </c>
      <c r="R105" s="227">
        <v>84.388999999999996</v>
      </c>
      <c r="S105" s="227">
        <v>19.388999999999996</v>
      </c>
      <c r="T105" s="227">
        <v>79.5</v>
      </c>
      <c r="U105" s="227">
        <v>79.5</v>
      </c>
      <c r="V105" s="227">
        <v>79.5</v>
      </c>
      <c r="W105" s="227">
        <v>79.5</v>
      </c>
      <c r="X105" s="227">
        <v>79.5</v>
      </c>
      <c r="Y105" s="227">
        <v>79.5</v>
      </c>
      <c r="Z105" s="227">
        <v>79.5</v>
      </c>
      <c r="AA105" s="227">
        <v>79.5</v>
      </c>
      <c r="AB105" s="227">
        <v>128.08000000000001</v>
      </c>
      <c r="AC105" s="227">
        <v>0</v>
      </c>
      <c r="AD105" s="230">
        <v>1.4824074074074075E-3</v>
      </c>
      <c r="AE105" s="230">
        <v>768.48</v>
      </c>
      <c r="AF105" s="230">
        <v>3816</v>
      </c>
      <c r="AG105" s="230">
        <v>152906.29784391922</v>
      </c>
      <c r="AH105" s="230">
        <v>334508.3562056502</v>
      </c>
      <c r="AI105" s="230">
        <v>0</v>
      </c>
    </row>
    <row r="106" spans="5:35" x14ac:dyDescent="0.35">
      <c r="E106" s="226"/>
      <c r="F106" s="227">
        <v>1.4998999999999998</v>
      </c>
      <c r="G106" s="227">
        <v>547.46349999999995</v>
      </c>
      <c r="H106" s="227">
        <v>0.8014</v>
      </c>
      <c r="I106" s="227">
        <v>0.36654999999999999</v>
      </c>
      <c r="J106" s="227">
        <v>0.17785252065268428</v>
      </c>
      <c r="K106" s="227">
        <v>97.787000000000006</v>
      </c>
      <c r="L106" s="227">
        <v>92.370999999999995</v>
      </c>
      <c r="M106" s="227">
        <v>95.375</v>
      </c>
      <c r="N106" s="227">
        <v>82.241</v>
      </c>
      <c r="O106" s="227">
        <v>81.613</v>
      </c>
      <c r="P106" s="227">
        <v>87.748000000000005</v>
      </c>
      <c r="Q106" s="227">
        <v>80.263000000000005</v>
      </c>
      <c r="R106" s="227">
        <v>84.22</v>
      </c>
      <c r="S106" s="227">
        <v>19.22</v>
      </c>
      <c r="T106" s="227">
        <v>79.5</v>
      </c>
      <c r="U106" s="227">
        <v>79.5</v>
      </c>
      <c r="V106" s="227">
        <v>79.5</v>
      </c>
      <c r="W106" s="227">
        <v>79.5</v>
      </c>
      <c r="X106" s="227">
        <v>79.5</v>
      </c>
      <c r="Y106" s="227">
        <v>79.5</v>
      </c>
      <c r="Z106" s="227">
        <v>79.5</v>
      </c>
      <c r="AA106" s="227">
        <v>79.5</v>
      </c>
      <c r="AB106" s="227">
        <v>126.38</v>
      </c>
      <c r="AC106" s="227">
        <v>0</v>
      </c>
      <c r="AD106" s="230">
        <v>1.4627314814814815E-3</v>
      </c>
      <c r="AE106" s="230">
        <v>758.28</v>
      </c>
      <c r="AF106" s="230">
        <v>3816</v>
      </c>
      <c r="AG106" s="230">
        <v>153664.57784391922</v>
      </c>
      <c r="AH106" s="230">
        <v>338324.3562056502</v>
      </c>
      <c r="AI106" s="230">
        <v>0</v>
      </c>
    </row>
    <row r="107" spans="5:35" x14ac:dyDescent="0.35">
      <c r="E107" s="226"/>
      <c r="F107" s="227">
        <v>1.5163383561643835</v>
      </c>
      <c r="G107" s="227">
        <v>553.46349999999995</v>
      </c>
      <c r="H107" s="227">
        <v>0.80400000000000005</v>
      </c>
      <c r="I107" s="227">
        <v>0.37056</v>
      </c>
      <c r="J107" s="227">
        <v>0.17871884009712874</v>
      </c>
      <c r="K107" s="227">
        <v>97.495000000000005</v>
      </c>
      <c r="L107" s="227">
        <v>92.17</v>
      </c>
      <c r="M107" s="227">
        <v>95.106999999999999</v>
      </c>
      <c r="N107" s="227">
        <v>82.07</v>
      </c>
      <c r="O107" s="227">
        <v>81.466999999999999</v>
      </c>
      <c r="P107" s="227">
        <v>87.551000000000002</v>
      </c>
      <c r="Q107" s="227">
        <v>80.132000000000005</v>
      </c>
      <c r="R107" s="227">
        <v>84.055999999999997</v>
      </c>
      <c r="S107" s="227">
        <v>19.055999999999997</v>
      </c>
      <c r="T107" s="227">
        <v>79.5</v>
      </c>
      <c r="U107" s="227">
        <v>79.5</v>
      </c>
      <c r="V107" s="227">
        <v>79.5</v>
      </c>
      <c r="W107" s="227">
        <v>79.5</v>
      </c>
      <c r="X107" s="227">
        <v>79.5</v>
      </c>
      <c r="Y107" s="227">
        <v>79.5</v>
      </c>
      <c r="Z107" s="227">
        <v>79.5</v>
      </c>
      <c r="AA107" s="227">
        <v>79.5</v>
      </c>
      <c r="AB107" s="227">
        <v>124.75</v>
      </c>
      <c r="AC107" s="227">
        <v>0</v>
      </c>
      <c r="AD107" s="230">
        <v>1.4438657407407408E-3</v>
      </c>
      <c r="AE107" s="230">
        <v>748.50000000000011</v>
      </c>
      <c r="AF107" s="230">
        <v>3816</v>
      </c>
      <c r="AG107" s="230">
        <v>154413.07784391922</v>
      </c>
      <c r="AH107" s="230">
        <v>342140.3562056502</v>
      </c>
      <c r="AI107" s="230">
        <v>0</v>
      </c>
    </row>
    <row r="108" spans="5:35" x14ac:dyDescent="0.35">
      <c r="E108" s="226"/>
      <c r="F108" s="227">
        <v>1.532776712328767</v>
      </c>
      <c r="G108" s="227">
        <v>559.46349999999995</v>
      </c>
      <c r="H108" s="227">
        <v>0.80640000000000001</v>
      </c>
      <c r="I108" s="227">
        <v>0.37458000000000002</v>
      </c>
      <c r="J108" s="227">
        <v>0.17957418731935093</v>
      </c>
      <c r="K108" s="227">
        <v>97.213999999999999</v>
      </c>
      <c r="L108" s="227">
        <v>91.974000000000004</v>
      </c>
      <c r="M108" s="227">
        <v>94.847999999999999</v>
      </c>
      <c r="N108" s="227">
        <v>81.905000000000001</v>
      </c>
      <c r="O108" s="227">
        <v>81.325000000000003</v>
      </c>
      <c r="P108" s="227">
        <v>87.361000000000004</v>
      </c>
      <c r="Q108" s="227">
        <v>80.004999999999995</v>
      </c>
      <c r="R108" s="227">
        <v>83.896000000000001</v>
      </c>
      <c r="S108" s="227">
        <v>18.896000000000001</v>
      </c>
      <c r="T108" s="227">
        <v>79.5</v>
      </c>
      <c r="U108" s="227">
        <v>79.5</v>
      </c>
      <c r="V108" s="227">
        <v>79.5</v>
      </c>
      <c r="W108" s="227">
        <v>79.5</v>
      </c>
      <c r="X108" s="227">
        <v>79.5</v>
      </c>
      <c r="Y108" s="227">
        <v>79.5</v>
      </c>
      <c r="Z108" s="227">
        <v>79.5</v>
      </c>
      <c r="AA108" s="227">
        <v>79.5</v>
      </c>
      <c r="AB108" s="227">
        <v>123.17</v>
      </c>
      <c r="AC108" s="227">
        <v>0</v>
      </c>
      <c r="AD108" s="230">
        <v>1.4255787037037036E-3</v>
      </c>
      <c r="AE108" s="230">
        <v>739.0200000000001</v>
      </c>
      <c r="AF108" s="230">
        <v>3816</v>
      </c>
      <c r="AG108" s="230">
        <v>155152.09784391921</v>
      </c>
      <c r="AH108" s="230">
        <v>345956.3562056502</v>
      </c>
      <c r="AI108" s="230">
        <v>0</v>
      </c>
    </row>
    <row r="109" spans="5:35" x14ac:dyDescent="0.35">
      <c r="E109" s="226"/>
      <c r="F109" s="227">
        <v>1.5492150684931505</v>
      </c>
      <c r="G109" s="227">
        <v>565.46349999999995</v>
      </c>
      <c r="H109" s="227">
        <v>0.80879999999999996</v>
      </c>
      <c r="I109" s="227">
        <v>0.37859999999999999</v>
      </c>
      <c r="J109" s="227">
        <v>0.18041884009712872</v>
      </c>
      <c r="K109" s="227">
        <v>96.936999999999998</v>
      </c>
      <c r="L109" s="227">
        <v>91.78</v>
      </c>
      <c r="M109" s="227">
        <v>94.594999999999999</v>
      </c>
      <c r="N109" s="227">
        <v>81.745000000000005</v>
      </c>
      <c r="O109" s="227">
        <v>81.186000000000007</v>
      </c>
      <c r="P109" s="227">
        <v>87.174000000000007</v>
      </c>
      <c r="Q109" s="227">
        <v>79.881</v>
      </c>
      <c r="R109" s="227">
        <v>83.74</v>
      </c>
      <c r="S109" s="227">
        <v>18.739999999999995</v>
      </c>
      <c r="T109" s="227">
        <v>79.5</v>
      </c>
      <c r="U109" s="227">
        <v>79.5</v>
      </c>
      <c r="V109" s="227">
        <v>79.5</v>
      </c>
      <c r="W109" s="227">
        <v>79.5</v>
      </c>
      <c r="X109" s="227">
        <v>79.5</v>
      </c>
      <c r="Y109" s="227">
        <v>79.5</v>
      </c>
      <c r="Z109" s="227">
        <v>79.5</v>
      </c>
      <c r="AA109" s="227">
        <v>79.5</v>
      </c>
      <c r="AB109" s="227">
        <v>121.63</v>
      </c>
      <c r="AC109" s="227">
        <v>0</v>
      </c>
      <c r="AD109" s="230">
        <v>1.4077546296296297E-3</v>
      </c>
      <c r="AE109" s="230">
        <v>729.78000000000009</v>
      </c>
      <c r="AF109" s="230">
        <v>3816</v>
      </c>
      <c r="AG109" s="230">
        <v>155881.87784391921</v>
      </c>
      <c r="AH109" s="230">
        <v>349772.3562056502</v>
      </c>
      <c r="AI109" s="230">
        <v>0</v>
      </c>
    </row>
    <row r="110" spans="5:35" x14ac:dyDescent="0.35">
      <c r="E110" s="226"/>
      <c r="F110" s="227">
        <v>1.5656534246575342</v>
      </c>
      <c r="G110" s="227">
        <v>571.46349999999995</v>
      </c>
      <c r="H110" s="227">
        <v>0.81120000000000003</v>
      </c>
      <c r="I110" s="227">
        <v>0.38262000000000002</v>
      </c>
      <c r="J110" s="227">
        <v>0.18125321509712872</v>
      </c>
      <c r="K110" s="227">
        <v>96.668000000000006</v>
      </c>
      <c r="L110" s="227">
        <v>91.588999999999999</v>
      </c>
      <c r="M110" s="227">
        <v>94.349000000000004</v>
      </c>
      <c r="N110" s="227">
        <v>81.588999999999999</v>
      </c>
      <c r="O110" s="227">
        <v>81.051000000000002</v>
      </c>
      <c r="P110" s="227">
        <v>86.992999999999995</v>
      </c>
      <c r="Q110" s="227">
        <v>79.760000000000005</v>
      </c>
      <c r="R110" s="227">
        <v>83.587000000000003</v>
      </c>
      <c r="S110" s="227">
        <v>18.587000000000003</v>
      </c>
      <c r="T110" s="227">
        <v>79.5</v>
      </c>
      <c r="U110" s="227">
        <v>79.5</v>
      </c>
      <c r="V110" s="227">
        <v>79.5</v>
      </c>
      <c r="W110" s="227">
        <v>79.5</v>
      </c>
      <c r="X110" s="227">
        <v>79.5</v>
      </c>
      <c r="Y110" s="227">
        <v>79.5</v>
      </c>
      <c r="Z110" s="227">
        <v>79.5</v>
      </c>
      <c r="AA110" s="227">
        <v>79.5</v>
      </c>
      <c r="AB110" s="227">
        <v>120.15</v>
      </c>
      <c r="AC110" s="227">
        <v>0</v>
      </c>
      <c r="AD110" s="230">
        <v>1.3906250000000002E-3</v>
      </c>
      <c r="AE110" s="230">
        <v>720.90000000000009</v>
      </c>
      <c r="AF110" s="230">
        <v>3816</v>
      </c>
      <c r="AG110" s="230">
        <v>156602.7778439192</v>
      </c>
      <c r="AH110" s="230">
        <v>353588.3562056502</v>
      </c>
      <c r="AI110" s="230">
        <v>0</v>
      </c>
    </row>
    <row r="111" spans="5:35" x14ac:dyDescent="0.35">
      <c r="E111" s="226"/>
      <c r="F111" s="227">
        <v>1.5820917808219177</v>
      </c>
      <c r="G111" s="227">
        <v>577.46349999999995</v>
      </c>
      <c r="H111" s="227">
        <v>0.81340000000000001</v>
      </c>
      <c r="I111" s="227">
        <v>0.38662999999999997</v>
      </c>
      <c r="J111" s="227">
        <v>0.18207759009712873</v>
      </c>
      <c r="K111" s="227">
        <v>96.406999999999996</v>
      </c>
      <c r="L111" s="227">
        <v>91.402000000000001</v>
      </c>
      <c r="M111" s="227">
        <v>94.111000000000004</v>
      </c>
      <c r="N111" s="227">
        <v>81.438000000000002</v>
      </c>
      <c r="O111" s="227">
        <v>80.918000000000006</v>
      </c>
      <c r="P111" s="227">
        <v>86.816000000000003</v>
      </c>
      <c r="Q111" s="227">
        <v>79.643000000000001</v>
      </c>
      <c r="R111" s="227">
        <v>83.438000000000002</v>
      </c>
      <c r="S111" s="227">
        <v>18.438000000000002</v>
      </c>
      <c r="T111" s="227">
        <v>79.5</v>
      </c>
      <c r="U111" s="227">
        <v>79.5</v>
      </c>
      <c r="V111" s="227">
        <v>79.5</v>
      </c>
      <c r="W111" s="227">
        <v>79.5</v>
      </c>
      <c r="X111" s="227">
        <v>79.5</v>
      </c>
      <c r="Y111" s="227">
        <v>79.5</v>
      </c>
      <c r="Z111" s="227">
        <v>79.5</v>
      </c>
      <c r="AA111" s="227">
        <v>79.5</v>
      </c>
      <c r="AB111" s="227">
        <v>118.71</v>
      </c>
      <c r="AC111" s="227">
        <v>0</v>
      </c>
      <c r="AD111" s="230">
        <v>1.3739583333333334E-3</v>
      </c>
      <c r="AE111" s="230">
        <v>712.2600000000001</v>
      </c>
      <c r="AF111" s="230">
        <v>3816</v>
      </c>
      <c r="AG111" s="230">
        <v>157315.03784391921</v>
      </c>
      <c r="AH111" s="230">
        <v>357404.3562056502</v>
      </c>
      <c r="AI111" s="230">
        <v>0</v>
      </c>
    </row>
    <row r="112" spans="5:35" x14ac:dyDescent="0.35">
      <c r="E112" s="226"/>
      <c r="F112" s="227">
        <v>1.5985301369863012</v>
      </c>
      <c r="G112" s="227">
        <v>583.46349999999995</v>
      </c>
      <c r="H112" s="227">
        <v>0.81559999999999999</v>
      </c>
      <c r="I112" s="227">
        <v>0.39065</v>
      </c>
      <c r="J112" s="227">
        <v>0.18289224287490649</v>
      </c>
      <c r="K112" s="227">
        <v>96.153000000000006</v>
      </c>
      <c r="L112" s="227">
        <v>91.216999999999999</v>
      </c>
      <c r="M112" s="227">
        <v>93.878</v>
      </c>
      <c r="N112" s="227">
        <v>81.292000000000002</v>
      </c>
      <c r="O112" s="227">
        <v>80.789000000000001</v>
      </c>
      <c r="P112" s="227">
        <v>86.644000000000005</v>
      </c>
      <c r="Q112" s="227">
        <v>79.528999999999996</v>
      </c>
      <c r="R112" s="227">
        <v>83.293000000000006</v>
      </c>
      <c r="S112" s="227">
        <v>18.293000000000006</v>
      </c>
      <c r="T112" s="227">
        <v>79.5</v>
      </c>
      <c r="U112" s="227">
        <v>79.5</v>
      </c>
      <c r="V112" s="227">
        <v>79.5</v>
      </c>
      <c r="W112" s="227">
        <v>79.5</v>
      </c>
      <c r="X112" s="227">
        <v>79.5</v>
      </c>
      <c r="Y112" s="227">
        <v>79.5</v>
      </c>
      <c r="Z112" s="227">
        <v>79.5</v>
      </c>
      <c r="AA112" s="227">
        <v>79.5</v>
      </c>
      <c r="AB112" s="227">
        <v>117.31</v>
      </c>
      <c r="AC112" s="227">
        <v>0</v>
      </c>
      <c r="AD112" s="230">
        <v>1.3577546296296298E-3</v>
      </c>
      <c r="AE112" s="230">
        <v>703.86</v>
      </c>
      <c r="AF112" s="230">
        <v>3816</v>
      </c>
      <c r="AG112" s="230">
        <v>158018.8978439192</v>
      </c>
      <c r="AH112" s="230">
        <v>361220.3562056502</v>
      </c>
      <c r="AI112" s="230">
        <v>0</v>
      </c>
    </row>
    <row r="113" spans="5:35" x14ac:dyDescent="0.35">
      <c r="E113" s="226"/>
      <c r="F113" s="227">
        <v>1.6149684931506849</v>
      </c>
      <c r="G113" s="227">
        <v>589.46349999999995</v>
      </c>
      <c r="H113" s="227">
        <v>0.81779999999999997</v>
      </c>
      <c r="I113" s="227">
        <v>0.39467000000000002</v>
      </c>
      <c r="J113" s="227">
        <v>0.18369745120823983</v>
      </c>
      <c r="K113" s="227">
        <v>95.903999999999996</v>
      </c>
      <c r="L113" s="227">
        <v>91.034999999999997</v>
      </c>
      <c r="M113" s="227">
        <v>93.650999999999996</v>
      </c>
      <c r="N113" s="227">
        <v>81.149000000000001</v>
      </c>
      <c r="O113" s="227">
        <v>80.662000000000006</v>
      </c>
      <c r="P113" s="227">
        <v>86.475999999999999</v>
      </c>
      <c r="Q113" s="227">
        <v>79.417000000000002</v>
      </c>
      <c r="R113" s="227">
        <v>83.15</v>
      </c>
      <c r="S113" s="227">
        <v>18.150000000000006</v>
      </c>
      <c r="T113" s="227">
        <v>79.5</v>
      </c>
      <c r="U113" s="227">
        <v>79.5</v>
      </c>
      <c r="V113" s="227">
        <v>79.5</v>
      </c>
      <c r="W113" s="227">
        <v>79.5</v>
      </c>
      <c r="X113" s="227">
        <v>79.5</v>
      </c>
      <c r="Y113" s="227">
        <v>79.5</v>
      </c>
      <c r="Z113" s="227">
        <v>79.5</v>
      </c>
      <c r="AA113" s="227">
        <v>79.5</v>
      </c>
      <c r="AB113" s="227">
        <v>115.95</v>
      </c>
      <c r="AC113" s="227">
        <v>0</v>
      </c>
      <c r="AD113" s="230">
        <v>1.3420138888888889E-3</v>
      </c>
      <c r="AE113" s="230">
        <v>695.69999999999993</v>
      </c>
      <c r="AF113" s="230">
        <v>3816</v>
      </c>
      <c r="AG113" s="230">
        <v>158714.59784391921</v>
      </c>
      <c r="AH113" s="230">
        <v>365036.3562056502</v>
      </c>
      <c r="AI113" s="230">
        <v>0</v>
      </c>
    </row>
    <row r="114" spans="5:35" x14ac:dyDescent="0.35">
      <c r="E114" s="226"/>
      <c r="F114" s="227">
        <v>1.6314068493150684</v>
      </c>
      <c r="G114" s="227">
        <v>595.46349999999995</v>
      </c>
      <c r="H114" s="227">
        <v>0.81979999999999997</v>
      </c>
      <c r="I114" s="227">
        <v>0.39867999999999998</v>
      </c>
      <c r="J114" s="227">
        <v>0.18449356231935093</v>
      </c>
      <c r="K114" s="227">
        <v>95.661000000000001</v>
      </c>
      <c r="L114" s="227">
        <v>90.856999999999999</v>
      </c>
      <c r="M114" s="227">
        <v>93.43</v>
      </c>
      <c r="N114" s="227">
        <v>81.010999999999996</v>
      </c>
      <c r="O114" s="227">
        <v>80.537999999999997</v>
      </c>
      <c r="P114" s="227">
        <v>86.311999999999998</v>
      </c>
      <c r="Q114" s="227">
        <v>79.308000000000007</v>
      </c>
      <c r="R114" s="227">
        <v>83.010999999999996</v>
      </c>
      <c r="S114" s="227">
        <v>18.010999999999996</v>
      </c>
      <c r="T114" s="227">
        <v>79.5</v>
      </c>
      <c r="U114" s="227">
        <v>79.5</v>
      </c>
      <c r="V114" s="227">
        <v>79.5</v>
      </c>
      <c r="W114" s="227">
        <v>79.5</v>
      </c>
      <c r="X114" s="227">
        <v>79.5</v>
      </c>
      <c r="Y114" s="227">
        <v>79.5</v>
      </c>
      <c r="Z114" s="227">
        <v>79.5</v>
      </c>
      <c r="AA114" s="227">
        <v>79.5</v>
      </c>
      <c r="AB114" s="227">
        <v>114.64</v>
      </c>
      <c r="AC114" s="227">
        <v>0</v>
      </c>
      <c r="AD114" s="230">
        <v>1.3268518518518518E-3</v>
      </c>
      <c r="AE114" s="230">
        <v>687.84</v>
      </c>
      <c r="AF114" s="230">
        <v>3816</v>
      </c>
      <c r="AG114" s="230">
        <v>159402.43784391921</v>
      </c>
      <c r="AH114" s="230">
        <v>368852.3562056502</v>
      </c>
      <c r="AI114" s="230">
        <v>0</v>
      </c>
    </row>
    <row r="115" spans="5:35" x14ac:dyDescent="0.35">
      <c r="E115" s="226"/>
      <c r="F115" s="227">
        <v>1.6478452054794519</v>
      </c>
      <c r="G115" s="227">
        <v>601.46349999999995</v>
      </c>
      <c r="H115" s="227">
        <v>0.82179999999999997</v>
      </c>
      <c r="I115" s="227">
        <v>0.4027</v>
      </c>
      <c r="J115" s="227">
        <v>0.18528078454157315</v>
      </c>
      <c r="K115" s="227">
        <v>95.424999999999997</v>
      </c>
      <c r="L115" s="227">
        <v>90.680999999999997</v>
      </c>
      <c r="M115" s="227">
        <v>93.213999999999999</v>
      </c>
      <c r="N115" s="227">
        <v>80.876999999999995</v>
      </c>
      <c r="O115" s="227">
        <v>80.415999999999997</v>
      </c>
      <c r="P115" s="227">
        <v>86.152000000000001</v>
      </c>
      <c r="Q115" s="227">
        <v>79.201999999999998</v>
      </c>
      <c r="R115" s="227">
        <v>82.875</v>
      </c>
      <c r="S115" s="227">
        <v>17.875</v>
      </c>
      <c r="T115" s="227">
        <v>79.5</v>
      </c>
      <c r="U115" s="227">
        <v>79.5</v>
      </c>
      <c r="V115" s="227">
        <v>79.5</v>
      </c>
      <c r="W115" s="227">
        <v>79.5</v>
      </c>
      <c r="X115" s="227">
        <v>79.5</v>
      </c>
      <c r="Y115" s="227">
        <v>79.5</v>
      </c>
      <c r="Z115" s="227">
        <v>79.5</v>
      </c>
      <c r="AA115" s="227">
        <v>79.5</v>
      </c>
      <c r="AB115" s="227">
        <v>113.36</v>
      </c>
      <c r="AC115" s="227">
        <v>0</v>
      </c>
      <c r="AD115" s="230">
        <v>1.3120370370370371E-3</v>
      </c>
      <c r="AE115" s="230">
        <v>680.16000000000008</v>
      </c>
      <c r="AF115" s="230">
        <v>3816</v>
      </c>
      <c r="AG115" s="230">
        <v>160082.59784391921</v>
      </c>
      <c r="AH115" s="230">
        <v>372668.3562056502</v>
      </c>
      <c r="AI115" s="230">
        <v>0</v>
      </c>
    </row>
    <row r="116" spans="5:35" x14ac:dyDescent="0.35">
      <c r="E116" s="226"/>
      <c r="F116" s="227">
        <v>1.6642835616438354</v>
      </c>
      <c r="G116" s="227">
        <v>607.46349999999995</v>
      </c>
      <c r="H116" s="227">
        <v>0.82379999999999998</v>
      </c>
      <c r="I116" s="227">
        <v>0.40672000000000003</v>
      </c>
      <c r="J116" s="227">
        <v>0.18605939565268428</v>
      </c>
      <c r="K116" s="227">
        <v>95.194000000000003</v>
      </c>
      <c r="L116" s="227">
        <v>90.507999999999996</v>
      </c>
      <c r="M116" s="227">
        <v>93.003</v>
      </c>
      <c r="N116" s="227">
        <v>80.745999999999995</v>
      </c>
      <c r="O116" s="227">
        <v>80.296999999999997</v>
      </c>
      <c r="P116" s="227">
        <v>85.995000000000005</v>
      </c>
      <c r="Q116" s="227">
        <v>79.097999999999999</v>
      </c>
      <c r="R116" s="227">
        <v>82.741</v>
      </c>
      <c r="S116" s="227">
        <v>17.741</v>
      </c>
      <c r="T116" s="227">
        <v>79.5</v>
      </c>
      <c r="U116" s="227">
        <v>79.5</v>
      </c>
      <c r="V116" s="227">
        <v>79.5</v>
      </c>
      <c r="W116" s="227">
        <v>79.5</v>
      </c>
      <c r="X116" s="227">
        <v>79.5</v>
      </c>
      <c r="Y116" s="227">
        <v>79.5</v>
      </c>
      <c r="Z116" s="227">
        <v>79.5</v>
      </c>
      <c r="AA116" s="227">
        <v>79.5</v>
      </c>
      <c r="AB116" s="227">
        <v>112.12</v>
      </c>
      <c r="AC116" s="227">
        <v>0</v>
      </c>
      <c r="AD116" s="230">
        <v>1.2976851851851851E-3</v>
      </c>
      <c r="AE116" s="230">
        <v>672.72</v>
      </c>
      <c r="AF116" s="230">
        <v>3816</v>
      </c>
      <c r="AG116" s="230">
        <v>160755.31784391921</v>
      </c>
      <c r="AH116" s="230">
        <v>376484.3562056502</v>
      </c>
      <c r="AI116" s="230">
        <v>0</v>
      </c>
    </row>
    <row r="117" spans="5:35" x14ac:dyDescent="0.35">
      <c r="E117" s="226"/>
      <c r="F117" s="227">
        <v>1.6807219178082191</v>
      </c>
      <c r="G117" s="227">
        <v>613.46349999999995</v>
      </c>
      <c r="H117" s="227">
        <v>0.82569999999999999</v>
      </c>
      <c r="I117" s="227">
        <v>0.41073999999999999</v>
      </c>
      <c r="J117" s="227">
        <v>0.18682953454157317</v>
      </c>
      <c r="K117" s="227">
        <v>94.966999999999999</v>
      </c>
      <c r="L117" s="227">
        <v>90.335999999999999</v>
      </c>
      <c r="M117" s="227">
        <v>92.796999999999997</v>
      </c>
      <c r="N117" s="227">
        <v>80.617999999999995</v>
      </c>
      <c r="O117" s="227">
        <v>80.179000000000002</v>
      </c>
      <c r="P117" s="227">
        <v>85.841999999999999</v>
      </c>
      <c r="Q117" s="227">
        <v>78.995999999999995</v>
      </c>
      <c r="R117" s="227">
        <v>82.61</v>
      </c>
      <c r="S117" s="227">
        <v>17.61</v>
      </c>
      <c r="T117" s="227">
        <v>79.5</v>
      </c>
      <c r="U117" s="227">
        <v>79.5</v>
      </c>
      <c r="V117" s="227">
        <v>79.5</v>
      </c>
      <c r="W117" s="227">
        <v>79.5</v>
      </c>
      <c r="X117" s="227">
        <v>79.5</v>
      </c>
      <c r="Y117" s="227">
        <v>79.5</v>
      </c>
      <c r="Z117" s="227">
        <v>79.5</v>
      </c>
      <c r="AA117" s="227">
        <v>79.5</v>
      </c>
      <c r="AB117" s="227">
        <v>110.9</v>
      </c>
      <c r="AC117" s="227">
        <v>0</v>
      </c>
      <c r="AD117" s="230">
        <v>1.2835648148148149E-3</v>
      </c>
      <c r="AE117" s="230">
        <v>665.40000000000009</v>
      </c>
      <c r="AF117" s="230">
        <v>3816</v>
      </c>
      <c r="AG117" s="230">
        <v>161420.71784391921</v>
      </c>
      <c r="AH117" s="230">
        <v>380300.3562056502</v>
      </c>
      <c r="AI117" s="230">
        <v>0</v>
      </c>
    </row>
    <row r="118" spans="5:35" x14ac:dyDescent="0.35">
      <c r="E118" s="226"/>
      <c r="F118" s="227">
        <v>1.6971602739726026</v>
      </c>
      <c r="G118" s="227">
        <v>619.46349999999995</v>
      </c>
      <c r="H118" s="227">
        <v>0.8276</v>
      </c>
      <c r="I118" s="227">
        <v>0.41475000000000001</v>
      </c>
      <c r="J118" s="227">
        <v>0.18759140954157316</v>
      </c>
      <c r="K118" s="227">
        <v>94.745000000000005</v>
      </c>
      <c r="L118" s="227">
        <v>90.167000000000002</v>
      </c>
      <c r="M118" s="227">
        <v>92.593999999999994</v>
      </c>
      <c r="N118" s="227">
        <v>80.492999999999995</v>
      </c>
      <c r="O118" s="227">
        <v>80.063999999999993</v>
      </c>
      <c r="P118" s="227">
        <v>85.691999999999993</v>
      </c>
      <c r="Q118" s="227">
        <v>78.896000000000001</v>
      </c>
      <c r="R118" s="227">
        <v>82.480999999999995</v>
      </c>
      <c r="S118" s="227">
        <v>17.480999999999995</v>
      </c>
      <c r="T118" s="227">
        <v>79.5</v>
      </c>
      <c r="U118" s="227">
        <v>79.5</v>
      </c>
      <c r="V118" s="227">
        <v>79.5</v>
      </c>
      <c r="W118" s="227">
        <v>79.5</v>
      </c>
      <c r="X118" s="227">
        <v>79.5</v>
      </c>
      <c r="Y118" s="227">
        <v>79.5</v>
      </c>
      <c r="Z118" s="227">
        <v>79.5</v>
      </c>
      <c r="AA118" s="227">
        <v>79.5</v>
      </c>
      <c r="AB118" s="227">
        <v>109.71</v>
      </c>
      <c r="AC118" s="227">
        <v>0</v>
      </c>
      <c r="AD118" s="230">
        <v>1.2697916666666667E-3</v>
      </c>
      <c r="AE118" s="230">
        <v>658.26</v>
      </c>
      <c r="AF118" s="230">
        <v>3816</v>
      </c>
      <c r="AG118" s="230">
        <v>162078.97784391922</v>
      </c>
      <c r="AH118" s="230">
        <v>384116.3562056502</v>
      </c>
      <c r="AI118" s="230">
        <v>0</v>
      </c>
    </row>
    <row r="119" spans="5:35" x14ac:dyDescent="0.35">
      <c r="E119" s="226"/>
      <c r="F119" s="227">
        <v>1.7135986301369861</v>
      </c>
      <c r="G119" s="227">
        <v>625.46349999999995</v>
      </c>
      <c r="H119" s="227">
        <v>0.82940000000000003</v>
      </c>
      <c r="I119" s="227">
        <v>0.41876999999999998</v>
      </c>
      <c r="J119" s="227">
        <v>0.1883452289860176</v>
      </c>
      <c r="K119" s="227">
        <v>94.528999999999996</v>
      </c>
      <c r="L119" s="227">
        <v>90</v>
      </c>
      <c r="M119" s="227">
        <v>92.397999999999996</v>
      </c>
      <c r="N119" s="227">
        <v>80.372</v>
      </c>
      <c r="O119" s="227">
        <v>79.951999999999998</v>
      </c>
      <c r="P119" s="227">
        <v>85.545000000000002</v>
      </c>
      <c r="Q119" s="227">
        <v>78.799000000000007</v>
      </c>
      <c r="R119" s="227">
        <v>82.355999999999995</v>
      </c>
      <c r="S119" s="227">
        <v>17.355999999999995</v>
      </c>
      <c r="T119" s="227">
        <v>79.5</v>
      </c>
      <c r="U119" s="227">
        <v>79.5</v>
      </c>
      <c r="V119" s="227">
        <v>79.5</v>
      </c>
      <c r="W119" s="227">
        <v>79.5</v>
      </c>
      <c r="X119" s="227">
        <v>79.5</v>
      </c>
      <c r="Y119" s="227">
        <v>79.5</v>
      </c>
      <c r="Z119" s="227">
        <v>79.5</v>
      </c>
      <c r="AA119" s="227">
        <v>79.5</v>
      </c>
      <c r="AB119" s="227">
        <v>108.55</v>
      </c>
      <c r="AC119" s="227">
        <v>0</v>
      </c>
      <c r="AD119" s="230">
        <v>1.2563657407407406E-3</v>
      </c>
      <c r="AE119" s="230">
        <v>651.29999999999995</v>
      </c>
      <c r="AF119" s="230">
        <v>3816</v>
      </c>
      <c r="AG119" s="230">
        <v>162730.2778439192</v>
      </c>
      <c r="AH119" s="230">
        <v>387932.3562056502</v>
      </c>
      <c r="AI119" s="230">
        <v>0</v>
      </c>
    </row>
    <row r="120" spans="5:35" x14ac:dyDescent="0.35">
      <c r="E120" s="226"/>
      <c r="F120" s="227">
        <v>1.7300369863013698</v>
      </c>
      <c r="G120" s="227">
        <v>631.46349999999995</v>
      </c>
      <c r="H120" s="227">
        <v>0.83120000000000005</v>
      </c>
      <c r="I120" s="227">
        <v>0.42279</v>
      </c>
      <c r="J120" s="227">
        <v>0.1890912012082398</v>
      </c>
      <c r="K120" s="227">
        <v>94.316000000000003</v>
      </c>
      <c r="L120" s="227">
        <v>89.835999999999999</v>
      </c>
      <c r="M120" s="227">
        <v>92.203999999999994</v>
      </c>
      <c r="N120" s="227">
        <v>80.253</v>
      </c>
      <c r="O120" s="227">
        <v>79.840999999999994</v>
      </c>
      <c r="P120" s="227">
        <v>85.400999999999996</v>
      </c>
      <c r="Q120" s="227">
        <v>78.703999999999994</v>
      </c>
      <c r="R120" s="227">
        <v>82.231999999999999</v>
      </c>
      <c r="S120" s="227">
        <v>17.231999999999999</v>
      </c>
      <c r="T120" s="227">
        <v>79.5</v>
      </c>
      <c r="U120" s="227">
        <v>79.5</v>
      </c>
      <c r="V120" s="227">
        <v>79.5</v>
      </c>
      <c r="W120" s="227">
        <v>79.5</v>
      </c>
      <c r="X120" s="227">
        <v>79.5</v>
      </c>
      <c r="Y120" s="227">
        <v>79.5</v>
      </c>
      <c r="Z120" s="227">
        <v>79.5</v>
      </c>
      <c r="AA120" s="227">
        <v>79.5</v>
      </c>
      <c r="AB120" s="227">
        <v>107.42</v>
      </c>
      <c r="AC120" s="227">
        <v>0</v>
      </c>
      <c r="AD120" s="230">
        <v>1.2432870370370371E-3</v>
      </c>
      <c r="AE120" s="230">
        <v>644.52</v>
      </c>
      <c r="AF120" s="230">
        <v>3816</v>
      </c>
      <c r="AG120" s="230">
        <v>163374.79784391919</v>
      </c>
      <c r="AH120" s="230">
        <v>391748.3562056502</v>
      </c>
      <c r="AI120" s="230">
        <v>0</v>
      </c>
    </row>
    <row r="121" spans="5:35" x14ac:dyDescent="0.35">
      <c r="E121" s="226"/>
      <c r="F121" s="227">
        <v>1.7464753424657533</v>
      </c>
      <c r="G121" s="227">
        <v>637.46349999999995</v>
      </c>
      <c r="H121" s="227">
        <v>0.83289999999999997</v>
      </c>
      <c r="I121" s="227">
        <v>0.42681000000000002</v>
      </c>
      <c r="J121" s="227">
        <v>0.18982946509712867</v>
      </c>
      <c r="K121" s="227">
        <v>94.108000000000004</v>
      </c>
      <c r="L121" s="227">
        <v>89.674000000000007</v>
      </c>
      <c r="M121" s="227">
        <v>92.015000000000001</v>
      </c>
      <c r="N121" s="227">
        <v>80.137</v>
      </c>
      <c r="O121" s="227">
        <v>79.731999999999999</v>
      </c>
      <c r="P121" s="227">
        <v>85.26</v>
      </c>
      <c r="Q121" s="227">
        <v>78.611000000000004</v>
      </c>
      <c r="R121" s="227">
        <v>82.111000000000004</v>
      </c>
      <c r="S121" s="227">
        <v>17.111000000000004</v>
      </c>
      <c r="T121" s="227">
        <v>79.5</v>
      </c>
      <c r="U121" s="227">
        <v>79.5</v>
      </c>
      <c r="V121" s="227">
        <v>79.5</v>
      </c>
      <c r="W121" s="227">
        <v>79.5</v>
      </c>
      <c r="X121" s="227">
        <v>79.5</v>
      </c>
      <c r="Y121" s="227">
        <v>79.5</v>
      </c>
      <c r="Z121" s="227">
        <v>79.5</v>
      </c>
      <c r="AA121" s="227">
        <v>79.5</v>
      </c>
      <c r="AB121" s="227">
        <v>106.31</v>
      </c>
      <c r="AC121" s="227">
        <v>0</v>
      </c>
      <c r="AD121" s="230">
        <v>1.2304398148148149E-3</v>
      </c>
      <c r="AE121" s="230">
        <v>637.86</v>
      </c>
      <c r="AF121" s="230">
        <v>3816</v>
      </c>
      <c r="AG121" s="230">
        <v>164012.65784391918</v>
      </c>
      <c r="AH121" s="230">
        <v>395564.3562056502</v>
      </c>
      <c r="AI121" s="230">
        <v>0</v>
      </c>
    </row>
    <row r="122" spans="5:35" x14ac:dyDescent="0.35">
      <c r="E122" s="226"/>
      <c r="F122" s="227">
        <v>1.7629136986301368</v>
      </c>
      <c r="G122" s="227">
        <v>643.46349999999995</v>
      </c>
      <c r="H122" s="227">
        <v>0.83460000000000001</v>
      </c>
      <c r="I122" s="227">
        <v>0.43081999999999998</v>
      </c>
      <c r="J122" s="227">
        <v>0.19056022898601757</v>
      </c>
      <c r="K122" s="227">
        <v>93.905000000000001</v>
      </c>
      <c r="L122" s="227">
        <v>89.515000000000001</v>
      </c>
      <c r="M122" s="227">
        <v>91.83</v>
      </c>
      <c r="N122" s="227">
        <v>80.024000000000001</v>
      </c>
      <c r="O122" s="227">
        <v>79.626000000000005</v>
      </c>
      <c r="P122" s="227">
        <v>85.122</v>
      </c>
      <c r="Q122" s="227">
        <v>78.52</v>
      </c>
      <c r="R122" s="227">
        <v>81.992999999999995</v>
      </c>
      <c r="S122" s="227">
        <v>16.992999999999995</v>
      </c>
      <c r="T122" s="227">
        <v>79.5</v>
      </c>
      <c r="U122" s="227">
        <v>79.5</v>
      </c>
      <c r="V122" s="227">
        <v>79.5</v>
      </c>
      <c r="W122" s="227">
        <v>79.5</v>
      </c>
      <c r="X122" s="227">
        <v>79.5</v>
      </c>
      <c r="Y122" s="227">
        <v>79.5</v>
      </c>
      <c r="Z122" s="227">
        <v>79.5</v>
      </c>
      <c r="AA122" s="227">
        <v>79.5</v>
      </c>
      <c r="AB122" s="227">
        <v>105.23</v>
      </c>
      <c r="AC122" s="227">
        <v>0</v>
      </c>
      <c r="AD122" s="230">
        <v>1.2179398148148149E-3</v>
      </c>
      <c r="AE122" s="230">
        <v>631.38000000000011</v>
      </c>
      <c r="AF122" s="230">
        <v>3816</v>
      </c>
      <c r="AG122" s="230">
        <v>164644.03784391918</v>
      </c>
      <c r="AH122" s="230">
        <v>399380.3562056502</v>
      </c>
      <c r="AI122" s="230">
        <v>0</v>
      </c>
    </row>
    <row r="123" spans="5:35" x14ac:dyDescent="0.35">
      <c r="E123" s="226"/>
      <c r="F123" s="227">
        <v>1.7793520547945205</v>
      </c>
      <c r="G123" s="227">
        <v>649.46349999999995</v>
      </c>
      <c r="H123" s="227">
        <v>0.83630000000000004</v>
      </c>
      <c r="I123" s="227">
        <v>0.43484</v>
      </c>
      <c r="J123" s="227">
        <v>0.19128363176379534</v>
      </c>
      <c r="K123" s="227">
        <v>93.703999999999994</v>
      </c>
      <c r="L123" s="227">
        <v>89.356999999999999</v>
      </c>
      <c r="M123" s="227">
        <v>91.647999999999996</v>
      </c>
      <c r="N123" s="227">
        <v>79.912999999999997</v>
      </c>
      <c r="O123" s="227">
        <v>79.52</v>
      </c>
      <c r="P123" s="227">
        <v>84.986000000000004</v>
      </c>
      <c r="Q123" s="227">
        <v>78.430000000000007</v>
      </c>
      <c r="R123" s="227">
        <v>81.875</v>
      </c>
      <c r="S123" s="227">
        <v>16.875</v>
      </c>
      <c r="T123" s="227">
        <v>79.5</v>
      </c>
      <c r="U123" s="227">
        <v>79.5</v>
      </c>
      <c r="V123" s="227">
        <v>79.5</v>
      </c>
      <c r="W123" s="227">
        <v>79.5</v>
      </c>
      <c r="X123" s="227">
        <v>79.5</v>
      </c>
      <c r="Y123" s="227">
        <v>79.5</v>
      </c>
      <c r="Z123" s="227">
        <v>79.5</v>
      </c>
      <c r="AA123" s="227">
        <v>79.5</v>
      </c>
      <c r="AB123" s="227">
        <v>104.17</v>
      </c>
      <c r="AC123" s="227">
        <v>0</v>
      </c>
      <c r="AD123" s="230">
        <v>1.2056712962962963E-3</v>
      </c>
      <c r="AE123" s="230">
        <v>625.02</v>
      </c>
      <c r="AF123" s="230">
        <v>3816</v>
      </c>
      <c r="AG123" s="230">
        <v>165269.05784391917</v>
      </c>
      <c r="AH123" s="230">
        <v>403196.3562056502</v>
      </c>
      <c r="AI123" s="230">
        <v>0</v>
      </c>
    </row>
    <row r="124" spans="5:35" x14ac:dyDescent="0.35">
      <c r="E124" s="226"/>
      <c r="F124" s="227">
        <v>1.795790410958904</v>
      </c>
      <c r="G124" s="227">
        <v>655.46349999999995</v>
      </c>
      <c r="H124" s="227">
        <v>0.83789999999999998</v>
      </c>
      <c r="I124" s="227">
        <v>0.43885999999999997</v>
      </c>
      <c r="J124" s="227">
        <v>0.19199988176379534</v>
      </c>
      <c r="K124" s="227">
        <v>93.507999999999996</v>
      </c>
      <c r="L124" s="227">
        <v>89.2</v>
      </c>
      <c r="M124" s="227">
        <v>91.468999999999994</v>
      </c>
      <c r="N124" s="227">
        <v>79.805000000000007</v>
      </c>
      <c r="O124" s="227">
        <v>79.417000000000002</v>
      </c>
      <c r="P124" s="227">
        <v>84.852999999999994</v>
      </c>
      <c r="Q124" s="227">
        <v>78.341999999999999</v>
      </c>
      <c r="R124" s="227">
        <v>81.760999999999996</v>
      </c>
      <c r="S124" s="227">
        <v>16.760999999999996</v>
      </c>
      <c r="T124" s="227">
        <v>79.5</v>
      </c>
      <c r="U124" s="227">
        <v>79.5</v>
      </c>
      <c r="V124" s="227">
        <v>79.5</v>
      </c>
      <c r="W124" s="227">
        <v>79.5</v>
      </c>
      <c r="X124" s="227">
        <v>79.5</v>
      </c>
      <c r="Y124" s="227">
        <v>79.5</v>
      </c>
      <c r="Z124" s="227">
        <v>79.5</v>
      </c>
      <c r="AA124" s="227">
        <v>79.5</v>
      </c>
      <c r="AB124" s="227">
        <v>103.14</v>
      </c>
      <c r="AC124" s="227">
        <v>0</v>
      </c>
      <c r="AD124" s="230">
        <v>1.1937499999999999E-3</v>
      </c>
      <c r="AE124" s="230">
        <v>618.83999999999992</v>
      </c>
      <c r="AF124" s="230">
        <v>3816</v>
      </c>
      <c r="AG124" s="230">
        <v>165887.89784391917</v>
      </c>
      <c r="AH124" s="230">
        <v>407012.3562056502</v>
      </c>
      <c r="AI124" s="230">
        <v>0</v>
      </c>
    </row>
    <row r="125" spans="5:35" x14ac:dyDescent="0.35">
      <c r="E125" s="226"/>
      <c r="F125" s="227">
        <v>1.8122287671232875</v>
      </c>
      <c r="G125" s="227">
        <v>661.46349999999995</v>
      </c>
      <c r="H125" s="227">
        <v>0.83950000000000002</v>
      </c>
      <c r="I125" s="227">
        <v>0.44286999999999999</v>
      </c>
      <c r="J125" s="227">
        <v>0.19270904843046199</v>
      </c>
      <c r="K125" s="227">
        <v>93.316000000000003</v>
      </c>
      <c r="L125" s="227">
        <v>89.046999999999997</v>
      </c>
      <c r="M125" s="227">
        <v>91.295000000000002</v>
      </c>
      <c r="N125" s="227">
        <v>79.698999999999998</v>
      </c>
      <c r="O125" s="227">
        <v>79.316000000000003</v>
      </c>
      <c r="P125" s="227">
        <v>84.722999999999999</v>
      </c>
      <c r="Q125" s="227">
        <v>78.256</v>
      </c>
      <c r="R125" s="227">
        <v>81.647999999999996</v>
      </c>
      <c r="S125" s="227">
        <v>16.647999999999996</v>
      </c>
      <c r="T125" s="227">
        <v>79.5</v>
      </c>
      <c r="U125" s="227">
        <v>79.5</v>
      </c>
      <c r="V125" s="227">
        <v>79.5</v>
      </c>
      <c r="W125" s="227">
        <v>79.5</v>
      </c>
      <c r="X125" s="227">
        <v>79.5</v>
      </c>
      <c r="Y125" s="227">
        <v>79.5</v>
      </c>
      <c r="Z125" s="227">
        <v>79.5</v>
      </c>
      <c r="AA125" s="227">
        <v>79.5</v>
      </c>
      <c r="AB125" s="227">
        <v>102.12</v>
      </c>
      <c r="AC125" s="227">
        <v>0</v>
      </c>
      <c r="AD125" s="230">
        <v>1.1819444444444444E-3</v>
      </c>
      <c r="AE125" s="230">
        <v>612.71999999999991</v>
      </c>
      <c r="AF125" s="230">
        <v>3816</v>
      </c>
      <c r="AG125" s="230">
        <v>166500.61784391917</v>
      </c>
      <c r="AH125" s="230">
        <v>410828.3562056502</v>
      </c>
      <c r="AI125" s="230">
        <v>0</v>
      </c>
    </row>
    <row r="126" spans="5:35" x14ac:dyDescent="0.35">
      <c r="E126" s="226"/>
      <c r="F126" s="227">
        <v>1.828667123287671</v>
      </c>
      <c r="G126" s="227">
        <v>667.46349999999995</v>
      </c>
      <c r="H126" s="227">
        <v>0.84109999999999996</v>
      </c>
      <c r="I126" s="227">
        <v>0.44689000000000001</v>
      </c>
      <c r="J126" s="227">
        <v>0.19341134009712868</v>
      </c>
      <c r="K126" s="227">
        <v>93.128</v>
      </c>
      <c r="L126" s="227">
        <v>88.894999999999996</v>
      </c>
      <c r="M126" s="227">
        <v>91.123999999999995</v>
      </c>
      <c r="N126" s="227">
        <v>79.596000000000004</v>
      </c>
      <c r="O126" s="227">
        <v>79.215999999999994</v>
      </c>
      <c r="P126" s="227">
        <v>84.594999999999999</v>
      </c>
      <c r="Q126" s="227">
        <v>78.171999999999997</v>
      </c>
      <c r="R126" s="227">
        <v>81.537999999999997</v>
      </c>
      <c r="S126" s="227">
        <v>16.537999999999997</v>
      </c>
      <c r="T126" s="227">
        <v>79.5</v>
      </c>
      <c r="U126" s="227">
        <v>79.5</v>
      </c>
      <c r="V126" s="227">
        <v>79.5</v>
      </c>
      <c r="W126" s="227">
        <v>79.5</v>
      </c>
      <c r="X126" s="227">
        <v>79.5</v>
      </c>
      <c r="Y126" s="227">
        <v>79.5</v>
      </c>
      <c r="Z126" s="227">
        <v>79.5</v>
      </c>
      <c r="AA126" s="227">
        <v>79.5</v>
      </c>
      <c r="AB126" s="227">
        <v>101.13</v>
      </c>
      <c r="AC126" s="227">
        <v>0</v>
      </c>
      <c r="AD126" s="230">
        <v>1.1704861111111111E-3</v>
      </c>
      <c r="AE126" s="230">
        <v>606.78</v>
      </c>
      <c r="AF126" s="230">
        <v>3816</v>
      </c>
      <c r="AG126" s="230">
        <v>167107.39784391917</v>
      </c>
      <c r="AH126" s="230">
        <v>414644.3562056502</v>
      </c>
      <c r="AI126" s="230">
        <v>0</v>
      </c>
    </row>
    <row r="127" spans="5:35" x14ac:dyDescent="0.35">
      <c r="E127" s="226"/>
      <c r="F127" s="227">
        <v>1.8451054794520547</v>
      </c>
      <c r="G127" s="227">
        <v>673.46349999999995</v>
      </c>
      <c r="H127" s="227">
        <v>0.84260000000000002</v>
      </c>
      <c r="I127" s="227">
        <v>0.45090999999999998</v>
      </c>
      <c r="J127" s="227">
        <v>0.19410682620823977</v>
      </c>
      <c r="K127" s="227">
        <v>92.941000000000003</v>
      </c>
      <c r="L127" s="227">
        <v>88.745000000000005</v>
      </c>
      <c r="M127" s="227">
        <v>90.954999999999998</v>
      </c>
      <c r="N127" s="227">
        <v>79.494</v>
      </c>
      <c r="O127" s="227">
        <v>79.117999999999995</v>
      </c>
      <c r="P127" s="227">
        <v>84.468999999999994</v>
      </c>
      <c r="Q127" s="227">
        <v>78.087999999999994</v>
      </c>
      <c r="R127" s="227">
        <v>81.429000000000002</v>
      </c>
      <c r="S127" s="227">
        <v>16.429000000000002</v>
      </c>
      <c r="T127" s="227">
        <v>79.5</v>
      </c>
      <c r="U127" s="227">
        <v>79.5</v>
      </c>
      <c r="V127" s="227">
        <v>79.5</v>
      </c>
      <c r="W127" s="227">
        <v>79.5</v>
      </c>
      <c r="X127" s="227">
        <v>79.5</v>
      </c>
      <c r="Y127" s="227">
        <v>79.5</v>
      </c>
      <c r="Z127" s="227">
        <v>79.5</v>
      </c>
      <c r="AA127" s="227">
        <v>79.5</v>
      </c>
      <c r="AB127" s="227">
        <v>100.15</v>
      </c>
      <c r="AC127" s="227">
        <v>0</v>
      </c>
      <c r="AD127" s="230">
        <v>1.1591435185185186E-3</v>
      </c>
      <c r="AE127" s="230">
        <v>600.9</v>
      </c>
      <c r="AF127" s="230">
        <v>3816</v>
      </c>
      <c r="AG127" s="230">
        <v>167708.29784391916</v>
      </c>
      <c r="AH127" s="230">
        <v>418460.3562056502</v>
      </c>
      <c r="AI127" s="230">
        <v>0</v>
      </c>
    </row>
    <row r="128" spans="5:35" x14ac:dyDescent="0.35">
      <c r="E128" s="226"/>
      <c r="F128" s="227">
        <v>1.8615438356164382</v>
      </c>
      <c r="G128" s="227">
        <v>679.46349999999995</v>
      </c>
      <c r="H128" s="227">
        <v>0.84409999999999996</v>
      </c>
      <c r="I128" s="227">
        <v>0.45493</v>
      </c>
      <c r="J128" s="227">
        <v>0.19479569426379534</v>
      </c>
      <c r="K128" s="227">
        <v>92.757999999999996</v>
      </c>
      <c r="L128" s="227">
        <v>88.596000000000004</v>
      </c>
      <c r="M128" s="227">
        <v>90.789000000000001</v>
      </c>
      <c r="N128" s="227">
        <v>79.394999999999996</v>
      </c>
      <c r="O128" s="227">
        <v>79.022000000000006</v>
      </c>
      <c r="P128" s="227">
        <v>84.344999999999999</v>
      </c>
      <c r="Q128" s="227">
        <v>78.007000000000005</v>
      </c>
      <c r="R128" s="227">
        <v>81.322000000000003</v>
      </c>
      <c r="S128" s="227">
        <v>16.322000000000003</v>
      </c>
      <c r="T128" s="227">
        <v>79.5</v>
      </c>
      <c r="U128" s="227">
        <v>79.5</v>
      </c>
      <c r="V128" s="227">
        <v>79.5</v>
      </c>
      <c r="W128" s="227">
        <v>79.5</v>
      </c>
      <c r="X128" s="227">
        <v>79.5</v>
      </c>
      <c r="Y128" s="227">
        <v>79.5</v>
      </c>
      <c r="Z128" s="227">
        <v>79.5</v>
      </c>
      <c r="AA128" s="227">
        <v>79.5</v>
      </c>
      <c r="AB128" s="227">
        <v>99.197000000000003</v>
      </c>
      <c r="AC128" s="227">
        <v>0</v>
      </c>
      <c r="AD128" s="230">
        <v>1.1481134259259259E-3</v>
      </c>
      <c r="AE128" s="230">
        <v>595.18200000000002</v>
      </c>
      <c r="AF128" s="230">
        <v>3816</v>
      </c>
      <c r="AG128" s="230">
        <v>168303.47984391917</v>
      </c>
      <c r="AH128" s="230">
        <v>422276.3562056502</v>
      </c>
      <c r="AI128" s="230">
        <v>0</v>
      </c>
    </row>
    <row r="129" spans="5:35" x14ac:dyDescent="0.35">
      <c r="E129" s="226"/>
      <c r="F129" s="227">
        <v>1.8779821917808217</v>
      </c>
      <c r="G129" s="227">
        <v>685.46349999999995</v>
      </c>
      <c r="H129" s="227">
        <v>0.84550000000000003</v>
      </c>
      <c r="I129" s="227">
        <v>0.45894000000000001</v>
      </c>
      <c r="J129" s="227">
        <v>0.19547807620823979</v>
      </c>
      <c r="K129" s="227">
        <v>92.578999999999994</v>
      </c>
      <c r="L129" s="227">
        <v>88.45</v>
      </c>
      <c r="M129" s="227">
        <v>90.626999999999995</v>
      </c>
      <c r="N129" s="227">
        <v>79.296999999999997</v>
      </c>
      <c r="O129" s="227">
        <v>78.927000000000007</v>
      </c>
      <c r="P129" s="227">
        <v>84.224000000000004</v>
      </c>
      <c r="Q129" s="227">
        <v>77.927000000000007</v>
      </c>
      <c r="R129" s="227">
        <v>81.216999999999999</v>
      </c>
      <c r="S129" s="227">
        <v>16.216999999999999</v>
      </c>
      <c r="T129" s="227">
        <v>79.5</v>
      </c>
      <c r="U129" s="227">
        <v>79.5</v>
      </c>
      <c r="V129" s="227">
        <v>79.5</v>
      </c>
      <c r="W129" s="227">
        <v>79.5</v>
      </c>
      <c r="X129" s="227">
        <v>79.5</v>
      </c>
      <c r="Y129" s="227">
        <v>79.5</v>
      </c>
      <c r="Z129" s="227">
        <v>79.5</v>
      </c>
      <c r="AA129" s="227">
        <v>79.5</v>
      </c>
      <c r="AB129" s="227">
        <v>98.263000000000005</v>
      </c>
      <c r="AC129" s="227">
        <v>0</v>
      </c>
      <c r="AD129" s="230">
        <v>1.1373032407407408E-3</v>
      </c>
      <c r="AE129" s="230">
        <v>589.57800000000009</v>
      </c>
      <c r="AF129" s="230">
        <v>3816</v>
      </c>
      <c r="AG129" s="230">
        <v>168893.05784391917</v>
      </c>
      <c r="AH129" s="230">
        <v>426092.3562056502</v>
      </c>
      <c r="AI129" s="230">
        <v>0</v>
      </c>
    </row>
    <row r="130" spans="5:35" x14ac:dyDescent="0.35">
      <c r="E130" s="226"/>
      <c r="F130" s="227">
        <v>1.8944205479452054</v>
      </c>
      <c r="G130" s="227">
        <v>691.46349999999995</v>
      </c>
      <c r="H130" s="227">
        <v>0.84699999999999998</v>
      </c>
      <c r="I130" s="227">
        <v>0.46295999999999998</v>
      </c>
      <c r="J130" s="227">
        <v>0.19615409009712867</v>
      </c>
      <c r="K130" s="227">
        <v>92.403000000000006</v>
      </c>
      <c r="L130" s="227">
        <v>88.304000000000002</v>
      </c>
      <c r="M130" s="227">
        <v>90.466999999999999</v>
      </c>
      <c r="N130" s="227">
        <v>79.201999999999998</v>
      </c>
      <c r="O130" s="227">
        <v>78.834000000000003</v>
      </c>
      <c r="P130" s="227">
        <v>84.103999999999999</v>
      </c>
      <c r="Q130" s="227">
        <v>77.849000000000004</v>
      </c>
      <c r="R130" s="227">
        <v>81.114000000000004</v>
      </c>
      <c r="S130" s="227">
        <v>16.114000000000004</v>
      </c>
      <c r="T130" s="227">
        <v>79.5</v>
      </c>
      <c r="U130" s="227">
        <v>79.5</v>
      </c>
      <c r="V130" s="227">
        <v>79.5</v>
      </c>
      <c r="W130" s="227">
        <v>79.5</v>
      </c>
      <c r="X130" s="227">
        <v>79.5</v>
      </c>
      <c r="Y130" s="227">
        <v>79.5</v>
      </c>
      <c r="Z130" s="227">
        <v>79.5</v>
      </c>
      <c r="AA130" s="227">
        <v>79.5</v>
      </c>
      <c r="AB130" s="227">
        <v>97.346000000000004</v>
      </c>
      <c r="AC130" s="227">
        <v>0</v>
      </c>
      <c r="AD130" s="230">
        <v>1.126689814814815E-3</v>
      </c>
      <c r="AE130" s="230">
        <v>584.07600000000014</v>
      </c>
      <c r="AF130" s="230">
        <v>3816</v>
      </c>
      <c r="AG130" s="230">
        <v>169477.13384391917</v>
      </c>
      <c r="AH130" s="230">
        <v>429908.3562056502</v>
      </c>
      <c r="AI130" s="230">
        <v>0</v>
      </c>
    </row>
    <row r="131" spans="5:35" x14ac:dyDescent="0.35">
      <c r="E131" s="226"/>
      <c r="F131" s="227">
        <v>1.9108589041095889</v>
      </c>
      <c r="G131" s="227">
        <v>697.46349999999995</v>
      </c>
      <c r="H131" s="227">
        <v>0.84840000000000004</v>
      </c>
      <c r="I131" s="227">
        <v>0.46698000000000001</v>
      </c>
      <c r="J131" s="227">
        <v>0.19682389565268424</v>
      </c>
      <c r="K131" s="227">
        <v>92.231999999999999</v>
      </c>
      <c r="L131" s="227">
        <v>88.162000000000006</v>
      </c>
      <c r="M131" s="227">
        <v>90.311999999999998</v>
      </c>
      <c r="N131" s="227">
        <v>79.108000000000004</v>
      </c>
      <c r="O131" s="227">
        <v>78.744</v>
      </c>
      <c r="P131" s="227">
        <v>83.988</v>
      </c>
      <c r="Q131" s="227">
        <v>77.772000000000006</v>
      </c>
      <c r="R131" s="227">
        <v>81.013000000000005</v>
      </c>
      <c r="S131" s="227">
        <v>16.013000000000005</v>
      </c>
      <c r="T131" s="227">
        <v>79.5</v>
      </c>
      <c r="U131" s="227">
        <v>79.5</v>
      </c>
      <c r="V131" s="227">
        <v>79.5</v>
      </c>
      <c r="W131" s="227">
        <v>79.5</v>
      </c>
      <c r="X131" s="227">
        <v>79.5</v>
      </c>
      <c r="Y131" s="227">
        <v>79.5</v>
      </c>
      <c r="Z131" s="227">
        <v>79.5</v>
      </c>
      <c r="AA131" s="227">
        <v>79.5</v>
      </c>
      <c r="AB131" s="227">
        <v>96.451999999999998</v>
      </c>
      <c r="AC131" s="227">
        <v>0</v>
      </c>
      <c r="AD131" s="230">
        <v>1.1163425925925926E-3</v>
      </c>
      <c r="AE131" s="230">
        <v>578.71199999999999</v>
      </c>
      <c r="AF131" s="230">
        <v>3816</v>
      </c>
      <c r="AG131" s="230">
        <v>170055.84584391917</v>
      </c>
      <c r="AH131" s="230">
        <v>433724.3562056502</v>
      </c>
      <c r="AI131" s="230">
        <v>0</v>
      </c>
    </row>
    <row r="132" spans="5:35" x14ac:dyDescent="0.35">
      <c r="E132" s="226"/>
      <c r="F132" s="227">
        <v>1.9272972602739724</v>
      </c>
      <c r="G132" s="227">
        <v>703.46349999999995</v>
      </c>
      <c r="H132" s="227">
        <v>0.8498</v>
      </c>
      <c r="I132" s="227">
        <v>0.47099000000000002</v>
      </c>
      <c r="J132" s="227">
        <v>0.19748757620823981</v>
      </c>
      <c r="K132" s="227">
        <v>92.061000000000007</v>
      </c>
      <c r="L132" s="227">
        <v>88.02</v>
      </c>
      <c r="M132" s="227">
        <v>90.156999999999996</v>
      </c>
      <c r="N132" s="227">
        <v>79.016000000000005</v>
      </c>
      <c r="O132" s="227">
        <v>78.653999999999996</v>
      </c>
      <c r="P132" s="227">
        <v>83.872</v>
      </c>
      <c r="Q132" s="227">
        <v>77.695999999999998</v>
      </c>
      <c r="R132" s="227">
        <v>80.912999999999997</v>
      </c>
      <c r="S132" s="227">
        <v>15.912999999999997</v>
      </c>
      <c r="T132" s="227">
        <v>79.5</v>
      </c>
      <c r="U132" s="227">
        <v>79.5</v>
      </c>
      <c r="V132" s="227">
        <v>79.5</v>
      </c>
      <c r="W132" s="227">
        <v>79.5</v>
      </c>
      <c r="X132" s="227">
        <v>79.5</v>
      </c>
      <c r="Y132" s="227">
        <v>79.5</v>
      </c>
      <c r="Z132" s="227">
        <v>79.5</v>
      </c>
      <c r="AA132" s="227">
        <v>79.5</v>
      </c>
      <c r="AB132" s="227">
        <v>95.57</v>
      </c>
      <c r="AC132" s="227">
        <v>0</v>
      </c>
      <c r="AD132" s="230">
        <v>1.1061342592592592E-3</v>
      </c>
      <c r="AE132" s="230">
        <v>573.41999999999996</v>
      </c>
      <c r="AF132" s="230">
        <v>3816</v>
      </c>
      <c r="AG132" s="230">
        <v>170629.26584391919</v>
      </c>
      <c r="AH132" s="230">
        <v>437540.3562056502</v>
      </c>
      <c r="AI132" s="230">
        <v>0</v>
      </c>
    </row>
    <row r="133" spans="5:35" x14ac:dyDescent="0.35">
      <c r="E133" s="226"/>
      <c r="F133" s="227">
        <v>1.9437356164383561</v>
      </c>
      <c r="G133" s="227">
        <v>709.46349999999995</v>
      </c>
      <c r="H133" s="227">
        <v>0.85109999999999997</v>
      </c>
      <c r="I133" s="227">
        <v>0.47500999999999999</v>
      </c>
      <c r="J133" s="227">
        <v>0.19814524981935092</v>
      </c>
      <c r="K133" s="227">
        <v>91.893000000000001</v>
      </c>
      <c r="L133" s="227">
        <v>87.88</v>
      </c>
      <c r="M133" s="227">
        <v>90.004999999999995</v>
      </c>
      <c r="N133" s="227">
        <v>78.926000000000002</v>
      </c>
      <c r="O133" s="227">
        <v>78.564999999999998</v>
      </c>
      <c r="P133" s="227">
        <v>83.757999999999996</v>
      </c>
      <c r="Q133" s="227">
        <v>77.622</v>
      </c>
      <c r="R133" s="227">
        <v>80.814999999999998</v>
      </c>
      <c r="S133" s="227">
        <v>15.814999999999998</v>
      </c>
      <c r="T133" s="227">
        <v>79.5</v>
      </c>
      <c r="U133" s="227">
        <v>79.5</v>
      </c>
      <c r="V133" s="227">
        <v>79.5</v>
      </c>
      <c r="W133" s="227">
        <v>79.5</v>
      </c>
      <c r="X133" s="227">
        <v>79.5</v>
      </c>
      <c r="Y133" s="227">
        <v>79.5</v>
      </c>
      <c r="Z133" s="227">
        <v>79.5</v>
      </c>
      <c r="AA133" s="227">
        <v>79.5</v>
      </c>
      <c r="AB133" s="227">
        <v>94.704999999999998</v>
      </c>
      <c r="AC133" s="227">
        <v>0</v>
      </c>
      <c r="AD133" s="230">
        <v>1.0961226851851852E-3</v>
      </c>
      <c r="AE133" s="230">
        <v>568.23</v>
      </c>
      <c r="AF133" s="230">
        <v>3816</v>
      </c>
      <c r="AG133" s="230">
        <v>171197.4958439192</v>
      </c>
      <c r="AH133" s="230">
        <v>441356.3562056502</v>
      </c>
      <c r="AI133" s="230">
        <v>0</v>
      </c>
    </row>
    <row r="134" spans="5:35" x14ac:dyDescent="0.35">
      <c r="E134" s="226"/>
      <c r="F134" s="227">
        <v>1.9601739726027396</v>
      </c>
      <c r="G134" s="227">
        <v>715.46349999999995</v>
      </c>
      <c r="H134" s="227">
        <v>0.85250000000000004</v>
      </c>
      <c r="I134" s="227">
        <v>0.47903000000000001</v>
      </c>
      <c r="J134" s="227">
        <v>0.19879702759712869</v>
      </c>
      <c r="K134" s="227">
        <v>91.728999999999999</v>
      </c>
      <c r="L134" s="227">
        <v>87.742000000000004</v>
      </c>
      <c r="M134" s="227">
        <v>89.856999999999999</v>
      </c>
      <c r="N134" s="227">
        <v>78.837000000000003</v>
      </c>
      <c r="O134" s="227">
        <v>78.477999999999994</v>
      </c>
      <c r="P134" s="227">
        <v>83.647000000000006</v>
      </c>
      <c r="Q134" s="227">
        <v>77.549000000000007</v>
      </c>
      <c r="R134" s="227">
        <v>80.718000000000004</v>
      </c>
      <c r="S134" s="227">
        <v>15.718000000000004</v>
      </c>
      <c r="T134" s="227">
        <v>79.5</v>
      </c>
      <c r="U134" s="227">
        <v>79.5</v>
      </c>
      <c r="V134" s="227">
        <v>79.5</v>
      </c>
      <c r="W134" s="227">
        <v>79.5</v>
      </c>
      <c r="X134" s="227">
        <v>79.5</v>
      </c>
      <c r="Y134" s="227">
        <v>79.5</v>
      </c>
      <c r="Z134" s="227">
        <v>79.5</v>
      </c>
      <c r="AA134" s="227">
        <v>79.5</v>
      </c>
      <c r="AB134" s="227">
        <v>93.855999999999995</v>
      </c>
      <c r="AC134" s="227">
        <v>0</v>
      </c>
      <c r="AD134" s="230">
        <v>1.0862962962962961E-3</v>
      </c>
      <c r="AE134" s="230">
        <v>563.13599999999997</v>
      </c>
      <c r="AF134" s="230">
        <v>3816</v>
      </c>
      <c r="AG134" s="230">
        <v>171760.6318439192</v>
      </c>
      <c r="AH134" s="230">
        <v>445172.3562056502</v>
      </c>
      <c r="AI134" s="230">
        <v>0</v>
      </c>
    </row>
    <row r="135" spans="5:35" x14ac:dyDescent="0.35">
      <c r="E135" s="226"/>
      <c r="F135" s="227">
        <v>1.9766123287671231</v>
      </c>
      <c r="G135" s="227">
        <v>721.46349999999995</v>
      </c>
      <c r="H135" s="227">
        <v>0.8538</v>
      </c>
      <c r="I135" s="227">
        <v>0.48304999999999998</v>
      </c>
      <c r="J135" s="227">
        <v>0.19944303454157314</v>
      </c>
      <c r="K135" s="227">
        <v>91.566999999999993</v>
      </c>
      <c r="L135" s="227">
        <v>87.605000000000004</v>
      </c>
      <c r="M135" s="227">
        <v>89.71</v>
      </c>
      <c r="N135" s="227">
        <v>78.75</v>
      </c>
      <c r="O135" s="227">
        <v>78.393000000000001</v>
      </c>
      <c r="P135" s="227">
        <v>83.537000000000006</v>
      </c>
      <c r="Q135" s="227">
        <v>77.477000000000004</v>
      </c>
      <c r="R135" s="227">
        <v>80.623999999999995</v>
      </c>
      <c r="S135" s="227">
        <v>15.623999999999995</v>
      </c>
      <c r="T135" s="227">
        <v>79.5</v>
      </c>
      <c r="U135" s="227">
        <v>79.5</v>
      </c>
      <c r="V135" s="227">
        <v>79.5</v>
      </c>
      <c r="W135" s="227">
        <v>79.5</v>
      </c>
      <c r="X135" s="227">
        <v>79.5</v>
      </c>
      <c r="Y135" s="227">
        <v>79.5</v>
      </c>
      <c r="Z135" s="227">
        <v>79.5</v>
      </c>
      <c r="AA135" s="227">
        <v>79.5</v>
      </c>
      <c r="AB135" s="227">
        <v>93.025000000000006</v>
      </c>
      <c r="AC135" s="227">
        <v>0</v>
      </c>
      <c r="AD135" s="230">
        <v>1.0766782407407409E-3</v>
      </c>
      <c r="AE135" s="230">
        <v>558.15000000000009</v>
      </c>
      <c r="AF135" s="230">
        <v>3816</v>
      </c>
      <c r="AG135" s="230">
        <v>172318.78184391919</v>
      </c>
      <c r="AH135" s="230">
        <v>448988.3562056502</v>
      </c>
      <c r="AI135" s="230">
        <v>0</v>
      </c>
    </row>
    <row r="136" spans="5:35" x14ac:dyDescent="0.35">
      <c r="E136" s="226"/>
      <c r="F136" s="227">
        <v>1.9930506849315068</v>
      </c>
      <c r="G136" s="227">
        <v>727.46349999999995</v>
      </c>
      <c r="H136" s="227">
        <v>0.85509999999999997</v>
      </c>
      <c r="I136" s="227">
        <v>0.48705999999999999</v>
      </c>
      <c r="J136" s="227">
        <v>0.2000833887082398</v>
      </c>
      <c r="K136" s="227">
        <v>91.408000000000001</v>
      </c>
      <c r="L136" s="227">
        <v>87.47</v>
      </c>
      <c r="M136" s="227">
        <v>89.566000000000003</v>
      </c>
      <c r="N136" s="227">
        <v>78.664000000000001</v>
      </c>
      <c r="O136" s="227">
        <v>78.308999999999997</v>
      </c>
      <c r="P136" s="227">
        <v>83.427999999999997</v>
      </c>
      <c r="Q136" s="227">
        <v>77.406000000000006</v>
      </c>
      <c r="R136" s="227">
        <v>80.531000000000006</v>
      </c>
      <c r="S136" s="227">
        <v>15.531000000000006</v>
      </c>
      <c r="T136" s="227">
        <v>79.5</v>
      </c>
      <c r="U136" s="227">
        <v>79.5</v>
      </c>
      <c r="V136" s="227">
        <v>79.5</v>
      </c>
      <c r="W136" s="227">
        <v>79.5</v>
      </c>
      <c r="X136" s="227">
        <v>79.5</v>
      </c>
      <c r="Y136" s="227">
        <v>79.5</v>
      </c>
      <c r="Z136" s="227">
        <v>79.5</v>
      </c>
      <c r="AA136" s="227">
        <v>79.5</v>
      </c>
      <c r="AB136" s="227">
        <v>92.210999999999999</v>
      </c>
      <c r="AC136" s="227">
        <v>0</v>
      </c>
      <c r="AD136" s="230">
        <v>1.0672569444444445E-3</v>
      </c>
      <c r="AE136" s="230">
        <v>553.26599999999996</v>
      </c>
      <c r="AF136" s="230">
        <v>3816</v>
      </c>
      <c r="AG136" s="230">
        <v>172872.04784391919</v>
      </c>
      <c r="AH136" s="230">
        <v>452804.3562056502</v>
      </c>
      <c r="AI136" s="230">
        <v>0</v>
      </c>
    </row>
    <row r="137" spans="5:35" x14ac:dyDescent="0.35">
      <c r="E137" s="226"/>
      <c r="F137" s="227">
        <v>2.0094890410958901</v>
      </c>
      <c r="G137" s="227">
        <v>733.46349999999995</v>
      </c>
      <c r="H137" s="227">
        <v>0.85629999999999995</v>
      </c>
      <c r="I137" s="227">
        <v>0.49108000000000002</v>
      </c>
      <c r="J137" s="227">
        <v>0.2007181873193509</v>
      </c>
      <c r="K137" s="227">
        <v>91.251000000000005</v>
      </c>
      <c r="L137" s="227">
        <v>87.337000000000003</v>
      </c>
      <c r="M137" s="227">
        <v>89.424000000000007</v>
      </c>
      <c r="N137" s="227">
        <v>78.58</v>
      </c>
      <c r="O137" s="227">
        <v>78.225999999999999</v>
      </c>
      <c r="P137" s="227">
        <v>83.322000000000003</v>
      </c>
      <c r="Q137" s="227">
        <v>77.337000000000003</v>
      </c>
      <c r="R137" s="227">
        <v>80.438999999999993</v>
      </c>
      <c r="S137" s="227">
        <v>15.438999999999993</v>
      </c>
      <c r="T137" s="227">
        <v>79.5</v>
      </c>
      <c r="U137" s="227">
        <v>79.5</v>
      </c>
      <c r="V137" s="227">
        <v>79.5</v>
      </c>
      <c r="W137" s="227">
        <v>79.5</v>
      </c>
      <c r="X137" s="227">
        <v>79.5</v>
      </c>
      <c r="Y137" s="227">
        <v>79.5</v>
      </c>
      <c r="Z137" s="227">
        <v>79.5</v>
      </c>
      <c r="AA137" s="227">
        <v>79.5</v>
      </c>
      <c r="AB137" s="227">
        <v>91.411000000000001</v>
      </c>
      <c r="AC137" s="227">
        <v>0</v>
      </c>
      <c r="AD137" s="230">
        <v>1.0579976851851853E-3</v>
      </c>
      <c r="AE137" s="230">
        <v>548.46600000000001</v>
      </c>
      <c r="AF137" s="230">
        <v>3816</v>
      </c>
      <c r="AG137" s="230">
        <v>173420.51384391918</v>
      </c>
      <c r="AH137" s="230">
        <v>456620.3562056502</v>
      </c>
      <c r="AI137" s="230">
        <v>0</v>
      </c>
    </row>
    <row r="138" spans="5:35" x14ac:dyDescent="0.35">
      <c r="E138" s="226"/>
      <c r="F138" s="227">
        <v>2.0259273972602738</v>
      </c>
      <c r="G138" s="227">
        <v>739.46349999999995</v>
      </c>
      <c r="H138" s="227">
        <v>0.85750000000000004</v>
      </c>
      <c r="I138" s="227">
        <v>0.49509999999999998</v>
      </c>
      <c r="J138" s="227">
        <v>0.20134755537490645</v>
      </c>
      <c r="K138" s="227">
        <v>91.096999999999994</v>
      </c>
      <c r="L138" s="227">
        <v>87.206000000000003</v>
      </c>
      <c r="M138" s="227">
        <v>89.284999999999997</v>
      </c>
      <c r="N138" s="227">
        <v>78.497</v>
      </c>
      <c r="O138" s="227">
        <v>78.146000000000001</v>
      </c>
      <c r="P138" s="227">
        <v>83.216999999999999</v>
      </c>
      <c r="Q138" s="227">
        <v>77.269000000000005</v>
      </c>
      <c r="R138" s="227">
        <v>80.349000000000004</v>
      </c>
      <c r="S138" s="227">
        <v>15.349000000000004</v>
      </c>
      <c r="T138" s="227">
        <v>79.5</v>
      </c>
      <c r="U138" s="227">
        <v>79.5</v>
      </c>
      <c r="V138" s="227">
        <v>79.5</v>
      </c>
      <c r="W138" s="227">
        <v>79.5</v>
      </c>
      <c r="X138" s="227">
        <v>79.5</v>
      </c>
      <c r="Y138" s="227">
        <v>79.5</v>
      </c>
      <c r="Z138" s="227">
        <v>79.5</v>
      </c>
      <c r="AA138" s="227">
        <v>79.5</v>
      </c>
      <c r="AB138" s="227">
        <v>90.629000000000005</v>
      </c>
      <c r="AC138" s="227">
        <v>0</v>
      </c>
      <c r="AD138" s="230">
        <v>1.0489467592592592E-3</v>
      </c>
      <c r="AE138" s="230">
        <v>543.774</v>
      </c>
      <c r="AF138" s="230">
        <v>3816</v>
      </c>
      <c r="AG138" s="230">
        <v>173964.28784391918</v>
      </c>
      <c r="AH138" s="230">
        <v>460436.3562056502</v>
      </c>
      <c r="AI138" s="230">
        <v>0</v>
      </c>
    </row>
    <row r="139" spans="5:35" x14ac:dyDescent="0.35">
      <c r="E139" s="226"/>
      <c r="F139" s="227">
        <v>2.0423657534246575</v>
      </c>
      <c r="G139" s="227">
        <v>745.46349999999995</v>
      </c>
      <c r="H139" s="227">
        <v>0.85880000000000001</v>
      </c>
      <c r="I139" s="227">
        <v>0.49912000000000001</v>
      </c>
      <c r="J139" s="227">
        <v>0.20197156926379534</v>
      </c>
      <c r="K139" s="227">
        <v>90.944999999999993</v>
      </c>
      <c r="L139" s="227">
        <v>87.075999999999993</v>
      </c>
      <c r="M139" s="227">
        <v>89.147000000000006</v>
      </c>
      <c r="N139" s="227">
        <v>78.415000000000006</v>
      </c>
      <c r="O139" s="227">
        <v>78.066000000000003</v>
      </c>
      <c r="P139" s="227">
        <v>83.113</v>
      </c>
      <c r="Q139" s="227">
        <v>77.201999999999998</v>
      </c>
      <c r="R139" s="227">
        <v>80.260999999999996</v>
      </c>
      <c r="S139" s="227">
        <v>15.260999999999996</v>
      </c>
      <c r="T139" s="227">
        <v>79.5</v>
      </c>
      <c r="U139" s="227">
        <v>79.5</v>
      </c>
      <c r="V139" s="227">
        <v>79.5</v>
      </c>
      <c r="W139" s="227">
        <v>79.5</v>
      </c>
      <c r="X139" s="227">
        <v>79.5</v>
      </c>
      <c r="Y139" s="227">
        <v>79.5</v>
      </c>
      <c r="Z139" s="227">
        <v>79.5</v>
      </c>
      <c r="AA139" s="227">
        <v>79.5</v>
      </c>
      <c r="AB139" s="227">
        <v>89.858000000000004</v>
      </c>
      <c r="AC139" s="227">
        <v>0</v>
      </c>
      <c r="AD139" s="230">
        <v>1.0400231481481482E-3</v>
      </c>
      <c r="AE139" s="230">
        <v>539.14800000000002</v>
      </c>
      <c r="AF139" s="230">
        <v>3816</v>
      </c>
      <c r="AG139" s="230">
        <v>174503.43584391917</v>
      </c>
      <c r="AH139" s="230">
        <v>464252.3562056502</v>
      </c>
      <c r="AI139" s="230">
        <v>0</v>
      </c>
    </row>
    <row r="140" spans="5:35" x14ac:dyDescent="0.35">
      <c r="E140" s="226"/>
      <c r="F140" s="227">
        <v>2.0588041095890408</v>
      </c>
      <c r="G140" s="227">
        <v>751.46349999999995</v>
      </c>
      <c r="H140" s="227">
        <v>0.8599</v>
      </c>
      <c r="I140" s="227">
        <v>0.50312999999999997</v>
      </c>
      <c r="J140" s="227">
        <v>0.20259034704157314</v>
      </c>
      <c r="K140" s="227">
        <v>90.796000000000006</v>
      </c>
      <c r="L140" s="227">
        <v>86.947000000000003</v>
      </c>
      <c r="M140" s="227">
        <v>89.012</v>
      </c>
      <c r="N140" s="227">
        <v>78.334999999999994</v>
      </c>
      <c r="O140" s="227">
        <v>77.986999999999995</v>
      </c>
      <c r="P140" s="227">
        <v>83.012</v>
      </c>
      <c r="Q140" s="227">
        <v>77.135999999999996</v>
      </c>
      <c r="R140" s="227">
        <v>80.174000000000007</v>
      </c>
      <c r="S140" s="227">
        <v>15.174000000000007</v>
      </c>
      <c r="T140" s="227">
        <v>79.5</v>
      </c>
      <c r="U140" s="227">
        <v>79.5</v>
      </c>
      <c r="V140" s="227">
        <v>79.5</v>
      </c>
      <c r="W140" s="227">
        <v>79.5</v>
      </c>
      <c r="X140" s="227">
        <v>79.5</v>
      </c>
      <c r="Y140" s="227">
        <v>79.5</v>
      </c>
      <c r="Z140" s="227">
        <v>79.5</v>
      </c>
      <c r="AA140" s="227">
        <v>79.5</v>
      </c>
      <c r="AB140" s="227">
        <v>89.103999999999999</v>
      </c>
      <c r="AC140" s="227">
        <v>0</v>
      </c>
      <c r="AD140" s="230">
        <v>1.0312962962962962E-3</v>
      </c>
      <c r="AE140" s="230">
        <v>534.62399999999991</v>
      </c>
      <c r="AF140" s="230">
        <v>3816</v>
      </c>
      <c r="AG140" s="230">
        <v>175038.05984391918</v>
      </c>
      <c r="AH140" s="230">
        <v>468068.3562056502</v>
      </c>
      <c r="AI140" s="230">
        <v>0</v>
      </c>
    </row>
    <row r="141" spans="5:35" x14ac:dyDescent="0.35">
      <c r="E141" s="226"/>
      <c r="F141" s="227">
        <v>2.0752424657534245</v>
      </c>
      <c r="G141" s="227">
        <v>757.46349999999995</v>
      </c>
      <c r="H141" s="227">
        <v>0.86109999999999998</v>
      </c>
      <c r="I141" s="227">
        <v>0.50714999999999999</v>
      </c>
      <c r="J141" s="227">
        <v>0.20320397204157312</v>
      </c>
      <c r="K141" s="227">
        <v>90.649000000000001</v>
      </c>
      <c r="L141" s="227">
        <v>86.820999999999998</v>
      </c>
      <c r="M141" s="227">
        <v>88.879000000000005</v>
      </c>
      <c r="N141" s="227">
        <v>78.256</v>
      </c>
      <c r="O141" s="227">
        <v>77.91</v>
      </c>
      <c r="P141" s="227">
        <v>82.911000000000001</v>
      </c>
      <c r="Q141" s="227">
        <v>77.070999999999998</v>
      </c>
      <c r="R141" s="227">
        <v>80.087999999999994</v>
      </c>
      <c r="S141" s="227">
        <v>15.087999999999994</v>
      </c>
      <c r="T141" s="227">
        <v>79.5</v>
      </c>
      <c r="U141" s="227">
        <v>79.5</v>
      </c>
      <c r="V141" s="227">
        <v>79.5</v>
      </c>
      <c r="W141" s="227">
        <v>79.5</v>
      </c>
      <c r="X141" s="227">
        <v>79.5</v>
      </c>
      <c r="Y141" s="227">
        <v>79.5</v>
      </c>
      <c r="Z141" s="227">
        <v>79.5</v>
      </c>
      <c r="AA141" s="227">
        <v>79.5</v>
      </c>
      <c r="AB141" s="227">
        <v>88.361999999999995</v>
      </c>
      <c r="AC141" s="227">
        <v>0</v>
      </c>
      <c r="AD141" s="230">
        <v>1.0227083333333334E-3</v>
      </c>
      <c r="AE141" s="230">
        <v>530.17200000000003</v>
      </c>
      <c r="AF141" s="230">
        <v>3816</v>
      </c>
      <c r="AG141" s="230">
        <v>175568.23184391917</v>
      </c>
      <c r="AH141" s="230">
        <v>471884.3562056502</v>
      </c>
      <c r="AI141" s="230">
        <v>0</v>
      </c>
    </row>
    <row r="142" spans="5:35" x14ac:dyDescent="0.35">
      <c r="E142" s="226"/>
      <c r="F142" s="227">
        <v>2.0916808219178082</v>
      </c>
      <c r="G142" s="227">
        <v>763.46349999999995</v>
      </c>
      <c r="H142" s="227">
        <v>0.86229999999999996</v>
      </c>
      <c r="I142" s="227">
        <v>0.51117000000000001</v>
      </c>
      <c r="J142" s="227">
        <v>0.20381252759712865</v>
      </c>
      <c r="K142" s="227">
        <v>90.504000000000005</v>
      </c>
      <c r="L142" s="227">
        <v>86.694999999999993</v>
      </c>
      <c r="M142" s="227">
        <v>88.747</v>
      </c>
      <c r="N142" s="227">
        <v>78.177999999999997</v>
      </c>
      <c r="O142" s="227">
        <v>77.834000000000003</v>
      </c>
      <c r="P142" s="227">
        <v>82.811999999999998</v>
      </c>
      <c r="Q142" s="227">
        <v>77.006</v>
      </c>
      <c r="R142" s="227">
        <v>80.003</v>
      </c>
      <c r="S142" s="227">
        <v>15.003</v>
      </c>
      <c r="T142" s="227">
        <v>79.5</v>
      </c>
      <c r="U142" s="227">
        <v>79.5</v>
      </c>
      <c r="V142" s="227">
        <v>79.5</v>
      </c>
      <c r="W142" s="227">
        <v>79.5</v>
      </c>
      <c r="X142" s="227">
        <v>79.5</v>
      </c>
      <c r="Y142" s="227">
        <v>79.5</v>
      </c>
      <c r="Z142" s="227">
        <v>79.5</v>
      </c>
      <c r="AA142" s="227">
        <v>79.5</v>
      </c>
      <c r="AB142" s="227">
        <v>87.632000000000005</v>
      </c>
      <c r="AC142" s="227">
        <v>0</v>
      </c>
      <c r="AD142" s="230">
        <v>1.0142592592592592E-3</v>
      </c>
      <c r="AE142" s="230">
        <v>525.79200000000003</v>
      </c>
      <c r="AF142" s="230">
        <v>3816</v>
      </c>
      <c r="AG142" s="230">
        <v>176094.02384391916</v>
      </c>
      <c r="AH142" s="230">
        <v>475700.3562056502</v>
      </c>
      <c r="AI142" s="230">
        <v>0</v>
      </c>
    </row>
    <row r="143" spans="5:35" x14ac:dyDescent="0.35">
      <c r="E143" s="226"/>
      <c r="F143" s="227">
        <v>2.1081191780821915</v>
      </c>
      <c r="G143" s="227">
        <v>769.46349999999995</v>
      </c>
      <c r="H143" s="227">
        <v>0.86339999999999995</v>
      </c>
      <c r="I143" s="227">
        <v>0.51517999999999997</v>
      </c>
      <c r="J143" s="227">
        <v>0.2044160970415731</v>
      </c>
      <c r="K143" s="227">
        <v>90.361000000000004</v>
      </c>
      <c r="L143" s="227">
        <v>86.570999999999998</v>
      </c>
      <c r="M143" s="227">
        <v>88.617999999999995</v>
      </c>
      <c r="N143" s="227">
        <v>78.100999999999999</v>
      </c>
      <c r="O143" s="227">
        <v>77.757999999999996</v>
      </c>
      <c r="P143" s="227">
        <v>82.715000000000003</v>
      </c>
      <c r="Q143" s="227">
        <v>76.942999999999998</v>
      </c>
      <c r="R143" s="227">
        <v>79.92</v>
      </c>
      <c r="S143" s="227">
        <v>14.920000000000002</v>
      </c>
      <c r="T143" s="227">
        <v>79.5</v>
      </c>
      <c r="U143" s="227">
        <v>79.5</v>
      </c>
      <c r="V143" s="227">
        <v>79.5</v>
      </c>
      <c r="W143" s="227">
        <v>79.5</v>
      </c>
      <c r="X143" s="227">
        <v>79.5</v>
      </c>
      <c r="Y143" s="227">
        <v>79.5</v>
      </c>
      <c r="Z143" s="227">
        <v>79.5</v>
      </c>
      <c r="AA143" s="227">
        <v>79.5</v>
      </c>
      <c r="AB143" s="227">
        <v>86.914000000000001</v>
      </c>
      <c r="AC143" s="227">
        <v>0</v>
      </c>
      <c r="AD143" s="230">
        <v>1.005949074074074E-3</v>
      </c>
      <c r="AE143" s="230">
        <v>521.48400000000004</v>
      </c>
      <c r="AF143" s="230">
        <v>3816</v>
      </c>
      <c r="AG143" s="230">
        <v>176615.50784391916</v>
      </c>
      <c r="AH143" s="230">
        <v>479516.3562056502</v>
      </c>
      <c r="AI143" s="230">
        <v>0</v>
      </c>
    </row>
    <row r="144" spans="5:35" x14ac:dyDescent="0.35">
      <c r="E144" s="226"/>
      <c r="F144" s="227">
        <v>2.1245575342465752</v>
      </c>
      <c r="G144" s="227">
        <v>775.46349999999995</v>
      </c>
      <c r="H144" s="227">
        <v>0.86450000000000005</v>
      </c>
      <c r="I144" s="227">
        <v>0.51919999999999999</v>
      </c>
      <c r="J144" s="227">
        <v>0.20501475676379532</v>
      </c>
      <c r="K144" s="227">
        <v>90.22</v>
      </c>
      <c r="L144" s="227">
        <v>86.447999999999993</v>
      </c>
      <c r="M144" s="227">
        <v>88.49</v>
      </c>
      <c r="N144" s="227">
        <v>78.025999999999996</v>
      </c>
      <c r="O144" s="227">
        <v>77.683999999999997</v>
      </c>
      <c r="P144" s="227">
        <v>82.619</v>
      </c>
      <c r="Q144" s="227">
        <v>76.881</v>
      </c>
      <c r="R144" s="227">
        <v>79.837999999999994</v>
      </c>
      <c r="S144" s="227">
        <v>14.837999999999994</v>
      </c>
      <c r="T144" s="227">
        <v>79.5</v>
      </c>
      <c r="U144" s="227">
        <v>79.5</v>
      </c>
      <c r="V144" s="227">
        <v>79.5</v>
      </c>
      <c r="W144" s="227">
        <v>79.5</v>
      </c>
      <c r="X144" s="227">
        <v>79.5</v>
      </c>
      <c r="Y144" s="227">
        <v>79.5</v>
      </c>
      <c r="Z144" s="227">
        <v>79.5</v>
      </c>
      <c r="AA144" s="227">
        <v>79.5</v>
      </c>
      <c r="AB144" s="227">
        <v>86.206999999999994</v>
      </c>
      <c r="AC144" s="227">
        <v>0</v>
      </c>
      <c r="AD144" s="230">
        <v>9.9776620370370362E-4</v>
      </c>
      <c r="AE144" s="230">
        <v>517.24199999999996</v>
      </c>
      <c r="AF144" s="230">
        <v>3816</v>
      </c>
      <c r="AG144" s="230">
        <v>177132.74984391915</v>
      </c>
      <c r="AH144" s="230">
        <v>483332.3562056502</v>
      </c>
      <c r="AI144" s="230">
        <v>0</v>
      </c>
    </row>
    <row r="145" spans="5:35" x14ac:dyDescent="0.35">
      <c r="E145" s="226"/>
      <c r="F145" s="227">
        <v>2.1409958904109589</v>
      </c>
      <c r="G145" s="227">
        <v>781.46349999999995</v>
      </c>
      <c r="H145" s="227">
        <v>0.86560000000000004</v>
      </c>
      <c r="I145" s="227">
        <v>0.52322000000000002</v>
      </c>
      <c r="J145" s="227">
        <v>0.20560859009712865</v>
      </c>
      <c r="K145" s="227">
        <v>90.081999999999994</v>
      </c>
      <c r="L145" s="227">
        <v>86.326999999999998</v>
      </c>
      <c r="M145" s="227">
        <v>88.364000000000004</v>
      </c>
      <c r="N145" s="227">
        <v>77.950999999999993</v>
      </c>
      <c r="O145" s="227">
        <v>77.611000000000004</v>
      </c>
      <c r="P145" s="227">
        <v>82.524000000000001</v>
      </c>
      <c r="Q145" s="227">
        <v>76.819999999999993</v>
      </c>
      <c r="R145" s="227">
        <v>79.757000000000005</v>
      </c>
      <c r="S145" s="227">
        <v>14.757000000000005</v>
      </c>
      <c r="T145" s="227">
        <v>79.5</v>
      </c>
      <c r="U145" s="227">
        <v>79.5</v>
      </c>
      <c r="V145" s="227">
        <v>79.5</v>
      </c>
      <c r="W145" s="227">
        <v>79.5</v>
      </c>
      <c r="X145" s="227">
        <v>79.5</v>
      </c>
      <c r="Y145" s="227">
        <v>79.5</v>
      </c>
      <c r="Z145" s="227">
        <v>79.5</v>
      </c>
      <c r="AA145" s="227">
        <v>79.5</v>
      </c>
      <c r="AB145" s="227">
        <v>85.512</v>
      </c>
      <c r="AC145" s="227">
        <v>0</v>
      </c>
      <c r="AD145" s="230">
        <v>9.8972222222222213E-4</v>
      </c>
      <c r="AE145" s="230">
        <v>513.072</v>
      </c>
      <c r="AF145" s="230">
        <v>3816</v>
      </c>
      <c r="AG145" s="230">
        <v>177645.82184391914</v>
      </c>
      <c r="AH145" s="230">
        <v>487148.3562056502</v>
      </c>
      <c r="AI145" s="230">
        <v>0</v>
      </c>
    </row>
    <row r="146" spans="5:35" x14ac:dyDescent="0.35">
      <c r="E146" s="226"/>
      <c r="F146" s="227">
        <v>2.1574342465753422</v>
      </c>
      <c r="G146" s="227">
        <v>787.46349999999995</v>
      </c>
      <c r="H146" s="227">
        <v>0.86670000000000003</v>
      </c>
      <c r="I146" s="227">
        <v>0.52724000000000004</v>
      </c>
      <c r="J146" s="227">
        <v>0.20619768037490641</v>
      </c>
      <c r="K146" s="227">
        <v>89.944999999999993</v>
      </c>
      <c r="L146" s="227">
        <v>86.206999999999994</v>
      </c>
      <c r="M146" s="227">
        <v>88.24</v>
      </c>
      <c r="N146" s="227">
        <v>77.876999999999995</v>
      </c>
      <c r="O146" s="227">
        <v>77.539000000000001</v>
      </c>
      <c r="P146" s="227">
        <v>82.430999999999997</v>
      </c>
      <c r="Q146" s="227">
        <v>76.759</v>
      </c>
      <c r="R146" s="227">
        <v>79.677000000000007</v>
      </c>
      <c r="S146" s="227">
        <v>14.677000000000007</v>
      </c>
      <c r="T146" s="227">
        <v>79.5</v>
      </c>
      <c r="U146" s="227">
        <v>79.5</v>
      </c>
      <c r="V146" s="227">
        <v>79.5</v>
      </c>
      <c r="W146" s="227">
        <v>79.5</v>
      </c>
      <c r="X146" s="227">
        <v>79.5</v>
      </c>
      <c r="Y146" s="227">
        <v>79.5</v>
      </c>
      <c r="Z146" s="227">
        <v>79.5</v>
      </c>
      <c r="AA146" s="227">
        <v>79.5</v>
      </c>
      <c r="AB146" s="227">
        <v>84.828999999999994</v>
      </c>
      <c r="AC146" s="227">
        <v>0</v>
      </c>
      <c r="AD146" s="230">
        <v>9.8181712962962958E-4</v>
      </c>
      <c r="AE146" s="230">
        <v>508.97399999999999</v>
      </c>
      <c r="AF146" s="230">
        <v>3816</v>
      </c>
      <c r="AG146" s="230">
        <v>178154.79584391913</v>
      </c>
      <c r="AH146" s="230">
        <v>490964.3562056502</v>
      </c>
      <c r="AI146" s="230">
        <v>0</v>
      </c>
    </row>
    <row r="147" spans="5:35" x14ac:dyDescent="0.35">
      <c r="E147" s="226"/>
      <c r="F147" s="227">
        <v>2.1738726027397259</v>
      </c>
      <c r="G147" s="227">
        <v>793.46349999999995</v>
      </c>
      <c r="H147" s="227">
        <v>0.86770000000000003</v>
      </c>
      <c r="I147" s="227">
        <v>0.53125</v>
      </c>
      <c r="J147" s="227">
        <v>0.20678210398601751</v>
      </c>
      <c r="K147" s="227">
        <v>89.81</v>
      </c>
      <c r="L147" s="227">
        <v>86.088999999999999</v>
      </c>
      <c r="M147" s="227">
        <v>88.117999999999995</v>
      </c>
      <c r="N147" s="227">
        <v>77.805000000000007</v>
      </c>
      <c r="O147" s="227">
        <v>77.468999999999994</v>
      </c>
      <c r="P147" s="227">
        <v>82.337999999999994</v>
      </c>
      <c r="Q147" s="227">
        <v>76.7</v>
      </c>
      <c r="R147" s="227">
        <v>79.599000000000004</v>
      </c>
      <c r="S147" s="227">
        <v>14.599000000000004</v>
      </c>
      <c r="T147" s="227">
        <v>79.5</v>
      </c>
      <c r="U147" s="227">
        <v>79.5</v>
      </c>
      <c r="V147" s="227">
        <v>79.5</v>
      </c>
      <c r="W147" s="227">
        <v>79.5</v>
      </c>
      <c r="X147" s="227">
        <v>79.5</v>
      </c>
      <c r="Y147" s="227">
        <v>79.5</v>
      </c>
      <c r="Z147" s="227">
        <v>79.5</v>
      </c>
      <c r="AA147" s="227">
        <v>79.5</v>
      </c>
      <c r="AB147" s="227">
        <v>84.156999999999996</v>
      </c>
      <c r="AC147" s="227">
        <v>0</v>
      </c>
      <c r="AD147" s="230">
        <v>9.740393518518518E-4</v>
      </c>
      <c r="AE147" s="230">
        <v>504.94199999999995</v>
      </c>
      <c r="AF147" s="230">
        <v>3816</v>
      </c>
      <c r="AG147" s="230">
        <v>178659.73784391914</v>
      </c>
      <c r="AH147" s="230">
        <v>494780.3562056502</v>
      </c>
      <c r="AI147" s="230">
        <v>0</v>
      </c>
    </row>
    <row r="148" spans="5:35" x14ac:dyDescent="0.35">
      <c r="E148" s="226"/>
      <c r="F148" s="227">
        <v>2.1903109589041097</v>
      </c>
      <c r="G148" s="227">
        <v>799.46349999999995</v>
      </c>
      <c r="H148" s="227">
        <v>0.86880000000000002</v>
      </c>
      <c r="I148" s="227">
        <v>0.53527000000000002</v>
      </c>
      <c r="J148" s="227">
        <v>0.20736193037490641</v>
      </c>
      <c r="K148" s="227">
        <v>89.677000000000007</v>
      </c>
      <c r="L148" s="227">
        <v>85.971000000000004</v>
      </c>
      <c r="M148" s="227">
        <v>87.998000000000005</v>
      </c>
      <c r="N148" s="227">
        <v>77.733999999999995</v>
      </c>
      <c r="O148" s="227">
        <v>77.399000000000001</v>
      </c>
      <c r="P148" s="227">
        <v>82.247</v>
      </c>
      <c r="Q148" s="227">
        <v>76.641000000000005</v>
      </c>
      <c r="R148" s="227">
        <v>79.522000000000006</v>
      </c>
      <c r="S148" s="227">
        <v>14.522000000000006</v>
      </c>
      <c r="T148" s="227">
        <v>79.5</v>
      </c>
      <c r="U148" s="227">
        <v>79.5</v>
      </c>
      <c r="V148" s="227">
        <v>79.5</v>
      </c>
      <c r="W148" s="227">
        <v>79.5</v>
      </c>
      <c r="X148" s="227">
        <v>79.5</v>
      </c>
      <c r="Y148" s="227">
        <v>79.5</v>
      </c>
      <c r="Z148" s="227">
        <v>79.5</v>
      </c>
      <c r="AA148" s="227">
        <v>79.5</v>
      </c>
      <c r="AB148" s="227">
        <v>83.495000000000005</v>
      </c>
      <c r="AC148" s="227">
        <v>0</v>
      </c>
      <c r="AD148" s="230">
        <v>9.6637731481481488E-4</v>
      </c>
      <c r="AE148" s="230">
        <v>500.97</v>
      </c>
      <c r="AF148" s="230">
        <v>3816</v>
      </c>
      <c r="AG148" s="230">
        <v>179160.70784391914</v>
      </c>
      <c r="AH148" s="230">
        <v>498596.3562056502</v>
      </c>
      <c r="AI148" s="230">
        <v>0</v>
      </c>
    </row>
    <row r="149" spans="5:35" x14ac:dyDescent="0.35">
      <c r="E149" s="226"/>
      <c r="F149" s="227">
        <v>2.2067493150684929</v>
      </c>
      <c r="G149" s="227">
        <v>805.46349999999995</v>
      </c>
      <c r="H149" s="227">
        <v>0.86980000000000002</v>
      </c>
      <c r="I149" s="227">
        <v>0.53929000000000005</v>
      </c>
      <c r="J149" s="227">
        <v>0.20793722898601752</v>
      </c>
      <c r="K149" s="227">
        <v>89.545000000000002</v>
      </c>
      <c r="L149" s="227">
        <v>85.855999999999995</v>
      </c>
      <c r="M149" s="227">
        <v>87.878</v>
      </c>
      <c r="N149" s="227">
        <v>77.662999999999997</v>
      </c>
      <c r="O149" s="227">
        <v>77.33</v>
      </c>
      <c r="P149" s="227">
        <v>82.158000000000001</v>
      </c>
      <c r="Q149" s="227">
        <v>76.584000000000003</v>
      </c>
      <c r="R149" s="227">
        <v>79.444999999999993</v>
      </c>
      <c r="S149" s="227">
        <v>14.444999999999993</v>
      </c>
      <c r="T149" s="227">
        <v>79.5</v>
      </c>
      <c r="U149" s="227">
        <v>79.5</v>
      </c>
      <c r="V149" s="227">
        <v>79.5</v>
      </c>
      <c r="W149" s="227">
        <v>79.5</v>
      </c>
      <c r="X149" s="227">
        <v>79.5</v>
      </c>
      <c r="Y149" s="227">
        <v>79.5</v>
      </c>
      <c r="Z149" s="227">
        <v>79.5</v>
      </c>
      <c r="AA149" s="227">
        <v>79.5</v>
      </c>
      <c r="AB149" s="227">
        <v>82.843000000000004</v>
      </c>
      <c r="AC149" s="227">
        <v>0</v>
      </c>
      <c r="AD149" s="230">
        <v>9.5883101851851858E-4</v>
      </c>
      <c r="AE149" s="230">
        <v>497.05800000000005</v>
      </c>
      <c r="AF149" s="230">
        <v>3816</v>
      </c>
      <c r="AG149" s="230">
        <v>179657.76584391913</v>
      </c>
      <c r="AH149" s="230">
        <v>502412.3562056502</v>
      </c>
      <c r="AI149" s="230">
        <v>0</v>
      </c>
    </row>
    <row r="150" spans="5:35" x14ac:dyDescent="0.35">
      <c r="E150" s="226"/>
      <c r="F150" s="227">
        <v>2.2231876712328766</v>
      </c>
      <c r="G150" s="227">
        <v>811.46349999999995</v>
      </c>
      <c r="H150" s="227">
        <v>0.87080000000000002</v>
      </c>
      <c r="I150" s="227">
        <v>0.54330000000000001</v>
      </c>
      <c r="J150" s="227">
        <v>0.20850807620823975</v>
      </c>
      <c r="K150" s="227">
        <v>89.415999999999997</v>
      </c>
      <c r="L150" s="227">
        <v>85.741</v>
      </c>
      <c r="M150" s="227">
        <v>87.760999999999996</v>
      </c>
      <c r="N150" s="227">
        <v>77.593999999999994</v>
      </c>
      <c r="O150" s="227">
        <v>77.263000000000005</v>
      </c>
      <c r="P150" s="227">
        <v>82.069000000000003</v>
      </c>
      <c r="Q150" s="227">
        <v>76.525999999999996</v>
      </c>
      <c r="R150" s="227">
        <v>79.37</v>
      </c>
      <c r="S150" s="227">
        <v>14.370000000000005</v>
      </c>
      <c r="T150" s="227">
        <v>79.5</v>
      </c>
      <c r="U150" s="227">
        <v>79.5</v>
      </c>
      <c r="V150" s="227">
        <v>79.5</v>
      </c>
      <c r="W150" s="227">
        <v>79.5</v>
      </c>
      <c r="X150" s="227">
        <v>79.5</v>
      </c>
      <c r="Y150" s="227">
        <v>79.5</v>
      </c>
      <c r="Z150" s="227">
        <v>79.5</v>
      </c>
      <c r="AA150" s="227">
        <v>79.5</v>
      </c>
      <c r="AB150" s="227">
        <v>82.201999999999998</v>
      </c>
      <c r="AC150" s="227">
        <v>0</v>
      </c>
      <c r="AD150" s="230">
        <v>9.5141203703703707E-4</v>
      </c>
      <c r="AE150" s="230">
        <v>493.21199999999999</v>
      </c>
      <c r="AF150" s="230">
        <v>3816</v>
      </c>
      <c r="AG150" s="230">
        <v>180150.97784391913</v>
      </c>
      <c r="AH150" s="230">
        <v>506228.3562056502</v>
      </c>
      <c r="AI150" s="230">
        <v>0</v>
      </c>
    </row>
    <row r="151" spans="5:35" x14ac:dyDescent="0.35">
      <c r="E151" s="226"/>
      <c r="F151" s="227">
        <v>2.2396260273972604</v>
      </c>
      <c r="G151" s="227">
        <v>817.46349999999995</v>
      </c>
      <c r="H151" s="227">
        <v>0.87180000000000002</v>
      </c>
      <c r="I151" s="227">
        <v>0.54732000000000003</v>
      </c>
      <c r="J151" s="227">
        <v>0.20907454148601751</v>
      </c>
      <c r="K151" s="227">
        <v>89.289000000000001</v>
      </c>
      <c r="L151" s="227">
        <v>85.629000000000005</v>
      </c>
      <c r="M151" s="227">
        <v>87.646000000000001</v>
      </c>
      <c r="N151" s="227">
        <v>77.525000000000006</v>
      </c>
      <c r="O151" s="227">
        <v>77.195999999999998</v>
      </c>
      <c r="P151" s="227">
        <v>81.981999999999999</v>
      </c>
      <c r="Q151" s="227">
        <v>76.47</v>
      </c>
      <c r="R151" s="227">
        <v>79.296000000000006</v>
      </c>
      <c r="S151" s="227">
        <v>14.296000000000006</v>
      </c>
      <c r="T151" s="227">
        <v>79.5</v>
      </c>
      <c r="U151" s="227">
        <v>79.5</v>
      </c>
      <c r="V151" s="227">
        <v>79.5</v>
      </c>
      <c r="W151" s="227">
        <v>79.5</v>
      </c>
      <c r="X151" s="227">
        <v>79.5</v>
      </c>
      <c r="Y151" s="227">
        <v>79.5</v>
      </c>
      <c r="Z151" s="227">
        <v>79.5</v>
      </c>
      <c r="AA151" s="227">
        <v>79.5</v>
      </c>
      <c r="AB151" s="227">
        <v>81.570999999999998</v>
      </c>
      <c r="AC151" s="227">
        <v>0</v>
      </c>
      <c r="AD151" s="230">
        <v>9.441087962962963E-4</v>
      </c>
      <c r="AE151" s="230">
        <v>489.42600000000004</v>
      </c>
      <c r="AF151" s="230">
        <v>3816</v>
      </c>
      <c r="AG151" s="230">
        <v>180640.40384391914</v>
      </c>
      <c r="AH151" s="230">
        <v>510044.3562056502</v>
      </c>
      <c r="AI151" s="230">
        <v>0</v>
      </c>
    </row>
    <row r="152" spans="5:35" x14ac:dyDescent="0.35">
      <c r="E152" s="226"/>
      <c r="F152" s="227">
        <v>2.2560643835616436</v>
      </c>
      <c r="G152" s="227">
        <v>823.46349999999995</v>
      </c>
      <c r="H152" s="227">
        <v>0.87280000000000002</v>
      </c>
      <c r="I152" s="227">
        <v>0.55134000000000005</v>
      </c>
      <c r="J152" s="227">
        <v>0.20963668731935084</v>
      </c>
      <c r="K152" s="227">
        <v>89.162999999999997</v>
      </c>
      <c r="L152" s="227">
        <v>85.516999999999996</v>
      </c>
      <c r="M152" s="227">
        <v>87.531000000000006</v>
      </c>
      <c r="N152" s="227">
        <v>77.456999999999994</v>
      </c>
      <c r="O152" s="227">
        <v>77.13</v>
      </c>
      <c r="P152" s="227">
        <v>81.894999999999996</v>
      </c>
      <c r="Q152" s="227">
        <v>76.415000000000006</v>
      </c>
      <c r="R152" s="227">
        <v>79.222999999999999</v>
      </c>
      <c r="S152" s="227">
        <v>14.222999999999999</v>
      </c>
      <c r="T152" s="227">
        <v>79.5</v>
      </c>
      <c r="U152" s="227">
        <v>79.5</v>
      </c>
      <c r="V152" s="227">
        <v>79.5</v>
      </c>
      <c r="W152" s="227">
        <v>79.5</v>
      </c>
      <c r="X152" s="227">
        <v>79.5</v>
      </c>
      <c r="Y152" s="227">
        <v>79.5</v>
      </c>
      <c r="Z152" s="227">
        <v>79.5</v>
      </c>
      <c r="AA152" s="227">
        <v>79.5</v>
      </c>
      <c r="AB152" s="227">
        <v>80.948999999999998</v>
      </c>
      <c r="AC152" s="227">
        <v>0</v>
      </c>
      <c r="AD152" s="230">
        <v>9.3690972222222222E-4</v>
      </c>
      <c r="AE152" s="230">
        <v>485.69400000000002</v>
      </c>
      <c r="AF152" s="230">
        <v>3816</v>
      </c>
      <c r="AG152" s="230">
        <v>181126.09784391912</v>
      </c>
      <c r="AH152" s="230">
        <v>513860.3562056502</v>
      </c>
      <c r="AI152" s="230">
        <v>0</v>
      </c>
    </row>
    <row r="153" spans="5:35" x14ac:dyDescent="0.35">
      <c r="E153" s="226"/>
      <c r="F153" s="227">
        <v>2.2725027397260273</v>
      </c>
      <c r="G153" s="227">
        <v>829.46349999999995</v>
      </c>
      <c r="H153" s="227">
        <v>0.87370000000000003</v>
      </c>
      <c r="I153" s="227">
        <v>0.55535999999999996</v>
      </c>
      <c r="J153" s="227">
        <v>0.21019459704157309</v>
      </c>
      <c r="K153" s="227">
        <v>89.039000000000001</v>
      </c>
      <c r="L153" s="227">
        <v>85.406999999999996</v>
      </c>
      <c r="M153" s="227">
        <v>87.418999999999997</v>
      </c>
      <c r="N153" s="227">
        <v>77.391000000000005</v>
      </c>
      <c r="O153" s="227">
        <v>77.064999999999998</v>
      </c>
      <c r="P153" s="227">
        <v>81.81</v>
      </c>
      <c r="Q153" s="227">
        <v>76.36</v>
      </c>
      <c r="R153" s="227">
        <v>79.150999999999996</v>
      </c>
      <c r="S153" s="227">
        <v>14.150999999999996</v>
      </c>
      <c r="T153" s="227">
        <v>79.5</v>
      </c>
      <c r="U153" s="227">
        <v>79.5</v>
      </c>
      <c r="V153" s="227">
        <v>79.5</v>
      </c>
      <c r="W153" s="227">
        <v>79.5</v>
      </c>
      <c r="X153" s="227">
        <v>79.5</v>
      </c>
      <c r="Y153" s="227">
        <v>79.5</v>
      </c>
      <c r="Z153" s="227">
        <v>79.5</v>
      </c>
      <c r="AA153" s="227">
        <v>79.5</v>
      </c>
      <c r="AB153" s="227">
        <v>80.338999999999999</v>
      </c>
      <c r="AC153" s="227">
        <v>0</v>
      </c>
      <c r="AD153" s="230">
        <v>9.2984953703703697E-4</v>
      </c>
      <c r="AE153" s="230">
        <v>482.03399999999993</v>
      </c>
      <c r="AF153" s="230">
        <v>3816</v>
      </c>
      <c r="AG153" s="230">
        <v>181608.13184391914</v>
      </c>
      <c r="AH153" s="230">
        <v>517676.3562056502</v>
      </c>
      <c r="AI153" s="230">
        <v>0</v>
      </c>
    </row>
    <row r="154" spans="5:35" x14ac:dyDescent="0.35">
      <c r="E154" s="226"/>
      <c r="F154" s="227">
        <v>2.2889410958904106</v>
      </c>
      <c r="G154" s="227">
        <v>835.46349999999995</v>
      </c>
      <c r="H154" s="227">
        <v>0.87470000000000003</v>
      </c>
      <c r="I154" s="227">
        <v>0.55937000000000003</v>
      </c>
      <c r="J154" s="227">
        <v>0.21074833315268421</v>
      </c>
      <c r="K154" s="227">
        <v>88.915999999999997</v>
      </c>
      <c r="L154" s="227">
        <v>85.298000000000002</v>
      </c>
      <c r="M154" s="227">
        <v>87.308000000000007</v>
      </c>
      <c r="N154" s="227">
        <v>77.325000000000003</v>
      </c>
      <c r="O154" s="227">
        <v>77.001999999999995</v>
      </c>
      <c r="P154" s="227">
        <v>81.725999999999999</v>
      </c>
      <c r="Q154" s="227">
        <v>76.305999999999997</v>
      </c>
      <c r="R154" s="227">
        <v>79.08</v>
      </c>
      <c r="S154" s="227">
        <v>14.079999999999998</v>
      </c>
      <c r="T154" s="227">
        <v>79.5</v>
      </c>
      <c r="U154" s="227">
        <v>79.5</v>
      </c>
      <c r="V154" s="227">
        <v>79.5</v>
      </c>
      <c r="W154" s="227">
        <v>79.5</v>
      </c>
      <c r="X154" s="227">
        <v>79.5</v>
      </c>
      <c r="Y154" s="227">
        <v>79.5</v>
      </c>
      <c r="Z154" s="227">
        <v>79.5</v>
      </c>
      <c r="AA154" s="227">
        <v>79.5</v>
      </c>
      <c r="AB154" s="227">
        <v>79.738</v>
      </c>
      <c r="AC154" s="227">
        <v>0</v>
      </c>
      <c r="AD154" s="230">
        <v>9.2289351851851853E-4</v>
      </c>
      <c r="AE154" s="230">
        <v>478.428</v>
      </c>
      <c r="AF154" s="230">
        <v>3816</v>
      </c>
      <c r="AG154" s="230">
        <v>182086.55984391915</v>
      </c>
      <c r="AH154" s="230">
        <v>521492.3562056502</v>
      </c>
      <c r="AI154" s="230">
        <v>0</v>
      </c>
    </row>
    <row r="155" spans="5:35" x14ac:dyDescent="0.35">
      <c r="E155" s="226"/>
      <c r="F155" s="227">
        <v>2.3053794520547943</v>
      </c>
      <c r="G155" s="227">
        <v>841.46349999999995</v>
      </c>
      <c r="H155" s="227">
        <v>0.87560000000000004</v>
      </c>
      <c r="I155" s="227">
        <v>0.56338999999999995</v>
      </c>
      <c r="J155" s="227">
        <v>0.21129795815268418</v>
      </c>
      <c r="K155" s="227">
        <v>88.795000000000002</v>
      </c>
      <c r="L155" s="227">
        <v>85.19</v>
      </c>
      <c r="M155" s="227">
        <v>87.197999999999993</v>
      </c>
      <c r="N155" s="227">
        <v>77.260000000000005</v>
      </c>
      <c r="O155" s="227">
        <v>76.938999999999993</v>
      </c>
      <c r="P155" s="227">
        <v>81.643000000000001</v>
      </c>
      <c r="Q155" s="227">
        <v>76.253</v>
      </c>
      <c r="R155" s="227">
        <v>79.010000000000005</v>
      </c>
      <c r="S155" s="227">
        <v>14.010000000000005</v>
      </c>
      <c r="T155" s="227">
        <v>79.5</v>
      </c>
      <c r="U155" s="227">
        <v>79.5</v>
      </c>
      <c r="V155" s="227">
        <v>79.5</v>
      </c>
      <c r="W155" s="227">
        <v>79.5</v>
      </c>
      <c r="X155" s="227">
        <v>79.5</v>
      </c>
      <c r="Y155" s="227">
        <v>79.5</v>
      </c>
      <c r="Z155" s="227">
        <v>79.5</v>
      </c>
      <c r="AA155" s="227">
        <v>79.5</v>
      </c>
      <c r="AB155" s="227">
        <v>79.146000000000001</v>
      </c>
      <c r="AC155" s="227">
        <v>0</v>
      </c>
      <c r="AD155" s="230">
        <v>9.1604166666666668E-4</v>
      </c>
      <c r="AE155" s="230">
        <v>474.87600000000003</v>
      </c>
      <c r="AF155" s="230">
        <v>3816</v>
      </c>
      <c r="AG155" s="230">
        <v>182561.43584391914</v>
      </c>
      <c r="AH155" s="230">
        <v>525308.35620565014</v>
      </c>
      <c r="AI155" s="230">
        <v>0</v>
      </c>
    </row>
    <row r="156" spans="5:35" x14ac:dyDescent="0.35">
      <c r="E156" s="226"/>
      <c r="F156" s="227">
        <v>2.321817808219178</v>
      </c>
      <c r="G156" s="227">
        <v>847.46349999999995</v>
      </c>
      <c r="H156" s="227">
        <v>0.87649999999999995</v>
      </c>
      <c r="I156" s="227">
        <v>0.56740999999999997</v>
      </c>
      <c r="J156" s="227">
        <v>0.21184354148601753</v>
      </c>
      <c r="K156" s="227">
        <v>88.676000000000002</v>
      </c>
      <c r="L156" s="227">
        <v>85.084000000000003</v>
      </c>
      <c r="M156" s="227">
        <v>87.09</v>
      </c>
      <c r="N156" s="227">
        <v>77.197000000000003</v>
      </c>
      <c r="O156" s="227">
        <v>76.876999999999995</v>
      </c>
      <c r="P156" s="227">
        <v>81.561999999999998</v>
      </c>
      <c r="Q156" s="227">
        <v>76.200999999999993</v>
      </c>
      <c r="R156" s="227">
        <v>78.941999999999993</v>
      </c>
      <c r="S156" s="227">
        <v>13.941999999999993</v>
      </c>
      <c r="T156" s="227">
        <v>79.5</v>
      </c>
      <c r="U156" s="227">
        <v>79.5</v>
      </c>
      <c r="V156" s="227">
        <v>79.5</v>
      </c>
      <c r="W156" s="227">
        <v>79.5</v>
      </c>
      <c r="X156" s="227">
        <v>79.5</v>
      </c>
      <c r="Y156" s="227">
        <v>79.5</v>
      </c>
      <c r="Z156" s="227">
        <v>79.5</v>
      </c>
      <c r="AA156" s="227">
        <v>79.5</v>
      </c>
      <c r="AB156" s="227">
        <v>78.563999999999993</v>
      </c>
      <c r="AC156" s="227">
        <v>0</v>
      </c>
      <c r="AD156" s="230">
        <v>9.0930555555555545E-4</v>
      </c>
      <c r="AE156" s="230">
        <v>471.3839999999999</v>
      </c>
      <c r="AF156" s="230">
        <v>3816</v>
      </c>
      <c r="AG156" s="230">
        <v>183032.81984391913</v>
      </c>
      <c r="AH156" s="230">
        <v>529124.35620565014</v>
      </c>
      <c r="AI156" s="230">
        <v>0</v>
      </c>
    </row>
    <row r="157" spans="5:35" x14ac:dyDescent="0.35">
      <c r="E157" s="226"/>
      <c r="F157" s="227">
        <v>2.3382561643835613</v>
      </c>
      <c r="G157" s="227">
        <v>853.46349999999995</v>
      </c>
      <c r="H157" s="227">
        <v>0.87739999999999996</v>
      </c>
      <c r="I157" s="227">
        <v>0.57142999999999999</v>
      </c>
      <c r="J157" s="227">
        <v>0.21238513176379531</v>
      </c>
      <c r="K157" s="227">
        <v>88.558000000000007</v>
      </c>
      <c r="L157" s="227">
        <v>84.978999999999999</v>
      </c>
      <c r="M157" s="227">
        <v>86.983000000000004</v>
      </c>
      <c r="N157" s="227">
        <v>77.132999999999996</v>
      </c>
      <c r="O157" s="227">
        <v>76.816000000000003</v>
      </c>
      <c r="P157" s="227">
        <v>81.480999999999995</v>
      </c>
      <c r="Q157" s="227">
        <v>76.149000000000001</v>
      </c>
      <c r="R157" s="227">
        <v>78.873999999999995</v>
      </c>
      <c r="S157" s="227">
        <v>13.873999999999995</v>
      </c>
      <c r="T157" s="227">
        <v>79.5</v>
      </c>
      <c r="U157" s="227">
        <v>79.5</v>
      </c>
      <c r="V157" s="227">
        <v>79.5</v>
      </c>
      <c r="W157" s="227">
        <v>79.5</v>
      </c>
      <c r="X157" s="227">
        <v>79.5</v>
      </c>
      <c r="Y157" s="227">
        <v>79.5</v>
      </c>
      <c r="Z157" s="227">
        <v>79.5</v>
      </c>
      <c r="AA157" s="227">
        <v>79.5</v>
      </c>
      <c r="AB157" s="227">
        <v>77.989000000000004</v>
      </c>
      <c r="AC157" s="227">
        <v>0</v>
      </c>
      <c r="AD157" s="230">
        <v>9.0265046296296306E-4</v>
      </c>
      <c r="AE157" s="230">
        <v>467.93400000000003</v>
      </c>
      <c r="AF157" s="230">
        <v>3816</v>
      </c>
      <c r="AG157" s="230">
        <v>183500.75384391914</v>
      </c>
      <c r="AH157" s="230">
        <v>532940.35620565014</v>
      </c>
      <c r="AI157" s="230">
        <v>0</v>
      </c>
    </row>
    <row r="158" spans="5:35" x14ac:dyDescent="0.35">
      <c r="E158" s="226"/>
      <c r="F158" s="227">
        <v>2.354694520547945</v>
      </c>
      <c r="G158" s="227">
        <v>859.46349999999995</v>
      </c>
      <c r="H158" s="227">
        <v>0.87829999999999997</v>
      </c>
      <c r="I158" s="227">
        <v>0.57543999999999995</v>
      </c>
      <c r="J158" s="227">
        <v>0.21292281231935087</v>
      </c>
      <c r="K158" s="227">
        <v>88.442999999999998</v>
      </c>
      <c r="L158" s="227">
        <v>84.876000000000005</v>
      </c>
      <c r="M158" s="227">
        <v>86.878</v>
      </c>
      <c r="N158" s="227">
        <v>77.070999999999998</v>
      </c>
      <c r="O158" s="227">
        <v>76.756</v>
      </c>
      <c r="P158" s="227">
        <v>81.400999999999996</v>
      </c>
      <c r="Q158" s="227">
        <v>76.097999999999999</v>
      </c>
      <c r="R158" s="227">
        <v>78.807000000000002</v>
      </c>
      <c r="S158" s="227">
        <v>13.807000000000002</v>
      </c>
      <c r="T158" s="227">
        <v>79.5</v>
      </c>
      <c r="U158" s="227">
        <v>79.5</v>
      </c>
      <c r="V158" s="227">
        <v>79.5</v>
      </c>
      <c r="W158" s="227">
        <v>79.5</v>
      </c>
      <c r="X158" s="227">
        <v>79.5</v>
      </c>
      <c r="Y158" s="227">
        <v>79.5</v>
      </c>
      <c r="Z158" s="227">
        <v>79.5</v>
      </c>
      <c r="AA158" s="227">
        <v>79.5</v>
      </c>
      <c r="AB158" s="227">
        <v>77.426000000000002</v>
      </c>
      <c r="AC158" s="227">
        <v>0</v>
      </c>
      <c r="AD158" s="230">
        <v>8.9613425925925928E-4</v>
      </c>
      <c r="AE158" s="230">
        <v>464.55599999999998</v>
      </c>
      <c r="AF158" s="230">
        <v>3816</v>
      </c>
      <c r="AG158" s="230">
        <v>183965.30984391915</v>
      </c>
      <c r="AH158" s="230">
        <v>536756.35620565014</v>
      </c>
      <c r="AI158" s="230">
        <v>0</v>
      </c>
    </row>
    <row r="159" spans="5:35" x14ac:dyDescent="0.35">
      <c r="E159" s="226"/>
      <c r="F159" s="227">
        <v>2.3711328767123288</v>
      </c>
      <c r="G159" s="227">
        <v>865.46349999999995</v>
      </c>
      <c r="H159" s="227">
        <v>0.87919999999999998</v>
      </c>
      <c r="I159" s="227">
        <v>0.57945999999999998</v>
      </c>
      <c r="J159" s="227">
        <v>0.21345661787490644</v>
      </c>
      <c r="K159" s="227">
        <v>88.328000000000003</v>
      </c>
      <c r="L159" s="227">
        <v>84.772999999999996</v>
      </c>
      <c r="M159" s="227">
        <v>86.774000000000001</v>
      </c>
      <c r="N159" s="227">
        <v>77.010000000000005</v>
      </c>
      <c r="O159" s="227">
        <v>76.697000000000003</v>
      </c>
      <c r="P159" s="227">
        <v>81.322000000000003</v>
      </c>
      <c r="Q159" s="227">
        <v>76.048000000000002</v>
      </c>
      <c r="R159" s="227">
        <v>78.741</v>
      </c>
      <c r="S159" s="227">
        <v>13.741</v>
      </c>
      <c r="T159" s="227">
        <v>79.5</v>
      </c>
      <c r="U159" s="227">
        <v>79.5</v>
      </c>
      <c r="V159" s="227">
        <v>79.5</v>
      </c>
      <c r="W159" s="227">
        <v>79.5</v>
      </c>
      <c r="X159" s="227">
        <v>79.5</v>
      </c>
      <c r="Y159" s="227">
        <v>79.5</v>
      </c>
      <c r="Z159" s="227">
        <v>79.5</v>
      </c>
      <c r="AA159" s="227">
        <v>79.5</v>
      </c>
      <c r="AB159" s="227">
        <v>76.867999999999995</v>
      </c>
      <c r="AC159" s="227">
        <v>0</v>
      </c>
      <c r="AD159" s="230">
        <v>8.8967592592592592E-4</v>
      </c>
      <c r="AE159" s="230">
        <v>461.20800000000003</v>
      </c>
      <c r="AF159" s="230">
        <v>3816</v>
      </c>
      <c r="AG159" s="230">
        <v>184426.51784391917</v>
      </c>
      <c r="AH159" s="230">
        <v>540572.35620565014</v>
      </c>
      <c r="AI159" s="230">
        <v>0</v>
      </c>
    </row>
    <row r="160" spans="5:35" x14ac:dyDescent="0.35">
      <c r="E160" s="226"/>
      <c r="F160" s="227">
        <v>2.387571232876712</v>
      </c>
      <c r="G160" s="227">
        <v>871.46349999999995</v>
      </c>
      <c r="H160" s="227">
        <v>0.88</v>
      </c>
      <c r="I160" s="227">
        <v>0.58348</v>
      </c>
      <c r="J160" s="227">
        <v>0.21398661787490647</v>
      </c>
      <c r="K160" s="227">
        <v>88.215000000000003</v>
      </c>
      <c r="L160" s="227">
        <v>84.671999999999997</v>
      </c>
      <c r="M160" s="227">
        <v>86.671000000000006</v>
      </c>
      <c r="N160" s="227">
        <v>76.948999999999998</v>
      </c>
      <c r="O160" s="227">
        <v>76.638000000000005</v>
      </c>
      <c r="P160" s="227">
        <v>81.244</v>
      </c>
      <c r="Q160" s="227">
        <v>75.998000000000005</v>
      </c>
      <c r="R160" s="227">
        <v>78.674999999999997</v>
      </c>
      <c r="S160" s="227">
        <v>13.674999999999997</v>
      </c>
      <c r="T160" s="227">
        <v>79.5</v>
      </c>
      <c r="U160" s="227">
        <v>79.5</v>
      </c>
      <c r="V160" s="227">
        <v>79.5</v>
      </c>
      <c r="W160" s="227">
        <v>79.5</v>
      </c>
      <c r="X160" s="227">
        <v>79.5</v>
      </c>
      <c r="Y160" s="227">
        <v>79.5</v>
      </c>
      <c r="Z160" s="227">
        <v>79.5</v>
      </c>
      <c r="AA160" s="227">
        <v>79.5</v>
      </c>
      <c r="AB160" s="227">
        <v>76.319999999999993</v>
      </c>
      <c r="AC160" s="227">
        <v>0</v>
      </c>
      <c r="AD160" s="230">
        <v>8.833333333333333E-4</v>
      </c>
      <c r="AE160" s="230">
        <v>457.92</v>
      </c>
      <c r="AF160" s="230">
        <v>3816</v>
      </c>
      <c r="AG160" s="230">
        <v>184884.43784391918</v>
      </c>
      <c r="AH160" s="230">
        <v>544388.35620565014</v>
      </c>
      <c r="AI160" s="230">
        <v>0</v>
      </c>
    </row>
    <row r="161" spans="5:35" x14ac:dyDescent="0.35">
      <c r="E161" s="226"/>
      <c r="F161" s="227">
        <v>2.4040095890410957</v>
      </c>
      <c r="G161" s="227">
        <v>877.46349999999995</v>
      </c>
      <c r="H161" s="227">
        <v>0.88090000000000002</v>
      </c>
      <c r="I161" s="227">
        <v>0.58748999999999996</v>
      </c>
      <c r="J161" s="227">
        <v>0.21451287481935088</v>
      </c>
      <c r="K161" s="227">
        <v>88.102999999999994</v>
      </c>
      <c r="L161" s="227">
        <v>84.572000000000003</v>
      </c>
      <c r="M161" s="227">
        <v>86.569000000000003</v>
      </c>
      <c r="N161" s="227">
        <v>76.888999999999996</v>
      </c>
      <c r="O161" s="227">
        <v>76.581000000000003</v>
      </c>
      <c r="P161" s="227">
        <v>81.167000000000002</v>
      </c>
      <c r="Q161" s="227">
        <v>75.948999999999998</v>
      </c>
      <c r="R161" s="227">
        <v>78.611000000000004</v>
      </c>
      <c r="S161" s="227">
        <v>13.611000000000004</v>
      </c>
      <c r="T161" s="227">
        <v>79.5</v>
      </c>
      <c r="U161" s="227">
        <v>79.5</v>
      </c>
      <c r="V161" s="227">
        <v>79.5</v>
      </c>
      <c r="W161" s="227">
        <v>79.5</v>
      </c>
      <c r="X161" s="227">
        <v>79.5</v>
      </c>
      <c r="Y161" s="227">
        <v>79.5</v>
      </c>
      <c r="Z161" s="227">
        <v>79.5</v>
      </c>
      <c r="AA161" s="227">
        <v>79.5</v>
      </c>
      <c r="AB161" s="227">
        <v>75.781000000000006</v>
      </c>
      <c r="AC161" s="227">
        <v>0</v>
      </c>
      <c r="AD161" s="230">
        <v>8.7709490740740749E-4</v>
      </c>
      <c r="AE161" s="230">
        <v>454.68600000000004</v>
      </c>
      <c r="AF161" s="230">
        <v>3816</v>
      </c>
      <c r="AG161" s="230">
        <v>185339.12384391917</v>
      </c>
      <c r="AH161" s="230">
        <v>548204.35620565014</v>
      </c>
      <c r="AI161" s="230">
        <v>0</v>
      </c>
    </row>
    <row r="162" spans="5:35" x14ac:dyDescent="0.35">
      <c r="E162" s="226"/>
      <c r="F162" s="227">
        <v>2.4204479452054795</v>
      </c>
      <c r="G162" s="227">
        <v>883.46349999999995</v>
      </c>
      <c r="H162" s="227">
        <v>0.88170000000000004</v>
      </c>
      <c r="I162" s="227">
        <v>0.59150999999999998</v>
      </c>
      <c r="J162" s="227">
        <v>0.21503544426379534</v>
      </c>
      <c r="K162" s="227">
        <v>87.992999999999995</v>
      </c>
      <c r="L162" s="227">
        <v>84.474000000000004</v>
      </c>
      <c r="M162" s="227">
        <v>86.468999999999994</v>
      </c>
      <c r="N162" s="227">
        <v>76.83</v>
      </c>
      <c r="O162" s="227">
        <v>76.524000000000001</v>
      </c>
      <c r="P162" s="227">
        <v>81.090999999999994</v>
      </c>
      <c r="Q162" s="227">
        <v>75.900000000000006</v>
      </c>
      <c r="R162" s="227">
        <v>78.548000000000002</v>
      </c>
      <c r="S162" s="227">
        <v>13.548000000000002</v>
      </c>
      <c r="T162" s="227">
        <v>79.5</v>
      </c>
      <c r="U162" s="227">
        <v>79.5</v>
      </c>
      <c r="V162" s="227">
        <v>79.5</v>
      </c>
      <c r="W162" s="227">
        <v>79.5</v>
      </c>
      <c r="X162" s="227">
        <v>79.5</v>
      </c>
      <c r="Y162" s="227">
        <v>79.5</v>
      </c>
      <c r="Z162" s="227">
        <v>79.5</v>
      </c>
      <c r="AA162" s="227">
        <v>79.5</v>
      </c>
      <c r="AB162" s="227">
        <v>75.25</v>
      </c>
      <c r="AC162" s="227">
        <v>0</v>
      </c>
      <c r="AD162" s="230">
        <v>8.7094907407407412E-4</v>
      </c>
      <c r="AE162" s="230">
        <v>451.5</v>
      </c>
      <c r="AF162" s="230">
        <v>3816</v>
      </c>
      <c r="AG162" s="230">
        <v>185790.62384391917</v>
      </c>
      <c r="AH162" s="230">
        <v>552020.35620565014</v>
      </c>
      <c r="AI162" s="230">
        <v>0</v>
      </c>
    </row>
    <row r="163" spans="5:35" x14ac:dyDescent="0.35">
      <c r="E163" s="226"/>
      <c r="F163" s="227">
        <v>2.4368863013698627</v>
      </c>
      <c r="G163" s="227">
        <v>889.46349999999995</v>
      </c>
      <c r="H163" s="227">
        <v>0.88249999999999995</v>
      </c>
      <c r="I163" s="227">
        <v>0.59553</v>
      </c>
      <c r="J163" s="227">
        <v>0.21555438870823976</v>
      </c>
      <c r="K163" s="227">
        <v>87.885000000000005</v>
      </c>
      <c r="L163" s="227">
        <v>84.376999999999995</v>
      </c>
      <c r="M163" s="227">
        <v>86.37</v>
      </c>
      <c r="N163" s="227">
        <v>76.772000000000006</v>
      </c>
      <c r="O163" s="227">
        <v>76.468000000000004</v>
      </c>
      <c r="P163" s="227">
        <v>81.016000000000005</v>
      </c>
      <c r="Q163" s="227">
        <v>75.852999999999994</v>
      </c>
      <c r="R163" s="227">
        <v>78.484999999999999</v>
      </c>
      <c r="S163" s="227">
        <v>13.484999999999999</v>
      </c>
      <c r="T163" s="227">
        <v>79.5</v>
      </c>
      <c r="U163" s="227">
        <v>79.5</v>
      </c>
      <c r="V163" s="227">
        <v>79.5</v>
      </c>
      <c r="W163" s="227">
        <v>79.5</v>
      </c>
      <c r="X163" s="227">
        <v>79.5</v>
      </c>
      <c r="Y163" s="227">
        <v>79.5</v>
      </c>
      <c r="Z163" s="227">
        <v>79.5</v>
      </c>
      <c r="AA163" s="227">
        <v>79.5</v>
      </c>
      <c r="AB163" s="227">
        <v>74.727999999999994</v>
      </c>
      <c r="AC163" s="227">
        <v>0</v>
      </c>
      <c r="AD163" s="230">
        <v>8.6490740740740733E-4</v>
      </c>
      <c r="AE163" s="230">
        <v>448.36799999999999</v>
      </c>
      <c r="AF163" s="230">
        <v>3816</v>
      </c>
      <c r="AG163" s="230">
        <v>186238.99184391915</v>
      </c>
      <c r="AH163" s="230">
        <v>555836.35620565014</v>
      </c>
      <c r="AI163" s="230">
        <v>0</v>
      </c>
    </row>
    <row r="164" spans="5:35" x14ac:dyDescent="0.35">
      <c r="E164" s="226"/>
      <c r="F164" s="227">
        <v>2.4533246575342464</v>
      </c>
      <c r="G164" s="227">
        <v>895.46349999999995</v>
      </c>
      <c r="H164" s="227">
        <v>0.88329999999999997</v>
      </c>
      <c r="I164" s="227">
        <v>0.59955000000000003</v>
      </c>
      <c r="J164" s="227">
        <v>0.21606976370823977</v>
      </c>
      <c r="K164" s="227">
        <v>87.777000000000001</v>
      </c>
      <c r="L164" s="227">
        <v>84.281000000000006</v>
      </c>
      <c r="M164" s="227">
        <v>86.272000000000006</v>
      </c>
      <c r="N164" s="227">
        <v>76.713999999999999</v>
      </c>
      <c r="O164" s="227">
        <v>76.412999999999997</v>
      </c>
      <c r="P164" s="227">
        <v>80.941999999999993</v>
      </c>
      <c r="Q164" s="227">
        <v>75.805000000000007</v>
      </c>
      <c r="R164" s="227">
        <v>78.423000000000002</v>
      </c>
      <c r="S164" s="227">
        <v>13.423000000000002</v>
      </c>
      <c r="T164" s="227">
        <v>79.5</v>
      </c>
      <c r="U164" s="227">
        <v>79.5</v>
      </c>
      <c r="V164" s="227">
        <v>79.5</v>
      </c>
      <c r="W164" s="227">
        <v>79.5</v>
      </c>
      <c r="X164" s="227">
        <v>79.5</v>
      </c>
      <c r="Y164" s="227">
        <v>79.5</v>
      </c>
      <c r="Z164" s="227">
        <v>79.5</v>
      </c>
      <c r="AA164" s="227">
        <v>79.5</v>
      </c>
      <c r="AB164" s="227">
        <v>74.213999999999999</v>
      </c>
      <c r="AC164" s="227">
        <v>0</v>
      </c>
      <c r="AD164" s="230">
        <v>8.5895833333333332E-4</v>
      </c>
      <c r="AE164" s="230">
        <v>445.28400000000005</v>
      </c>
      <c r="AF164" s="230">
        <v>3816</v>
      </c>
      <c r="AG164" s="230">
        <v>186684.27584391917</v>
      </c>
      <c r="AH164" s="230">
        <v>559652.35620565014</v>
      </c>
      <c r="AI164" s="230">
        <v>0</v>
      </c>
    </row>
    <row r="165" spans="5:35" x14ac:dyDescent="0.35">
      <c r="E165" s="226"/>
      <c r="F165" s="227">
        <v>2.4697630136986302</v>
      </c>
      <c r="G165" s="227">
        <v>901.46349999999995</v>
      </c>
      <c r="H165" s="227">
        <v>0.8841</v>
      </c>
      <c r="I165" s="227">
        <v>0.60355999999999999</v>
      </c>
      <c r="J165" s="227">
        <v>0.21658162481935089</v>
      </c>
      <c r="K165" s="227">
        <v>87.671999999999997</v>
      </c>
      <c r="L165" s="227">
        <v>84.186000000000007</v>
      </c>
      <c r="M165" s="227">
        <v>86.176000000000002</v>
      </c>
      <c r="N165" s="227">
        <v>76.658000000000001</v>
      </c>
      <c r="O165" s="227">
        <v>76.358999999999995</v>
      </c>
      <c r="P165" s="227">
        <v>80.869</v>
      </c>
      <c r="Q165" s="227">
        <v>75.759</v>
      </c>
      <c r="R165" s="227">
        <v>78.363</v>
      </c>
      <c r="S165" s="227">
        <v>13.363</v>
      </c>
      <c r="T165" s="227">
        <v>79.5</v>
      </c>
      <c r="U165" s="227">
        <v>79.5</v>
      </c>
      <c r="V165" s="227">
        <v>79.5</v>
      </c>
      <c r="W165" s="227">
        <v>79.5</v>
      </c>
      <c r="X165" s="227">
        <v>79.5</v>
      </c>
      <c r="Y165" s="227">
        <v>79.5</v>
      </c>
      <c r="Z165" s="227">
        <v>79.5</v>
      </c>
      <c r="AA165" s="227">
        <v>79.5</v>
      </c>
      <c r="AB165" s="227">
        <v>73.707999999999998</v>
      </c>
      <c r="AC165" s="227">
        <v>0</v>
      </c>
      <c r="AD165" s="230">
        <v>8.5310185185185185E-4</v>
      </c>
      <c r="AE165" s="230">
        <v>442.24799999999999</v>
      </c>
      <c r="AF165" s="230">
        <v>3816</v>
      </c>
      <c r="AG165" s="230">
        <v>187126.52384391916</v>
      </c>
      <c r="AH165" s="230">
        <v>563468.35620565014</v>
      </c>
      <c r="AI165" s="230">
        <v>0</v>
      </c>
    </row>
    <row r="166" spans="5:35" x14ac:dyDescent="0.35">
      <c r="E166" s="226"/>
      <c r="F166" s="227">
        <v>2.4862013698630134</v>
      </c>
      <c r="G166" s="227">
        <v>907.46349999999995</v>
      </c>
      <c r="H166" s="227">
        <v>0.88490000000000002</v>
      </c>
      <c r="I166" s="227">
        <v>0.60758000000000001</v>
      </c>
      <c r="J166" s="227">
        <v>0.21709002759712867</v>
      </c>
      <c r="K166" s="227">
        <v>87.566999999999993</v>
      </c>
      <c r="L166" s="227">
        <v>84.093000000000004</v>
      </c>
      <c r="M166" s="227">
        <v>86.081000000000003</v>
      </c>
      <c r="N166" s="227">
        <v>76.602000000000004</v>
      </c>
      <c r="O166" s="227">
        <v>76.305000000000007</v>
      </c>
      <c r="P166" s="227">
        <v>80.796999999999997</v>
      </c>
      <c r="Q166" s="227">
        <v>75.712999999999994</v>
      </c>
      <c r="R166" s="227">
        <v>78.302999999999997</v>
      </c>
      <c r="S166" s="227">
        <v>13.302999999999997</v>
      </c>
      <c r="T166" s="227">
        <v>79.5</v>
      </c>
      <c r="U166" s="227">
        <v>79.5</v>
      </c>
      <c r="V166" s="227">
        <v>79.5</v>
      </c>
      <c r="W166" s="227">
        <v>79.5</v>
      </c>
      <c r="X166" s="227">
        <v>79.5</v>
      </c>
      <c r="Y166" s="227">
        <v>79.5</v>
      </c>
      <c r="Z166" s="227">
        <v>79.5</v>
      </c>
      <c r="AA166" s="227">
        <v>79.5</v>
      </c>
      <c r="AB166" s="227">
        <v>73.209999999999994</v>
      </c>
      <c r="AC166" s="227">
        <v>0</v>
      </c>
      <c r="AD166" s="230">
        <v>8.4733796296296293E-4</v>
      </c>
      <c r="AE166" s="230">
        <v>439.26</v>
      </c>
      <c r="AF166" s="230">
        <v>3816</v>
      </c>
      <c r="AG166" s="230">
        <v>187565.78384391917</v>
      </c>
      <c r="AH166" s="230">
        <v>567284.35620565014</v>
      </c>
      <c r="AI166" s="230">
        <v>0</v>
      </c>
    </row>
    <row r="167" spans="5:35" x14ac:dyDescent="0.35">
      <c r="E167" s="226"/>
      <c r="F167" s="227">
        <v>2.5026397260273971</v>
      </c>
      <c r="G167" s="227">
        <v>913.46349999999995</v>
      </c>
      <c r="H167" s="227">
        <v>0.88570000000000004</v>
      </c>
      <c r="I167" s="227">
        <v>0.61160000000000003</v>
      </c>
      <c r="J167" s="227">
        <v>0.21759502065268424</v>
      </c>
      <c r="K167" s="227">
        <v>87.463999999999999</v>
      </c>
      <c r="L167" s="227">
        <v>84</v>
      </c>
      <c r="M167" s="227">
        <v>85.986000000000004</v>
      </c>
      <c r="N167" s="227">
        <v>76.546000000000006</v>
      </c>
      <c r="O167" s="227">
        <v>76.251999999999995</v>
      </c>
      <c r="P167" s="227">
        <v>80.724999999999994</v>
      </c>
      <c r="Q167" s="227">
        <v>75.667000000000002</v>
      </c>
      <c r="R167" s="227">
        <v>78.242999999999995</v>
      </c>
      <c r="S167" s="227">
        <v>13.242999999999995</v>
      </c>
      <c r="T167" s="227">
        <v>79.5</v>
      </c>
      <c r="U167" s="227">
        <v>79.5</v>
      </c>
      <c r="V167" s="227">
        <v>79.5</v>
      </c>
      <c r="W167" s="227">
        <v>79.5</v>
      </c>
      <c r="X167" s="227">
        <v>79.5</v>
      </c>
      <c r="Y167" s="227">
        <v>79.5</v>
      </c>
      <c r="Z167" s="227">
        <v>79.5</v>
      </c>
      <c r="AA167" s="227">
        <v>79.5</v>
      </c>
      <c r="AB167" s="227">
        <v>72.718999999999994</v>
      </c>
      <c r="AC167" s="227">
        <v>0</v>
      </c>
      <c r="AD167" s="230">
        <v>8.4165509259259252E-4</v>
      </c>
      <c r="AE167" s="230">
        <v>436.31399999999996</v>
      </c>
      <c r="AF167" s="230">
        <v>3816</v>
      </c>
      <c r="AG167" s="230">
        <v>188002.09784391918</v>
      </c>
      <c r="AH167" s="230">
        <v>571100.35620565014</v>
      </c>
      <c r="AI167" s="230">
        <v>0</v>
      </c>
    </row>
    <row r="168" spans="5:35" x14ac:dyDescent="0.35">
      <c r="E168" s="226"/>
      <c r="F168" s="227">
        <v>2.5190780821917809</v>
      </c>
      <c r="G168" s="227">
        <v>919.46349999999995</v>
      </c>
      <c r="H168" s="227">
        <v>0.88639999999999997</v>
      </c>
      <c r="I168" s="227">
        <v>0.61560999999999999</v>
      </c>
      <c r="J168" s="227">
        <v>0.21809664565268425</v>
      </c>
      <c r="K168" s="227">
        <v>87.361000000000004</v>
      </c>
      <c r="L168" s="227">
        <v>83.909000000000006</v>
      </c>
      <c r="M168" s="227">
        <v>85.893000000000001</v>
      </c>
      <c r="N168" s="227">
        <v>76.492000000000004</v>
      </c>
      <c r="O168" s="227">
        <v>76.2</v>
      </c>
      <c r="P168" s="227">
        <v>80.655000000000001</v>
      </c>
      <c r="Q168" s="227">
        <v>75.622</v>
      </c>
      <c r="R168" s="227">
        <v>78.185000000000002</v>
      </c>
      <c r="S168" s="227">
        <v>13.185000000000002</v>
      </c>
      <c r="T168" s="227">
        <v>79.5</v>
      </c>
      <c r="U168" s="227">
        <v>79.5</v>
      </c>
      <c r="V168" s="227">
        <v>79.5</v>
      </c>
      <c r="W168" s="227">
        <v>79.5</v>
      </c>
      <c r="X168" s="227">
        <v>79.5</v>
      </c>
      <c r="Y168" s="227">
        <v>79.5</v>
      </c>
      <c r="Z168" s="227">
        <v>79.5</v>
      </c>
      <c r="AA168" s="227">
        <v>79.5</v>
      </c>
      <c r="AB168" s="227">
        <v>72.233999999999995</v>
      </c>
      <c r="AC168" s="227">
        <v>0</v>
      </c>
      <c r="AD168" s="230">
        <v>8.3604166666666657E-4</v>
      </c>
      <c r="AE168" s="230">
        <v>433.404</v>
      </c>
      <c r="AF168" s="230">
        <v>3816</v>
      </c>
      <c r="AG168" s="230">
        <v>188435.50184391919</v>
      </c>
      <c r="AH168" s="230">
        <v>574916.35620565014</v>
      </c>
      <c r="AI168" s="230">
        <v>0</v>
      </c>
    </row>
    <row r="169" spans="5:35" x14ac:dyDescent="0.35">
      <c r="E169" s="226"/>
      <c r="F169" s="227">
        <v>2.5355164383561641</v>
      </c>
      <c r="G169" s="227">
        <v>925.46349999999995</v>
      </c>
      <c r="H169" s="227">
        <v>0.88719999999999999</v>
      </c>
      <c r="I169" s="227">
        <v>0.61963000000000001</v>
      </c>
      <c r="J169" s="227">
        <v>0.21859495815268423</v>
      </c>
      <c r="K169" s="227">
        <v>87.260999999999996</v>
      </c>
      <c r="L169" s="227">
        <v>83.819000000000003</v>
      </c>
      <c r="M169" s="227">
        <v>85.801000000000002</v>
      </c>
      <c r="N169" s="227">
        <v>76.438000000000002</v>
      </c>
      <c r="O169" s="227">
        <v>76.149000000000001</v>
      </c>
      <c r="P169" s="227">
        <v>80.584999999999994</v>
      </c>
      <c r="Q169" s="227">
        <v>75.576999999999998</v>
      </c>
      <c r="R169" s="227">
        <v>78.126999999999995</v>
      </c>
      <c r="S169" s="227">
        <v>13.126999999999995</v>
      </c>
      <c r="T169" s="227">
        <v>79.5</v>
      </c>
      <c r="U169" s="227">
        <v>79.5</v>
      </c>
      <c r="V169" s="227">
        <v>79.5</v>
      </c>
      <c r="W169" s="227">
        <v>79.5</v>
      </c>
      <c r="X169" s="227">
        <v>79.5</v>
      </c>
      <c r="Y169" s="227">
        <v>79.5</v>
      </c>
      <c r="Z169" s="227">
        <v>79.5</v>
      </c>
      <c r="AA169" s="227">
        <v>79.5</v>
      </c>
      <c r="AB169" s="227">
        <v>71.757000000000005</v>
      </c>
      <c r="AC169" s="227">
        <v>0</v>
      </c>
      <c r="AD169" s="230">
        <v>8.3052083333333339E-4</v>
      </c>
      <c r="AE169" s="230">
        <v>430.54200000000003</v>
      </c>
      <c r="AF169" s="230">
        <v>3816</v>
      </c>
      <c r="AG169" s="230">
        <v>188866.04384391918</v>
      </c>
      <c r="AH169" s="230">
        <v>578732.35620565014</v>
      </c>
      <c r="AI169" s="230">
        <v>0</v>
      </c>
    </row>
    <row r="170" spans="5:35" x14ac:dyDescent="0.35">
      <c r="E170" s="226"/>
      <c r="F170" s="227">
        <v>2.5519547945205479</v>
      </c>
      <c r="G170" s="227">
        <v>931.46349999999995</v>
      </c>
      <c r="H170" s="227">
        <v>0.88790000000000002</v>
      </c>
      <c r="I170" s="227">
        <v>0.62365000000000004</v>
      </c>
      <c r="J170" s="227">
        <v>0.21909000676379536</v>
      </c>
      <c r="K170" s="227">
        <v>87.161000000000001</v>
      </c>
      <c r="L170" s="227">
        <v>83.73</v>
      </c>
      <c r="M170" s="227">
        <v>85.71</v>
      </c>
      <c r="N170" s="227">
        <v>76.384</v>
      </c>
      <c r="O170" s="227">
        <v>76.097999999999999</v>
      </c>
      <c r="P170" s="227">
        <v>80.516000000000005</v>
      </c>
      <c r="Q170" s="227">
        <v>75.534000000000006</v>
      </c>
      <c r="R170" s="227">
        <v>78.069999999999993</v>
      </c>
      <c r="S170" s="227">
        <v>13.069999999999993</v>
      </c>
      <c r="T170" s="227">
        <v>79.5</v>
      </c>
      <c r="U170" s="227">
        <v>79.5</v>
      </c>
      <c r="V170" s="227">
        <v>79.5</v>
      </c>
      <c r="W170" s="227">
        <v>79.5</v>
      </c>
      <c r="X170" s="227">
        <v>79.5</v>
      </c>
      <c r="Y170" s="227">
        <v>79.5</v>
      </c>
      <c r="Z170" s="227">
        <v>79.5</v>
      </c>
      <c r="AA170" s="227">
        <v>79.5</v>
      </c>
      <c r="AB170" s="227">
        <v>71.287000000000006</v>
      </c>
      <c r="AC170" s="227">
        <v>0</v>
      </c>
      <c r="AD170" s="230">
        <v>8.2508101851851861E-4</v>
      </c>
      <c r="AE170" s="230">
        <v>427.72200000000009</v>
      </c>
      <c r="AF170" s="230">
        <v>3816</v>
      </c>
      <c r="AG170" s="230">
        <v>189293.76584391919</v>
      </c>
      <c r="AH170" s="230">
        <v>582548.35620565014</v>
      </c>
      <c r="AI170" s="230">
        <v>0</v>
      </c>
    </row>
    <row r="171" spans="5:35" x14ac:dyDescent="0.35">
      <c r="E171" s="226"/>
      <c r="F171" s="227">
        <v>2.5683931506849316</v>
      </c>
      <c r="G171" s="227">
        <v>937.46349999999995</v>
      </c>
      <c r="H171" s="227">
        <v>0.88870000000000005</v>
      </c>
      <c r="I171" s="227">
        <v>0.62766999999999995</v>
      </c>
      <c r="J171" s="227">
        <v>0.21958183315268423</v>
      </c>
      <c r="K171" s="227">
        <v>87.063000000000002</v>
      </c>
      <c r="L171" s="227">
        <v>83.641999999999996</v>
      </c>
      <c r="M171" s="227">
        <v>85.620999999999995</v>
      </c>
      <c r="N171" s="227">
        <v>76.331999999999994</v>
      </c>
      <c r="O171" s="227">
        <v>76.048000000000002</v>
      </c>
      <c r="P171" s="227">
        <v>80.447999999999993</v>
      </c>
      <c r="Q171" s="227">
        <v>75.489999999999995</v>
      </c>
      <c r="R171" s="227">
        <v>78.013999999999996</v>
      </c>
      <c r="S171" s="227">
        <v>13.013999999999996</v>
      </c>
      <c r="T171" s="227">
        <v>79.5</v>
      </c>
      <c r="U171" s="227">
        <v>79.5</v>
      </c>
      <c r="V171" s="227">
        <v>79.5</v>
      </c>
      <c r="W171" s="227">
        <v>79.5</v>
      </c>
      <c r="X171" s="227">
        <v>79.5</v>
      </c>
      <c r="Y171" s="227">
        <v>79.5</v>
      </c>
      <c r="Z171" s="227">
        <v>79.5</v>
      </c>
      <c r="AA171" s="227">
        <v>79.5</v>
      </c>
      <c r="AB171" s="227">
        <v>70.822999999999993</v>
      </c>
      <c r="AC171" s="227">
        <v>0</v>
      </c>
      <c r="AD171" s="230">
        <v>8.1971064814814808E-4</v>
      </c>
      <c r="AE171" s="230">
        <v>424.93799999999999</v>
      </c>
      <c r="AF171" s="230">
        <v>3816</v>
      </c>
      <c r="AG171" s="230">
        <v>189718.70384391918</v>
      </c>
      <c r="AH171" s="230">
        <v>586364.35620565014</v>
      </c>
      <c r="AI171" s="230">
        <v>0</v>
      </c>
    </row>
    <row r="172" spans="5:35" x14ac:dyDescent="0.35">
      <c r="E172" s="226"/>
      <c r="F172" s="227">
        <v>2.5848315068493148</v>
      </c>
      <c r="G172" s="227">
        <v>943.46349999999995</v>
      </c>
      <c r="H172" s="227">
        <v>0.88939999999999997</v>
      </c>
      <c r="I172" s="227">
        <v>0.63168000000000002</v>
      </c>
      <c r="J172" s="227">
        <v>0.22007048593046202</v>
      </c>
      <c r="K172" s="227">
        <v>86.965999999999994</v>
      </c>
      <c r="L172" s="227">
        <v>83.555000000000007</v>
      </c>
      <c r="M172" s="227">
        <v>85.531999999999996</v>
      </c>
      <c r="N172" s="227">
        <v>76.28</v>
      </c>
      <c r="O172" s="227">
        <v>75.998999999999995</v>
      </c>
      <c r="P172" s="227">
        <v>80.38</v>
      </c>
      <c r="Q172" s="227">
        <v>75.447000000000003</v>
      </c>
      <c r="R172" s="227">
        <v>77.957999999999998</v>
      </c>
      <c r="S172" s="227">
        <v>12.957999999999998</v>
      </c>
      <c r="T172" s="227">
        <v>79.5</v>
      </c>
      <c r="U172" s="227">
        <v>79.5</v>
      </c>
      <c r="V172" s="227">
        <v>79.5</v>
      </c>
      <c r="W172" s="227">
        <v>79.5</v>
      </c>
      <c r="X172" s="227">
        <v>79.5</v>
      </c>
      <c r="Y172" s="227">
        <v>79.5</v>
      </c>
      <c r="Z172" s="227">
        <v>79.5</v>
      </c>
      <c r="AA172" s="227">
        <v>79.5</v>
      </c>
      <c r="AB172" s="227">
        <v>70.366</v>
      </c>
      <c r="AC172" s="227">
        <v>0</v>
      </c>
      <c r="AD172" s="230">
        <v>8.1442129629629627E-4</v>
      </c>
      <c r="AE172" s="230">
        <v>422.19600000000003</v>
      </c>
      <c r="AF172" s="230">
        <v>3816</v>
      </c>
      <c r="AG172" s="230">
        <v>190140.89984391918</v>
      </c>
      <c r="AH172" s="230">
        <v>590180.35620565014</v>
      </c>
      <c r="AI172" s="230">
        <v>0</v>
      </c>
    </row>
    <row r="173" spans="5:35" x14ac:dyDescent="0.35">
      <c r="E173" s="226"/>
      <c r="F173" s="227">
        <v>2.6012698630136986</v>
      </c>
      <c r="G173" s="227">
        <v>949.46349999999995</v>
      </c>
      <c r="H173" s="227">
        <v>0.8901</v>
      </c>
      <c r="I173" s="227">
        <v>0.63570000000000004</v>
      </c>
      <c r="J173" s="227">
        <v>0.22055600676379533</v>
      </c>
      <c r="K173" s="227">
        <v>86.87</v>
      </c>
      <c r="L173" s="227">
        <v>83.47</v>
      </c>
      <c r="M173" s="227">
        <v>85.444000000000003</v>
      </c>
      <c r="N173" s="227">
        <v>76.227999999999994</v>
      </c>
      <c r="O173" s="227">
        <v>75.95</v>
      </c>
      <c r="P173" s="227">
        <v>80.313999999999993</v>
      </c>
      <c r="Q173" s="227">
        <v>75.405000000000001</v>
      </c>
      <c r="R173" s="227">
        <v>77.903999999999996</v>
      </c>
      <c r="S173" s="227">
        <v>12.903999999999996</v>
      </c>
      <c r="T173" s="227">
        <v>79.5</v>
      </c>
      <c r="U173" s="227">
        <v>79.5</v>
      </c>
      <c r="V173" s="227">
        <v>79.5</v>
      </c>
      <c r="W173" s="227">
        <v>79.5</v>
      </c>
      <c r="X173" s="227">
        <v>79.5</v>
      </c>
      <c r="Y173" s="227">
        <v>79.5</v>
      </c>
      <c r="Z173" s="227">
        <v>79.5</v>
      </c>
      <c r="AA173" s="227">
        <v>79.5</v>
      </c>
      <c r="AB173" s="227">
        <v>69.915000000000006</v>
      </c>
      <c r="AC173" s="227">
        <v>0</v>
      </c>
      <c r="AD173" s="230">
        <v>8.0920138888888893E-4</v>
      </c>
      <c r="AE173" s="230">
        <v>419.49000000000007</v>
      </c>
      <c r="AF173" s="230">
        <v>3816</v>
      </c>
      <c r="AG173" s="230">
        <v>190560.38984391917</v>
      </c>
      <c r="AH173" s="230">
        <v>593996.35620565014</v>
      </c>
      <c r="AI173" s="230">
        <v>0</v>
      </c>
    </row>
    <row r="174" spans="5:35" x14ac:dyDescent="0.35">
      <c r="E174" s="226"/>
      <c r="F174" s="227">
        <v>2.6177082191780823</v>
      </c>
      <c r="G174" s="227">
        <v>955.46349999999995</v>
      </c>
      <c r="H174" s="227">
        <v>0.89080000000000004</v>
      </c>
      <c r="I174" s="227">
        <v>0.63971999999999996</v>
      </c>
      <c r="J174" s="227">
        <v>0.22103844426379535</v>
      </c>
      <c r="K174" s="227">
        <v>86.775000000000006</v>
      </c>
      <c r="L174" s="227">
        <v>83.385000000000005</v>
      </c>
      <c r="M174" s="227">
        <v>85.356999999999999</v>
      </c>
      <c r="N174" s="227">
        <v>76.177999999999997</v>
      </c>
      <c r="O174" s="227">
        <v>75.902000000000001</v>
      </c>
      <c r="P174" s="227">
        <v>80.248000000000005</v>
      </c>
      <c r="Q174" s="227">
        <v>75.363</v>
      </c>
      <c r="R174" s="227">
        <v>77.849999999999994</v>
      </c>
      <c r="S174" s="227">
        <v>12.849999999999994</v>
      </c>
      <c r="T174" s="227">
        <v>79.5</v>
      </c>
      <c r="U174" s="227">
        <v>79.5</v>
      </c>
      <c r="V174" s="227">
        <v>79.5</v>
      </c>
      <c r="W174" s="227">
        <v>79.5</v>
      </c>
      <c r="X174" s="227">
        <v>79.5</v>
      </c>
      <c r="Y174" s="227">
        <v>79.5</v>
      </c>
      <c r="Z174" s="227">
        <v>79.5</v>
      </c>
      <c r="AA174" s="227">
        <v>79.5</v>
      </c>
      <c r="AB174" s="227">
        <v>69.471000000000004</v>
      </c>
      <c r="AC174" s="227">
        <v>0</v>
      </c>
      <c r="AD174" s="230">
        <v>8.0406250000000009E-4</v>
      </c>
      <c r="AE174" s="230">
        <v>416.82600000000002</v>
      </c>
      <c r="AF174" s="230">
        <v>3816</v>
      </c>
      <c r="AG174" s="230">
        <v>190977.21584391917</v>
      </c>
      <c r="AH174" s="230">
        <v>597812.35620565014</v>
      </c>
      <c r="AI174" s="230">
        <v>0</v>
      </c>
    </row>
    <row r="175" spans="5:35" x14ac:dyDescent="0.35">
      <c r="E175" s="226"/>
      <c r="F175" s="227">
        <v>2.6341465753424655</v>
      </c>
      <c r="G175" s="227">
        <v>961.46349999999995</v>
      </c>
      <c r="H175" s="227">
        <v>0.89149999999999996</v>
      </c>
      <c r="I175" s="227">
        <v>0.64373999999999998</v>
      </c>
      <c r="J175" s="227">
        <v>0.22151783315268422</v>
      </c>
      <c r="K175" s="227">
        <v>86.680999999999997</v>
      </c>
      <c r="L175" s="227">
        <v>83.301000000000002</v>
      </c>
      <c r="M175" s="227">
        <v>85.271000000000001</v>
      </c>
      <c r="N175" s="227">
        <v>76.128</v>
      </c>
      <c r="O175" s="227">
        <v>75.855000000000004</v>
      </c>
      <c r="P175" s="227">
        <v>80.183000000000007</v>
      </c>
      <c r="Q175" s="227">
        <v>75.322000000000003</v>
      </c>
      <c r="R175" s="227">
        <v>77.796000000000006</v>
      </c>
      <c r="S175" s="227">
        <v>12.796000000000006</v>
      </c>
      <c r="T175" s="227">
        <v>79.5</v>
      </c>
      <c r="U175" s="227">
        <v>79.5</v>
      </c>
      <c r="V175" s="227">
        <v>79.5</v>
      </c>
      <c r="W175" s="227">
        <v>79.5</v>
      </c>
      <c r="X175" s="227">
        <v>79.5</v>
      </c>
      <c r="Y175" s="227">
        <v>79.5</v>
      </c>
      <c r="Z175" s="227">
        <v>79.5</v>
      </c>
      <c r="AA175" s="227">
        <v>79.5</v>
      </c>
      <c r="AB175" s="227">
        <v>69.031999999999996</v>
      </c>
      <c r="AC175" s="227">
        <v>0</v>
      </c>
      <c r="AD175" s="230">
        <v>7.9898148148148146E-4</v>
      </c>
      <c r="AE175" s="230">
        <v>414.19200000000001</v>
      </c>
      <c r="AF175" s="230">
        <v>3816</v>
      </c>
      <c r="AG175" s="230">
        <v>191391.40784391918</v>
      </c>
      <c r="AH175" s="230">
        <v>601628.35620565014</v>
      </c>
      <c r="AI175" s="230">
        <v>0</v>
      </c>
    </row>
    <row r="176" spans="5:35" x14ac:dyDescent="0.35">
      <c r="E176" s="226"/>
      <c r="F176" s="227">
        <v>2.6505849315068493</v>
      </c>
      <c r="G176" s="227">
        <v>967.46349999999995</v>
      </c>
      <c r="H176" s="227">
        <v>0.89219999999999999</v>
      </c>
      <c r="I176" s="227">
        <v>0.64775000000000005</v>
      </c>
      <c r="J176" s="227">
        <v>0.22199420815268422</v>
      </c>
      <c r="K176" s="227">
        <v>86.587999999999994</v>
      </c>
      <c r="L176" s="227">
        <v>83.218000000000004</v>
      </c>
      <c r="M176" s="227">
        <v>85.186000000000007</v>
      </c>
      <c r="N176" s="227">
        <v>76.078000000000003</v>
      </c>
      <c r="O176" s="227">
        <v>75.808000000000007</v>
      </c>
      <c r="P176" s="227">
        <v>80.119</v>
      </c>
      <c r="Q176" s="227">
        <v>75.281000000000006</v>
      </c>
      <c r="R176" s="227">
        <v>77.742999999999995</v>
      </c>
      <c r="S176" s="227">
        <v>12.742999999999995</v>
      </c>
      <c r="T176" s="227">
        <v>79.5</v>
      </c>
      <c r="U176" s="227">
        <v>79.5</v>
      </c>
      <c r="V176" s="227">
        <v>79.5</v>
      </c>
      <c r="W176" s="227">
        <v>79.5</v>
      </c>
      <c r="X176" s="227">
        <v>79.5</v>
      </c>
      <c r="Y176" s="227">
        <v>79.5</v>
      </c>
      <c r="Z176" s="227">
        <v>79.5</v>
      </c>
      <c r="AA176" s="227">
        <v>79.5</v>
      </c>
      <c r="AB176" s="227">
        <v>68.597999999999999</v>
      </c>
      <c r="AC176" s="227">
        <v>0</v>
      </c>
      <c r="AD176" s="230">
        <v>7.9395833333333336E-4</v>
      </c>
      <c r="AE176" s="230">
        <v>411.58800000000008</v>
      </c>
      <c r="AF176" s="230">
        <v>3816</v>
      </c>
      <c r="AG176" s="230">
        <v>191802.99584391917</v>
      </c>
      <c r="AH176" s="230">
        <v>605444.35620565014</v>
      </c>
      <c r="AI176" s="230">
        <v>0</v>
      </c>
    </row>
    <row r="177" spans="5:35" x14ac:dyDescent="0.35">
      <c r="E177" s="226"/>
      <c r="F177" s="227">
        <v>2.6670232876712325</v>
      </c>
      <c r="G177" s="227">
        <v>973.46349999999995</v>
      </c>
      <c r="H177" s="227">
        <v>0.89280000000000004</v>
      </c>
      <c r="I177" s="227">
        <v>0.65176999999999996</v>
      </c>
      <c r="J177" s="227">
        <v>0.2224676248193509</v>
      </c>
      <c r="K177" s="227">
        <v>86.495999999999995</v>
      </c>
      <c r="L177" s="227">
        <v>83.137</v>
      </c>
      <c r="M177" s="227">
        <v>85.102999999999994</v>
      </c>
      <c r="N177" s="227">
        <v>76.028999999999996</v>
      </c>
      <c r="O177" s="227">
        <v>75.762</v>
      </c>
      <c r="P177" s="227">
        <v>80.055000000000007</v>
      </c>
      <c r="Q177" s="227">
        <v>75.239999999999995</v>
      </c>
      <c r="R177" s="227">
        <v>77.691000000000003</v>
      </c>
      <c r="S177" s="227">
        <v>12.691000000000003</v>
      </c>
      <c r="T177" s="227">
        <v>79.5</v>
      </c>
      <c r="U177" s="227">
        <v>79.5</v>
      </c>
      <c r="V177" s="227">
        <v>79.5</v>
      </c>
      <c r="W177" s="227">
        <v>79.5</v>
      </c>
      <c r="X177" s="227">
        <v>79.5</v>
      </c>
      <c r="Y177" s="227">
        <v>79.5</v>
      </c>
      <c r="Z177" s="227">
        <v>79.5</v>
      </c>
      <c r="AA177" s="227">
        <v>79.5</v>
      </c>
      <c r="AB177" s="227">
        <v>68.171999999999997</v>
      </c>
      <c r="AC177" s="227">
        <v>0</v>
      </c>
      <c r="AD177" s="230">
        <v>7.8902777777777771E-4</v>
      </c>
      <c r="AE177" s="230">
        <v>409.03199999999993</v>
      </c>
      <c r="AF177" s="230">
        <v>3816</v>
      </c>
      <c r="AG177" s="230">
        <v>192212.02784391918</v>
      </c>
      <c r="AH177" s="230">
        <v>609260.35620565014</v>
      </c>
      <c r="AI177" s="230">
        <v>0</v>
      </c>
    </row>
    <row r="178" spans="5:35" x14ac:dyDescent="0.35">
      <c r="E178" s="226"/>
      <c r="F178" s="227">
        <v>2.6834616438356163</v>
      </c>
      <c r="G178" s="227">
        <v>979.46349999999995</v>
      </c>
      <c r="H178" s="227">
        <v>0.89349999999999996</v>
      </c>
      <c r="I178" s="227">
        <v>0.65578999999999998</v>
      </c>
      <c r="J178" s="227">
        <v>0.22293811093046201</v>
      </c>
      <c r="K178" s="227">
        <v>86.406000000000006</v>
      </c>
      <c r="L178" s="227">
        <v>83.055999999999997</v>
      </c>
      <c r="M178" s="227">
        <v>85.02</v>
      </c>
      <c r="N178" s="227">
        <v>75.980999999999995</v>
      </c>
      <c r="O178" s="227">
        <v>75.715999999999994</v>
      </c>
      <c r="P178" s="227">
        <v>79.992999999999995</v>
      </c>
      <c r="Q178" s="227">
        <v>75.2</v>
      </c>
      <c r="R178" s="227">
        <v>77.638999999999996</v>
      </c>
      <c r="S178" s="227">
        <v>12.638999999999996</v>
      </c>
      <c r="T178" s="227">
        <v>79.5</v>
      </c>
      <c r="U178" s="227">
        <v>79.5</v>
      </c>
      <c r="V178" s="227">
        <v>79.5</v>
      </c>
      <c r="W178" s="227">
        <v>79.5</v>
      </c>
      <c r="X178" s="227">
        <v>79.5</v>
      </c>
      <c r="Y178" s="227">
        <v>79.5</v>
      </c>
      <c r="Z178" s="227">
        <v>79.5</v>
      </c>
      <c r="AA178" s="227">
        <v>79.5</v>
      </c>
      <c r="AB178" s="227">
        <v>67.75</v>
      </c>
      <c r="AC178" s="227">
        <v>0</v>
      </c>
      <c r="AD178" s="230">
        <v>7.8414351851851854E-4</v>
      </c>
      <c r="AE178" s="230">
        <v>406.5</v>
      </c>
      <c r="AF178" s="230">
        <v>3816</v>
      </c>
      <c r="AG178" s="230">
        <v>192618.52784391918</v>
      </c>
      <c r="AH178" s="230">
        <v>613076.35620565014</v>
      </c>
      <c r="AI178" s="230">
        <v>0</v>
      </c>
    </row>
    <row r="179" spans="5:35" x14ac:dyDescent="0.35">
      <c r="E179" s="226"/>
      <c r="F179" s="227">
        <v>2.6999</v>
      </c>
      <c r="G179" s="227">
        <v>985.46349999999995</v>
      </c>
      <c r="H179" s="227">
        <v>0.89410000000000001</v>
      </c>
      <c r="I179" s="227">
        <v>0.65980000000000005</v>
      </c>
      <c r="J179" s="227">
        <v>0.22340570120823977</v>
      </c>
      <c r="K179" s="227">
        <v>86.316000000000003</v>
      </c>
      <c r="L179" s="227">
        <v>82.975999999999999</v>
      </c>
      <c r="M179" s="227">
        <v>84.938000000000002</v>
      </c>
      <c r="N179" s="227">
        <v>75.933000000000007</v>
      </c>
      <c r="O179" s="227">
        <v>75.671000000000006</v>
      </c>
      <c r="P179" s="227">
        <v>79.930000000000007</v>
      </c>
      <c r="Q179" s="227">
        <v>75.161000000000001</v>
      </c>
      <c r="R179" s="227">
        <v>77.587999999999994</v>
      </c>
      <c r="S179" s="227">
        <v>12.587999999999994</v>
      </c>
      <c r="T179" s="227">
        <v>79.5</v>
      </c>
      <c r="U179" s="227">
        <v>79.5</v>
      </c>
      <c r="V179" s="227">
        <v>79.5</v>
      </c>
      <c r="W179" s="227">
        <v>79.5</v>
      </c>
      <c r="X179" s="227">
        <v>79.5</v>
      </c>
      <c r="Y179" s="227">
        <v>79.5</v>
      </c>
      <c r="Z179" s="227">
        <v>79.5</v>
      </c>
      <c r="AA179" s="227">
        <v>79.5</v>
      </c>
      <c r="AB179" s="227">
        <v>67.332999999999998</v>
      </c>
      <c r="AC179" s="227">
        <v>0</v>
      </c>
      <c r="AD179" s="230">
        <v>7.7931712962962959E-4</v>
      </c>
      <c r="AE179" s="230">
        <v>403.99799999999993</v>
      </c>
      <c r="AF179" s="230">
        <v>3816</v>
      </c>
      <c r="AG179" s="230">
        <v>193022.52584391917</v>
      </c>
      <c r="AH179" s="230">
        <v>616892.35620565014</v>
      </c>
      <c r="AI179" s="230">
        <v>0</v>
      </c>
    </row>
    <row r="180" spans="5:35" x14ac:dyDescent="0.35">
      <c r="E180" s="226"/>
      <c r="F180" s="227">
        <v>2.7163383561643832</v>
      </c>
      <c r="G180" s="227">
        <v>991.46349999999995</v>
      </c>
      <c r="H180" s="227">
        <v>0.89480000000000004</v>
      </c>
      <c r="I180" s="227">
        <v>0.66381999999999997</v>
      </c>
      <c r="J180" s="227">
        <v>0.22387043037490645</v>
      </c>
      <c r="K180" s="227">
        <v>86.227999999999994</v>
      </c>
      <c r="L180" s="227">
        <v>82.897000000000006</v>
      </c>
      <c r="M180" s="227">
        <v>84.856999999999999</v>
      </c>
      <c r="N180" s="227">
        <v>75.885999999999996</v>
      </c>
      <c r="O180" s="227">
        <v>75.626000000000005</v>
      </c>
      <c r="P180" s="227">
        <v>79.869</v>
      </c>
      <c r="Q180" s="227">
        <v>75.122</v>
      </c>
      <c r="R180" s="227">
        <v>77.537999999999997</v>
      </c>
      <c r="S180" s="227">
        <v>12.537999999999997</v>
      </c>
      <c r="T180" s="227">
        <v>79.5</v>
      </c>
      <c r="U180" s="227">
        <v>79.5</v>
      </c>
      <c r="V180" s="227">
        <v>79.5</v>
      </c>
      <c r="W180" s="227">
        <v>79.5</v>
      </c>
      <c r="X180" s="227">
        <v>79.5</v>
      </c>
      <c r="Y180" s="227">
        <v>79.5</v>
      </c>
      <c r="Z180" s="227">
        <v>79.5</v>
      </c>
      <c r="AA180" s="227">
        <v>79.5</v>
      </c>
      <c r="AB180" s="227">
        <v>66.921000000000006</v>
      </c>
      <c r="AC180" s="227">
        <v>0</v>
      </c>
      <c r="AD180" s="230">
        <v>7.7454861111111116E-4</v>
      </c>
      <c r="AE180" s="230">
        <v>401.52600000000001</v>
      </c>
      <c r="AF180" s="230">
        <v>3816</v>
      </c>
      <c r="AG180" s="230">
        <v>193424.05184391918</v>
      </c>
      <c r="AH180" s="230">
        <v>620708.35620565014</v>
      </c>
      <c r="AI180" s="230">
        <v>0</v>
      </c>
    </row>
    <row r="181" spans="5:35" x14ac:dyDescent="0.35">
      <c r="E181" s="226"/>
      <c r="F181" s="227">
        <v>2.732776712328767</v>
      </c>
      <c r="G181" s="227">
        <v>997.46349999999995</v>
      </c>
      <c r="H181" s="227">
        <v>0.89539999999999997</v>
      </c>
      <c r="I181" s="227">
        <v>0.66783999999999999</v>
      </c>
      <c r="J181" s="227">
        <v>0.22433233315268425</v>
      </c>
      <c r="K181" s="227">
        <v>86.14</v>
      </c>
      <c r="L181" s="227">
        <v>82.819000000000003</v>
      </c>
      <c r="M181" s="227">
        <v>84.777000000000001</v>
      </c>
      <c r="N181" s="227">
        <v>75.838999999999999</v>
      </c>
      <c r="O181" s="227">
        <v>75.581000000000003</v>
      </c>
      <c r="P181" s="227">
        <v>79.808000000000007</v>
      </c>
      <c r="Q181" s="227">
        <v>75.082999999999998</v>
      </c>
      <c r="R181" s="227">
        <v>77.488</v>
      </c>
      <c r="S181" s="227">
        <v>12.488</v>
      </c>
      <c r="T181" s="227">
        <v>79.5</v>
      </c>
      <c r="U181" s="227">
        <v>79.5</v>
      </c>
      <c r="V181" s="227">
        <v>79.5</v>
      </c>
      <c r="W181" s="227">
        <v>79.5</v>
      </c>
      <c r="X181" s="227">
        <v>79.5</v>
      </c>
      <c r="Y181" s="227">
        <v>79.5</v>
      </c>
      <c r="Z181" s="227">
        <v>79.5</v>
      </c>
      <c r="AA181" s="227">
        <v>79.5</v>
      </c>
      <c r="AB181" s="227">
        <v>66.513999999999996</v>
      </c>
      <c r="AC181" s="227">
        <v>0</v>
      </c>
      <c r="AD181" s="230">
        <v>7.6983796296296295E-4</v>
      </c>
      <c r="AE181" s="230">
        <v>399.08399999999995</v>
      </c>
      <c r="AF181" s="230">
        <v>3816</v>
      </c>
      <c r="AG181" s="230">
        <v>193823.13584391918</v>
      </c>
      <c r="AH181" s="230">
        <v>624524.35620565014</v>
      </c>
      <c r="AI181" s="230">
        <v>0</v>
      </c>
    </row>
    <row r="182" spans="5:35" x14ac:dyDescent="0.35">
      <c r="E182" s="226"/>
      <c r="F182" s="227">
        <v>2.7492164383561644</v>
      </c>
      <c r="G182" s="227">
        <v>1003.4640000000001</v>
      </c>
      <c r="H182" s="227">
        <v>0.89610000000000001</v>
      </c>
      <c r="I182" s="227">
        <v>0.67186000000000001</v>
      </c>
      <c r="J182" s="227">
        <v>0.22479148252305461</v>
      </c>
      <c r="K182" s="227">
        <v>86.052999999999997</v>
      </c>
      <c r="L182" s="227">
        <v>82.742000000000004</v>
      </c>
      <c r="M182" s="227">
        <v>84.697000000000003</v>
      </c>
      <c r="N182" s="227">
        <v>75.793000000000006</v>
      </c>
      <c r="O182" s="227">
        <v>75.537999999999997</v>
      </c>
      <c r="P182" s="227">
        <v>79.748000000000005</v>
      </c>
      <c r="Q182" s="227">
        <v>75.045000000000002</v>
      </c>
      <c r="R182" s="227">
        <v>77.438000000000002</v>
      </c>
      <c r="S182" s="227">
        <v>12.438000000000002</v>
      </c>
      <c r="T182" s="227">
        <v>79.5</v>
      </c>
      <c r="U182" s="227">
        <v>79.5</v>
      </c>
      <c r="V182" s="227">
        <v>79.5</v>
      </c>
      <c r="W182" s="227">
        <v>79.5</v>
      </c>
      <c r="X182" s="227">
        <v>79.5</v>
      </c>
      <c r="Y182" s="227">
        <v>79.5</v>
      </c>
      <c r="Z182" s="227">
        <v>79.5</v>
      </c>
      <c r="AA182" s="227">
        <v>79.5</v>
      </c>
      <c r="AB182" s="227">
        <v>66.111999999999995</v>
      </c>
      <c r="AC182" s="227">
        <v>0</v>
      </c>
      <c r="AD182" s="230">
        <v>7.6518518518518515E-4</v>
      </c>
      <c r="AE182" s="230">
        <v>396.70505600000672</v>
      </c>
      <c r="AF182" s="230">
        <v>3816.3180000000648</v>
      </c>
      <c r="AG182" s="230">
        <v>194219.84089991919</v>
      </c>
      <c r="AH182" s="230">
        <v>628340.67420565023</v>
      </c>
      <c r="AI182" s="230">
        <v>0</v>
      </c>
    </row>
    <row r="183" spans="5:35" x14ac:dyDescent="0.35">
      <c r="E183" s="226"/>
      <c r="F183" s="227">
        <v>2.7656547945205481</v>
      </c>
      <c r="G183" s="227">
        <v>1009.4640000000001</v>
      </c>
      <c r="H183" s="227">
        <v>0.89670000000000005</v>
      </c>
      <c r="I183" s="227">
        <v>0.67586999999999997</v>
      </c>
      <c r="J183" s="227">
        <v>0.22524783668972129</v>
      </c>
      <c r="K183" s="227">
        <v>85.966999999999999</v>
      </c>
      <c r="L183" s="227">
        <v>82.665999999999997</v>
      </c>
      <c r="M183" s="227">
        <v>84.619</v>
      </c>
      <c r="N183" s="227">
        <v>75.748000000000005</v>
      </c>
      <c r="O183" s="227">
        <v>75.494</v>
      </c>
      <c r="P183" s="227">
        <v>79.688999999999993</v>
      </c>
      <c r="Q183" s="227">
        <v>75.007000000000005</v>
      </c>
      <c r="R183" s="227">
        <v>77.39</v>
      </c>
      <c r="S183" s="227">
        <v>12.39</v>
      </c>
      <c r="T183" s="227">
        <v>79.5</v>
      </c>
      <c r="U183" s="227">
        <v>79.5</v>
      </c>
      <c r="V183" s="227">
        <v>79.5</v>
      </c>
      <c r="W183" s="227">
        <v>79.5</v>
      </c>
      <c r="X183" s="227">
        <v>79.5</v>
      </c>
      <c r="Y183" s="227">
        <v>79.5</v>
      </c>
      <c r="Z183" s="227">
        <v>79.5</v>
      </c>
      <c r="AA183" s="227">
        <v>79.5</v>
      </c>
      <c r="AB183" s="227">
        <v>65.715000000000003</v>
      </c>
      <c r="AC183" s="227">
        <v>0</v>
      </c>
      <c r="AD183" s="230">
        <v>7.6059027777777778E-4</v>
      </c>
      <c r="AE183" s="230">
        <v>394.29</v>
      </c>
      <c r="AF183" s="230">
        <v>3816</v>
      </c>
      <c r="AG183" s="230">
        <v>194614.1308999192</v>
      </c>
      <c r="AH183" s="230">
        <v>632156.67420565023</v>
      </c>
      <c r="AI183" s="230">
        <v>0</v>
      </c>
    </row>
    <row r="184" spans="5:35" x14ac:dyDescent="0.35">
      <c r="E184" s="226"/>
      <c r="F184" s="227">
        <v>2.7820931506849318</v>
      </c>
      <c r="G184" s="227">
        <v>1015.4640000000001</v>
      </c>
      <c r="H184" s="227">
        <v>0.89729999999999999</v>
      </c>
      <c r="I184" s="227">
        <v>0.67988999999999999</v>
      </c>
      <c r="J184" s="227">
        <v>0.22570146863416574</v>
      </c>
      <c r="K184" s="227">
        <v>85.882000000000005</v>
      </c>
      <c r="L184" s="227">
        <v>82.59</v>
      </c>
      <c r="M184" s="227">
        <v>84.540999999999997</v>
      </c>
      <c r="N184" s="227">
        <v>75.701999999999998</v>
      </c>
      <c r="O184" s="227">
        <v>75.450999999999993</v>
      </c>
      <c r="P184" s="227">
        <v>79.63</v>
      </c>
      <c r="Q184" s="227">
        <v>74.968999999999994</v>
      </c>
      <c r="R184" s="227">
        <v>77.340999999999994</v>
      </c>
      <c r="S184" s="227">
        <v>12.340999999999994</v>
      </c>
      <c r="T184" s="227">
        <v>79.5</v>
      </c>
      <c r="U184" s="227">
        <v>79.5</v>
      </c>
      <c r="V184" s="227">
        <v>79.5</v>
      </c>
      <c r="W184" s="227">
        <v>79.5</v>
      </c>
      <c r="X184" s="227">
        <v>79.5</v>
      </c>
      <c r="Y184" s="227">
        <v>79.5</v>
      </c>
      <c r="Z184" s="227">
        <v>79.5</v>
      </c>
      <c r="AA184" s="227">
        <v>79.5</v>
      </c>
      <c r="AB184" s="227">
        <v>65.322999999999993</v>
      </c>
      <c r="AC184" s="227">
        <v>0</v>
      </c>
      <c r="AD184" s="230">
        <v>7.5605324074074062E-4</v>
      </c>
      <c r="AE184" s="230">
        <v>391.93799999999993</v>
      </c>
      <c r="AF184" s="230">
        <v>3816</v>
      </c>
      <c r="AG184" s="230">
        <v>195006.06889991919</v>
      </c>
      <c r="AH184" s="230">
        <v>635972.67420565023</v>
      </c>
      <c r="AI184" s="230">
        <v>0</v>
      </c>
    </row>
    <row r="185" spans="5:35" x14ac:dyDescent="0.35">
      <c r="E185" s="226"/>
      <c r="F185" s="227">
        <v>2.7985315068493151</v>
      </c>
      <c r="G185" s="227">
        <v>1021.4640000000001</v>
      </c>
      <c r="H185" s="227">
        <v>0.89790000000000003</v>
      </c>
      <c r="I185" s="227">
        <v>0.68391000000000002</v>
      </c>
      <c r="J185" s="227">
        <v>0.22615240613416571</v>
      </c>
      <c r="K185" s="227">
        <v>85.798000000000002</v>
      </c>
      <c r="L185" s="227">
        <v>82.516000000000005</v>
      </c>
      <c r="M185" s="227">
        <v>84.463999999999999</v>
      </c>
      <c r="N185" s="227">
        <v>75.658000000000001</v>
      </c>
      <c r="O185" s="227">
        <v>75.409000000000006</v>
      </c>
      <c r="P185" s="227">
        <v>79.572000000000003</v>
      </c>
      <c r="Q185" s="227">
        <v>74.932000000000002</v>
      </c>
      <c r="R185" s="227">
        <v>77.293000000000006</v>
      </c>
      <c r="S185" s="227">
        <v>12.293000000000006</v>
      </c>
      <c r="T185" s="227">
        <v>79.5</v>
      </c>
      <c r="U185" s="227">
        <v>79.5</v>
      </c>
      <c r="V185" s="227">
        <v>79.5</v>
      </c>
      <c r="W185" s="227">
        <v>79.5</v>
      </c>
      <c r="X185" s="227">
        <v>79.5</v>
      </c>
      <c r="Y185" s="227">
        <v>79.5</v>
      </c>
      <c r="Z185" s="227">
        <v>79.5</v>
      </c>
      <c r="AA185" s="227">
        <v>79.5</v>
      </c>
      <c r="AB185" s="227">
        <v>64.935000000000002</v>
      </c>
      <c r="AC185" s="227">
        <v>0</v>
      </c>
      <c r="AD185" s="230">
        <v>7.5156250000000006E-4</v>
      </c>
      <c r="AE185" s="230">
        <v>389.61</v>
      </c>
      <c r="AF185" s="230">
        <v>3816</v>
      </c>
      <c r="AG185" s="230">
        <v>195395.67889991918</v>
      </c>
      <c r="AH185" s="230">
        <v>639788.67420565023</v>
      </c>
      <c r="AI185" s="230">
        <v>0</v>
      </c>
    </row>
    <row r="186" spans="5:35" x14ac:dyDescent="0.35">
      <c r="E186" s="226"/>
      <c r="F186" s="227">
        <v>2.8149698630136983</v>
      </c>
      <c r="G186" s="227">
        <v>1027.4639999999999</v>
      </c>
      <c r="H186" s="227">
        <v>0.89849999999999997</v>
      </c>
      <c r="I186" s="227">
        <v>0.68791999999999998</v>
      </c>
      <c r="J186" s="227">
        <v>0.22660069085638793</v>
      </c>
      <c r="K186" s="227">
        <v>85.715000000000003</v>
      </c>
      <c r="L186" s="227">
        <v>82.441999999999993</v>
      </c>
      <c r="M186" s="227">
        <v>84.388000000000005</v>
      </c>
      <c r="N186" s="227">
        <v>75.614000000000004</v>
      </c>
      <c r="O186" s="227">
        <v>75.367000000000004</v>
      </c>
      <c r="P186" s="227">
        <v>79.513999999999996</v>
      </c>
      <c r="Q186" s="227">
        <v>74.894999999999996</v>
      </c>
      <c r="R186" s="227">
        <v>77.245999999999995</v>
      </c>
      <c r="S186" s="227">
        <v>12.245999999999995</v>
      </c>
      <c r="T186" s="227">
        <v>79.5</v>
      </c>
      <c r="U186" s="227">
        <v>79.5</v>
      </c>
      <c r="V186" s="227">
        <v>79.5</v>
      </c>
      <c r="W186" s="227">
        <v>79.5</v>
      </c>
      <c r="X186" s="227">
        <v>79.5</v>
      </c>
      <c r="Y186" s="227">
        <v>79.5</v>
      </c>
      <c r="Z186" s="227">
        <v>79.5</v>
      </c>
      <c r="AA186" s="227">
        <v>79.5</v>
      </c>
      <c r="AB186" s="227">
        <v>64.552999999999997</v>
      </c>
      <c r="AC186" s="227">
        <v>0</v>
      </c>
      <c r="AD186" s="230">
        <v>7.4714120370370364E-4</v>
      </c>
      <c r="AE186" s="230">
        <v>387.31799999999265</v>
      </c>
      <c r="AF186" s="230">
        <v>3815.9999999999277</v>
      </c>
      <c r="AG186" s="230">
        <v>195782.99689991918</v>
      </c>
      <c r="AH186" s="230">
        <v>643604.67420565011</v>
      </c>
      <c r="AI186" s="230">
        <v>0</v>
      </c>
    </row>
    <row r="187" spans="5:35" x14ac:dyDescent="0.35">
      <c r="E187" s="226"/>
      <c r="F187" s="227">
        <v>2.8314082191780821</v>
      </c>
      <c r="G187" s="227">
        <v>1033.4639999999999</v>
      </c>
      <c r="H187" s="227">
        <v>0.89910000000000001</v>
      </c>
      <c r="I187" s="227">
        <v>0.69194</v>
      </c>
      <c r="J187" s="227">
        <v>0.22704635057861014</v>
      </c>
      <c r="K187" s="227">
        <v>85.632999999999996</v>
      </c>
      <c r="L187" s="227">
        <v>82.37</v>
      </c>
      <c r="M187" s="227">
        <v>84.313000000000002</v>
      </c>
      <c r="N187" s="227">
        <v>75.569999999999993</v>
      </c>
      <c r="O187" s="227">
        <v>75.325999999999993</v>
      </c>
      <c r="P187" s="227">
        <v>79.457999999999998</v>
      </c>
      <c r="Q187" s="227">
        <v>74.858999999999995</v>
      </c>
      <c r="R187" s="227">
        <v>77.198999999999998</v>
      </c>
      <c r="S187" s="227">
        <v>12.198999999999998</v>
      </c>
      <c r="T187" s="227">
        <v>79.5</v>
      </c>
      <c r="U187" s="227">
        <v>79.5</v>
      </c>
      <c r="V187" s="227">
        <v>79.5</v>
      </c>
      <c r="W187" s="227">
        <v>79.5</v>
      </c>
      <c r="X187" s="227">
        <v>79.5</v>
      </c>
      <c r="Y187" s="227">
        <v>79.5</v>
      </c>
      <c r="Z187" s="227">
        <v>79.5</v>
      </c>
      <c r="AA187" s="227">
        <v>79.5</v>
      </c>
      <c r="AB187" s="227">
        <v>64.174999999999997</v>
      </c>
      <c r="AC187" s="227">
        <v>0</v>
      </c>
      <c r="AD187" s="230">
        <v>7.4276620370370371E-4</v>
      </c>
      <c r="AE187" s="230">
        <v>385.05</v>
      </c>
      <c r="AF187" s="230">
        <v>3816</v>
      </c>
      <c r="AG187" s="230">
        <v>196168.04689991917</v>
      </c>
      <c r="AH187" s="230">
        <v>647420.67420565011</v>
      </c>
      <c r="AI187" s="230">
        <v>0</v>
      </c>
    </row>
    <row r="188" spans="5:35" x14ac:dyDescent="0.35">
      <c r="E188" s="226">
        <v>0</v>
      </c>
      <c r="F188" s="227">
        <v>2.8478465753424658</v>
      </c>
      <c r="G188" s="227">
        <v>1039.4639999999999</v>
      </c>
      <c r="H188" s="227">
        <v>0.89970000000000006</v>
      </c>
      <c r="I188" s="227">
        <v>0.69596000000000002</v>
      </c>
      <c r="J188" s="227">
        <v>0.22748942002305458</v>
      </c>
      <c r="K188" s="227">
        <v>85.552000000000007</v>
      </c>
      <c r="L188" s="227">
        <v>82.298000000000002</v>
      </c>
      <c r="M188" s="227">
        <v>84.239000000000004</v>
      </c>
      <c r="N188" s="227">
        <v>75.527000000000001</v>
      </c>
      <c r="O188" s="227">
        <v>75.284999999999997</v>
      </c>
      <c r="P188" s="227">
        <v>79.400999999999996</v>
      </c>
      <c r="Q188" s="227">
        <v>74.822999999999993</v>
      </c>
      <c r="R188" s="227">
        <v>77.153000000000006</v>
      </c>
      <c r="S188" s="227">
        <v>12.153000000000006</v>
      </c>
      <c r="T188" s="227">
        <v>79.5</v>
      </c>
      <c r="U188" s="227">
        <v>79.5</v>
      </c>
      <c r="V188" s="227">
        <v>79.5</v>
      </c>
      <c r="W188" s="227">
        <v>79.5</v>
      </c>
      <c r="X188" s="227">
        <v>79.5</v>
      </c>
      <c r="Y188" s="227">
        <v>79.5</v>
      </c>
      <c r="Z188" s="227">
        <v>79.5</v>
      </c>
      <c r="AA188" s="227">
        <v>79.5</v>
      </c>
      <c r="AB188" s="227">
        <v>63.802</v>
      </c>
      <c r="AC188" s="227">
        <v>0</v>
      </c>
      <c r="AD188" s="230">
        <v>7.3844907407407409E-4</v>
      </c>
      <c r="AE188" s="230">
        <v>382.81200000000001</v>
      </c>
      <c r="AF188" s="230">
        <v>3816</v>
      </c>
      <c r="AG188" s="230">
        <v>196550.85889991917</v>
      </c>
      <c r="AH188" s="230">
        <v>651236.67420565011</v>
      </c>
      <c r="AI188" s="230">
        <v>0</v>
      </c>
    </row>
    <row r="189" spans="5:35" x14ac:dyDescent="0.35">
      <c r="E189" s="226">
        <v>4.0200000000000236E-3</v>
      </c>
      <c r="F189" s="227">
        <v>2.864284931506849</v>
      </c>
      <c r="G189" s="227">
        <v>1045.4639999999999</v>
      </c>
      <c r="H189" s="227">
        <v>0.90029999999999999</v>
      </c>
      <c r="I189" s="227">
        <v>0.69998000000000005</v>
      </c>
      <c r="J189" s="227">
        <v>0.22792991307861016</v>
      </c>
      <c r="K189" s="227">
        <v>85.471999999999994</v>
      </c>
      <c r="L189" s="227">
        <v>82.225999999999999</v>
      </c>
      <c r="M189" s="227">
        <v>84.165000000000006</v>
      </c>
      <c r="N189" s="227">
        <v>75.483999999999995</v>
      </c>
      <c r="O189" s="227">
        <v>75.244</v>
      </c>
      <c r="P189" s="227">
        <v>79.346000000000004</v>
      </c>
      <c r="Q189" s="227">
        <v>74.787000000000006</v>
      </c>
      <c r="R189" s="227">
        <v>77.106999999999999</v>
      </c>
      <c r="S189" s="227">
        <v>12.106999999999999</v>
      </c>
      <c r="T189" s="227">
        <v>79.5</v>
      </c>
      <c r="U189" s="227">
        <v>79.5</v>
      </c>
      <c r="V189" s="227">
        <v>79.5</v>
      </c>
      <c r="W189" s="227">
        <v>79.5</v>
      </c>
      <c r="X189" s="227">
        <v>79.5</v>
      </c>
      <c r="Y189" s="227">
        <v>79.5</v>
      </c>
      <c r="Z189" s="227">
        <v>79.5</v>
      </c>
      <c r="AA189" s="227">
        <v>79.5</v>
      </c>
      <c r="AB189" s="227">
        <v>63.430999999999997</v>
      </c>
      <c r="AC189" s="227">
        <v>0</v>
      </c>
      <c r="AD189" s="230">
        <v>7.3415509259259256E-4</v>
      </c>
      <c r="AE189" s="230">
        <v>380.58599999999996</v>
      </c>
      <c r="AF189" s="230">
        <v>3816</v>
      </c>
      <c r="AG189" s="230">
        <v>196931.44489991918</v>
      </c>
      <c r="AH189" s="230">
        <v>655052.67420565011</v>
      </c>
      <c r="AI189" s="230">
        <v>0</v>
      </c>
    </row>
    <row r="190" spans="5:35" x14ac:dyDescent="0.35">
      <c r="E190" s="226">
        <v>8.0299999999999816E-3</v>
      </c>
      <c r="F190" s="227">
        <v>2.8807232876712328</v>
      </c>
      <c r="G190" s="227">
        <v>1051.4639999999999</v>
      </c>
      <c r="H190" s="227">
        <v>0.90090000000000003</v>
      </c>
      <c r="I190" s="227">
        <v>0.70399</v>
      </c>
      <c r="J190" s="227">
        <v>0.22836786446749907</v>
      </c>
      <c r="K190" s="227">
        <v>85.391999999999996</v>
      </c>
      <c r="L190" s="227">
        <v>82.156000000000006</v>
      </c>
      <c r="M190" s="227">
        <v>84.091999999999999</v>
      </c>
      <c r="N190" s="227">
        <v>75.441999999999993</v>
      </c>
      <c r="O190" s="227">
        <v>75.203999999999994</v>
      </c>
      <c r="P190" s="227">
        <v>79.290000000000006</v>
      </c>
      <c r="Q190" s="227">
        <v>74.751999999999995</v>
      </c>
      <c r="R190" s="227">
        <v>77.061999999999998</v>
      </c>
      <c r="S190" s="227">
        <v>12.061999999999998</v>
      </c>
      <c r="T190" s="227">
        <v>79.5</v>
      </c>
      <c r="U190" s="227">
        <v>79.5</v>
      </c>
      <c r="V190" s="227">
        <v>79.5</v>
      </c>
      <c r="W190" s="227">
        <v>79.5</v>
      </c>
      <c r="X190" s="227">
        <v>79.5</v>
      </c>
      <c r="Y190" s="227">
        <v>79.5</v>
      </c>
      <c r="Z190" s="227">
        <v>79.5</v>
      </c>
      <c r="AA190" s="227">
        <v>79.5</v>
      </c>
      <c r="AB190" s="227">
        <v>63.064999999999998</v>
      </c>
      <c r="AC190" s="227">
        <v>774.65</v>
      </c>
      <c r="AD190" s="230">
        <v>7.2991898148148146E-4</v>
      </c>
      <c r="AE190" s="230">
        <v>378.39</v>
      </c>
      <c r="AF190" s="230">
        <v>3816</v>
      </c>
      <c r="AG190" s="230">
        <v>197309.83489991919</v>
      </c>
      <c r="AH190" s="230">
        <v>658868.67420565011</v>
      </c>
      <c r="AI190" s="230">
        <v>4647.8999999999996</v>
      </c>
    </row>
    <row r="191" spans="5:35" x14ac:dyDescent="0.35">
      <c r="E191" s="226">
        <v>1.2050000000000005E-2</v>
      </c>
      <c r="F191" s="227">
        <v>2.8971616438356165</v>
      </c>
      <c r="G191" s="227">
        <v>1057.4639999999999</v>
      </c>
      <c r="H191" s="227">
        <v>0.90069999999999995</v>
      </c>
      <c r="I191" s="227">
        <v>0.70801000000000003</v>
      </c>
      <c r="J191" s="227">
        <v>0.22880598946749908</v>
      </c>
      <c r="K191" s="227">
        <v>98.31</v>
      </c>
      <c r="L191" s="227">
        <v>107.16</v>
      </c>
      <c r="M191" s="227">
        <v>98.272000000000006</v>
      </c>
      <c r="N191" s="227">
        <v>82.570999999999998</v>
      </c>
      <c r="O191" s="227">
        <v>82.055999999999997</v>
      </c>
      <c r="P191" s="227">
        <v>91.52</v>
      </c>
      <c r="Q191" s="227">
        <v>88.959000000000003</v>
      </c>
      <c r="R191" s="227">
        <v>88.040999999999997</v>
      </c>
      <c r="S191" s="227">
        <v>23.040999999999997</v>
      </c>
      <c r="T191" s="227">
        <v>79.5</v>
      </c>
      <c r="U191" s="227">
        <v>79.5</v>
      </c>
      <c r="V191" s="227">
        <v>79.5</v>
      </c>
      <c r="W191" s="227">
        <v>79.5</v>
      </c>
      <c r="X191" s="227">
        <v>79.5</v>
      </c>
      <c r="Y191" s="227">
        <v>79.5</v>
      </c>
      <c r="Z191" s="227">
        <v>79.5</v>
      </c>
      <c r="AA191" s="227">
        <v>79.5</v>
      </c>
      <c r="AB191" s="227">
        <v>63.09</v>
      </c>
      <c r="AC191" s="227">
        <v>774.65</v>
      </c>
      <c r="AD191" s="230">
        <v>7.3020833333333336E-4</v>
      </c>
      <c r="AE191" s="230">
        <v>378.53999999999996</v>
      </c>
      <c r="AF191" s="230">
        <v>3816</v>
      </c>
      <c r="AG191" s="230">
        <v>197688.3748999192</v>
      </c>
      <c r="AH191" s="230">
        <v>662684.67420565011</v>
      </c>
      <c r="AI191" s="230">
        <v>4647.8999999999996</v>
      </c>
    </row>
    <row r="192" spans="5:35" x14ac:dyDescent="0.35">
      <c r="E192" s="226">
        <v>1.6070000000000029E-2</v>
      </c>
      <c r="F192" s="227">
        <v>2.9135999999999997</v>
      </c>
      <c r="G192" s="227">
        <v>1063.4639999999999</v>
      </c>
      <c r="H192" s="227">
        <v>0.90069999999999995</v>
      </c>
      <c r="I192" s="227">
        <v>0.71203000000000005</v>
      </c>
      <c r="J192" s="227">
        <v>0.22924453113416574</v>
      </c>
      <c r="K192" s="227">
        <v>102.59</v>
      </c>
      <c r="L192" s="227">
        <v>117.64</v>
      </c>
      <c r="M192" s="227">
        <v>103.02</v>
      </c>
      <c r="N192" s="227">
        <v>83.581000000000003</v>
      </c>
      <c r="O192" s="227">
        <v>84.372</v>
      </c>
      <c r="P192" s="227">
        <v>95.781999999999996</v>
      </c>
      <c r="Q192" s="227">
        <v>93.447000000000003</v>
      </c>
      <c r="R192" s="227">
        <v>91.733000000000004</v>
      </c>
      <c r="S192" s="227">
        <v>26.733000000000004</v>
      </c>
      <c r="T192" s="227">
        <v>79.5</v>
      </c>
      <c r="U192" s="227">
        <v>79.5</v>
      </c>
      <c r="V192" s="227">
        <v>79.5</v>
      </c>
      <c r="W192" s="227">
        <v>79.5</v>
      </c>
      <c r="X192" s="227">
        <v>79.5</v>
      </c>
      <c r="Y192" s="227">
        <v>79.5</v>
      </c>
      <c r="Z192" s="227">
        <v>79.5</v>
      </c>
      <c r="AA192" s="227">
        <v>79.5</v>
      </c>
      <c r="AB192" s="227">
        <v>63.15</v>
      </c>
      <c r="AC192" s="227">
        <v>774.65</v>
      </c>
      <c r="AD192" s="230">
        <v>7.309027777777778E-4</v>
      </c>
      <c r="AE192" s="230">
        <v>378.90000000000003</v>
      </c>
      <c r="AF192" s="230">
        <v>3816</v>
      </c>
      <c r="AG192" s="230">
        <v>198067.2748999192</v>
      </c>
      <c r="AH192" s="230">
        <v>666500.67420565011</v>
      </c>
      <c r="AI192" s="230">
        <v>4647.8999999999996</v>
      </c>
    </row>
    <row r="193" spans="5:35" x14ac:dyDescent="0.35">
      <c r="E193" s="226">
        <v>2.0089999999999941E-2</v>
      </c>
      <c r="F193" s="227">
        <v>2.9300383561643835</v>
      </c>
      <c r="G193" s="227">
        <v>1069.4639999999999</v>
      </c>
      <c r="H193" s="227">
        <v>0.90049999999999997</v>
      </c>
      <c r="I193" s="227">
        <v>0.71604999999999996</v>
      </c>
      <c r="J193" s="227">
        <v>0.2296835866897213</v>
      </c>
      <c r="K193" s="227">
        <v>105.38</v>
      </c>
      <c r="L193" s="227">
        <v>123.86</v>
      </c>
      <c r="M193" s="227">
        <v>106.05</v>
      </c>
      <c r="N193" s="227">
        <v>84.081000000000003</v>
      </c>
      <c r="O193" s="227">
        <v>85.697000000000003</v>
      </c>
      <c r="P193" s="227">
        <v>98.576999999999998</v>
      </c>
      <c r="Q193" s="227">
        <v>95.861000000000004</v>
      </c>
      <c r="R193" s="227">
        <v>94.084999999999994</v>
      </c>
      <c r="S193" s="227">
        <v>29.084999999999994</v>
      </c>
      <c r="T193" s="227">
        <v>79.5</v>
      </c>
      <c r="U193" s="227">
        <v>79.5</v>
      </c>
      <c r="V193" s="227">
        <v>79.5</v>
      </c>
      <c r="W193" s="227">
        <v>79.5</v>
      </c>
      <c r="X193" s="227">
        <v>79.5</v>
      </c>
      <c r="Y193" s="227">
        <v>79.5</v>
      </c>
      <c r="Z193" s="227">
        <v>79.5</v>
      </c>
      <c r="AA193" s="227">
        <v>79.5</v>
      </c>
      <c r="AB193" s="227">
        <v>63.223999999999997</v>
      </c>
      <c r="AC193" s="227">
        <v>774.65</v>
      </c>
      <c r="AD193" s="230">
        <v>7.3175925925925926E-4</v>
      </c>
      <c r="AE193" s="230">
        <v>379.34399999999999</v>
      </c>
      <c r="AF193" s="230">
        <v>3816</v>
      </c>
      <c r="AG193" s="230">
        <v>198446.61889991921</v>
      </c>
      <c r="AH193" s="230">
        <v>670316.67420565011</v>
      </c>
      <c r="AI193" s="230">
        <v>4647.8999999999996</v>
      </c>
    </row>
    <row r="194" spans="5:35" x14ac:dyDescent="0.35">
      <c r="E194" s="226">
        <v>2.410000000000001E-2</v>
      </c>
      <c r="F194" s="227">
        <v>2.9464767123287672</v>
      </c>
      <c r="G194" s="227">
        <v>1075.4639999999999</v>
      </c>
      <c r="H194" s="227">
        <v>0.90029999999999999</v>
      </c>
      <c r="I194" s="227">
        <v>0.72006000000000003</v>
      </c>
      <c r="J194" s="227">
        <v>0.23012376724527686</v>
      </c>
      <c r="K194" s="227">
        <v>107.6</v>
      </c>
      <c r="L194" s="227">
        <v>128.05000000000001</v>
      </c>
      <c r="M194" s="227">
        <v>108.33</v>
      </c>
      <c r="N194" s="227">
        <v>84.442999999999998</v>
      </c>
      <c r="O194" s="227">
        <v>86.632000000000005</v>
      </c>
      <c r="P194" s="227">
        <v>100.69</v>
      </c>
      <c r="Q194" s="227">
        <v>97.433999999999997</v>
      </c>
      <c r="R194" s="227">
        <v>95.875</v>
      </c>
      <c r="S194" s="227">
        <v>30.875</v>
      </c>
      <c r="T194" s="227">
        <v>79.5</v>
      </c>
      <c r="U194" s="227">
        <v>79.5</v>
      </c>
      <c r="V194" s="227">
        <v>79.5</v>
      </c>
      <c r="W194" s="227">
        <v>79.5</v>
      </c>
      <c r="X194" s="227">
        <v>79.5</v>
      </c>
      <c r="Y194" s="227">
        <v>79.5</v>
      </c>
      <c r="Z194" s="227">
        <v>79.5</v>
      </c>
      <c r="AA194" s="227">
        <v>79.5</v>
      </c>
      <c r="AB194" s="227">
        <v>63.386000000000003</v>
      </c>
      <c r="AC194" s="227">
        <v>774.65</v>
      </c>
      <c r="AD194" s="230">
        <v>7.3363425925925929E-4</v>
      </c>
      <c r="AE194" s="230">
        <v>380.31599999999997</v>
      </c>
      <c r="AF194" s="230">
        <v>3816</v>
      </c>
      <c r="AG194" s="230">
        <v>198826.9348999192</v>
      </c>
      <c r="AH194" s="230">
        <v>674132.67420565011</v>
      </c>
      <c r="AI194" s="230">
        <v>4647.8999999999996</v>
      </c>
    </row>
    <row r="195" spans="5:35" x14ac:dyDescent="0.35">
      <c r="E195" s="226">
        <v>2.8119999999999923E-2</v>
      </c>
      <c r="F195" s="227">
        <v>2.9629150684931505</v>
      </c>
      <c r="G195" s="227">
        <v>1081.4639999999999</v>
      </c>
      <c r="H195" s="227">
        <v>0.89980000000000004</v>
      </c>
      <c r="I195" s="227">
        <v>0.72407999999999995</v>
      </c>
      <c r="J195" s="227">
        <v>0.23056598252305463</v>
      </c>
      <c r="K195" s="227">
        <v>109.52</v>
      </c>
      <c r="L195" s="227">
        <v>130.94999999999999</v>
      </c>
      <c r="M195" s="227">
        <v>110.21</v>
      </c>
      <c r="N195" s="227">
        <v>84.756</v>
      </c>
      <c r="O195" s="227">
        <v>87.366</v>
      </c>
      <c r="P195" s="227">
        <v>102.42</v>
      </c>
      <c r="Q195" s="227">
        <v>98.567999999999998</v>
      </c>
      <c r="R195" s="227">
        <v>97.367999999999995</v>
      </c>
      <c r="S195" s="227">
        <v>32.367999999999995</v>
      </c>
      <c r="T195" s="227">
        <v>79.5</v>
      </c>
      <c r="U195" s="227">
        <v>79.5</v>
      </c>
      <c r="V195" s="227">
        <v>79.5</v>
      </c>
      <c r="W195" s="227">
        <v>79.5</v>
      </c>
      <c r="X195" s="227">
        <v>79.5</v>
      </c>
      <c r="Y195" s="227">
        <v>79.5</v>
      </c>
      <c r="Z195" s="227">
        <v>79.5</v>
      </c>
      <c r="AA195" s="227">
        <v>79.5</v>
      </c>
      <c r="AB195" s="227">
        <v>63.679000000000002</v>
      </c>
      <c r="AC195" s="227">
        <v>774.65</v>
      </c>
      <c r="AD195" s="230">
        <v>7.3702546296296298E-4</v>
      </c>
      <c r="AE195" s="230">
        <v>382.07400000000007</v>
      </c>
      <c r="AF195" s="230">
        <v>3816</v>
      </c>
      <c r="AG195" s="230">
        <v>199209.00889991919</v>
      </c>
      <c r="AH195" s="230">
        <v>677948.67420565011</v>
      </c>
      <c r="AI195" s="230">
        <v>4647.8999999999996</v>
      </c>
    </row>
    <row r="196" spans="5:35" x14ac:dyDescent="0.35">
      <c r="E196" s="226">
        <v>3.2139999999999946E-2</v>
      </c>
      <c r="F196" s="227">
        <v>2.9793534246575342</v>
      </c>
      <c r="G196" s="227">
        <v>1087.4639999999999</v>
      </c>
      <c r="H196" s="227">
        <v>0.89910000000000001</v>
      </c>
      <c r="I196" s="227">
        <v>0.72809999999999997</v>
      </c>
      <c r="J196" s="227">
        <v>0.23101123252305461</v>
      </c>
      <c r="K196" s="227">
        <v>111.29</v>
      </c>
      <c r="L196" s="227">
        <v>133.02000000000001</v>
      </c>
      <c r="M196" s="227">
        <v>111.86</v>
      </c>
      <c r="N196" s="227">
        <v>85.05</v>
      </c>
      <c r="O196" s="227">
        <v>87.988</v>
      </c>
      <c r="P196" s="227">
        <v>103.88</v>
      </c>
      <c r="Q196" s="227">
        <v>99.429000000000002</v>
      </c>
      <c r="R196" s="227">
        <v>98.69</v>
      </c>
      <c r="S196" s="227">
        <v>33.69</v>
      </c>
      <c r="T196" s="227">
        <v>79.5</v>
      </c>
      <c r="U196" s="227">
        <v>79.5</v>
      </c>
      <c r="V196" s="227">
        <v>79.5</v>
      </c>
      <c r="W196" s="227">
        <v>79.5</v>
      </c>
      <c r="X196" s="227">
        <v>79.5</v>
      </c>
      <c r="Y196" s="227">
        <v>79.5</v>
      </c>
      <c r="Z196" s="227">
        <v>79.5</v>
      </c>
      <c r="AA196" s="227">
        <v>79.5</v>
      </c>
      <c r="AB196" s="227">
        <v>64.116</v>
      </c>
      <c r="AC196" s="227">
        <v>774.65</v>
      </c>
      <c r="AD196" s="230">
        <v>7.4208333333333331E-4</v>
      </c>
      <c r="AE196" s="230">
        <v>384.69599999999997</v>
      </c>
      <c r="AF196" s="230">
        <v>3816</v>
      </c>
      <c r="AG196" s="230">
        <v>199593.70489991919</v>
      </c>
      <c r="AH196" s="230">
        <v>681764.67420565011</v>
      </c>
      <c r="AI196" s="230">
        <v>4647.8999999999996</v>
      </c>
    </row>
    <row r="197" spans="5:35" x14ac:dyDescent="0.35">
      <c r="E197" s="226">
        <v>3.6150000000000015E-2</v>
      </c>
      <c r="F197" s="227">
        <v>2.9957917808219174</v>
      </c>
      <c r="G197" s="227">
        <v>1093.4639999999999</v>
      </c>
      <c r="H197" s="227">
        <v>0.8982</v>
      </c>
      <c r="I197" s="227">
        <v>0.73211000000000004</v>
      </c>
      <c r="J197" s="227">
        <v>0.23146052418972127</v>
      </c>
      <c r="K197" s="227">
        <v>112.89</v>
      </c>
      <c r="L197" s="227">
        <v>134.57</v>
      </c>
      <c r="M197" s="227">
        <v>113.36</v>
      </c>
      <c r="N197" s="227">
        <v>85.334000000000003</v>
      </c>
      <c r="O197" s="227">
        <v>88.545000000000002</v>
      </c>
      <c r="P197" s="227">
        <v>105.12</v>
      </c>
      <c r="Q197" s="227">
        <v>100.12</v>
      </c>
      <c r="R197" s="227">
        <v>99.897000000000006</v>
      </c>
      <c r="S197" s="227">
        <v>34.897000000000006</v>
      </c>
      <c r="T197" s="227">
        <v>79.5</v>
      </c>
      <c r="U197" s="227">
        <v>79.5</v>
      </c>
      <c r="V197" s="227">
        <v>79.5</v>
      </c>
      <c r="W197" s="227">
        <v>79.5</v>
      </c>
      <c r="X197" s="227">
        <v>79.5</v>
      </c>
      <c r="Y197" s="227">
        <v>79.5</v>
      </c>
      <c r="Z197" s="227">
        <v>79.5</v>
      </c>
      <c r="AA197" s="227">
        <v>79.5</v>
      </c>
      <c r="AB197" s="227">
        <v>64.697999999999993</v>
      </c>
      <c r="AC197" s="227">
        <v>774.65</v>
      </c>
      <c r="AD197" s="230">
        <v>7.4881944444444432E-4</v>
      </c>
      <c r="AE197" s="230">
        <v>388.18799999999993</v>
      </c>
      <c r="AF197" s="230">
        <v>3816</v>
      </c>
      <c r="AG197" s="230">
        <v>199981.89289991918</v>
      </c>
      <c r="AH197" s="230">
        <v>685580.67420565011</v>
      </c>
      <c r="AI197" s="230">
        <v>4647.8999999999996</v>
      </c>
    </row>
    <row r="198" spans="5:35" x14ac:dyDescent="0.35">
      <c r="E198" s="226">
        <v>4.0169999999999928E-2</v>
      </c>
      <c r="F198" s="227">
        <v>3.0122301369863012</v>
      </c>
      <c r="G198" s="227">
        <v>1099.4639999999999</v>
      </c>
      <c r="H198" s="227">
        <v>0.89710000000000001</v>
      </c>
      <c r="I198" s="227">
        <v>0.73612999999999995</v>
      </c>
      <c r="J198" s="227">
        <v>0.23191500335638796</v>
      </c>
      <c r="K198" s="227">
        <v>114.29</v>
      </c>
      <c r="L198" s="227">
        <v>135.72999999999999</v>
      </c>
      <c r="M198" s="227">
        <v>114.72</v>
      </c>
      <c r="N198" s="227">
        <v>85.608000000000004</v>
      </c>
      <c r="O198" s="227">
        <v>89.067999999999998</v>
      </c>
      <c r="P198" s="227">
        <v>106.18</v>
      </c>
      <c r="Q198" s="227">
        <v>100.7</v>
      </c>
      <c r="R198" s="227">
        <v>101.02</v>
      </c>
      <c r="S198" s="227">
        <v>36.019999999999996</v>
      </c>
      <c r="T198" s="227">
        <v>79.5</v>
      </c>
      <c r="U198" s="227">
        <v>79.5</v>
      </c>
      <c r="V198" s="227">
        <v>79.5</v>
      </c>
      <c r="W198" s="227">
        <v>79.5</v>
      </c>
      <c r="X198" s="227">
        <v>79.5</v>
      </c>
      <c r="Y198" s="227">
        <v>79.5</v>
      </c>
      <c r="Z198" s="227">
        <v>79.5</v>
      </c>
      <c r="AA198" s="227">
        <v>79.5</v>
      </c>
      <c r="AB198" s="227">
        <v>65.444999999999993</v>
      </c>
      <c r="AC198" s="227">
        <v>774.65</v>
      </c>
      <c r="AD198" s="230">
        <v>7.5746527777777769E-4</v>
      </c>
      <c r="AE198" s="230">
        <v>392.6699999999999</v>
      </c>
      <c r="AF198" s="230">
        <v>3816</v>
      </c>
      <c r="AG198" s="230">
        <v>200374.5628999192</v>
      </c>
      <c r="AH198" s="230">
        <v>689396.67420565011</v>
      </c>
      <c r="AI198" s="230">
        <v>4647.8999999999996</v>
      </c>
    </row>
    <row r="199" spans="5:35" x14ac:dyDescent="0.35">
      <c r="E199" s="226">
        <v>4.4189999999999952E-2</v>
      </c>
      <c r="F199" s="227">
        <v>3.0286684931506849</v>
      </c>
      <c r="G199" s="227">
        <v>1105.4639999999999</v>
      </c>
      <c r="H199" s="227">
        <v>0.89559999999999995</v>
      </c>
      <c r="I199" s="227">
        <v>0.74014999999999997</v>
      </c>
      <c r="J199" s="227">
        <v>0.23237596863416574</v>
      </c>
      <c r="K199" s="227">
        <v>115.51</v>
      </c>
      <c r="L199" s="227">
        <v>136.59</v>
      </c>
      <c r="M199" s="227">
        <v>115.98</v>
      </c>
      <c r="N199" s="227">
        <v>85.873000000000005</v>
      </c>
      <c r="O199" s="227">
        <v>89.578000000000003</v>
      </c>
      <c r="P199" s="227">
        <v>107.1</v>
      </c>
      <c r="Q199" s="227">
        <v>101.21</v>
      </c>
      <c r="R199" s="227">
        <v>102.09</v>
      </c>
      <c r="S199" s="227">
        <v>37.090000000000003</v>
      </c>
      <c r="T199" s="227">
        <v>79.5</v>
      </c>
      <c r="U199" s="227">
        <v>79.5</v>
      </c>
      <c r="V199" s="227">
        <v>79.5</v>
      </c>
      <c r="W199" s="227">
        <v>79.5</v>
      </c>
      <c r="X199" s="227">
        <v>79.5</v>
      </c>
      <c r="Y199" s="227">
        <v>79.5</v>
      </c>
      <c r="Z199" s="227">
        <v>79.5</v>
      </c>
      <c r="AA199" s="227">
        <v>79.5</v>
      </c>
      <c r="AB199" s="227">
        <v>66.379000000000005</v>
      </c>
      <c r="AC199" s="227">
        <v>774.65</v>
      </c>
      <c r="AD199" s="230">
        <v>7.6827546296296301E-4</v>
      </c>
      <c r="AE199" s="230">
        <v>398.27400000000006</v>
      </c>
      <c r="AF199" s="230">
        <v>3816</v>
      </c>
      <c r="AG199" s="230">
        <v>200772.8368999192</v>
      </c>
      <c r="AH199" s="230">
        <v>693212.67420565011</v>
      </c>
      <c r="AI199" s="230">
        <v>4647.8999999999996</v>
      </c>
    </row>
    <row r="200" spans="5:35" x14ac:dyDescent="0.35">
      <c r="E200" s="226">
        <v>4.8209999999999975E-2</v>
      </c>
      <c r="F200" s="227">
        <v>3.0451068493150681</v>
      </c>
      <c r="G200" s="227">
        <v>1111.4639999999999</v>
      </c>
      <c r="H200" s="227">
        <v>0.89370000000000005</v>
      </c>
      <c r="I200" s="227">
        <v>0.74417</v>
      </c>
      <c r="J200" s="227">
        <v>0.23284515613416573</v>
      </c>
      <c r="K200" s="227">
        <v>116.57</v>
      </c>
      <c r="L200" s="227">
        <v>137.27000000000001</v>
      </c>
      <c r="M200" s="227">
        <v>117.17</v>
      </c>
      <c r="N200" s="227">
        <v>86.137</v>
      </c>
      <c r="O200" s="227">
        <v>90.091999999999999</v>
      </c>
      <c r="P200" s="227">
        <v>107.92</v>
      </c>
      <c r="Q200" s="227">
        <v>101.68</v>
      </c>
      <c r="R200" s="227">
        <v>103.12</v>
      </c>
      <c r="S200" s="227">
        <v>38.120000000000005</v>
      </c>
      <c r="T200" s="227">
        <v>79.5</v>
      </c>
      <c r="U200" s="227">
        <v>79.5</v>
      </c>
      <c r="V200" s="227">
        <v>79.5</v>
      </c>
      <c r="W200" s="227">
        <v>79.5</v>
      </c>
      <c r="X200" s="227">
        <v>79.5</v>
      </c>
      <c r="Y200" s="227">
        <v>79.5</v>
      </c>
      <c r="Z200" s="227">
        <v>79.5</v>
      </c>
      <c r="AA200" s="227">
        <v>79.5</v>
      </c>
      <c r="AB200" s="227">
        <v>67.563000000000002</v>
      </c>
      <c r="AC200" s="227">
        <v>774.65</v>
      </c>
      <c r="AD200" s="230">
        <v>7.8197916666666672E-4</v>
      </c>
      <c r="AE200" s="230">
        <v>405.37799999999999</v>
      </c>
      <c r="AF200" s="230">
        <v>3816</v>
      </c>
      <c r="AG200" s="230">
        <v>201178.2148999192</v>
      </c>
      <c r="AH200" s="230">
        <v>697028.67420565011</v>
      </c>
      <c r="AI200" s="230">
        <v>4647.8999999999996</v>
      </c>
    </row>
    <row r="201" spans="5:35" x14ac:dyDescent="0.35">
      <c r="E201" s="226">
        <v>5.2219999999999933E-2</v>
      </c>
      <c r="F201" s="227">
        <v>3.0615452054794519</v>
      </c>
      <c r="G201" s="227">
        <v>1117.4639999999999</v>
      </c>
      <c r="H201" s="227">
        <v>0.89149999999999996</v>
      </c>
      <c r="I201" s="227">
        <v>0.74817999999999996</v>
      </c>
      <c r="J201" s="227">
        <v>0.23332406585638796</v>
      </c>
      <c r="K201" s="227">
        <v>117.5</v>
      </c>
      <c r="L201" s="227">
        <v>137.82</v>
      </c>
      <c r="M201" s="227">
        <v>118.29</v>
      </c>
      <c r="N201" s="227">
        <v>86.397000000000006</v>
      </c>
      <c r="O201" s="227">
        <v>90.605999999999995</v>
      </c>
      <c r="P201" s="227">
        <v>108.66</v>
      </c>
      <c r="Q201" s="227">
        <v>102.13</v>
      </c>
      <c r="R201" s="227">
        <v>104.12</v>
      </c>
      <c r="S201" s="227">
        <v>39.120000000000005</v>
      </c>
      <c r="T201" s="227">
        <v>79.5</v>
      </c>
      <c r="U201" s="227">
        <v>79.5</v>
      </c>
      <c r="V201" s="227">
        <v>79.5</v>
      </c>
      <c r="W201" s="227">
        <v>79.5</v>
      </c>
      <c r="X201" s="227">
        <v>79.5</v>
      </c>
      <c r="Y201" s="227">
        <v>79.5</v>
      </c>
      <c r="Z201" s="227">
        <v>79.5</v>
      </c>
      <c r="AA201" s="227">
        <v>79.5</v>
      </c>
      <c r="AB201" s="227">
        <v>68.962999999999994</v>
      </c>
      <c r="AC201" s="227">
        <v>774.65</v>
      </c>
      <c r="AD201" s="230">
        <v>7.9818287037037032E-4</v>
      </c>
      <c r="AE201" s="230">
        <v>413.77800000000002</v>
      </c>
      <c r="AF201" s="230">
        <v>3816</v>
      </c>
      <c r="AG201" s="230">
        <v>201591.99289991919</v>
      </c>
      <c r="AH201" s="230">
        <v>700844.67420565011</v>
      </c>
      <c r="AI201" s="230">
        <v>4647.8999999999996</v>
      </c>
    </row>
    <row r="202" spans="5:35" x14ac:dyDescent="0.35">
      <c r="E202" s="226">
        <v>5.6239999999999957E-2</v>
      </c>
      <c r="F202" s="227">
        <v>3.0779835616438356</v>
      </c>
      <c r="G202" s="227">
        <v>1123.4639999999999</v>
      </c>
      <c r="H202" s="227">
        <v>0.88900000000000001</v>
      </c>
      <c r="I202" s="227">
        <v>0.75219999999999998</v>
      </c>
      <c r="J202" s="227">
        <v>0.23381427418972128</v>
      </c>
      <c r="K202" s="227">
        <v>118.31</v>
      </c>
      <c r="L202" s="227">
        <v>138.22999999999999</v>
      </c>
      <c r="M202" s="227">
        <v>119.35</v>
      </c>
      <c r="N202" s="227">
        <v>86.650999999999996</v>
      </c>
      <c r="O202" s="227">
        <v>91.126000000000005</v>
      </c>
      <c r="P202" s="227">
        <v>109.34</v>
      </c>
      <c r="Q202" s="227">
        <v>102.59</v>
      </c>
      <c r="R202" s="227">
        <v>105.07</v>
      </c>
      <c r="S202" s="227">
        <v>40.069999999999993</v>
      </c>
      <c r="T202" s="227">
        <v>79.5</v>
      </c>
      <c r="U202" s="227">
        <v>79.5</v>
      </c>
      <c r="V202" s="227">
        <v>79.5</v>
      </c>
      <c r="W202" s="227">
        <v>79.5</v>
      </c>
      <c r="X202" s="227">
        <v>79.5</v>
      </c>
      <c r="Y202" s="227">
        <v>79.5</v>
      </c>
      <c r="Z202" s="227">
        <v>79.5</v>
      </c>
      <c r="AA202" s="227">
        <v>79.5</v>
      </c>
      <c r="AB202" s="227">
        <v>70.59</v>
      </c>
      <c r="AC202" s="227">
        <v>774.65</v>
      </c>
      <c r="AD202" s="230">
        <v>8.1701388888888893E-4</v>
      </c>
      <c r="AE202" s="230">
        <v>423.54</v>
      </c>
      <c r="AF202" s="230">
        <v>3816</v>
      </c>
      <c r="AG202" s="230">
        <v>202015.5328999192</v>
      </c>
      <c r="AH202" s="230">
        <v>704660.67420565011</v>
      </c>
      <c r="AI202" s="230">
        <v>4647.8999999999996</v>
      </c>
    </row>
    <row r="203" spans="5:35" x14ac:dyDescent="0.35">
      <c r="E203" s="226">
        <v>6.025999999999998E-2</v>
      </c>
      <c r="F203" s="227">
        <v>3.0944219178082188</v>
      </c>
      <c r="G203" s="227">
        <v>1129.4639999999999</v>
      </c>
      <c r="H203" s="227">
        <v>0.8861</v>
      </c>
      <c r="I203" s="227">
        <v>0.75622</v>
      </c>
      <c r="J203" s="227">
        <v>0.23431703113416574</v>
      </c>
      <c r="K203" s="227">
        <v>119.05</v>
      </c>
      <c r="L203" s="227">
        <v>138.55000000000001</v>
      </c>
      <c r="M203" s="227">
        <v>120.34</v>
      </c>
      <c r="N203" s="227">
        <v>86.899000000000001</v>
      </c>
      <c r="O203" s="227">
        <v>91.647999999999996</v>
      </c>
      <c r="P203" s="227">
        <v>109.99</v>
      </c>
      <c r="Q203" s="227">
        <v>103.05</v>
      </c>
      <c r="R203" s="227">
        <v>106.01</v>
      </c>
      <c r="S203" s="227">
        <v>41.010000000000005</v>
      </c>
      <c r="T203" s="227">
        <v>79.5</v>
      </c>
      <c r="U203" s="227">
        <v>79.5</v>
      </c>
      <c r="V203" s="227">
        <v>79.5</v>
      </c>
      <c r="W203" s="227">
        <v>79.5</v>
      </c>
      <c r="X203" s="227">
        <v>79.5</v>
      </c>
      <c r="Y203" s="227">
        <v>79.5</v>
      </c>
      <c r="Z203" s="227">
        <v>79.5</v>
      </c>
      <c r="AA203" s="227">
        <v>79.5</v>
      </c>
      <c r="AB203" s="227">
        <v>72.397000000000006</v>
      </c>
      <c r="AC203" s="227">
        <v>774.65</v>
      </c>
      <c r="AD203" s="230">
        <v>8.3792824074074076E-4</v>
      </c>
      <c r="AE203" s="230">
        <v>434.38200000000001</v>
      </c>
      <c r="AF203" s="230">
        <v>3816</v>
      </c>
      <c r="AG203" s="230">
        <v>202449.91489991921</v>
      </c>
      <c r="AH203" s="230">
        <v>708476.67420565011</v>
      </c>
      <c r="AI203" s="230">
        <v>4647.8999999999996</v>
      </c>
    </row>
    <row r="204" spans="5:35" x14ac:dyDescent="0.35">
      <c r="E204" s="226">
        <v>6.4269999999999938E-2</v>
      </c>
      <c r="F204" s="227">
        <v>3.1108602739726026</v>
      </c>
      <c r="G204" s="227">
        <v>1135.4639999999999</v>
      </c>
      <c r="H204" s="227">
        <v>0.88300000000000001</v>
      </c>
      <c r="I204" s="227">
        <v>0.76022999999999996</v>
      </c>
      <c r="J204" s="227">
        <v>0.23483341307861022</v>
      </c>
      <c r="K204" s="227">
        <v>119.73</v>
      </c>
      <c r="L204" s="227">
        <v>138.79</v>
      </c>
      <c r="M204" s="227">
        <v>121.27</v>
      </c>
      <c r="N204" s="227">
        <v>87.143000000000001</v>
      </c>
      <c r="O204" s="227">
        <v>92.168999999999997</v>
      </c>
      <c r="P204" s="227">
        <v>110.6</v>
      </c>
      <c r="Q204" s="227">
        <v>103.51</v>
      </c>
      <c r="R204" s="227">
        <v>106.9</v>
      </c>
      <c r="S204" s="227">
        <v>41.900000000000006</v>
      </c>
      <c r="T204" s="227">
        <v>79.5</v>
      </c>
      <c r="U204" s="227">
        <v>79.5</v>
      </c>
      <c r="V204" s="227">
        <v>79.5</v>
      </c>
      <c r="W204" s="227">
        <v>79.5</v>
      </c>
      <c r="X204" s="227">
        <v>79.5</v>
      </c>
      <c r="Y204" s="227">
        <v>79.5</v>
      </c>
      <c r="Z204" s="227">
        <v>79.5</v>
      </c>
      <c r="AA204" s="227">
        <v>79.5</v>
      </c>
      <c r="AB204" s="227">
        <v>74.358999999999995</v>
      </c>
      <c r="AC204" s="227">
        <v>774.65</v>
      </c>
      <c r="AD204" s="230">
        <v>8.6063657407407399E-4</v>
      </c>
      <c r="AE204" s="230">
        <v>446.15399999999994</v>
      </c>
      <c r="AF204" s="230">
        <v>3816</v>
      </c>
      <c r="AG204" s="230">
        <v>202896.06889991922</v>
      </c>
      <c r="AH204" s="230">
        <v>712292.67420565011</v>
      </c>
      <c r="AI204" s="230">
        <v>4647.8999999999996</v>
      </c>
    </row>
    <row r="205" spans="5:35" x14ac:dyDescent="0.35">
      <c r="E205" s="226">
        <v>6.8289999999999962E-2</v>
      </c>
      <c r="F205" s="227">
        <v>3.1272986301369863</v>
      </c>
      <c r="G205" s="227">
        <v>1141.4639999999999</v>
      </c>
      <c r="H205" s="227">
        <v>0.87980000000000003</v>
      </c>
      <c r="I205" s="227">
        <v>0.76424999999999998</v>
      </c>
      <c r="J205" s="227">
        <v>0.23536427418972131</v>
      </c>
      <c r="K205" s="227">
        <v>120.38</v>
      </c>
      <c r="L205" s="227">
        <v>138.97</v>
      </c>
      <c r="M205" s="227">
        <v>122.15</v>
      </c>
      <c r="N205" s="227">
        <v>87.382999999999996</v>
      </c>
      <c r="O205" s="227">
        <v>92.686000000000007</v>
      </c>
      <c r="P205" s="227">
        <v>111.19</v>
      </c>
      <c r="Q205" s="227">
        <v>103.99</v>
      </c>
      <c r="R205" s="227">
        <v>107.77</v>
      </c>
      <c r="S205" s="227">
        <v>42.769999999999996</v>
      </c>
      <c r="T205" s="227">
        <v>79.5</v>
      </c>
      <c r="U205" s="227">
        <v>79.5</v>
      </c>
      <c r="V205" s="227">
        <v>79.5</v>
      </c>
      <c r="W205" s="227">
        <v>79.5</v>
      </c>
      <c r="X205" s="227">
        <v>79.5</v>
      </c>
      <c r="Y205" s="227">
        <v>79.5</v>
      </c>
      <c r="Z205" s="227">
        <v>79.5</v>
      </c>
      <c r="AA205" s="227">
        <v>79.5</v>
      </c>
      <c r="AB205" s="227">
        <v>76.444000000000003</v>
      </c>
      <c r="AC205" s="227">
        <v>774.65</v>
      </c>
      <c r="AD205" s="230">
        <v>8.8476851851851856E-4</v>
      </c>
      <c r="AE205" s="230">
        <v>458.66399999999999</v>
      </c>
      <c r="AF205" s="230">
        <v>3816</v>
      </c>
      <c r="AG205" s="230">
        <v>203354.73289991921</v>
      </c>
      <c r="AH205" s="230">
        <v>716108.67420565011</v>
      </c>
      <c r="AI205" s="230">
        <v>4647.8999999999996</v>
      </c>
    </row>
    <row r="206" spans="5:35" x14ac:dyDescent="0.35">
      <c r="E206" s="226">
        <v>7.2309999999999985E-2</v>
      </c>
      <c r="F206" s="227">
        <v>3.1437369863013696</v>
      </c>
      <c r="G206" s="227">
        <v>1147.4639999999999</v>
      </c>
      <c r="H206" s="227">
        <v>0.87639999999999996</v>
      </c>
      <c r="I206" s="227">
        <v>0.76827000000000001</v>
      </c>
      <c r="J206" s="227">
        <v>0.23591007280083243</v>
      </c>
      <c r="K206" s="227">
        <v>121.02</v>
      </c>
      <c r="L206" s="227">
        <v>139.12</v>
      </c>
      <c r="M206" s="227">
        <v>122.97</v>
      </c>
      <c r="N206" s="227">
        <v>87.616</v>
      </c>
      <c r="O206" s="227">
        <v>93.195999999999998</v>
      </c>
      <c r="P206" s="227">
        <v>111.74</v>
      </c>
      <c r="Q206" s="227">
        <v>104.46</v>
      </c>
      <c r="R206" s="227">
        <v>108.6</v>
      </c>
      <c r="S206" s="227">
        <v>43.599999999999994</v>
      </c>
      <c r="T206" s="227">
        <v>79.5</v>
      </c>
      <c r="U206" s="227">
        <v>79.5</v>
      </c>
      <c r="V206" s="227">
        <v>79.5</v>
      </c>
      <c r="W206" s="227">
        <v>79.5</v>
      </c>
      <c r="X206" s="227">
        <v>79.5</v>
      </c>
      <c r="Y206" s="227">
        <v>79.5</v>
      </c>
      <c r="Z206" s="227">
        <v>79.5</v>
      </c>
      <c r="AA206" s="227">
        <v>79.5</v>
      </c>
      <c r="AB206" s="227">
        <v>78.594999999999999</v>
      </c>
      <c r="AC206" s="227">
        <v>774.65</v>
      </c>
      <c r="AD206" s="230">
        <v>9.0966435185185182E-4</v>
      </c>
      <c r="AE206" s="230">
        <v>471.57000000000005</v>
      </c>
      <c r="AF206" s="230">
        <v>3816</v>
      </c>
      <c r="AG206" s="230">
        <v>203826.30289991922</v>
      </c>
      <c r="AH206" s="230">
        <v>719924.67420565011</v>
      </c>
      <c r="AI206" s="230">
        <v>4647.8999999999996</v>
      </c>
    </row>
    <row r="207" spans="5:35" x14ac:dyDescent="0.35">
      <c r="E207" s="226">
        <v>7.6330000000000009E-2</v>
      </c>
      <c r="F207" s="227">
        <v>3.1601753424657533</v>
      </c>
      <c r="G207" s="227">
        <v>1153.4639999999999</v>
      </c>
      <c r="H207" s="227">
        <v>0.873</v>
      </c>
      <c r="I207" s="227">
        <v>0.77229000000000003</v>
      </c>
      <c r="J207" s="227">
        <v>0.23647089918972133</v>
      </c>
      <c r="K207" s="227">
        <v>121.66</v>
      </c>
      <c r="L207" s="227">
        <v>139.24</v>
      </c>
      <c r="M207" s="227">
        <v>123.73</v>
      </c>
      <c r="N207" s="227">
        <v>87.843000000000004</v>
      </c>
      <c r="O207" s="227">
        <v>93.697000000000003</v>
      </c>
      <c r="P207" s="227">
        <v>112.27</v>
      </c>
      <c r="Q207" s="227">
        <v>104.94</v>
      </c>
      <c r="R207" s="227">
        <v>109.39</v>
      </c>
      <c r="S207" s="227">
        <v>44.39</v>
      </c>
      <c r="T207" s="227">
        <v>79.5</v>
      </c>
      <c r="U207" s="227">
        <v>79.5</v>
      </c>
      <c r="V207" s="227">
        <v>79.5</v>
      </c>
      <c r="W207" s="227">
        <v>79.5</v>
      </c>
      <c r="X207" s="227">
        <v>79.5</v>
      </c>
      <c r="Y207" s="227">
        <v>79.5</v>
      </c>
      <c r="Z207" s="227">
        <v>79.5</v>
      </c>
      <c r="AA207" s="227">
        <v>79.5</v>
      </c>
      <c r="AB207" s="227">
        <v>80.759</v>
      </c>
      <c r="AC207" s="227">
        <v>774.65</v>
      </c>
      <c r="AD207" s="230">
        <v>9.3471064814814816E-4</v>
      </c>
      <c r="AE207" s="230">
        <v>484.55400000000003</v>
      </c>
      <c r="AF207" s="230">
        <v>3816</v>
      </c>
      <c r="AG207" s="230">
        <v>204310.85689991922</v>
      </c>
      <c r="AH207" s="230">
        <v>723740.67420565011</v>
      </c>
      <c r="AI207" s="230">
        <v>4647.8999999999996</v>
      </c>
    </row>
    <row r="208" spans="5:35" x14ac:dyDescent="0.35">
      <c r="E208" s="226">
        <v>8.0339999999999967E-2</v>
      </c>
      <c r="F208" s="227">
        <v>3.176613698630137</v>
      </c>
      <c r="G208" s="227">
        <v>1159.4639999999999</v>
      </c>
      <c r="H208" s="227">
        <v>0.86960000000000004</v>
      </c>
      <c r="I208" s="227">
        <v>0.77629999999999999</v>
      </c>
      <c r="J208" s="227">
        <v>0.23704641307861021</v>
      </c>
      <c r="K208" s="227">
        <v>122.31</v>
      </c>
      <c r="L208" s="227">
        <v>139.34</v>
      </c>
      <c r="M208" s="227">
        <v>124.44</v>
      </c>
      <c r="N208" s="227">
        <v>88.058999999999997</v>
      </c>
      <c r="O208" s="227">
        <v>94.19</v>
      </c>
      <c r="P208" s="227">
        <v>112.76</v>
      </c>
      <c r="Q208" s="227">
        <v>105.4</v>
      </c>
      <c r="R208" s="227">
        <v>110.15</v>
      </c>
      <c r="S208" s="227">
        <v>45.150000000000006</v>
      </c>
      <c r="T208" s="227">
        <v>79.5</v>
      </c>
      <c r="U208" s="227">
        <v>79.5</v>
      </c>
      <c r="V208" s="227">
        <v>79.5</v>
      </c>
      <c r="W208" s="227">
        <v>79.5</v>
      </c>
      <c r="X208" s="227">
        <v>79.5</v>
      </c>
      <c r="Y208" s="227">
        <v>79.5</v>
      </c>
      <c r="Z208" s="227">
        <v>79.5</v>
      </c>
      <c r="AA208" s="227">
        <v>79.5</v>
      </c>
      <c r="AB208" s="227">
        <v>82.873999999999995</v>
      </c>
      <c r="AC208" s="227">
        <v>774.65</v>
      </c>
      <c r="AD208" s="230">
        <v>9.5918981481481474E-4</v>
      </c>
      <c r="AE208" s="230">
        <v>497.24399999999997</v>
      </c>
      <c r="AF208" s="230">
        <v>3816</v>
      </c>
      <c r="AG208" s="230">
        <v>204808.10089991923</v>
      </c>
      <c r="AH208" s="230">
        <v>727556.67420565011</v>
      </c>
      <c r="AI208" s="230">
        <v>4647.8999999999996</v>
      </c>
    </row>
    <row r="209" spans="5:35" x14ac:dyDescent="0.35">
      <c r="E209" s="226">
        <v>8.4359999999999991E-2</v>
      </c>
      <c r="F209" s="227">
        <v>3.1930520547945203</v>
      </c>
      <c r="G209" s="227">
        <v>1165.4639999999999</v>
      </c>
      <c r="H209" s="227">
        <v>0.86650000000000005</v>
      </c>
      <c r="I209" s="227">
        <v>0.78032000000000001</v>
      </c>
      <c r="J209" s="227">
        <v>0.23763593391194354</v>
      </c>
      <c r="K209" s="227">
        <v>122.96</v>
      </c>
      <c r="L209" s="227">
        <v>139.41999999999999</v>
      </c>
      <c r="M209" s="227">
        <v>125.1</v>
      </c>
      <c r="N209" s="227">
        <v>88.266000000000005</v>
      </c>
      <c r="O209" s="227">
        <v>94.665000000000006</v>
      </c>
      <c r="P209" s="227">
        <v>113.22</v>
      </c>
      <c r="Q209" s="227">
        <v>105.85</v>
      </c>
      <c r="R209" s="227">
        <v>110.85</v>
      </c>
      <c r="S209" s="227">
        <v>45.849999999999994</v>
      </c>
      <c r="T209" s="227">
        <v>79.5</v>
      </c>
      <c r="U209" s="227">
        <v>79.5</v>
      </c>
      <c r="V209" s="227">
        <v>79.5</v>
      </c>
      <c r="W209" s="227">
        <v>79.5</v>
      </c>
      <c r="X209" s="227">
        <v>79.5</v>
      </c>
      <c r="Y209" s="227">
        <v>79.5</v>
      </c>
      <c r="Z209" s="227">
        <v>79.5</v>
      </c>
      <c r="AA209" s="227">
        <v>79.5</v>
      </c>
      <c r="AB209" s="227">
        <v>84.891000000000005</v>
      </c>
      <c r="AC209" s="227">
        <v>774.65</v>
      </c>
      <c r="AD209" s="230">
        <v>9.8253472222222232E-4</v>
      </c>
      <c r="AE209" s="230">
        <v>509.34600000000006</v>
      </c>
      <c r="AF209" s="230">
        <v>3816</v>
      </c>
      <c r="AG209" s="230">
        <v>205317.44689991922</v>
      </c>
      <c r="AH209" s="230">
        <v>731372.67420565011</v>
      </c>
      <c r="AI209" s="230">
        <v>4647.8999999999996</v>
      </c>
    </row>
    <row r="210" spans="5:35" x14ac:dyDescent="0.35">
      <c r="E210" s="226">
        <v>8.8380000000000014E-2</v>
      </c>
      <c r="F210" s="227">
        <v>3.209490410958904</v>
      </c>
      <c r="G210" s="227">
        <v>1171.4639999999999</v>
      </c>
      <c r="H210" s="227">
        <v>0.86350000000000005</v>
      </c>
      <c r="I210" s="227">
        <v>0.78434000000000004</v>
      </c>
      <c r="J210" s="227">
        <v>0.23823878113416574</v>
      </c>
      <c r="K210" s="227">
        <v>123.61</v>
      </c>
      <c r="L210" s="227">
        <v>139.49</v>
      </c>
      <c r="M210" s="227">
        <v>125.7</v>
      </c>
      <c r="N210" s="227">
        <v>88.465000000000003</v>
      </c>
      <c r="O210" s="227">
        <v>95.13</v>
      </c>
      <c r="P210" s="227">
        <v>113.65</v>
      </c>
      <c r="Q210" s="227">
        <v>106.28</v>
      </c>
      <c r="R210" s="227">
        <v>111.5</v>
      </c>
      <c r="S210" s="227">
        <v>46.5</v>
      </c>
      <c r="T210" s="227">
        <v>79.5</v>
      </c>
      <c r="U210" s="227">
        <v>79.5</v>
      </c>
      <c r="V210" s="227">
        <v>79.5</v>
      </c>
      <c r="W210" s="227">
        <v>79.5</v>
      </c>
      <c r="X210" s="227">
        <v>79.5</v>
      </c>
      <c r="Y210" s="227">
        <v>79.5</v>
      </c>
      <c r="Z210" s="227">
        <v>79.5</v>
      </c>
      <c r="AA210" s="227">
        <v>79.5</v>
      </c>
      <c r="AB210" s="227">
        <v>86.81</v>
      </c>
      <c r="AC210" s="227">
        <v>774.65</v>
      </c>
      <c r="AD210" s="230">
        <v>1.0047453703703705E-3</v>
      </c>
      <c r="AE210" s="230">
        <v>520.86000000000013</v>
      </c>
      <c r="AF210" s="230">
        <v>3816</v>
      </c>
      <c r="AG210" s="230">
        <v>205838.3068999192</v>
      </c>
      <c r="AH210" s="230">
        <v>735188.67420565011</v>
      </c>
      <c r="AI210" s="230">
        <v>4647.8999999999996</v>
      </c>
    </row>
    <row r="211" spans="5:35" x14ac:dyDescent="0.35">
      <c r="E211" s="226">
        <v>9.2399999999999927E-2</v>
      </c>
      <c r="F211" s="227">
        <v>3.2259287671232877</v>
      </c>
      <c r="G211" s="227">
        <v>1177.4639999999999</v>
      </c>
      <c r="H211" s="227">
        <v>0.86050000000000004</v>
      </c>
      <c r="I211" s="227">
        <v>0.78835999999999995</v>
      </c>
      <c r="J211" s="227">
        <v>0.23885449641194353</v>
      </c>
      <c r="K211" s="227">
        <v>124.28</v>
      </c>
      <c r="L211" s="227">
        <v>139.57</v>
      </c>
      <c r="M211" s="227">
        <v>126.27</v>
      </c>
      <c r="N211" s="227">
        <v>88.665000000000006</v>
      </c>
      <c r="O211" s="227">
        <v>95.584999999999994</v>
      </c>
      <c r="P211" s="227">
        <v>114.06</v>
      </c>
      <c r="Q211" s="227">
        <v>106.7</v>
      </c>
      <c r="R211" s="227">
        <v>112.11</v>
      </c>
      <c r="S211" s="227">
        <v>47.11</v>
      </c>
      <c r="T211" s="227">
        <v>79.5</v>
      </c>
      <c r="U211" s="227">
        <v>79.5</v>
      </c>
      <c r="V211" s="227">
        <v>79.5</v>
      </c>
      <c r="W211" s="227">
        <v>79.5</v>
      </c>
      <c r="X211" s="227">
        <v>79.5</v>
      </c>
      <c r="Y211" s="227">
        <v>79.5</v>
      </c>
      <c r="Z211" s="227">
        <v>79.5</v>
      </c>
      <c r="AA211" s="227">
        <v>79.5</v>
      </c>
      <c r="AB211" s="227">
        <v>88.662999999999997</v>
      </c>
      <c r="AC211" s="227">
        <v>774.65</v>
      </c>
      <c r="AD211" s="230">
        <v>1.0261921296296295E-3</v>
      </c>
      <c r="AE211" s="230">
        <v>531.97799999999995</v>
      </c>
      <c r="AF211" s="230">
        <v>3816</v>
      </c>
      <c r="AG211" s="230">
        <v>206370.28489991921</v>
      </c>
      <c r="AH211" s="230">
        <v>739004.67420565011</v>
      </c>
      <c r="AI211" s="230">
        <v>4647.8999999999996</v>
      </c>
    </row>
    <row r="212" spans="5:35" x14ac:dyDescent="0.35">
      <c r="E212" s="226">
        <v>9.6409999999999996E-2</v>
      </c>
      <c r="F212" s="227">
        <v>3.242367123287671</v>
      </c>
      <c r="G212" s="227">
        <v>1183.4639999999999</v>
      </c>
      <c r="H212" s="227">
        <v>0.85780000000000001</v>
      </c>
      <c r="I212" s="227">
        <v>0.79237000000000002</v>
      </c>
      <c r="J212" s="227">
        <v>0.23948220474527684</v>
      </c>
      <c r="K212" s="227">
        <v>124.95</v>
      </c>
      <c r="L212" s="227">
        <v>139.66</v>
      </c>
      <c r="M212" s="227">
        <v>126.8</v>
      </c>
      <c r="N212" s="227">
        <v>88.858999999999995</v>
      </c>
      <c r="O212" s="227">
        <v>96.028000000000006</v>
      </c>
      <c r="P212" s="227">
        <v>114.44</v>
      </c>
      <c r="Q212" s="227">
        <v>107.1</v>
      </c>
      <c r="R212" s="227">
        <v>112.69</v>
      </c>
      <c r="S212" s="227">
        <v>47.69</v>
      </c>
      <c r="T212" s="227">
        <v>79.5</v>
      </c>
      <c r="U212" s="227">
        <v>79.5</v>
      </c>
      <c r="V212" s="227">
        <v>79.5</v>
      </c>
      <c r="W212" s="227">
        <v>79.5</v>
      </c>
      <c r="X212" s="227">
        <v>79.5</v>
      </c>
      <c r="Y212" s="227">
        <v>79.5</v>
      </c>
      <c r="Z212" s="227">
        <v>79.5</v>
      </c>
      <c r="AA212" s="227">
        <v>79.5</v>
      </c>
      <c r="AB212" s="227">
        <v>90.39</v>
      </c>
      <c r="AC212" s="227">
        <v>774.65</v>
      </c>
      <c r="AD212" s="230">
        <v>1.0461805555555556E-3</v>
      </c>
      <c r="AE212" s="230">
        <v>542.34</v>
      </c>
      <c r="AF212" s="230">
        <v>3816</v>
      </c>
      <c r="AG212" s="230">
        <v>206912.6248999192</v>
      </c>
      <c r="AH212" s="230">
        <v>742820.67420565011</v>
      </c>
      <c r="AI212" s="230">
        <v>4647.8999999999996</v>
      </c>
    </row>
    <row r="213" spans="5:35" x14ac:dyDescent="0.35">
      <c r="E213" s="226">
        <v>0.10043000000000002</v>
      </c>
      <c r="F213" s="227">
        <v>3.2588054794520547</v>
      </c>
      <c r="G213" s="227">
        <v>1189.4639999999999</v>
      </c>
      <c r="H213" s="227">
        <v>0.85509999999999997</v>
      </c>
      <c r="I213" s="227">
        <v>0.79639000000000004</v>
      </c>
      <c r="J213" s="227">
        <v>0.24012177418972128</v>
      </c>
      <c r="K213" s="227">
        <v>125.63</v>
      </c>
      <c r="L213" s="227">
        <v>139.76</v>
      </c>
      <c r="M213" s="227">
        <v>127.3</v>
      </c>
      <c r="N213" s="227">
        <v>89.055999999999997</v>
      </c>
      <c r="O213" s="227">
        <v>96.468999999999994</v>
      </c>
      <c r="P213" s="227">
        <v>114.81</v>
      </c>
      <c r="Q213" s="227">
        <v>107.49</v>
      </c>
      <c r="R213" s="227">
        <v>113.24</v>
      </c>
      <c r="S213" s="227">
        <v>48.239999999999995</v>
      </c>
      <c r="T213" s="227">
        <v>79.5</v>
      </c>
      <c r="U213" s="227">
        <v>79.5</v>
      </c>
      <c r="V213" s="227">
        <v>79.5</v>
      </c>
      <c r="W213" s="227">
        <v>79.5</v>
      </c>
      <c r="X213" s="227">
        <v>79.5</v>
      </c>
      <c r="Y213" s="227">
        <v>79.5</v>
      </c>
      <c r="Z213" s="227">
        <v>79.5</v>
      </c>
      <c r="AA213" s="227">
        <v>79.5</v>
      </c>
      <c r="AB213" s="227">
        <v>92.097999999999999</v>
      </c>
      <c r="AC213" s="227">
        <v>774.65</v>
      </c>
      <c r="AD213" s="230">
        <v>1.065949074074074E-3</v>
      </c>
      <c r="AE213" s="230">
        <v>552.58799999999997</v>
      </c>
      <c r="AF213" s="230">
        <v>3816</v>
      </c>
      <c r="AG213" s="230">
        <v>207465.21289991919</v>
      </c>
      <c r="AH213" s="230">
        <v>746636.67420565011</v>
      </c>
      <c r="AI213" s="230">
        <v>4647.8999999999996</v>
      </c>
    </row>
    <row r="214" spans="5:35" x14ac:dyDescent="0.35">
      <c r="E214" s="226">
        <v>0.10444999999999993</v>
      </c>
      <c r="F214" s="227">
        <v>3.2752438356164384</v>
      </c>
      <c r="G214" s="227">
        <v>1195.4639999999999</v>
      </c>
      <c r="H214" s="227">
        <v>0.85250000000000004</v>
      </c>
      <c r="I214" s="227">
        <v>0.80040999999999995</v>
      </c>
      <c r="J214" s="227">
        <v>0.24077295474527682</v>
      </c>
      <c r="K214" s="227">
        <v>126.33</v>
      </c>
      <c r="L214" s="227">
        <v>139.88</v>
      </c>
      <c r="M214" s="227">
        <v>127.79</v>
      </c>
      <c r="N214" s="227">
        <v>89.259</v>
      </c>
      <c r="O214" s="227">
        <v>96.908000000000001</v>
      </c>
      <c r="P214" s="227">
        <v>115.18</v>
      </c>
      <c r="Q214" s="227">
        <v>107.87</v>
      </c>
      <c r="R214" s="227">
        <v>113.76</v>
      </c>
      <c r="S214" s="227">
        <v>48.760000000000005</v>
      </c>
      <c r="T214" s="227">
        <v>79.5</v>
      </c>
      <c r="U214" s="227">
        <v>79.5</v>
      </c>
      <c r="V214" s="227">
        <v>79.5</v>
      </c>
      <c r="W214" s="227">
        <v>79.5</v>
      </c>
      <c r="X214" s="227">
        <v>79.5</v>
      </c>
      <c r="Y214" s="227">
        <v>79.5</v>
      </c>
      <c r="Z214" s="227">
        <v>79.5</v>
      </c>
      <c r="AA214" s="227">
        <v>79.5</v>
      </c>
      <c r="AB214" s="227">
        <v>93.77</v>
      </c>
      <c r="AC214" s="227">
        <v>774.65</v>
      </c>
      <c r="AD214" s="230">
        <v>1.085300925925926E-3</v>
      </c>
      <c r="AE214" s="230">
        <v>562.62</v>
      </c>
      <c r="AF214" s="230">
        <v>3816</v>
      </c>
      <c r="AG214" s="230">
        <v>208027.83289991919</v>
      </c>
      <c r="AH214" s="230">
        <v>750452.67420565011</v>
      </c>
      <c r="AI214" s="230">
        <v>4647.8999999999996</v>
      </c>
    </row>
    <row r="215" spans="5:35" x14ac:dyDescent="0.35">
      <c r="E215" s="226">
        <v>0.10846</v>
      </c>
      <c r="F215" s="227">
        <v>3.2916821917808217</v>
      </c>
      <c r="G215" s="227">
        <v>1201.4639999999999</v>
      </c>
      <c r="H215" s="227">
        <v>0.84989999999999999</v>
      </c>
      <c r="I215" s="227">
        <v>0.80442000000000002</v>
      </c>
      <c r="J215" s="227">
        <v>0.24143557974527685</v>
      </c>
      <c r="K215" s="227">
        <v>127.06</v>
      </c>
      <c r="L215" s="227">
        <v>140</v>
      </c>
      <c r="M215" s="227">
        <v>128.27000000000001</v>
      </c>
      <c r="N215" s="227">
        <v>89.47</v>
      </c>
      <c r="O215" s="227">
        <v>97.353999999999999</v>
      </c>
      <c r="P215" s="227">
        <v>115.54</v>
      </c>
      <c r="Q215" s="227">
        <v>108.24</v>
      </c>
      <c r="R215" s="227">
        <v>114.27</v>
      </c>
      <c r="S215" s="227">
        <v>49.269999999999996</v>
      </c>
      <c r="T215" s="227">
        <v>79.5</v>
      </c>
      <c r="U215" s="227">
        <v>79.462999999999994</v>
      </c>
      <c r="V215" s="227">
        <v>79.5</v>
      </c>
      <c r="W215" s="227">
        <v>79.5</v>
      </c>
      <c r="X215" s="227">
        <v>79.5</v>
      </c>
      <c r="Y215" s="227">
        <v>79.5</v>
      </c>
      <c r="Z215" s="227">
        <v>79.5</v>
      </c>
      <c r="AA215" s="227">
        <v>79.5</v>
      </c>
      <c r="AB215" s="227">
        <v>95.418000000000006</v>
      </c>
      <c r="AC215" s="227">
        <v>774.6</v>
      </c>
      <c r="AD215" s="230">
        <v>1.1043750000000001E-3</v>
      </c>
      <c r="AE215" s="230">
        <v>572.50800000000004</v>
      </c>
      <c r="AF215" s="230">
        <v>3815.7779999999998</v>
      </c>
      <c r="AG215" s="230">
        <v>208600.34089991919</v>
      </c>
      <c r="AH215" s="230">
        <v>754268.45220565016</v>
      </c>
      <c r="AI215" s="230">
        <v>4647.6000000000004</v>
      </c>
    </row>
    <row r="216" spans="5:35" x14ac:dyDescent="0.35">
      <c r="E216" s="226">
        <v>0.11248000000000002</v>
      </c>
      <c r="F216" s="227">
        <v>3.3081205479452054</v>
      </c>
      <c r="G216" s="227">
        <v>1207.4639999999999</v>
      </c>
      <c r="H216" s="227">
        <v>0.84730000000000005</v>
      </c>
      <c r="I216" s="227">
        <v>0.80844000000000005</v>
      </c>
      <c r="J216" s="227">
        <v>0.2421095866897213</v>
      </c>
      <c r="K216" s="227">
        <v>127.79</v>
      </c>
      <c r="L216" s="227">
        <v>140</v>
      </c>
      <c r="M216" s="227">
        <v>128.75</v>
      </c>
      <c r="N216" s="227">
        <v>89.682000000000002</v>
      </c>
      <c r="O216" s="227">
        <v>97.802999999999997</v>
      </c>
      <c r="P216" s="227">
        <v>115.89</v>
      </c>
      <c r="Q216" s="227">
        <v>108.6</v>
      </c>
      <c r="R216" s="227">
        <v>114.77</v>
      </c>
      <c r="S216" s="227">
        <v>49.769999999999996</v>
      </c>
      <c r="T216" s="227">
        <v>79.5</v>
      </c>
      <c r="U216" s="227">
        <v>79.215999999999994</v>
      </c>
      <c r="V216" s="227">
        <v>79.5</v>
      </c>
      <c r="W216" s="227">
        <v>79.5</v>
      </c>
      <c r="X216" s="227">
        <v>79.5</v>
      </c>
      <c r="Y216" s="227">
        <v>79.5</v>
      </c>
      <c r="Z216" s="227">
        <v>79.5</v>
      </c>
      <c r="AA216" s="227">
        <v>79.5</v>
      </c>
      <c r="AB216" s="227">
        <v>97.057000000000002</v>
      </c>
      <c r="AC216" s="227">
        <v>774.3</v>
      </c>
      <c r="AD216" s="230">
        <v>1.1233449074074075E-3</v>
      </c>
      <c r="AE216" s="230">
        <v>582.3420000000001</v>
      </c>
      <c r="AF216" s="230">
        <v>3814.2960000000003</v>
      </c>
      <c r="AG216" s="230">
        <v>209182.68289991919</v>
      </c>
      <c r="AH216" s="230">
        <v>758082.74820565013</v>
      </c>
      <c r="AI216" s="230">
        <v>4645.7999999999993</v>
      </c>
    </row>
    <row r="217" spans="5:35" x14ac:dyDescent="0.35">
      <c r="E217" s="226">
        <v>0.11649999999999994</v>
      </c>
      <c r="F217" s="227">
        <v>3.3245589041095891</v>
      </c>
      <c r="G217" s="227">
        <v>1213.4639999999999</v>
      </c>
      <c r="H217" s="227">
        <v>0.84440000000000004</v>
      </c>
      <c r="I217" s="227">
        <v>0.81245999999999996</v>
      </c>
      <c r="J217" s="227">
        <v>0.24279573252305461</v>
      </c>
      <c r="K217" s="227">
        <v>128.58000000000001</v>
      </c>
      <c r="L217" s="227">
        <v>140</v>
      </c>
      <c r="M217" s="227">
        <v>129.22999999999999</v>
      </c>
      <c r="N217" s="227">
        <v>89.909000000000006</v>
      </c>
      <c r="O217" s="227">
        <v>98.265000000000001</v>
      </c>
      <c r="P217" s="227">
        <v>116.25</v>
      </c>
      <c r="Q217" s="227">
        <v>108.95</v>
      </c>
      <c r="R217" s="227">
        <v>115.27</v>
      </c>
      <c r="S217" s="227">
        <v>50.269999999999996</v>
      </c>
      <c r="T217" s="227">
        <v>79.5</v>
      </c>
      <c r="U217" s="227">
        <v>78.899000000000001</v>
      </c>
      <c r="V217" s="227">
        <v>79.5</v>
      </c>
      <c r="W217" s="227">
        <v>79.5</v>
      </c>
      <c r="X217" s="227">
        <v>79.5</v>
      </c>
      <c r="Y217" s="227">
        <v>79.5</v>
      </c>
      <c r="Z217" s="227">
        <v>79.5</v>
      </c>
      <c r="AA217" s="227">
        <v>79.5</v>
      </c>
      <c r="AB217" s="227">
        <v>98.805000000000007</v>
      </c>
      <c r="AC217" s="227">
        <v>773.92</v>
      </c>
      <c r="AD217" s="230">
        <v>1.1435763888888891E-3</v>
      </c>
      <c r="AE217" s="230">
        <v>592.83000000000004</v>
      </c>
      <c r="AF217" s="230">
        <v>3812.3940000000002</v>
      </c>
      <c r="AG217" s="230">
        <v>209775.51289991918</v>
      </c>
      <c r="AH217" s="230">
        <v>761895.1422056501</v>
      </c>
      <c r="AI217" s="230">
        <v>4643.5199999999995</v>
      </c>
    </row>
    <row r="218" spans="5:35" x14ac:dyDescent="0.35">
      <c r="E218" s="226">
        <v>0.12051999999999996</v>
      </c>
      <c r="F218" s="227">
        <v>3.3409972602739724</v>
      </c>
      <c r="G218" s="227">
        <v>1219.4639999999999</v>
      </c>
      <c r="H218" s="227">
        <v>0.84109999999999996</v>
      </c>
      <c r="I218" s="227">
        <v>0.81647999999999998</v>
      </c>
      <c r="J218" s="227">
        <v>0.24349587141194351</v>
      </c>
      <c r="K218" s="227">
        <v>129.43</v>
      </c>
      <c r="L218" s="227">
        <v>140</v>
      </c>
      <c r="M218" s="227">
        <v>129.75</v>
      </c>
      <c r="N218" s="227">
        <v>90.162999999999997</v>
      </c>
      <c r="O218" s="227">
        <v>98.745000000000005</v>
      </c>
      <c r="P218" s="227">
        <v>116.64</v>
      </c>
      <c r="Q218" s="227">
        <v>109.32</v>
      </c>
      <c r="R218" s="227">
        <v>115.77</v>
      </c>
      <c r="S218" s="227">
        <v>50.769999999999996</v>
      </c>
      <c r="T218" s="227">
        <v>79.5</v>
      </c>
      <c r="U218" s="227">
        <v>78.501000000000005</v>
      </c>
      <c r="V218" s="227">
        <v>79.5</v>
      </c>
      <c r="W218" s="227">
        <v>79.5</v>
      </c>
      <c r="X218" s="227">
        <v>79.5</v>
      </c>
      <c r="Y218" s="227">
        <v>79.5</v>
      </c>
      <c r="Z218" s="227">
        <v>79.5</v>
      </c>
      <c r="AA218" s="227">
        <v>79.5</v>
      </c>
      <c r="AB218" s="227">
        <v>100.82</v>
      </c>
      <c r="AC218" s="227">
        <v>773.43</v>
      </c>
      <c r="AD218" s="230">
        <v>1.166898148148148E-3</v>
      </c>
      <c r="AE218" s="230">
        <v>604.91999999999996</v>
      </c>
      <c r="AF218" s="230">
        <v>3810.0059999999999</v>
      </c>
      <c r="AG218" s="230">
        <v>210380.43289991919</v>
      </c>
      <c r="AH218" s="230">
        <v>765705.14820565016</v>
      </c>
      <c r="AI218" s="230">
        <v>4640.58</v>
      </c>
    </row>
    <row r="219" spans="5:35" x14ac:dyDescent="0.35">
      <c r="E219" s="226">
        <v>0.12453000000000003</v>
      </c>
      <c r="F219" s="227">
        <v>3.3574356164383561</v>
      </c>
      <c r="G219" s="227">
        <v>1225.4639999999999</v>
      </c>
      <c r="H219" s="227">
        <v>0.83750000000000002</v>
      </c>
      <c r="I219" s="227">
        <v>0.82049000000000005</v>
      </c>
      <c r="J219" s="227">
        <v>0.24421142696749906</v>
      </c>
      <c r="K219" s="227">
        <v>130.30000000000001</v>
      </c>
      <c r="L219" s="227">
        <v>140</v>
      </c>
      <c r="M219" s="227">
        <v>130.27000000000001</v>
      </c>
      <c r="N219" s="227">
        <v>90.423000000000002</v>
      </c>
      <c r="O219" s="227">
        <v>99.24</v>
      </c>
      <c r="P219" s="227">
        <v>117.06</v>
      </c>
      <c r="Q219" s="227">
        <v>109.7</v>
      </c>
      <c r="R219" s="227">
        <v>116.28</v>
      </c>
      <c r="S219" s="227">
        <v>51.28</v>
      </c>
      <c r="T219" s="227">
        <v>79.5</v>
      </c>
      <c r="U219" s="227">
        <v>78.067999999999998</v>
      </c>
      <c r="V219" s="227">
        <v>79.5</v>
      </c>
      <c r="W219" s="227">
        <v>79.5</v>
      </c>
      <c r="X219" s="227">
        <v>79.5</v>
      </c>
      <c r="Y219" s="227">
        <v>79.5</v>
      </c>
      <c r="Z219" s="227">
        <v>79.5</v>
      </c>
      <c r="AA219" s="227">
        <v>79.5</v>
      </c>
      <c r="AB219" s="227">
        <v>103.04</v>
      </c>
      <c r="AC219" s="227">
        <v>772.9</v>
      </c>
      <c r="AD219" s="230">
        <v>1.1925925925925927E-3</v>
      </c>
      <c r="AE219" s="230">
        <v>618.24000000000012</v>
      </c>
      <c r="AF219" s="230">
        <v>3807.4079999999999</v>
      </c>
      <c r="AG219" s="230">
        <v>210998.67289991918</v>
      </c>
      <c r="AH219" s="230">
        <v>769512.55620565021</v>
      </c>
      <c r="AI219" s="230">
        <v>4637.3999999999996</v>
      </c>
    </row>
    <row r="220" spans="5:35" x14ac:dyDescent="0.35">
      <c r="E220" s="226">
        <v>0.12854999999999994</v>
      </c>
      <c r="F220" s="227">
        <v>3.3738739726027394</v>
      </c>
      <c r="G220" s="227">
        <v>1231.4639999999999</v>
      </c>
      <c r="H220" s="227">
        <v>0.83340000000000003</v>
      </c>
      <c r="I220" s="227">
        <v>0.82450999999999997</v>
      </c>
      <c r="J220" s="227">
        <v>0.24494455196749906</v>
      </c>
      <c r="K220" s="227">
        <v>131.25</v>
      </c>
      <c r="L220" s="227">
        <v>140</v>
      </c>
      <c r="M220" s="227">
        <v>130.83000000000001</v>
      </c>
      <c r="N220" s="227">
        <v>90.703000000000003</v>
      </c>
      <c r="O220" s="227">
        <v>99.757000000000005</v>
      </c>
      <c r="P220" s="227">
        <v>117.51</v>
      </c>
      <c r="Q220" s="227">
        <v>110.09</v>
      </c>
      <c r="R220" s="227">
        <v>116.8</v>
      </c>
      <c r="S220" s="227">
        <v>51.8</v>
      </c>
      <c r="T220" s="227">
        <v>79.5</v>
      </c>
      <c r="U220" s="227">
        <v>77.570999999999998</v>
      </c>
      <c r="V220" s="227">
        <v>79.5</v>
      </c>
      <c r="W220" s="227">
        <v>79.5</v>
      </c>
      <c r="X220" s="227">
        <v>79.5</v>
      </c>
      <c r="Y220" s="227">
        <v>79.5</v>
      </c>
      <c r="Z220" s="227">
        <v>79.5</v>
      </c>
      <c r="AA220" s="227">
        <v>79.5</v>
      </c>
      <c r="AB220" s="227">
        <v>105.57</v>
      </c>
      <c r="AC220" s="227">
        <v>772.3</v>
      </c>
      <c r="AD220" s="230">
        <v>1.2218749999999999E-3</v>
      </c>
      <c r="AE220" s="230">
        <v>633.41999999999996</v>
      </c>
      <c r="AF220" s="230">
        <v>3804.4260000000004</v>
      </c>
      <c r="AG220" s="230">
        <v>211632.0928999192</v>
      </c>
      <c r="AH220" s="230">
        <v>773316.98220565019</v>
      </c>
      <c r="AI220" s="230">
        <v>4633.7999999999993</v>
      </c>
    </row>
    <row r="221" spans="5:35" x14ac:dyDescent="0.35">
      <c r="E221" s="226">
        <v>0.13256999999999997</v>
      </c>
      <c r="F221" s="227">
        <v>3.3903123287671231</v>
      </c>
      <c r="G221" s="227">
        <v>1237.4639999999999</v>
      </c>
      <c r="H221" s="227">
        <v>0.82869999999999999</v>
      </c>
      <c r="I221" s="227">
        <v>0.82852999999999999</v>
      </c>
      <c r="J221" s="227">
        <v>0.24569774641194353</v>
      </c>
      <c r="K221" s="227">
        <v>132.26</v>
      </c>
      <c r="L221" s="227">
        <v>140</v>
      </c>
      <c r="M221" s="227">
        <v>131.44</v>
      </c>
      <c r="N221" s="227">
        <v>91</v>
      </c>
      <c r="O221" s="227">
        <v>100.29</v>
      </c>
      <c r="P221" s="227">
        <v>118.01</v>
      </c>
      <c r="Q221" s="227">
        <v>110.5</v>
      </c>
      <c r="R221" s="227">
        <v>117.33</v>
      </c>
      <c r="S221" s="227">
        <v>52.33</v>
      </c>
      <c r="T221" s="227">
        <v>79.5</v>
      </c>
      <c r="U221" s="227">
        <v>77.022999999999996</v>
      </c>
      <c r="V221" s="227">
        <v>79.5</v>
      </c>
      <c r="W221" s="227">
        <v>79.5</v>
      </c>
      <c r="X221" s="227">
        <v>79.5</v>
      </c>
      <c r="Y221" s="227">
        <v>79.5</v>
      </c>
      <c r="Z221" s="227">
        <v>79.5</v>
      </c>
      <c r="AA221" s="227">
        <v>79.5</v>
      </c>
      <c r="AB221" s="227">
        <v>108.46</v>
      </c>
      <c r="AC221" s="227">
        <v>771.63</v>
      </c>
      <c r="AD221" s="230">
        <v>1.2553240740740741E-3</v>
      </c>
      <c r="AE221" s="230">
        <v>650.76</v>
      </c>
      <c r="AF221" s="230">
        <v>3801.1379999999999</v>
      </c>
      <c r="AG221" s="230">
        <v>212282.85289991921</v>
      </c>
      <c r="AH221" s="230">
        <v>777118.12020565022</v>
      </c>
      <c r="AI221" s="230">
        <v>4629.78</v>
      </c>
    </row>
    <row r="222" spans="5:35" x14ac:dyDescent="0.35">
      <c r="E222" s="226">
        <v>0.13657999999999992</v>
      </c>
      <c r="F222" s="227">
        <v>3.4067506849315068</v>
      </c>
      <c r="G222" s="227">
        <v>1243.4639999999999</v>
      </c>
      <c r="H222" s="227">
        <v>0.8236</v>
      </c>
      <c r="I222" s="227">
        <v>0.83253999999999995</v>
      </c>
      <c r="J222" s="227">
        <v>0.24647267696749908</v>
      </c>
      <c r="K222" s="227">
        <v>133.31</v>
      </c>
      <c r="L222" s="227">
        <v>140</v>
      </c>
      <c r="M222" s="227">
        <v>132.08000000000001</v>
      </c>
      <c r="N222" s="227">
        <v>91.296999999999997</v>
      </c>
      <c r="O222" s="227">
        <v>100.84</v>
      </c>
      <c r="P222" s="227">
        <v>118.53</v>
      </c>
      <c r="Q222" s="227">
        <v>110.92</v>
      </c>
      <c r="R222" s="227">
        <v>117.87</v>
      </c>
      <c r="S222" s="227">
        <v>52.870000000000005</v>
      </c>
      <c r="T222" s="227">
        <v>79.5</v>
      </c>
      <c r="U222" s="227">
        <v>76.456000000000003</v>
      </c>
      <c r="V222" s="227">
        <v>79.5</v>
      </c>
      <c r="W222" s="227">
        <v>79.5</v>
      </c>
      <c r="X222" s="227">
        <v>79.5</v>
      </c>
      <c r="Y222" s="227">
        <v>79.5</v>
      </c>
      <c r="Z222" s="227">
        <v>79.5</v>
      </c>
      <c r="AA222" s="227">
        <v>79.5</v>
      </c>
      <c r="AB222" s="227">
        <v>111.59</v>
      </c>
      <c r="AC222" s="227">
        <v>770.94</v>
      </c>
      <c r="AD222" s="230">
        <v>1.291550925925926E-3</v>
      </c>
      <c r="AE222" s="230">
        <v>669.54000000000008</v>
      </c>
      <c r="AF222" s="230">
        <v>3797.7359999999999</v>
      </c>
      <c r="AG222" s="230">
        <v>212952.39289991921</v>
      </c>
      <c r="AH222" s="230">
        <v>780915.85620565026</v>
      </c>
      <c r="AI222" s="230">
        <v>4625.6400000000003</v>
      </c>
    </row>
    <row r="223" spans="5:35" x14ac:dyDescent="0.35">
      <c r="E223" s="226">
        <v>0.14059999999999995</v>
      </c>
      <c r="F223" s="227">
        <v>3.4231890410958901</v>
      </c>
      <c r="G223" s="227">
        <v>1249.4639999999999</v>
      </c>
      <c r="H223" s="227">
        <v>0.81799999999999995</v>
      </c>
      <c r="I223" s="227">
        <v>0.83655999999999997</v>
      </c>
      <c r="J223" s="227">
        <v>0.24727121863416576</v>
      </c>
      <c r="K223" s="227">
        <v>134.43</v>
      </c>
      <c r="L223" s="227">
        <v>140</v>
      </c>
      <c r="M223" s="227">
        <v>132.78</v>
      </c>
      <c r="N223" s="227">
        <v>91.600999999999999</v>
      </c>
      <c r="O223" s="227">
        <v>101.39</v>
      </c>
      <c r="P223" s="227">
        <v>119.1</v>
      </c>
      <c r="Q223" s="227">
        <v>111.35</v>
      </c>
      <c r="R223" s="227">
        <v>118.43</v>
      </c>
      <c r="S223" s="227">
        <v>53.430000000000007</v>
      </c>
      <c r="T223" s="227">
        <v>79.5</v>
      </c>
      <c r="U223" s="227">
        <v>75.87</v>
      </c>
      <c r="V223" s="227">
        <v>79.5</v>
      </c>
      <c r="W223" s="227">
        <v>79.5</v>
      </c>
      <c r="X223" s="227">
        <v>79.5</v>
      </c>
      <c r="Y223" s="227">
        <v>79.5</v>
      </c>
      <c r="Z223" s="227">
        <v>79.5</v>
      </c>
      <c r="AA223" s="227">
        <v>79.5</v>
      </c>
      <c r="AB223" s="227">
        <v>114.99</v>
      </c>
      <c r="AC223" s="227">
        <v>770.23</v>
      </c>
      <c r="AD223" s="230">
        <v>1.3309027777777776E-3</v>
      </c>
      <c r="AE223" s="230">
        <v>689.93999999999983</v>
      </c>
      <c r="AF223" s="230">
        <v>3794.2200000000003</v>
      </c>
      <c r="AG223" s="230">
        <v>213642.33289991922</v>
      </c>
      <c r="AH223" s="230">
        <v>784710.07620565023</v>
      </c>
      <c r="AI223" s="230">
        <v>4621.38</v>
      </c>
    </row>
    <row r="224" spans="5:35" x14ac:dyDescent="0.35">
      <c r="E224" s="226">
        <v>0.14461999999999997</v>
      </c>
      <c r="F224" s="227">
        <v>3.4396273972602738</v>
      </c>
      <c r="G224" s="227">
        <v>1255.4639999999999</v>
      </c>
      <c r="H224" s="227">
        <v>0.81210000000000004</v>
      </c>
      <c r="I224" s="227">
        <v>0.84057999999999999</v>
      </c>
      <c r="J224" s="227">
        <v>0.24809503807861019</v>
      </c>
      <c r="K224" s="227">
        <v>135.6</v>
      </c>
      <c r="L224" s="227">
        <v>140</v>
      </c>
      <c r="M224" s="227">
        <v>133.53</v>
      </c>
      <c r="N224" s="227">
        <v>91.91</v>
      </c>
      <c r="O224" s="227">
        <v>101.94</v>
      </c>
      <c r="P224" s="227">
        <v>119.72</v>
      </c>
      <c r="Q224" s="227">
        <v>111.8</v>
      </c>
      <c r="R224" s="227">
        <v>119</v>
      </c>
      <c r="S224" s="227">
        <v>54</v>
      </c>
      <c r="T224" s="227">
        <v>79.5</v>
      </c>
      <c r="U224" s="227">
        <v>75.257999999999996</v>
      </c>
      <c r="V224" s="227">
        <v>79.5</v>
      </c>
      <c r="W224" s="227">
        <v>79.5</v>
      </c>
      <c r="X224" s="227">
        <v>79.5</v>
      </c>
      <c r="Y224" s="227">
        <v>79.5</v>
      </c>
      <c r="Z224" s="227">
        <v>79.5</v>
      </c>
      <c r="AA224" s="227">
        <v>79.5</v>
      </c>
      <c r="AB224" s="227">
        <v>118.63</v>
      </c>
      <c r="AC224" s="227">
        <v>769.48</v>
      </c>
      <c r="AD224" s="230">
        <v>1.3730324074074074E-3</v>
      </c>
      <c r="AE224" s="230">
        <v>711.78</v>
      </c>
      <c r="AF224" s="230">
        <v>3790.5480000000002</v>
      </c>
      <c r="AG224" s="230">
        <v>214354.11289991922</v>
      </c>
      <c r="AH224" s="230">
        <v>788500.62420565018</v>
      </c>
      <c r="AI224" s="230">
        <v>4616.88</v>
      </c>
    </row>
    <row r="225" spans="5:35" x14ac:dyDescent="0.35">
      <c r="E225" s="226">
        <v>0.14863999999999999</v>
      </c>
      <c r="F225" s="227">
        <v>3.4560657534246575</v>
      </c>
      <c r="G225" s="227">
        <v>1261.4639999999999</v>
      </c>
      <c r="H225" s="227">
        <v>0.80569999999999997</v>
      </c>
      <c r="I225" s="227">
        <v>0.84460000000000002</v>
      </c>
      <c r="J225" s="227">
        <v>0.24894594085638796</v>
      </c>
      <c r="K225" s="227">
        <v>136.83000000000001</v>
      </c>
      <c r="L225" s="227">
        <v>140</v>
      </c>
      <c r="M225" s="227">
        <v>134.36000000000001</v>
      </c>
      <c r="N225" s="227">
        <v>92.233000000000004</v>
      </c>
      <c r="O225" s="227">
        <v>102.5</v>
      </c>
      <c r="P225" s="227">
        <v>120.38</v>
      </c>
      <c r="Q225" s="227">
        <v>112.26</v>
      </c>
      <c r="R225" s="227">
        <v>119.58</v>
      </c>
      <c r="S225" s="227">
        <v>54.58</v>
      </c>
      <c r="T225" s="227">
        <v>79.5</v>
      </c>
      <c r="U225" s="227">
        <v>74.599999999999994</v>
      </c>
      <c r="V225" s="227">
        <v>79.5</v>
      </c>
      <c r="W225" s="227">
        <v>79.5</v>
      </c>
      <c r="X225" s="227">
        <v>79.5</v>
      </c>
      <c r="Y225" s="227">
        <v>79.5</v>
      </c>
      <c r="Z225" s="227">
        <v>79.5</v>
      </c>
      <c r="AA225" s="227">
        <v>79.5</v>
      </c>
      <c r="AB225" s="227">
        <v>122.53</v>
      </c>
      <c r="AC225" s="227">
        <v>768.68</v>
      </c>
      <c r="AD225" s="230">
        <v>1.4181712962962963E-3</v>
      </c>
      <c r="AE225" s="230">
        <v>735.18000000000006</v>
      </c>
      <c r="AF225" s="230">
        <v>3786.6000000000004</v>
      </c>
      <c r="AG225" s="230">
        <v>215089.29289991921</v>
      </c>
      <c r="AH225" s="230">
        <v>792287.22420565016</v>
      </c>
      <c r="AI225" s="230">
        <v>4612.08</v>
      </c>
    </row>
    <row r="226" spans="5:35" x14ac:dyDescent="0.35">
      <c r="E226" s="226">
        <v>0.15264999999999995</v>
      </c>
      <c r="F226" s="227">
        <v>3.4725041095890408</v>
      </c>
      <c r="G226" s="227">
        <v>1267.4639999999999</v>
      </c>
      <c r="H226" s="227">
        <v>0.79910000000000003</v>
      </c>
      <c r="I226" s="227">
        <v>0.84860999999999998</v>
      </c>
      <c r="J226" s="227">
        <v>0.24982469085638795</v>
      </c>
      <c r="K226" s="227">
        <v>138.13</v>
      </c>
      <c r="L226" s="227">
        <v>140</v>
      </c>
      <c r="M226" s="227">
        <v>135.25</v>
      </c>
      <c r="N226" s="227">
        <v>92.563000000000002</v>
      </c>
      <c r="O226" s="227">
        <v>103.05</v>
      </c>
      <c r="P226" s="227">
        <v>121.09</v>
      </c>
      <c r="Q226" s="227">
        <v>112.73</v>
      </c>
      <c r="R226" s="227">
        <v>120.17</v>
      </c>
      <c r="S226" s="227">
        <v>55.17</v>
      </c>
      <c r="T226" s="227">
        <v>79.5</v>
      </c>
      <c r="U226" s="227">
        <v>73.896000000000001</v>
      </c>
      <c r="V226" s="227">
        <v>79.5</v>
      </c>
      <c r="W226" s="227">
        <v>79.5</v>
      </c>
      <c r="X226" s="227">
        <v>79.5</v>
      </c>
      <c r="Y226" s="227">
        <v>79.5</v>
      </c>
      <c r="Z226" s="227">
        <v>79.5</v>
      </c>
      <c r="AA226" s="227">
        <v>79.5</v>
      </c>
      <c r="AB226" s="227">
        <v>126.54</v>
      </c>
      <c r="AC226" s="227">
        <v>767.82</v>
      </c>
      <c r="AD226" s="230">
        <v>1.4645833333333334E-3</v>
      </c>
      <c r="AE226" s="230">
        <v>759.24</v>
      </c>
      <c r="AF226" s="230">
        <v>3782.3759999999997</v>
      </c>
      <c r="AG226" s="230">
        <v>215848.5328999192</v>
      </c>
      <c r="AH226" s="230">
        <v>796069.6002056502</v>
      </c>
      <c r="AI226" s="230">
        <v>4606.92</v>
      </c>
    </row>
    <row r="227" spans="5:35" x14ac:dyDescent="0.35">
      <c r="E227" s="226">
        <v>0.15666999999999998</v>
      </c>
      <c r="F227" s="227">
        <v>3.4889424657534245</v>
      </c>
      <c r="G227" s="227">
        <v>1273.4639999999999</v>
      </c>
      <c r="H227" s="227">
        <v>0.79239999999999999</v>
      </c>
      <c r="I227" s="227">
        <v>0.85263</v>
      </c>
      <c r="J227" s="227">
        <v>0.25073170474527684</v>
      </c>
      <c r="K227" s="227">
        <v>139.5</v>
      </c>
      <c r="L227" s="227">
        <v>140</v>
      </c>
      <c r="M227" s="227">
        <v>136.22999999999999</v>
      </c>
      <c r="N227" s="227">
        <v>92.905000000000001</v>
      </c>
      <c r="O227" s="227">
        <v>103.62</v>
      </c>
      <c r="P227" s="227">
        <v>121.84</v>
      </c>
      <c r="Q227" s="227">
        <v>113.19</v>
      </c>
      <c r="R227" s="227">
        <v>120.77</v>
      </c>
      <c r="S227" s="227">
        <v>55.769999999999996</v>
      </c>
      <c r="T227" s="227">
        <v>79.5</v>
      </c>
      <c r="U227" s="227">
        <v>73.117000000000004</v>
      </c>
      <c r="V227" s="227">
        <v>79.5</v>
      </c>
      <c r="W227" s="227">
        <v>79.5</v>
      </c>
      <c r="X227" s="227">
        <v>79.5</v>
      </c>
      <c r="Y227" s="227">
        <v>79.5</v>
      </c>
      <c r="Z227" s="227">
        <v>79.5</v>
      </c>
      <c r="AA227" s="227">
        <v>79.5</v>
      </c>
      <c r="AB227" s="227">
        <v>130.61000000000001</v>
      </c>
      <c r="AC227" s="227">
        <v>766.87</v>
      </c>
      <c r="AD227" s="230">
        <v>1.5116898148148149E-3</v>
      </c>
      <c r="AE227" s="230">
        <v>783.66000000000008</v>
      </c>
      <c r="AF227" s="230">
        <v>3777.7019999999998</v>
      </c>
      <c r="AG227" s="230">
        <v>216632.1928999192</v>
      </c>
      <c r="AH227" s="230">
        <v>799847.30220565025</v>
      </c>
      <c r="AI227" s="230">
        <v>4601.22</v>
      </c>
    </row>
    <row r="228" spans="5:35" x14ac:dyDescent="0.35">
      <c r="E228" s="226">
        <v>0.16069</v>
      </c>
      <c r="F228" s="227">
        <v>3.5053808219178082</v>
      </c>
      <c r="G228" s="227">
        <v>1279.4639999999999</v>
      </c>
      <c r="H228" s="227">
        <v>0.78539999999999999</v>
      </c>
      <c r="I228" s="227">
        <v>0.85665000000000002</v>
      </c>
      <c r="J228" s="227">
        <v>0.25166580196749905</v>
      </c>
      <c r="K228" s="227">
        <v>140</v>
      </c>
      <c r="L228" s="227">
        <v>140</v>
      </c>
      <c r="M228" s="227">
        <v>137.16</v>
      </c>
      <c r="N228" s="227">
        <v>93.216999999999999</v>
      </c>
      <c r="O228" s="227">
        <v>104.18</v>
      </c>
      <c r="P228" s="227">
        <v>122.58</v>
      </c>
      <c r="Q228" s="227">
        <v>113.63</v>
      </c>
      <c r="R228" s="227">
        <v>121.38</v>
      </c>
      <c r="S228" s="227">
        <v>56.379999999999995</v>
      </c>
      <c r="T228" s="227">
        <v>77.929000000000002</v>
      </c>
      <c r="U228" s="227">
        <v>72.42</v>
      </c>
      <c r="V228" s="227">
        <v>79.5</v>
      </c>
      <c r="W228" s="227">
        <v>79.5</v>
      </c>
      <c r="X228" s="227">
        <v>79.5</v>
      </c>
      <c r="Y228" s="227">
        <v>79.5</v>
      </c>
      <c r="Z228" s="227">
        <v>79.5</v>
      </c>
      <c r="AA228" s="227">
        <v>79.5</v>
      </c>
      <c r="AB228" s="227">
        <v>134.51</v>
      </c>
      <c r="AC228" s="227">
        <v>764.11</v>
      </c>
      <c r="AD228" s="230">
        <v>1.5568287037037035E-3</v>
      </c>
      <c r="AE228" s="230">
        <v>807.06</v>
      </c>
      <c r="AF228" s="230">
        <v>3764.0939999999996</v>
      </c>
      <c r="AG228" s="230">
        <v>217439.2528999192</v>
      </c>
      <c r="AH228" s="230">
        <v>803611.39620565029</v>
      </c>
      <c r="AI228" s="230">
        <v>4584.66</v>
      </c>
    </row>
    <row r="229" spans="5:35" x14ac:dyDescent="0.35">
      <c r="E229" s="226">
        <v>0.16471000000000002</v>
      </c>
      <c r="F229" s="227">
        <v>3.5218191780821915</v>
      </c>
      <c r="G229" s="227">
        <v>1285.4639999999999</v>
      </c>
      <c r="H229" s="227">
        <v>0.7782</v>
      </c>
      <c r="I229" s="227">
        <v>0.86067000000000005</v>
      </c>
      <c r="J229" s="227">
        <v>0.25262649641194351</v>
      </c>
      <c r="K229" s="227">
        <v>140</v>
      </c>
      <c r="L229" s="227">
        <v>140</v>
      </c>
      <c r="M229" s="227">
        <v>138.1</v>
      </c>
      <c r="N229" s="227">
        <v>93.527000000000001</v>
      </c>
      <c r="O229" s="227">
        <v>104.75</v>
      </c>
      <c r="P229" s="227">
        <v>123.32</v>
      </c>
      <c r="Q229" s="227">
        <v>114.06</v>
      </c>
      <c r="R229" s="227">
        <v>122.01</v>
      </c>
      <c r="S229" s="227">
        <v>57.010000000000005</v>
      </c>
      <c r="T229" s="227">
        <v>75.421999999999997</v>
      </c>
      <c r="U229" s="227">
        <v>71.72</v>
      </c>
      <c r="V229" s="227">
        <v>79.5</v>
      </c>
      <c r="W229" s="227">
        <v>79.5</v>
      </c>
      <c r="X229" s="227">
        <v>79.5</v>
      </c>
      <c r="Y229" s="227">
        <v>79.5</v>
      </c>
      <c r="Z229" s="227">
        <v>79.5</v>
      </c>
      <c r="AA229" s="227">
        <v>79.5</v>
      </c>
      <c r="AB229" s="227">
        <v>138.34</v>
      </c>
      <c r="AC229" s="227">
        <v>760.21</v>
      </c>
      <c r="AD229" s="230">
        <v>1.6011574074074075E-3</v>
      </c>
      <c r="AE229" s="230">
        <v>830.04000000000008</v>
      </c>
      <c r="AF229" s="230">
        <v>3744.8520000000003</v>
      </c>
      <c r="AG229" s="230">
        <v>218269.29289991921</v>
      </c>
      <c r="AH229" s="230">
        <v>807356.24820565025</v>
      </c>
      <c r="AI229" s="230">
        <v>4561.26</v>
      </c>
    </row>
    <row r="230" spans="5:35" x14ac:dyDescent="0.35">
      <c r="E230" s="226">
        <v>0.16871999999999998</v>
      </c>
      <c r="F230" s="227">
        <v>3.5382575342465752</v>
      </c>
      <c r="G230" s="227">
        <v>1291.4639999999999</v>
      </c>
      <c r="H230" s="227">
        <v>0.77059999999999995</v>
      </c>
      <c r="I230" s="227">
        <v>0.86468</v>
      </c>
      <c r="J230" s="227">
        <v>0.25361434363416574</v>
      </c>
      <c r="K230" s="227">
        <v>140</v>
      </c>
      <c r="L230" s="227">
        <v>140</v>
      </c>
      <c r="M230" s="227">
        <v>139.13999999999999</v>
      </c>
      <c r="N230" s="227">
        <v>93.876000000000005</v>
      </c>
      <c r="O230" s="227">
        <v>105.34</v>
      </c>
      <c r="P230" s="227">
        <v>124.12</v>
      </c>
      <c r="Q230" s="227">
        <v>114.48</v>
      </c>
      <c r="R230" s="227">
        <v>122.66</v>
      </c>
      <c r="S230" s="227">
        <v>57.66</v>
      </c>
      <c r="T230" s="227">
        <v>72.762</v>
      </c>
      <c r="U230" s="227">
        <v>70.894000000000005</v>
      </c>
      <c r="V230" s="227">
        <v>79.5</v>
      </c>
      <c r="W230" s="227">
        <v>79.5</v>
      </c>
      <c r="X230" s="227">
        <v>79.5</v>
      </c>
      <c r="Y230" s="227">
        <v>79.5</v>
      </c>
      <c r="Z230" s="227">
        <v>79.5</v>
      </c>
      <c r="AA230" s="227">
        <v>79.5</v>
      </c>
      <c r="AB230" s="227">
        <v>142.25</v>
      </c>
      <c r="AC230" s="227">
        <v>755.96</v>
      </c>
      <c r="AD230" s="230">
        <v>1.6464120370370369E-3</v>
      </c>
      <c r="AE230" s="230">
        <v>853.5</v>
      </c>
      <c r="AF230" s="230">
        <v>3723.9359999999997</v>
      </c>
      <c r="AG230" s="230">
        <v>219122.79289991921</v>
      </c>
      <c r="AH230" s="230">
        <v>811080.18420565024</v>
      </c>
      <c r="AI230" s="230">
        <v>4535.76</v>
      </c>
    </row>
    <row r="231" spans="5:35" x14ac:dyDescent="0.35">
      <c r="E231" s="226">
        <v>0.17274</v>
      </c>
      <c r="F231" s="227">
        <v>3.5546958904109589</v>
      </c>
      <c r="G231" s="227">
        <v>1297.4639999999999</v>
      </c>
      <c r="H231" s="227">
        <v>0.76280000000000003</v>
      </c>
      <c r="I231" s="227">
        <v>0.86870000000000003</v>
      </c>
      <c r="J231" s="227">
        <v>0.25462920474527684</v>
      </c>
      <c r="K231" s="227">
        <v>140</v>
      </c>
      <c r="L231" s="227">
        <v>140</v>
      </c>
      <c r="M231" s="227">
        <v>140</v>
      </c>
      <c r="N231" s="227">
        <v>94.245999999999995</v>
      </c>
      <c r="O231" s="227">
        <v>105.96</v>
      </c>
      <c r="P231" s="227">
        <v>124.93</v>
      </c>
      <c r="Q231" s="227">
        <v>114.89</v>
      </c>
      <c r="R231" s="227">
        <v>123.33</v>
      </c>
      <c r="S231" s="227">
        <v>58.33</v>
      </c>
      <c r="T231" s="227">
        <v>70.037000000000006</v>
      </c>
      <c r="U231" s="227">
        <v>69.97</v>
      </c>
      <c r="V231" s="227">
        <v>79.022999999999996</v>
      </c>
      <c r="W231" s="227">
        <v>79.5</v>
      </c>
      <c r="X231" s="227">
        <v>79.5</v>
      </c>
      <c r="Y231" s="227">
        <v>79.5</v>
      </c>
      <c r="Z231" s="227">
        <v>79.5</v>
      </c>
      <c r="AA231" s="227">
        <v>79.5</v>
      </c>
      <c r="AB231" s="227">
        <v>146.13999999999999</v>
      </c>
      <c r="AC231" s="227">
        <v>750.93</v>
      </c>
      <c r="AD231" s="230">
        <v>1.6914351851851849E-3</v>
      </c>
      <c r="AE231" s="230">
        <v>876.83999999999992</v>
      </c>
      <c r="AF231" s="230">
        <v>3699.18</v>
      </c>
      <c r="AG231" s="230">
        <v>219999.6328999192</v>
      </c>
      <c r="AH231" s="230">
        <v>814779.36420565029</v>
      </c>
      <c r="AI231" s="230">
        <v>4505.58</v>
      </c>
    </row>
    <row r="232" spans="5:35" x14ac:dyDescent="0.35">
      <c r="E232" s="226">
        <v>0.17676000000000003</v>
      </c>
      <c r="F232" s="227">
        <v>3.5711342465753422</v>
      </c>
      <c r="G232" s="227">
        <v>1303.4639999999999</v>
      </c>
      <c r="H232" s="227">
        <v>0.75460000000000005</v>
      </c>
      <c r="I232" s="227">
        <v>0.87272000000000005</v>
      </c>
      <c r="J232" s="227">
        <v>0.25566941307861019</v>
      </c>
      <c r="K232" s="227">
        <v>140</v>
      </c>
      <c r="L232" s="227">
        <v>140</v>
      </c>
      <c r="M232" s="227">
        <v>140</v>
      </c>
      <c r="N232" s="227">
        <v>94.587999999999994</v>
      </c>
      <c r="O232" s="227">
        <v>106.58</v>
      </c>
      <c r="P232" s="227">
        <v>125.65</v>
      </c>
      <c r="Q232" s="227">
        <v>115.27</v>
      </c>
      <c r="R232" s="227">
        <v>124.03</v>
      </c>
      <c r="S232" s="227">
        <v>59.03</v>
      </c>
      <c r="T232" s="227">
        <v>67.521000000000001</v>
      </c>
      <c r="U232" s="227">
        <v>69.040999999999997</v>
      </c>
      <c r="V232" s="227">
        <v>76.947000000000003</v>
      </c>
      <c r="W232" s="227">
        <v>79.5</v>
      </c>
      <c r="X232" s="227">
        <v>79.5</v>
      </c>
      <c r="Y232" s="227">
        <v>79.5</v>
      </c>
      <c r="Z232" s="227">
        <v>79.5</v>
      </c>
      <c r="AA232" s="227">
        <v>79.5</v>
      </c>
      <c r="AB232" s="227">
        <v>149.79</v>
      </c>
      <c r="AC232" s="227">
        <v>744.21</v>
      </c>
      <c r="AD232" s="230">
        <v>1.7336805555555554E-3</v>
      </c>
      <c r="AE232" s="230">
        <v>898.7399999999999</v>
      </c>
      <c r="AF232" s="230">
        <v>3666.0540000000001</v>
      </c>
      <c r="AG232" s="230">
        <v>220898.3728999192</v>
      </c>
      <c r="AH232" s="230">
        <v>818445.41820565029</v>
      </c>
      <c r="AI232" s="230">
        <v>4465.26</v>
      </c>
    </row>
    <row r="233" spans="5:35" x14ac:dyDescent="0.35">
      <c r="E233" s="226">
        <v>0.18076999999999999</v>
      </c>
      <c r="F233" s="227">
        <v>3.5875726027397259</v>
      </c>
      <c r="G233" s="227">
        <v>1309.4639999999999</v>
      </c>
      <c r="H233" s="227">
        <v>0.74639999999999995</v>
      </c>
      <c r="I233" s="227">
        <v>0.87673000000000001</v>
      </c>
      <c r="J233" s="227">
        <v>0.25673482974527684</v>
      </c>
      <c r="K233" s="227">
        <v>140</v>
      </c>
      <c r="L233" s="227">
        <v>140</v>
      </c>
      <c r="M233" s="227">
        <v>140</v>
      </c>
      <c r="N233" s="227">
        <v>94.942999999999998</v>
      </c>
      <c r="O233" s="227">
        <v>107.22</v>
      </c>
      <c r="P233" s="227">
        <v>126.38</v>
      </c>
      <c r="Q233" s="227">
        <v>115.64</v>
      </c>
      <c r="R233" s="227">
        <v>124.75</v>
      </c>
      <c r="S233" s="227">
        <v>59.75</v>
      </c>
      <c r="T233" s="227">
        <v>65.063999999999993</v>
      </c>
      <c r="U233" s="227">
        <v>68.078999999999994</v>
      </c>
      <c r="V233" s="227">
        <v>74.847999999999999</v>
      </c>
      <c r="W233" s="227">
        <v>79.5</v>
      </c>
      <c r="X233" s="227">
        <v>79.5</v>
      </c>
      <c r="Y233" s="227">
        <v>79.5</v>
      </c>
      <c r="Z233" s="227">
        <v>79.5</v>
      </c>
      <c r="AA233" s="227">
        <v>79.5</v>
      </c>
      <c r="AB233" s="227">
        <v>153.41999999999999</v>
      </c>
      <c r="AC233" s="227">
        <v>737.49</v>
      </c>
      <c r="AD233" s="230">
        <v>1.7756944444444443E-3</v>
      </c>
      <c r="AE233" s="230">
        <v>920.52</v>
      </c>
      <c r="AF233" s="230">
        <v>3632.9459999999999</v>
      </c>
      <c r="AG233" s="230">
        <v>221818.89289991918</v>
      </c>
      <c r="AH233" s="230">
        <v>822078.36420565029</v>
      </c>
      <c r="AI233" s="230">
        <v>4424.9400000000005</v>
      </c>
    </row>
    <row r="234" spans="5:35" x14ac:dyDescent="0.35">
      <c r="E234" s="226">
        <v>0.18479000000000001</v>
      </c>
      <c r="F234" s="227">
        <v>3.6040109589041096</v>
      </c>
      <c r="G234" s="227">
        <v>1315.4639999999999</v>
      </c>
      <c r="H234" s="227">
        <v>0.73819999999999997</v>
      </c>
      <c r="I234" s="227">
        <v>0.88075000000000003</v>
      </c>
      <c r="J234" s="227">
        <v>0.25782503807861018</v>
      </c>
      <c r="K234" s="227">
        <v>140</v>
      </c>
      <c r="L234" s="227">
        <v>140</v>
      </c>
      <c r="M234" s="227">
        <v>140</v>
      </c>
      <c r="N234" s="227">
        <v>95.298000000000002</v>
      </c>
      <c r="O234" s="227">
        <v>107.86</v>
      </c>
      <c r="P234" s="227">
        <v>127.11</v>
      </c>
      <c r="Q234" s="227">
        <v>116.02</v>
      </c>
      <c r="R234" s="227">
        <v>125.49</v>
      </c>
      <c r="S234" s="227">
        <v>60.489999999999995</v>
      </c>
      <c r="T234" s="227">
        <v>62.743000000000002</v>
      </c>
      <c r="U234" s="227">
        <v>67.126999999999995</v>
      </c>
      <c r="V234" s="227">
        <v>72.778999999999996</v>
      </c>
      <c r="W234" s="227">
        <v>79.5</v>
      </c>
      <c r="X234" s="227">
        <v>79.5</v>
      </c>
      <c r="Y234" s="227">
        <v>79.5</v>
      </c>
      <c r="Z234" s="227">
        <v>79.5</v>
      </c>
      <c r="AA234" s="227">
        <v>79.5</v>
      </c>
      <c r="AB234" s="227">
        <v>156.99</v>
      </c>
      <c r="AC234" s="227">
        <v>730.98</v>
      </c>
      <c r="AD234" s="230">
        <v>1.8170138888888891E-3</v>
      </c>
      <c r="AE234" s="230">
        <v>941.94000000000017</v>
      </c>
      <c r="AF234" s="230">
        <v>3600.8940000000002</v>
      </c>
      <c r="AG234" s="230">
        <v>222760.83289991919</v>
      </c>
      <c r="AH234" s="230">
        <v>825679.25820565026</v>
      </c>
      <c r="AI234" s="230">
        <v>4385.88</v>
      </c>
    </row>
    <row r="235" spans="5:35" x14ac:dyDescent="0.35">
      <c r="E235" s="226">
        <v>0.18880999999999992</v>
      </c>
      <c r="F235" s="227">
        <v>3.6204493150684929</v>
      </c>
      <c r="G235" s="227">
        <v>1321.4639999999999</v>
      </c>
      <c r="H235" s="227">
        <v>0.73019999999999996</v>
      </c>
      <c r="I235" s="227">
        <v>0.88476999999999995</v>
      </c>
      <c r="J235" s="227">
        <v>0.2589391353008324</v>
      </c>
      <c r="K235" s="227">
        <v>140</v>
      </c>
      <c r="L235" s="227">
        <v>140</v>
      </c>
      <c r="M235" s="227">
        <v>140</v>
      </c>
      <c r="N235" s="227">
        <v>95.644999999999996</v>
      </c>
      <c r="O235" s="227">
        <v>108.5</v>
      </c>
      <c r="P235" s="227">
        <v>127.81</v>
      </c>
      <c r="Q235" s="227">
        <v>116.41</v>
      </c>
      <c r="R235" s="227">
        <v>126.25</v>
      </c>
      <c r="S235" s="227">
        <v>61.25</v>
      </c>
      <c r="T235" s="227">
        <v>60.618000000000002</v>
      </c>
      <c r="U235" s="227">
        <v>66.218999999999994</v>
      </c>
      <c r="V235" s="227">
        <v>70.787999999999997</v>
      </c>
      <c r="W235" s="227">
        <v>79.5</v>
      </c>
      <c r="X235" s="227">
        <v>79.5</v>
      </c>
      <c r="Y235" s="227">
        <v>79.5</v>
      </c>
      <c r="Z235" s="227">
        <v>79.5</v>
      </c>
      <c r="AA235" s="227">
        <v>79.5</v>
      </c>
      <c r="AB235" s="227">
        <v>160.43</v>
      </c>
      <c r="AC235" s="227">
        <v>724.86</v>
      </c>
      <c r="AD235" s="230">
        <v>1.8568287037037039E-3</v>
      </c>
      <c r="AE235" s="230">
        <v>962.58</v>
      </c>
      <c r="AF235" s="230">
        <v>3570.75</v>
      </c>
      <c r="AG235" s="230">
        <v>223723.41289991917</v>
      </c>
      <c r="AH235" s="230">
        <v>829250.00820565026</v>
      </c>
      <c r="AI235" s="230">
        <v>4349.16</v>
      </c>
    </row>
    <row r="236" spans="5:35" x14ac:dyDescent="0.35">
      <c r="E236" s="226">
        <v>0.19282999999999995</v>
      </c>
      <c r="F236" s="227">
        <v>3.6368876712328766</v>
      </c>
      <c r="G236" s="227">
        <v>1327.4639999999999</v>
      </c>
      <c r="H236" s="227">
        <v>0.72260000000000002</v>
      </c>
      <c r="I236" s="227">
        <v>0.88878999999999997</v>
      </c>
      <c r="J236" s="227">
        <v>0.26007594085638797</v>
      </c>
      <c r="K236" s="227">
        <v>140</v>
      </c>
      <c r="L236" s="227">
        <v>140</v>
      </c>
      <c r="M236" s="227">
        <v>140</v>
      </c>
      <c r="N236" s="227">
        <v>95.977999999999994</v>
      </c>
      <c r="O236" s="227">
        <v>109.15</v>
      </c>
      <c r="P236" s="227">
        <v>128.49</v>
      </c>
      <c r="Q236" s="227">
        <v>116.81</v>
      </c>
      <c r="R236" s="227">
        <v>127.04</v>
      </c>
      <c r="S236" s="227">
        <v>62.040000000000006</v>
      </c>
      <c r="T236" s="227">
        <v>58.725000000000001</v>
      </c>
      <c r="U236" s="227">
        <v>65.376999999999995</v>
      </c>
      <c r="V236" s="227">
        <v>68.921999999999997</v>
      </c>
      <c r="W236" s="227">
        <v>79.5</v>
      </c>
      <c r="X236" s="227">
        <v>79.5</v>
      </c>
      <c r="Y236" s="227">
        <v>79.5</v>
      </c>
      <c r="Z236" s="227">
        <v>79.5</v>
      </c>
      <c r="AA236" s="227">
        <v>79.5</v>
      </c>
      <c r="AB236" s="227">
        <v>163.69999999999999</v>
      </c>
      <c r="AC236" s="227">
        <v>719.26</v>
      </c>
      <c r="AD236" s="230">
        <v>1.8946759259259257E-3</v>
      </c>
      <c r="AE236" s="230">
        <v>982.19999999999993</v>
      </c>
      <c r="AF236" s="230">
        <v>3543.1440000000002</v>
      </c>
      <c r="AG236" s="230">
        <v>224705.61289991919</v>
      </c>
      <c r="AH236" s="230">
        <v>832793.15220565023</v>
      </c>
      <c r="AI236" s="230">
        <v>4315.5599999999995</v>
      </c>
    </row>
    <row r="237" spans="5:35" x14ac:dyDescent="0.35">
      <c r="E237" s="226">
        <v>0.19684000000000001</v>
      </c>
      <c r="F237" s="227">
        <v>3.6533260273972603</v>
      </c>
      <c r="G237" s="227">
        <v>1333.4639999999999</v>
      </c>
      <c r="H237" s="227">
        <v>0.71540000000000004</v>
      </c>
      <c r="I237" s="227">
        <v>0.89280000000000004</v>
      </c>
      <c r="J237" s="227">
        <v>0.26123392696749903</v>
      </c>
      <c r="K237" s="227">
        <v>140</v>
      </c>
      <c r="L237" s="227">
        <v>140</v>
      </c>
      <c r="M237" s="227">
        <v>140</v>
      </c>
      <c r="N237" s="227">
        <v>96.293000000000006</v>
      </c>
      <c r="O237" s="227">
        <v>109.79</v>
      </c>
      <c r="P237" s="227">
        <v>129.13</v>
      </c>
      <c r="Q237" s="227">
        <v>117.22</v>
      </c>
      <c r="R237" s="227">
        <v>127.85</v>
      </c>
      <c r="S237" s="227">
        <v>62.849999999999994</v>
      </c>
      <c r="T237" s="227">
        <v>57.078000000000003</v>
      </c>
      <c r="U237" s="227">
        <v>64.614999999999995</v>
      </c>
      <c r="V237" s="227">
        <v>67.198999999999998</v>
      </c>
      <c r="W237" s="227">
        <v>79.5</v>
      </c>
      <c r="X237" s="227">
        <v>79.5</v>
      </c>
      <c r="Y237" s="227">
        <v>79.5</v>
      </c>
      <c r="Z237" s="227">
        <v>79.5</v>
      </c>
      <c r="AA237" s="227">
        <v>79.5</v>
      </c>
      <c r="AB237" s="227">
        <v>166.75</v>
      </c>
      <c r="AC237" s="227">
        <v>714.23</v>
      </c>
      <c r="AD237" s="230">
        <v>1.9299768518518518E-3</v>
      </c>
      <c r="AE237" s="230">
        <v>1000.4999999999999</v>
      </c>
      <c r="AF237" s="230">
        <v>3518.3520000000003</v>
      </c>
      <c r="AG237" s="230">
        <v>225706.11289991919</v>
      </c>
      <c r="AH237" s="230">
        <v>836311.50420565018</v>
      </c>
      <c r="AI237" s="230">
        <v>4285.38</v>
      </c>
    </row>
    <row r="238" spans="5:35" x14ac:dyDescent="0.35">
      <c r="E238" s="226">
        <v>0.20085999999999993</v>
      </c>
      <c r="F238" s="227">
        <v>3.6697643835616436</v>
      </c>
      <c r="G238" s="227">
        <v>1339.4639999999999</v>
      </c>
      <c r="H238" s="227">
        <v>0.70860000000000001</v>
      </c>
      <c r="I238" s="227">
        <v>0.89681999999999995</v>
      </c>
      <c r="J238" s="227">
        <v>0.26241198252305459</v>
      </c>
      <c r="K238" s="227">
        <v>140</v>
      </c>
      <c r="L238" s="227">
        <v>140</v>
      </c>
      <c r="M238" s="227">
        <v>140</v>
      </c>
      <c r="N238" s="227">
        <v>96.6</v>
      </c>
      <c r="O238" s="227">
        <v>110.44</v>
      </c>
      <c r="P238" s="227">
        <v>129.74</v>
      </c>
      <c r="Q238" s="227">
        <v>117.67</v>
      </c>
      <c r="R238" s="227">
        <v>128.69</v>
      </c>
      <c r="S238" s="227">
        <v>63.69</v>
      </c>
      <c r="T238" s="227">
        <v>55.639000000000003</v>
      </c>
      <c r="U238" s="227">
        <v>63.917999999999999</v>
      </c>
      <c r="V238" s="227">
        <v>65.611999999999995</v>
      </c>
      <c r="W238" s="227">
        <v>79.5</v>
      </c>
      <c r="X238" s="227">
        <v>79.5</v>
      </c>
      <c r="Y238" s="227">
        <v>79.5</v>
      </c>
      <c r="Z238" s="227">
        <v>79.5</v>
      </c>
      <c r="AA238" s="227">
        <v>79.5</v>
      </c>
      <c r="AB238" s="227">
        <v>169.64</v>
      </c>
      <c r="AC238" s="227">
        <v>709.69</v>
      </c>
      <c r="AD238" s="230">
        <v>1.9634259259259258E-3</v>
      </c>
      <c r="AE238" s="230">
        <v>1017.8399999999999</v>
      </c>
      <c r="AF238" s="230">
        <v>3496.0140000000001</v>
      </c>
      <c r="AG238" s="230">
        <v>226723.95289991918</v>
      </c>
      <c r="AH238" s="230">
        <v>839807.51820565015</v>
      </c>
      <c r="AI238" s="230">
        <v>4258.1400000000003</v>
      </c>
    </row>
    <row r="239" spans="5:35" x14ac:dyDescent="0.35">
      <c r="E239" s="226">
        <v>0.20487999999999995</v>
      </c>
      <c r="F239" s="227">
        <v>3.6862027397260273</v>
      </c>
      <c r="G239" s="227">
        <v>1345.4639999999999</v>
      </c>
      <c r="H239" s="227">
        <v>0.70209999999999995</v>
      </c>
      <c r="I239" s="227">
        <v>0.90083999999999997</v>
      </c>
      <c r="J239" s="227">
        <v>0.26360948252305461</v>
      </c>
      <c r="K239" s="227">
        <v>140</v>
      </c>
      <c r="L239" s="227">
        <v>140</v>
      </c>
      <c r="M239" s="227">
        <v>140</v>
      </c>
      <c r="N239" s="227">
        <v>96.903999999999996</v>
      </c>
      <c r="O239" s="227">
        <v>111.09</v>
      </c>
      <c r="P239" s="227">
        <v>130.31</v>
      </c>
      <c r="Q239" s="227">
        <v>118.16</v>
      </c>
      <c r="R239" s="227">
        <v>129.57</v>
      </c>
      <c r="S239" s="227">
        <v>64.569999999999993</v>
      </c>
      <c r="T239" s="227">
        <v>54.372999999999998</v>
      </c>
      <c r="U239" s="227">
        <v>63.273000000000003</v>
      </c>
      <c r="V239" s="227">
        <v>64.143000000000001</v>
      </c>
      <c r="W239" s="227">
        <v>79.5</v>
      </c>
      <c r="X239" s="227">
        <v>79.5</v>
      </c>
      <c r="Y239" s="227">
        <v>79.5</v>
      </c>
      <c r="Z239" s="227">
        <v>79.5</v>
      </c>
      <c r="AA239" s="227">
        <v>79.5</v>
      </c>
      <c r="AB239" s="227">
        <v>172.44</v>
      </c>
      <c r="AC239" s="227">
        <v>705.57</v>
      </c>
      <c r="AD239" s="230">
        <v>1.9958333333333334E-3</v>
      </c>
      <c r="AE239" s="230">
        <v>1034.6399999999999</v>
      </c>
      <c r="AF239" s="230">
        <v>3475.7339999999999</v>
      </c>
      <c r="AG239" s="230">
        <v>227758.5928999192</v>
      </c>
      <c r="AH239" s="230">
        <v>843283.25220565021</v>
      </c>
      <c r="AI239" s="230">
        <v>4233.42</v>
      </c>
    </row>
    <row r="240" spans="5:35" x14ac:dyDescent="0.35">
      <c r="E240" s="226">
        <v>0.20889000000000002</v>
      </c>
      <c r="F240" s="227">
        <v>3.702641095890411</v>
      </c>
      <c r="G240" s="227">
        <v>1351.4639999999999</v>
      </c>
      <c r="H240" s="227">
        <v>0.69550000000000001</v>
      </c>
      <c r="I240" s="227">
        <v>0.90485000000000004</v>
      </c>
      <c r="J240" s="227">
        <v>0.26482705196749906</v>
      </c>
      <c r="K240" s="227">
        <v>140</v>
      </c>
      <c r="L240" s="227">
        <v>140</v>
      </c>
      <c r="M240" s="227">
        <v>140</v>
      </c>
      <c r="N240" s="227">
        <v>97.218000000000004</v>
      </c>
      <c r="O240" s="227">
        <v>111.76</v>
      </c>
      <c r="P240" s="227">
        <v>130.87</v>
      </c>
      <c r="Q240" s="227">
        <v>118.7</v>
      </c>
      <c r="R240" s="227">
        <v>130.49</v>
      </c>
      <c r="S240" s="227">
        <v>65.490000000000009</v>
      </c>
      <c r="T240" s="227">
        <v>53.234000000000002</v>
      </c>
      <c r="U240" s="227">
        <v>62.662999999999997</v>
      </c>
      <c r="V240" s="227">
        <v>62.758000000000003</v>
      </c>
      <c r="W240" s="227">
        <v>79.5</v>
      </c>
      <c r="X240" s="227">
        <v>79.5</v>
      </c>
      <c r="Y240" s="227">
        <v>79.5</v>
      </c>
      <c r="Z240" s="227">
        <v>79.5</v>
      </c>
      <c r="AA240" s="227">
        <v>79.5</v>
      </c>
      <c r="AB240" s="227">
        <v>175.33</v>
      </c>
      <c r="AC240" s="227">
        <v>701.76</v>
      </c>
      <c r="AD240" s="230">
        <v>2.0292824074074076E-3</v>
      </c>
      <c r="AE240" s="230">
        <v>1051.98</v>
      </c>
      <c r="AF240" s="230">
        <v>3456.93</v>
      </c>
      <c r="AG240" s="230">
        <v>228810.57289991921</v>
      </c>
      <c r="AH240" s="230">
        <v>846740.18220565026</v>
      </c>
      <c r="AI240" s="230">
        <v>4210.5599999999995</v>
      </c>
    </row>
    <row r="241" spans="5:35" x14ac:dyDescent="0.35">
      <c r="E241" s="226">
        <v>0.21290999999999993</v>
      </c>
      <c r="F241" s="227">
        <v>3.7190794520547943</v>
      </c>
      <c r="G241" s="227">
        <v>1357.4639999999999</v>
      </c>
      <c r="H241" s="227">
        <v>0.68840000000000001</v>
      </c>
      <c r="I241" s="227">
        <v>0.90886999999999996</v>
      </c>
      <c r="J241" s="227">
        <v>0.2660664269674991</v>
      </c>
      <c r="K241" s="227">
        <v>140</v>
      </c>
      <c r="L241" s="227">
        <v>140</v>
      </c>
      <c r="M241" s="227">
        <v>140</v>
      </c>
      <c r="N241" s="227">
        <v>97.548000000000002</v>
      </c>
      <c r="O241" s="227">
        <v>112.45</v>
      </c>
      <c r="P241" s="227">
        <v>131.41999999999999</v>
      </c>
      <c r="Q241" s="227">
        <v>119.32</v>
      </c>
      <c r="R241" s="227">
        <v>131.47999999999999</v>
      </c>
      <c r="S241" s="227">
        <v>66.47999999999999</v>
      </c>
      <c r="T241" s="227">
        <v>52.189</v>
      </c>
      <c r="U241" s="227">
        <v>62.069000000000003</v>
      </c>
      <c r="V241" s="227">
        <v>61.432000000000002</v>
      </c>
      <c r="W241" s="227">
        <v>79.5</v>
      </c>
      <c r="X241" s="227">
        <v>79.5</v>
      </c>
      <c r="Y241" s="227">
        <v>79.5</v>
      </c>
      <c r="Z241" s="227">
        <v>79.5</v>
      </c>
      <c r="AA241" s="227">
        <v>79.5</v>
      </c>
      <c r="AB241" s="227">
        <v>178.47</v>
      </c>
      <c r="AC241" s="227">
        <v>698.15</v>
      </c>
      <c r="AD241" s="230">
        <v>2.0656250000000002E-3</v>
      </c>
      <c r="AE241" s="230">
        <v>1070.8200000000002</v>
      </c>
      <c r="AF241" s="230">
        <v>3439.1400000000003</v>
      </c>
      <c r="AG241" s="230">
        <v>229881.39289991921</v>
      </c>
      <c r="AH241" s="230">
        <v>850179.32220565027</v>
      </c>
      <c r="AI241" s="230">
        <v>4188.8999999999996</v>
      </c>
    </row>
    <row r="242" spans="5:35" x14ac:dyDescent="0.35">
      <c r="E242" s="226">
        <v>0.21692999999999996</v>
      </c>
      <c r="F242" s="227">
        <v>3.735517808219178</v>
      </c>
      <c r="G242" s="227">
        <v>1363.4639999999999</v>
      </c>
      <c r="H242" s="227">
        <v>0.68049999999999999</v>
      </c>
      <c r="I242" s="227">
        <v>0.91288999999999998</v>
      </c>
      <c r="J242" s="227">
        <v>0.2673306630786102</v>
      </c>
      <c r="K242" s="227">
        <v>140</v>
      </c>
      <c r="L242" s="227">
        <v>140</v>
      </c>
      <c r="M242" s="227">
        <v>140</v>
      </c>
      <c r="N242" s="227">
        <v>97.899000000000001</v>
      </c>
      <c r="O242" s="227">
        <v>113.18</v>
      </c>
      <c r="P242" s="227">
        <v>131.96</v>
      </c>
      <c r="Q242" s="227">
        <v>120.01</v>
      </c>
      <c r="R242" s="227">
        <v>132.55000000000001</v>
      </c>
      <c r="S242" s="227">
        <v>67.550000000000011</v>
      </c>
      <c r="T242" s="227">
        <v>51.222000000000001</v>
      </c>
      <c r="U242" s="227">
        <v>61.484999999999999</v>
      </c>
      <c r="V242" s="227">
        <v>60.16</v>
      </c>
      <c r="W242" s="227">
        <v>79.5</v>
      </c>
      <c r="X242" s="227">
        <v>79.5</v>
      </c>
      <c r="Y242" s="227">
        <v>79.5</v>
      </c>
      <c r="Z242" s="227">
        <v>79.5</v>
      </c>
      <c r="AA242" s="227">
        <v>79.5</v>
      </c>
      <c r="AB242" s="227">
        <v>182.05</v>
      </c>
      <c r="AC242" s="227">
        <v>694.71</v>
      </c>
      <c r="AD242" s="230">
        <v>2.1070601851851853E-3</v>
      </c>
      <c r="AE242" s="230">
        <v>1092.3</v>
      </c>
      <c r="AF242" s="230">
        <v>3422.2019999999998</v>
      </c>
      <c r="AG242" s="230">
        <v>230973.6928999192</v>
      </c>
      <c r="AH242" s="230">
        <v>853601.52420565032</v>
      </c>
      <c r="AI242" s="230">
        <v>4168.26</v>
      </c>
    </row>
    <row r="243" spans="5:35" x14ac:dyDescent="0.35">
      <c r="E243" s="226">
        <v>0.22094999999999998</v>
      </c>
      <c r="F243" s="227">
        <v>3.7519561643835613</v>
      </c>
      <c r="G243" s="227">
        <v>1369.4639999999999</v>
      </c>
      <c r="H243" s="227">
        <v>0.67159999999999997</v>
      </c>
      <c r="I243" s="227">
        <v>0.91691</v>
      </c>
      <c r="J243" s="227">
        <v>0.26862427418972129</v>
      </c>
      <c r="K243" s="227">
        <v>140</v>
      </c>
      <c r="L243" s="227">
        <v>140</v>
      </c>
      <c r="M243" s="227">
        <v>140</v>
      </c>
      <c r="N243" s="227">
        <v>98.284000000000006</v>
      </c>
      <c r="O243" s="227">
        <v>113.96</v>
      </c>
      <c r="P243" s="227">
        <v>132.51</v>
      </c>
      <c r="Q243" s="227">
        <v>120.78</v>
      </c>
      <c r="R243" s="227">
        <v>133.69</v>
      </c>
      <c r="S243" s="227">
        <v>68.69</v>
      </c>
      <c r="T243" s="227">
        <v>50.302999999999997</v>
      </c>
      <c r="U243" s="227">
        <v>60.887999999999998</v>
      </c>
      <c r="V243" s="227">
        <v>58.914999999999999</v>
      </c>
      <c r="W243" s="227">
        <v>79.5</v>
      </c>
      <c r="X243" s="227">
        <v>79.5</v>
      </c>
      <c r="Y243" s="227">
        <v>79.5</v>
      </c>
      <c r="Z243" s="227">
        <v>79.5</v>
      </c>
      <c r="AA243" s="227">
        <v>79.5</v>
      </c>
      <c r="AB243" s="227">
        <v>186.28</v>
      </c>
      <c r="AC243" s="227">
        <v>691.34</v>
      </c>
      <c r="AD243" s="230">
        <v>2.1560185185185185E-3</v>
      </c>
      <c r="AE243" s="230">
        <v>1117.6799999999998</v>
      </c>
      <c r="AF243" s="230">
        <v>3405.636</v>
      </c>
      <c r="AG243" s="230">
        <v>232091.3728999192</v>
      </c>
      <c r="AH243" s="230">
        <v>857007.16020565038</v>
      </c>
      <c r="AI243" s="230">
        <v>4148.04</v>
      </c>
    </row>
    <row r="244" spans="5:35" x14ac:dyDescent="0.35">
      <c r="E244" s="226">
        <v>0.22495999999999994</v>
      </c>
      <c r="F244" s="227">
        <v>3.768394520547945</v>
      </c>
      <c r="G244" s="227">
        <v>1375.4639999999999</v>
      </c>
      <c r="H244" s="227">
        <v>0.6613</v>
      </c>
      <c r="I244" s="227">
        <v>0.92091999999999996</v>
      </c>
      <c r="J244" s="227">
        <v>0.26995198252305463</v>
      </c>
      <c r="K244" s="227">
        <v>140</v>
      </c>
      <c r="L244" s="227">
        <v>140</v>
      </c>
      <c r="M244" s="227">
        <v>140</v>
      </c>
      <c r="N244" s="227">
        <v>98.698999999999998</v>
      </c>
      <c r="O244" s="227">
        <v>114.77</v>
      </c>
      <c r="P244" s="227">
        <v>133.04</v>
      </c>
      <c r="Q244" s="227">
        <v>121.61</v>
      </c>
      <c r="R244" s="227">
        <v>134.88999999999999</v>
      </c>
      <c r="S244" s="227">
        <v>69.889999999999986</v>
      </c>
      <c r="T244" s="227">
        <v>49.433999999999997</v>
      </c>
      <c r="U244" s="227">
        <v>60.287999999999997</v>
      </c>
      <c r="V244" s="227">
        <v>57.71</v>
      </c>
      <c r="W244" s="227">
        <v>79.5</v>
      </c>
      <c r="X244" s="227">
        <v>79.5</v>
      </c>
      <c r="Y244" s="227">
        <v>79.5</v>
      </c>
      <c r="Z244" s="227">
        <v>79.5</v>
      </c>
      <c r="AA244" s="227">
        <v>79.5</v>
      </c>
      <c r="AB244" s="227">
        <v>191.19</v>
      </c>
      <c r="AC244" s="227">
        <v>688.09</v>
      </c>
      <c r="AD244" s="230">
        <v>2.2128472222222224E-3</v>
      </c>
      <c r="AE244" s="230">
        <v>1147.1400000000001</v>
      </c>
      <c r="AF244" s="230">
        <v>3389.5920000000001</v>
      </c>
      <c r="AG244" s="230">
        <v>233238.51289991921</v>
      </c>
      <c r="AH244" s="230">
        <v>860396.75220565032</v>
      </c>
      <c r="AI244" s="230">
        <v>4128.54</v>
      </c>
    </row>
    <row r="245" spans="5:35" x14ac:dyDescent="0.35">
      <c r="E245" s="226">
        <v>0.22897999999999996</v>
      </c>
      <c r="F245" s="227">
        <v>3.7848328767123287</v>
      </c>
      <c r="G245" s="227">
        <v>1381.4639999999999</v>
      </c>
      <c r="H245" s="227">
        <v>0.65010000000000001</v>
      </c>
      <c r="I245" s="227">
        <v>0.92493999999999998</v>
      </c>
      <c r="J245" s="227">
        <v>0.27131698252305464</v>
      </c>
      <c r="K245" s="227">
        <v>140</v>
      </c>
      <c r="L245" s="227">
        <v>140</v>
      </c>
      <c r="M245" s="227">
        <v>140</v>
      </c>
      <c r="N245" s="227">
        <v>99.134</v>
      </c>
      <c r="O245" s="227">
        <v>115.6</v>
      </c>
      <c r="P245" s="227">
        <v>133.56</v>
      </c>
      <c r="Q245" s="227">
        <v>122.45</v>
      </c>
      <c r="R245" s="227">
        <v>136.09</v>
      </c>
      <c r="S245" s="227">
        <v>71.09</v>
      </c>
      <c r="T245" s="227">
        <v>48.606999999999999</v>
      </c>
      <c r="U245" s="227">
        <v>59.685000000000002</v>
      </c>
      <c r="V245" s="227">
        <v>56.548000000000002</v>
      </c>
      <c r="W245" s="227">
        <v>79.5</v>
      </c>
      <c r="X245" s="227">
        <v>79.5</v>
      </c>
      <c r="Y245" s="227">
        <v>79.5</v>
      </c>
      <c r="Z245" s="227">
        <v>79.5</v>
      </c>
      <c r="AA245" s="227">
        <v>79.5</v>
      </c>
      <c r="AB245" s="227">
        <v>196.56</v>
      </c>
      <c r="AC245" s="227">
        <v>684.93</v>
      </c>
      <c r="AD245" s="230">
        <v>2.2750000000000001E-3</v>
      </c>
      <c r="AE245" s="230">
        <v>1179.3600000000001</v>
      </c>
      <c r="AF245" s="230">
        <v>3374.04</v>
      </c>
      <c r="AG245" s="230">
        <v>234417.8728999192</v>
      </c>
      <c r="AH245" s="230">
        <v>863770.79220565036</v>
      </c>
      <c r="AI245" s="230">
        <v>4109.58</v>
      </c>
    </row>
    <row r="246" spans="5:35" x14ac:dyDescent="0.35">
      <c r="E246" s="226">
        <v>0.23299999999999998</v>
      </c>
      <c r="F246" s="227">
        <v>3.801271232876712</v>
      </c>
      <c r="G246" s="227">
        <v>1387.4639999999999</v>
      </c>
      <c r="H246" s="227">
        <v>0.63870000000000005</v>
      </c>
      <c r="I246" s="227">
        <v>0.92896000000000001</v>
      </c>
      <c r="J246" s="227">
        <v>0.27272045474527684</v>
      </c>
      <c r="K246" s="227">
        <v>140</v>
      </c>
      <c r="L246" s="227">
        <v>140</v>
      </c>
      <c r="M246" s="227">
        <v>140</v>
      </c>
      <c r="N246" s="227">
        <v>99.572999999999993</v>
      </c>
      <c r="O246" s="227">
        <v>116.41</v>
      </c>
      <c r="P246" s="227">
        <v>134.05000000000001</v>
      </c>
      <c r="Q246" s="227">
        <v>123.26</v>
      </c>
      <c r="R246" s="227">
        <v>137.24</v>
      </c>
      <c r="S246" s="227">
        <v>72.240000000000009</v>
      </c>
      <c r="T246" s="227">
        <v>47.83</v>
      </c>
      <c r="U246" s="227">
        <v>59.097999999999999</v>
      </c>
      <c r="V246" s="227">
        <v>55.447000000000003</v>
      </c>
      <c r="W246" s="227">
        <v>79.5</v>
      </c>
      <c r="X246" s="227">
        <v>79.5</v>
      </c>
      <c r="Y246" s="227">
        <v>79.5</v>
      </c>
      <c r="Z246" s="227">
        <v>79.5</v>
      </c>
      <c r="AA246" s="227">
        <v>79.5</v>
      </c>
      <c r="AB246" s="227">
        <v>202.1</v>
      </c>
      <c r="AC246" s="227">
        <v>681.93</v>
      </c>
      <c r="AD246" s="230">
        <v>2.3391203703703703E-3</v>
      </c>
      <c r="AE246" s="230">
        <v>1212.6000000000001</v>
      </c>
      <c r="AF246" s="230">
        <v>3359.25</v>
      </c>
      <c r="AG246" s="230">
        <v>235630.4728999192</v>
      </c>
      <c r="AH246" s="230">
        <v>867130.04220565036</v>
      </c>
      <c r="AI246" s="230">
        <v>4091.58</v>
      </c>
    </row>
    <row r="247" spans="5:35" x14ac:dyDescent="0.35">
      <c r="E247" s="226">
        <v>0.23702000000000001</v>
      </c>
      <c r="F247" s="227">
        <v>3.8177095890410957</v>
      </c>
      <c r="G247" s="227">
        <v>1393.4639999999999</v>
      </c>
      <c r="H247" s="227">
        <v>0.62780000000000002</v>
      </c>
      <c r="I247" s="227">
        <v>0.93298000000000003</v>
      </c>
      <c r="J247" s="227">
        <v>0.27416052418972131</v>
      </c>
      <c r="K247" s="227">
        <v>140</v>
      </c>
      <c r="L247" s="227">
        <v>140</v>
      </c>
      <c r="M247" s="227">
        <v>140</v>
      </c>
      <c r="N247" s="227">
        <v>99.998000000000005</v>
      </c>
      <c r="O247" s="227">
        <v>117.16</v>
      </c>
      <c r="P247" s="227">
        <v>134.5</v>
      </c>
      <c r="Q247" s="227">
        <v>124</v>
      </c>
      <c r="R247" s="227">
        <v>138.27000000000001</v>
      </c>
      <c r="S247" s="227">
        <v>73.27000000000001</v>
      </c>
      <c r="T247" s="227">
        <v>47.112000000000002</v>
      </c>
      <c r="U247" s="227">
        <v>58.546999999999997</v>
      </c>
      <c r="V247" s="227">
        <v>54.423999999999999</v>
      </c>
      <c r="W247" s="227">
        <v>79.5</v>
      </c>
      <c r="X247" s="227">
        <v>79.5</v>
      </c>
      <c r="Y247" s="227">
        <v>79.5</v>
      </c>
      <c r="Z247" s="227">
        <v>79.5</v>
      </c>
      <c r="AA247" s="227">
        <v>79.5</v>
      </c>
      <c r="AB247" s="227">
        <v>207.37</v>
      </c>
      <c r="AC247" s="227">
        <v>679.14</v>
      </c>
      <c r="AD247" s="230">
        <v>2.4001157407407409E-3</v>
      </c>
      <c r="AE247" s="230">
        <v>1244.22</v>
      </c>
      <c r="AF247" s="230">
        <v>3345.4979999999996</v>
      </c>
      <c r="AG247" s="230">
        <v>236874.6928999192</v>
      </c>
      <c r="AH247" s="230">
        <v>870475.54020565038</v>
      </c>
      <c r="AI247" s="230">
        <v>4074.84</v>
      </c>
    </row>
    <row r="248" spans="5:35" x14ac:dyDescent="0.35">
      <c r="E248" s="226">
        <v>0.24102999999999997</v>
      </c>
      <c r="F248" s="227">
        <v>3.8341479452054794</v>
      </c>
      <c r="G248" s="227">
        <v>1399.4639999999999</v>
      </c>
      <c r="H248" s="227">
        <v>0.61839999999999995</v>
      </c>
      <c r="I248" s="227">
        <v>0.93698999999999999</v>
      </c>
      <c r="J248" s="227">
        <v>0.27563184363416576</v>
      </c>
      <c r="K248" s="227">
        <v>140</v>
      </c>
      <c r="L248" s="227">
        <v>140</v>
      </c>
      <c r="M248" s="227">
        <v>140</v>
      </c>
      <c r="N248" s="227">
        <v>100.39</v>
      </c>
      <c r="O248" s="227">
        <v>117.8</v>
      </c>
      <c r="P248" s="227">
        <v>134.88999999999999</v>
      </c>
      <c r="Q248" s="227">
        <v>124.62</v>
      </c>
      <c r="R248" s="227">
        <v>139.13</v>
      </c>
      <c r="S248" s="227">
        <v>74.13</v>
      </c>
      <c r="T248" s="227">
        <v>46.463000000000001</v>
      </c>
      <c r="U248" s="227">
        <v>58.051000000000002</v>
      </c>
      <c r="V248" s="227">
        <v>53.494999999999997</v>
      </c>
      <c r="W248" s="227">
        <v>79.5</v>
      </c>
      <c r="X248" s="227">
        <v>79.5</v>
      </c>
      <c r="Y248" s="227">
        <v>79.5</v>
      </c>
      <c r="Z248" s="227">
        <v>79.5</v>
      </c>
      <c r="AA248" s="227">
        <v>79.5</v>
      </c>
      <c r="AB248" s="227">
        <v>211.87</v>
      </c>
      <c r="AC248" s="227">
        <v>676.61</v>
      </c>
      <c r="AD248" s="230">
        <v>2.4521990740740741E-3</v>
      </c>
      <c r="AE248" s="230">
        <v>1271.22</v>
      </c>
      <c r="AF248" s="230">
        <v>3333.0540000000001</v>
      </c>
      <c r="AG248" s="230">
        <v>238145.9128999192</v>
      </c>
      <c r="AH248" s="230">
        <v>873808.59420565038</v>
      </c>
      <c r="AI248" s="230">
        <v>4059.66</v>
      </c>
    </row>
    <row r="249" spans="5:35" x14ac:dyDescent="0.35">
      <c r="E249" s="226">
        <v>0.24504999999999999</v>
      </c>
      <c r="F249" s="227">
        <v>3.8505863013698627</v>
      </c>
      <c r="G249" s="227">
        <v>1405.4639999999999</v>
      </c>
      <c r="H249" s="227">
        <v>0.61050000000000004</v>
      </c>
      <c r="I249" s="227">
        <v>0.94101000000000001</v>
      </c>
      <c r="J249" s="227">
        <v>0.2771286491897213</v>
      </c>
      <c r="K249" s="227">
        <v>140</v>
      </c>
      <c r="L249" s="227">
        <v>140</v>
      </c>
      <c r="M249" s="227">
        <v>140</v>
      </c>
      <c r="N249" s="227">
        <v>100.76</v>
      </c>
      <c r="O249" s="227">
        <v>118.34</v>
      </c>
      <c r="P249" s="227">
        <v>135.25</v>
      </c>
      <c r="Q249" s="227">
        <v>125.13</v>
      </c>
      <c r="R249" s="227">
        <v>139.81</v>
      </c>
      <c r="S249" s="227">
        <v>74.81</v>
      </c>
      <c r="T249" s="227">
        <v>45.869</v>
      </c>
      <c r="U249" s="227">
        <v>57.600999999999999</v>
      </c>
      <c r="V249" s="227">
        <v>52.637</v>
      </c>
      <c r="W249" s="227">
        <v>79.5</v>
      </c>
      <c r="X249" s="227">
        <v>79.5</v>
      </c>
      <c r="Y249" s="227">
        <v>79.5</v>
      </c>
      <c r="Z249" s="227">
        <v>79.5</v>
      </c>
      <c r="AA249" s="227">
        <v>79.5</v>
      </c>
      <c r="AB249" s="227">
        <v>215.54</v>
      </c>
      <c r="AC249" s="227">
        <v>674.29</v>
      </c>
      <c r="AD249" s="230">
        <v>2.4946759259259258E-3</v>
      </c>
      <c r="AE249" s="230">
        <v>1293.2399999999998</v>
      </c>
      <c r="AF249" s="230">
        <v>3321.6419999999998</v>
      </c>
      <c r="AG249" s="230">
        <v>239439.15289991919</v>
      </c>
      <c r="AH249" s="230">
        <v>877130.23620565038</v>
      </c>
      <c r="AI249" s="230">
        <v>4045.74</v>
      </c>
    </row>
    <row r="250" spans="5:35" x14ac:dyDescent="0.35">
      <c r="E250" s="226">
        <v>0.24907000000000001</v>
      </c>
      <c r="F250" s="227">
        <v>3.8670246575342464</v>
      </c>
      <c r="G250" s="227">
        <v>1411.4639999999999</v>
      </c>
      <c r="H250" s="227">
        <v>0.60440000000000005</v>
      </c>
      <c r="I250" s="227">
        <v>0.94503000000000004</v>
      </c>
      <c r="J250" s="227">
        <v>0.2786431630786102</v>
      </c>
      <c r="K250" s="227">
        <v>140</v>
      </c>
      <c r="L250" s="227">
        <v>140</v>
      </c>
      <c r="M250" s="227">
        <v>140</v>
      </c>
      <c r="N250" s="227">
        <v>101.08</v>
      </c>
      <c r="O250" s="227">
        <v>118.72</v>
      </c>
      <c r="P250" s="227">
        <v>135.56</v>
      </c>
      <c r="Q250" s="227">
        <v>125.52</v>
      </c>
      <c r="R250" s="227">
        <v>140</v>
      </c>
      <c r="S250" s="227">
        <v>75</v>
      </c>
      <c r="T250" s="227">
        <v>45.341000000000001</v>
      </c>
      <c r="U250" s="227">
        <v>57.215000000000003</v>
      </c>
      <c r="V250" s="227">
        <v>51.872999999999998</v>
      </c>
      <c r="W250" s="227">
        <v>79.5</v>
      </c>
      <c r="X250" s="227">
        <v>79.5</v>
      </c>
      <c r="Y250" s="227">
        <v>79.5</v>
      </c>
      <c r="Z250" s="227">
        <v>79.5</v>
      </c>
      <c r="AA250" s="227">
        <v>78.978999999999999</v>
      </c>
      <c r="AB250" s="227">
        <v>218.09</v>
      </c>
      <c r="AC250" s="227">
        <v>671.62</v>
      </c>
      <c r="AD250" s="230">
        <v>2.524189814814815E-3</v>
      </c>
      <c r="AE250" s="230">
        <v>1308.5400000000002</v>
      </c>
      <c r="AF250" s="230">
        <v>3308.4480000000003</v>
      </c>
      <c r="AG250" s="230">
        <v>240747.6928999192</v>
      </c>
      <c r="AH250" s="230">
        <v>880438.68420565035</v>
      </c>
      <c r="AI250" s="230">
        <v>4029.7200000000003</v>
      </c>
    </row>
    <row r="251" spans="5:35" x14ac:dyDescent="0.35">
      <c r="E251" s="226">
        <v>0.25307999999999997</v>
      </c>
      <c r="F251" s="227">
        <v>3.8834630136986301</v>
      </c>
      <c r="G251" s="227">
        <v>1417.4639999999999</v>
      </c>
      <c r="H251" s="227">
        <v>0.5998</v>
      </c>
      <c r="I251" s="227">
        <v>0.94903999999999999</v>
      </c>
      <c r="J251" s="227">
        <v>0.28016941307861015</v>
      </c>
      <c r="K251" s="227">
        <v>140</v>
      </c>
      <c r="L251" s="227">
        <v>140</v>
      </c>
      <c r="M251" s="227">
        <v>140</v>
      </c>
      <c r="N251" s="227">
        <v>101.38</v>
      </c>
      <c r="O251" s="227">
        <v>119</v>
      </c>
      <c r="P251" s="227">
        <v>135.82</v>
      </c>
      <c r="Q251" s="227">
        <v>125.82</v>
      </c>
      <c r="R251" s="227">
        <v>140</v>
      </c>
      <c r="S251" s="227">
        <v>75</v>
      </c>
      <c r="T251" s="227">
        <v>44.872</v>
      </c>
      <c r="U251" s="227">
        <v>56.881</v>
      </c>
      <c r="V251" s="227">
        <v>51.189</v>
      </c>
      <c r="W251" s="227">
        <v>79.5</v>
      </c>
      <c r="X251" s="227">
        <v>79.5</v>
      </c>
      <c r="Y251" s="227">
        <v>79.5</v>
      </c>
      <c r="Z251" s="227">
        <v>79.5</v>
      </c>
      <c r="AA251" s="227">
        <v>78.36</v>
      </c>
      <c r="AB251" s="227">
        <v>219.78</v>
      </c>
      <c r="AC251" s="227">
        <v>669.05</v>
      </c>
      <c r="AD251" s="230">
        <v>2.54375E-3</v>
      </c>
      <c r="AE251" s="230">
        <v>1318.68</v>
      </c>
      <c r="AF251" s="230">
        <v>3295.8119999999999</v>
      </c>
      <c r="AG251" s="230">
        <v>242066.3728999192</v>
      </c>
      <c r="AH251" s="230">
        <v>883734.49620565039</v>
      </c>
      <c r="AI251" s="230">
        <v>4014.2999999999997</v>
      </c>
    </row>
    <row r="252" spans="5:35" x14ac:dyDescent="0.35">
      <c r="E252" s="226">
        <v>0.2571</v>
      </c>
      <c r="F252" s="227">
        <v>3.8999013698630134</v>
      </c>
      <c r="G252" s="227">
        <v>1423.4639999999999</v>
      </c>
      <c r="H252" s="227">
        <v>0.59640000000000004</v>
      </c>
      <c r="I252" s="227">
        <v>0.95306000000000002</v>
      </c>
      <c r="J252" s="227">
        <v>0.28170357974527682</v>
      </c>
      <c r="K252" s="227">
        <v>140</v>
      </c>
      <c r="L252" s="227">
        <v>140</v>
      </c>
      <c r="M252" s="227">
        <v>140</v>
      </c>
      <c r="N252" s="227">
        <v>101.65</v>
      </c>
      <c r="O252" s="227">
        <v>119.23</v>
      </c>
      <c r="P252" s="227">
        <v>136.06</v>
      </c>
      <c r="Q252" s="227">
        <v>126.07</v>
      </c>
      <c r="R252" s="227">
        <v>140</v>
      </c>
      <c r="S252" s="227">
        <v>75</v>
      </c>
      <c r="T252" s="227">
        <v>44.44</v>
      </c>
      <c r="U252" s="227">
        <v>56.576999999999998</v>
      </c>
      <c r="V252" s="227">
        <v>50.552</v>
      </c>
      <c r="W252" s="227">
        <v>79.5</v>
      </c>
      <c r="X252" s="227">
        <v>79.5</v>
      </c>
      <c r="Y252" s="227">
        <v>79.5</v>
      </c>
      <c r="Z252" s="227">
        <v>79.5</v>
      </c>
      <c r="AA252" s="227">
        <v>77.893000000000001</v>
      </c>
      <c r="AB252" s="227">
        <v>220.92</v>
      </c>
      <c r="AC252" s="227">
        <v>666.81</v>
      </c>
      <c r="AD252" s="230">
        <v>2.5569444444444442E-3</v>
      </c>
      <c r="AE252" s="230">
        <v>1325.5199999999998</v>
      </c>
      <c r="AF252" s="230">
        <v>3284.7719999999999</v>
      </c>
      <c r="AG252" s="230">
        <v>243391.89289991918</v>
      </c>
      <c r="AH252" s="230">
        <v>887019.26820565038</v>
      </c>
      <c r="AI252" s="230">
        <v>4000.8599999999997</v>
      </c>
    </row>
    <row r="253" spans="5:35" x14ac:dyDescent="0.35">
      <c r="E253" s="226">
        <v>0.26112000000000002</v>
      </c>
      <c r="F253" s="227">
        <v>3.9163397260273971</v>
      </c>
      <c r="G253" s="227">
        <v>1429.4639999999999</v>
      </c>
      <c r="H253" s="227">
        <v>0.59389999999999998</v>
      </c>
      <c r="I253" s="227">
        <v>0.95708000000000004</v>
      </c>
      <c r="J253" s="227">
        <v>0.28324281585638794</v>
      </c>
      <c r="K253" s="227">
        <v>140</v>
      </c>
      <c r="L253" s="227">
        <v>140</v>
      </c>
      <c r="M253" s="227">
        <v>140</v>
      </c>
      <c r="N253" s="227">
        <v>101.91</v>
      </c>
      <c r="O253" s="227">
        <v>119.42</v>
      </c>
      <c r="P253" s="227">
        <v>136.24</v>
      </c>
      <c r="Q253" s="227">
        <v>126.27</v>
      </c>
      <c r="R253" s="227">
        <v>140</v>
      </c>
      <c r="S253" s="227">
        <v>75</v>
      </c>
      <c r="T253" s="227">
        <v>44.064</v>
      </c>
      <c r="U253" s="227">
        <v>56.301000000000002</v>
      </c>
      <c r="V253" s="227">
        <v>50.012999999999998</v>
      </c>
      <c r="W253" s="227">
        <v>79.5</v>
      </c>
      <c r="X253" s="227">
        <v>79.5</v>
      </c>
      <c r="Y253" s="227">
        <v>79.5</v>
      </c>
      <c r="Z253" s="227">
        <v>79.5</v>
      </c>
      <c r="AA253" s="227">
        <v>77.525000000000006</v>
      </c>
      <c r="AB253" s="227">
        <v>221.65</v>
      </c>
      <c r="AC253" s="227">
        <v>664.91</v>
      </c>
      <c r="AD253" s="230">
        <v>2.5653935185185185E-3</v>
      </c>
      <c r="AE253" s="230">
        <v>1329.8999999999999</v>
      </c>
      <c r="AF253" s="230">
        <v>3275.4180000000001</v>
      </c>
      <c r="AG253" s="230">
        <v>244721.79289991918</v>
      </c>
      <c r="AH253" s="230">
        <v>890294.68620565033</v>
      </c>
      <c r="AI253" s="230">
        <v>3989.46</v>
      </c>
    </row>
    <row r="254" spans="5:35" x14ac:dyDescent="0.35">
      <c r="E254" s="226">
        <v>0.26513999999999993</v>
      </c>
      <c r="F254" s="227">
        <v>3.9327780821917808</v>
      </c>
      <c r="G254" s="227">
        <v>1435.4639999999999</v>
      </c>
      <c r="H254" s="227">
        <v>0.59199999999999997</v>
      </c>
      <c r="I254" s="227">
        <v>0.96109999999999995</v>
      </c>
      <c r="J254" s="227">
        <v>0.28478573252305461</v>
      </c>
      <c r="K254" s="227">
        <v>140</v>
      </c>
      <c r="L254" s="227">
        <v>140</v>
      </c>
      <c r="M254" s="227">
        <v>140</v>
      </c>
      <c r="N254" s="227">
        <v>102.15</v>
      </c>
      <c r="O254" s="227">
        <v>119.6</v>
      </c>
      <c r="P254" s="227">
        <v>136.43</v>
      </c>
      <c r="Q254" s="227">
        <v>126.45</v>
      </c>
      <c r="R254" s="227">
        <v>140</v>
      </c>
      <c r="S254" s="227">
        <v>75</v>
      </c>
      <c r="T254" s="227">
        <v>43.688000000000002</v>
      </c>
      <c r="U254" s="227">
        <v>56.029000000000003</v>
      </c>
      <c r="V254" s="227">
        <v>49.48</v>
      </c>
      <c r="W254" s="227">
        <v>79.5</v>
      </c>
      <c r="X254" s="227">
        <v>79.5</v>
      </c>
      <c r="Y254" s="227">
        <v>79.5</v>
      </c>
      <c r="Z254" s="227">
        <v>79.5</v>
      </c>
      <c r="AA254" s="227">
        <v>77.227999999999994</v>
      </c>
      <c r="AB254" s="227">
        <v>222.18</v>
      </c>
      <c r="AC254" s="227">
        <v>663.11</v>
      </c>
      <c r="AD254" s="230">
        <v>2.571527777777778E-3</v>
      </c>
      <c r="AE254" s="230">
        <v>1333.0800000000002</v>
      </c>
      <c r="AF254" s="230">
        <v>3266.5499999999997</v>
      </c>
      <c r="AG254" s="230">
        <v>246054.87289991917</v>
      </c>
      <c r="AH254" s="230">
        <v>893561.23620565038</v>
      </c>
      <c r="AI254" s="230">
        <v>3978.66</v>
      </c>
    </row>
    <row r="255" spans="5:35" x14ac:dyDescent="0.35">
      <c r="E255" s="226">
        <v>0.26915</v>
      </c>
      <c r="F255" s="227">
        <v>3.9492164383561641</v>
      </c>
      <c r="G255" s="227">
        <v>1441.4639999999999</v>
      </c>
      <c r="H255" s="227">
        <v>0.59050000000000002</v>
      </c>
      <c r="I255" s="227">
        <v>0.96511000000000002</v>
      </c>
      <c r="J255" s="227">
        <v>0.28633066307861016</v>
      </c>
      <c r="K255" s="227">
        <v>140</v>
      </c>
      <c r="L255" s="227">
        <v>140</v>
      </c>
      <c r="M255" s="227">
        <v>140</v>
      </c>
      <c r="N255" s="227">
        <v>102.38</v>
      </c>
      <c r="O255" s="227">
        <v>119.74</v>
      </c>
      <c r="P255" s="227">
        <v>136.57</v>
      </c>
      <c r="Q255" s="227">
        <v>126.59</v>
      </c>
      <c r="R255" s="227">
        <v>140</v>
      </c>
      <c r="S255" s="227">
        <v>75</v>
      </c>
      <c r="T255" s="227">
        <v>43.366</v>
      </c>
      <c r="U255" s="227">
        <v>55.790999999999997</v>
      </c>
      <c r="V255" s="227">
        <v>49.021000000000001</v>
      </c>
      <c r="W255" s="227">
        <v>79.5</v>
      </c>
      <c r="X255" s="227">
        <v>79.5</v>
      </c>
      <c r="Y255" s="227">
        <v>79.5</v>
      </c>
      <c r="Z255" s="227">
        <v>79.5</v>
      </c>
      <c r="AA255" s="227">
        <v>77.012</v>
      </c>
      <c r="AB255" s="227">
        <v>222.47</v>
      </c>
      <c r="AC255" s="227">
        <v>661.61</v>
      </c>
      <c r="AD255" s="230">
        <v>2.5748842592592594E-3</v>
      </c>
      <c r="AE255" s="230">
        <v>1334.8200000000002</v>
      </c>
      <c r="AF255" s="230">
        <v>3259.1400000000003</v>
      </c>
      <c r="AG255" s="230">
        <v>247389.69289991917</v>
      </c>
      <c r="AH255" s="230">
        <v>896820.37620565039</v>
      </c>
      <c r="AI255" s="230">
        <v>3969.66</v>
      </c>
    </row>
    <row r="256" spans="5:35" x14ac:dyDescent="0.35">
      <c r="E256" s="226">
        <v>0.27317000000000002</v>
      </c>
      <c r="F256" s="227">
        <v>3.9656547945205478</v>
      </c>
      <c r="G256" s="227">
        <v>1447.4639999999999</v>
      </c>
      <c r="H256" s="227">
        <v>0.58940000000000003</v>
      </c>
      <c r="I256" s="227">
        <v>0.96913000000000005</v>
      </c>
      <c r="J256" s="227">
        <v>0.28787649641194352</v>
      </c>
      <c r="K256" s="227">
        <v>140</v>
      </c>
      <c r="L256" s="227">
        <v>140</v>
      </c>
      <c r="M256" s="227">
        <v>140</v>
      </c>
      <c r="N256" s="227">
        <v>102.59</v>
      </c>
      <c r="O256" s="227">
        <v>119.86</v>
      </c>
      <c r="P256" s="227">
        <v>136.68</v>
      </c>
      <c r="Q256" s="227">
        <v>126.71</v>
      </c>
      <c r="R256" s="227">
        <v>140</v>
      </c>
      <c r="S256" s="227">
        <v>75</v>
      </c>
      <c r="T256" s="227">
        <v>43.076999999999998</v>
      </c>
      <c r="U256" s="227">
        <v>55.570999999999998</v>
      </c>
      <c r="V256" s="227">
        <v>48.615000000000002</v>
      </c>
      <c r="W256" s="227">
        <v>79.5</v>
      </c>
      <c r="X256" s="227">
        <v>79.5</v>
      </c>
      <c r="Y256" s="227">
        <v>79.5</v>
      </c>
      <c r="Z256" s="227">
        <v>79.5</v>
      </c>
      <c r="AA256" s="227">
        <v>76.843999999999994</v>
      </c>
      <c r="AB256" s="227">
        <v>222.6</v>
      </c>
      <c r="AC256" s="227">
        <v>660.29</v>
      </c>
      <c r="AD256" s="230">
        <v>2.5763888888888889E-3</v>
      </c>
      <c r="AE256" s="230">
        <v>1335.6000000000001</v>
      </c>
      <c r="AF256" s="230">
        <v>3252.6419999999998</v>
      </c>
      <c r="AG256" s="230">
        <v>248725.29289991918</v>
      </c>
      <c r="AH256" s="230">
        <v>900073.01820565038</v>
      </c>
      <c r="AI256" s="230">
        <v>3961.74</v>
      </c>
    </row>
    <row r="257" spans="5:35" x14ac:dyDescent="0.35">
      <c r="E257" s="226">
        <v>0.27718999999999994</v>
      </c>
      <c r="F257" s="227">
        <v>3.9820931506849315</v>
      </c>
      <c r="G257" s="227">
        <v>1453.4639999999999</v>
      </c>
      <c r="H257" s="227">
        <v>0.58860000000000001</v>
      </c>
      <c r="I257" s="227">
        <v>0.97314999999999996</v>
      </c>
      <c r="J257" s="227">
        <v>0.28942253807861018</v>
      </c>
      <c r="K257" s="227">
        <v>140</v>
      </c>
      <c r="L257" s="227">
        <v>140</v>
      </c>
      <c r="M257" s="227">
        <v>140</v>
      </c>
      <c r="N257" s="227">
        <v>102.79</v>
      </c>
      <c r="O257" s="227">
        <v>119.97</v>
      </c>
      <c r="P257" s="227">
        <v>136.79</v>
      </c>
      <c r="Q257" s="227">
        <v>126.82</v>
      </c>
      <c r="R257" s="227">
        <v>140</v>
      </c>
      <c r="S257" s="227">
        <v>75</v>
      </c>
      <c r="T257" s="227">
        <v>42.8</v>
      </c>
      <c r="U257" s="227">
        <v>55.357999999999997</v>
      </c>
      <c r="V257" s="227">
        <v>48.241999999999997</v>
      </c>
      <c r="W257" s="227">
        <v>79.5</v>
      </c>
      <c r="X257" s="227">
        <v>79.5</v>
      </c>
      <c r="Y257" s="227">
        <v>79.5</v>
      </c>
      <c r="Z257" s="227">
        <v>79.5</v>
      </c>
      <c r="AA257" s="227">
        <v>76.712000000000003</v>
      </c>
      <c r="AB257" s="227">
        <v>222.63</v>
      </c>
      <c r="AC257" s="227">
        <v>659.07</v>
      </c>
      <c r="AD257" s="230">
        <v>2.5767361111111112E-3</v>
      </c>
      <c r="AE257" s="230">
        <v>1335.78</v>
      </c>
      <c r="AF257" s="230">
        <v>3246.6719999999996</v>
      </c>
      <c r="AG257" s="230">
        <v>250061.07289991918</v>
      </c>
      <c r="AH257" s="230">
        <v>903319.6902056504</v>
      </c>
      <c r="AI257" s="230">
        <v>3954.42</v>
      </c>
    </row>
    <row r="258" spans="5:35" x14ac:dyDescent="0.35">
      <c r="E258" s="226">
        <v>0.28120999999999996</v>
      </c>
      <c r="F258" s="227">
        <v>3.9985315068493148</v>
      </c>
      <c r="G258" s="227">
        <v>1459.4639999999999</v>
      </c>
      <c r="H258" s="227">
        <v>0.58809999999999996</v>
      </c>
      <c r="I258" s="227">
        <v>0.97716999999999998</v>
      </c>
      <c r="J258" s="227">
        <v>0.29096795474527681</v>
      </c>
      <c r="K258" s="227">
        <v>140</v>
      </c>
      <c r="L258" s="227">
        <v>140</v>
      </c>
      <c r="M258" s="227">
        <v>140</v>
      </c>
      <c r="N258" s="227">
        <v>102.97</v>
      </c>
      <c r="O258" s="227">
        <v>120.06</v>
      </c>
      <c r="P258" s="227">
        <v>136.87</v>
      </c>
      <c r="Q258" s="227">
        <v>126.91</v>
      </c>
      <c r="R258" s="227">
        <v>140</v>
      </c>
      <c r="S258" s="227">
        <v>75</v>
      </c>
      <c r="T258" s="227">
        <v>42.554000000000002</v>
      </c>
      <c r="U258" s="227">
        <v>55.161999999999999</v>
      </c>
      <c r="V258" s="227">
        <v>47.914000000000001</v>
      </c>
      <c r="W258" s="227">
        <v>79.5</v>
      </c>
      <c r="X258" s="227">
        <v>79.5</v>
      </c>
      <c r="Y258" s="227">
        <v>79.5</v>
      </c>
      <c r="Z258" s="227">
        <v>79.5</v>
      </c>
      <c r="AA258" s="227">
        <v>76.611999999999995</v>
      </c>
      <c r="AB258" s="227">
        <v>222.54</v>
      </c>
      <c r="AC258" s="227">
        <v>658.01</v>
      </c>
      <c r="AD258" s="230">
        <v>2.5756944444444443E-3</v>
      </c>
      <c r="AE258" s="230">
        <v>1335.2399999999998</v>
      </c>
      <c r="AF258" s="230">
        <v>3241.4519999999998</v>
      </c>
      <c r="AG258" s="230">
        <v>251396.31289991917</v>
      </c>
      <c r="AH258" s="230">
        <v>906561.14220565045</v>
      </c>
      <c r="AI258" s="230">
        <v>3948.06</v>
      </c>
    </row>
    <row r="259" spans="5:35" x14ac:dyDescent="0.35">
      <c r="E259" s="226">
        <v>0.28522000000000003</v>
      </c>
      <c r="F259" s="227">
        <v>4.0149698630136985</v>
      </c>
      <c r="G259" s="227">
        <v>1465.4639999999999</v>
      </c>
      <c r="H259" s="227">
        <v>0.58779999999999999</v>
      </c>
      <c r="I259" s="227">
        <v>0.98118000000000005</v>
      </c>
      <c r="J259" s="227">
        <v>0.29251226030083238</v>
      </c>
      <c r="K259" s="227">
        <v>140</v>
      </c>
      <c r="L259" s="227">
        <v>140</v>
      </c>
      <c r="M259" s="227">
        <v>140</v>
      </c>
      <c r="N259" s="227">
        <v>103.15</v>
      </c>
      <c r="O259" s="227">
        <v>120.15</v>
      </c>
      <c r="P259" s="227">
        <v>136.93</v>
      </c>
      <c r="Q259" s="227">
        <v>126.99</v>
      </c>
      <c r="R259" s="227">
        <v>140</v>
      </c>
      <c r="S259" s="227">
        <v>75</v>
      </c>
      <c r="T259" s="227">
        <v>42.320999999999998</v>
      </c>
      <c r="U259" s="227">
        <v>54.978000000000002</v>
      </c>
      <c r="V259" s="227">
        <v>47.61</v>
      </c>
      <c r="W259" s="227">
        <v>79.5</v>
      </c>
      <c r="X259" s="227">
        <v>79.5</v>
      </c>
      <c r="Y259" s="227">
        <v>79.5</v>
      </c>
      <c r="Z259" s="227">
        <v>79.5</v>
      </c>
      <c r="AA259" s="227">
        <v>76.536000000000001</v>
      </c>
      <c r="AB259" s="227">
        <v>222.38</v>
      </c>
      <c r="AC259" s="227">
        <v>657.04</v>
      </c>
      <c r="AD259" s="230">
        <v>2.5738425925925924E-3</v>
      </c>
      <c r="AE259" s="230">
        <v>1334.2799999999997</v>
      </c>
      <c r="AF259" s="230">
        <v>3236.6699999999996</v>
      </c>
      <c r="AG259" s="230">
        <v>252730.59289991917</v>
      </c>
      <c r="AH259" s="230">
        <v>909797.81220565049</v>
      </c>
      <c r="AI259" s="230">
        <v>3942.24</v>
      </c>
    </row>
    <row r="260" spans="5:35" x14ac:dyDescent="0.35">
      <c r="E260" s="226">
        <v>0.28923999999999994</v>
      </c>
      <c r="F260" s="227">
        <v>4.0314082191780818</v>
      </c>
      <c r="G260" s="227">
        <v>1471.4639999999999</v>
      </c>
      <c r="H260" s="227">
        <v>0.5877</v>
      </c>
      <c r="I260" s="227">
        <v>0.98519999999999996</v>
      </c>
      <c r="J260" s="227">
        <v>0.29405489918972127</v>
      </c>
      <c r="K260" s="227">
        <v>140</v>
      </c>
      <c r="L260" s="227">
        <v>140</v>
      </c>
      <c r="M260" s="227">
        <v>140</v>
      </c>
      <c r="N260" s="227">
        <v>103.32</v>
      </c>
      <c r="O260" s="227">
        <v>120.22</v>
      </c>
      <c r="P260" s="227">
        <v>136.97999999999999</v>
      </c>
      <c r="Q260" s="227">
        <v>127.06</v>
      </c>
      <c r="R260" s="227">
        <v>140</v>
      </c>
      <c r="S260" s="227">
        <v>75</v>
      </c>
      <c r="T260" s="227">
        <v>42.112000000000002</v>
      </c>
      <c r="U260" s="227">
        <v>54.808</v>
      </c>
      <c r="V260" s="227">
        <v>47.344999999999999</v>
      </c>
      <c r="W260" s="227">
        <v>79.5</v>
      </c>
      <c r="X260" s="227">
        <v>79.5</v>
      </c>
      <c r="Y260" s="227">
        <v>79.5</v>
      </c>
      <c r="Z260" s="227">
        <v>79.5</v>
      </c>
      <c r="AA260" s="227">
        <v>76.484999999999999</v>
      </c>
      <c r="AB260" s="227">
        <v>222.14</v>
      </c>
      <c r="AC260" s="227">
        <v>656.2</v>
      </c>
      <c r="AD260" s="230">
        <v>2.5710648148148147E-3</v>
      </c>
      <c r="AE260" s="230">
        <v>1332.84</v>
      </c>
      <c r="AF260" s="230">
        <v>3232.5</v>
      </c>
      <c r="AG260" s="230">
        <v>254063.43289991916</v>
      </c>
      <c r="AH260" s="230">
        <v>913030.31220565049</v>
      </c>
      <c r="AI260" s="230">
        <v>3937.2000000000003</v>
      </c>
    </row>
    <row r="261" spans="5:35" x14ac:dyDescent="0.35">
      <c r="E261" s="226">
        <v>0.29325999999999997</v>
      </c>
      <c r="F261" s="227">
        <v>4.0478465753424659</v>
      </c>
      <c r="G261" s="227">
        <v>1477.4639999999999</v>
      </c>
      <c r="H261" s="227">
        <v>0.58789999999999998</v>
      </c>
      <c r="I261" s="227">
        <v>0.98921999999999999</v>
      </c>
      <c r="J261" s="227">
        <v>0.2955953853008324</v>
      </c>
      <c r="K261" s="227">
        <v>140</v>
      </c>
      <c r="L261" s="227">
        <v>140</v>
      </c>
      <c r="M261" s="227">
        <v>140</v>
      </c>
      <c r="N261" s="227">
        <v>103.48</v>
      </c>
      <c r="O261" s="227">
        <v>120.28</v>
      </c>
      <c r="P261" s="227">
        <v>137.01</v>
      </c>
      <c r="Q261" s="227">
        <v>127.12</v>
      </c>
      <c r="R261" s="227">
        <v>140</v>
      </c>
      <c r="S261" s="227">
        <v>75</v>
      </c>
      <c r="T261" s="227">
        <v>41.917000000000002</v>
      </c>
      <c r="U261" s="227">
        <v>54.65</v>
      </c>
      <c r="V261" s="227">
        <v>47.106000000000002</v>
      </c>
      <c r="W261" s="227">
        <v>79.5</v>
      </c>
      <c r="X261" s="227">
        <v>79.5</v>
      </c>
      <c r="Y261" s="227">
        <v>79.5</v>
      </c>
      <c r="Z261" s="227">
        <v>79.5</v>
      </c>
      <c r="AA261" s="227">
        <v>76.454999999999998</v>
      </c>
      <c r="AB261" s="227">
        <v>221.83</v>
      </c>
      <c r="AC261" s="227">
        <v>655.44</v>
      </c>
      <c r="AD261" s="230">
        <v>2.567476851851852E-3</v>
      </c>
      <c r="AE261" s="230">
        <v>1330.98</v>
      </c>
      <c r="AF261" s="230">
        <v>3228.768</v>
      </c>
      <c r="AG261" s="230">
        <v>255394.41289991917</v>
      </c>
      <c r="AH261" s="230">
        <v>916259.08020565053</v>
      </c>
      <c r="AI261" s="230">
        <v>3932.6400000000003</v>
      </c>
    </row>
    <row r="262" spans="5:35" x14ac:dyDescent="0.35">
      <c r="E262" s="226">
        <v>0.29726999999999992</v>
      </c>
      <c r="F262" s="227">
        <v>4.0642849315068492</v>
      </c>
      <c r="G262" s="227">
        <v>1483.4639999999999</v>
      </c>
      <c r="H262" s="227">
        <v>0.58830000000000005</v>
      </c>
      <c r="I262" s="227">
        <v>0.99322999999999995</v>
      </c>
      <c r="J262" s="227">
        <v>0.29713274641194348</v>
      </c>
      <c r="K262" s="227">
        <v>140</v>
      </c>
      <c r="L262" s="227">
        <v>140</v>
      </c>
      <c r="M262" s="227">
        <v>140</v>
      </c>
      <c r="N262" s="227">
        <v>103.61</v>
      </c>
      <c r="O262" s="227">
        <v>120.32</v>
      </c>
      <c r="P262" s="227">
        <v>137.02000000000001</v>
      </c>
      <c r="Q262" s="227">
        <v>127.16</v>
      </c>
      <c r="R262" s="227">
        <v>140</v>
      </c>
      <c r="S262" s="227">
        <v>75</v>
      </c>
      <c r="T262" s="227">
        <v>41.753999999999998</v>
      </c>
      <c r="U262" s="227">
        <v>54.517000000000003</v>
      </c>
      <c r="V262" s="227">
        <v>46.915999999999997</v>
      </c>
      <c r="W262" s="227">
        <v>79.5</v>
      </c>
      <c r="X262" s="227">
        <v>79.5</v>
      </c>
      <c r="Y262" s="227">
        <v>79.5</v>
      </c>
      <c r="Z262" s="227">
        <v>79.5</v>
      </c>
      <c r="AA262" s="227">
        <v>76.459999999999994</v>
      </c>
      <c r="AB262" s="227">
        <v>221.38</v>
      </c>
      <c r="AC262" s="227">
        <v>654.85</v>
      </c>
      <c r="AD262" s="230">
        <v>2.5622685185185184E-3</v>
      </c>
      <c r="AE262" s="230">
        <v>1328.28</v>
      </c>
      <c r="AF262" s="230">
        <v>3225.8820000000005</v>
      </c>
      <c r="AG262" s="230">
        <v>256722.69289991917</v>
      </c>
      <c r="AH262" s="230">
        <v>919484.96220565052</v>
      </c>
      <c r="AI262" s="230">
        <v>3929.1000000000004</v>
      </c>
    </row>
    <row r="263" spans="5:35" x14ac:dyDescent="0.35">
      <c r="E263" s="226">
        <v>0.30128999999999995</v>
      </c>
      <c r="F263" s="227">
        <v>4.0807232876712325</v>
      </c>
      <c r="G263" s="227">
        <v>1489.4639999999999</v>
      </c>
      <c r="H263" s="227">
        <v>0.58889999999999998</v>
      </c>
      <c r="I263" s="227">
        <v>0.99724999999999997</v>
      </c>
      <c r="J263" s="227">
        <v>0.29866656585638796</v>
      </c>
      <c r="K263" s="227">
        <v>140</v>
      </c>
      <c r="L263" s="227">
        <v>140</v>
      </c>
      <c r="M263" s="227">
        <v>140</v>
      </c>
      <c r="N263" s="227">
        <v>103.74</v>
      </c>
      <c r="O263" s="227">
        <v>120.36</v>
      </c>
      <c r="P263" s="227">
        <v>137.02000000000001</v>
      </c>
      <c r="Q263" s="227">
        <v>127.2</v>
      </c>
      <c r="R263" s="227">
        <v>140</v>
      </c>
      <c r="S263" s="227">
        <v>75</v>
      </c>
      <c r="T263" s="227">
        <v>41.609000000000002</v>
      </c>
      <c r="U263" s="227">
        <v>54.396999999999998</v>
      </c>
      <c r="V263" s="227">
        <v>46.744</v>
      </c>
      <c r="W263" s="227">
        <v>79.5</v>
      </c>
      <c r="X263" s="227">
        <v>79.5</v>
      </c>
      <c r="Y263" s="227">
        <v>79.5</v>
      </c>
      <c r="Z263" s="227">
        <v>79.5</v>
      </c>
      <c r="AA263" s="227">
        <v>76.466999999999999</v>
      </c>
      <c r="AB263" s="227">
        <v>220.87</v>
      </c>
      <c r="AC263" s="227">
        <v>654.33000000000004</v>
      </c>
      <c r="AD263" s="230">
        <v>2.556365740740741E-3</v>
      </c>
      <c r="AE263" s="230">
        <v>1325.22</v>
      </c>
      <c r="AF263" s="230">
        <v>3223.3019999999997</v>
      </c>
      <c r="AG263" s="230">
        <v>258047.91289991917</v>
      </c>
      <c r="AH263" s="230">
        <v>922708.26420565054</v>
      </c>
      <c r="AI263" s="230">
        <v>3925.9800000000005</v>
      </c>
    </row>
    <row r="264" spans="5:35" x14ac:dyDescent="0.35">
      <c r="E264" s="226">
        <v>0.30534000000000006</v>
      </c>
      <c r="F264" s="227">
        <v>4.0971616438356167</v>
      </c>
      <c r="G264" s="227">
        <v>1495.4639999999999</v>
      </c>
      <c r="H264" s="227">
        <v>0.58979999999999999</v>
      </c>
      <c r="I264" s="227">
        <v>1.0013000000000001</v>
      </c>
      <c r="J264" s="227">
        <v>0.30019649641194346</v>
      </c>
      <c r="K264" s="227">
        <v>140</v>
      </c>
      <c r="L264" s="227">
        <v>140</v>
      </c>
      <c r="M264" s="227">
        <v>140</v>
      </c>
      <c r="N264" s="227">
        <v>103.86</v>
      </c>
      <c r="O264" s="227">
        <v>120.4</v>
      </c>
      <c r="P264" s="227">
        <v>137.01</v>
      </c>
      <c r="Q264" s="227">
        <v>127.23</v>
      </c>
      <c r="R264" s="227">
        <v>140</v>
      </c>
      <c r="S264" s="227">
        <v>75</v>
      </c>
      <c r="T264" s="227">
        <v>41.456000000000003</v>
      </c>
      <c r="U264" s="227">
        <v>54.277000000000001</v>
      </c>
      <c r="V264" s="227">
        <v>46.582999999999998</v>
      </c>
      <c r="W264" s="227">
        <v>79.5</v>
      </c>
      <c r="X264" s="227">
        <v>79.5</v>
      </c>
      <c r="Y264" s="227">
        <v>79.5</v>
      </c>
      <c r="Z264" s="227">
        <v>79.5</v>
      </c>
      <c r="AA264" s="227">
        <v>76.489000000000004</v>
      </c>
      <c r="AB264" s="227">
        <v>220.31</v>
      </c>
      <c r="AC264" s="227">
        <v>653.83000000000004</v>
      </c>
      <c r="AD264" s="230">
        <v>2.5498842592592591E-3</v>
      </c>
      <c r="AE264" s="230">
        <v>1321.86</v>
      </c>
      <c r="AF264" s="230">
        <v>3220.8300000000004</v>
      </c>
      <c r="AG264" s="230">
        <v>259369.77289991916</v>
      </c>
      <c r="AH264" s="230">
        <v>925929.0942056505</v>
      </c>
      <c r="AI264" s="230">
        <v>3922.9800000000005</v>
      </c>
    </row>
    <row r="265" spans="5:35" x14ac:dyDescent="0.35">
      <c r="E265" s="226">
        <v>0.30934000000000006</v>
      </c>
      <c r="F265" s="227">
        <v>4.1135999999999999</v>
      </c>
      <c r="G265" s="227">
        <v>1501.4639999999999</v>
      </c>
      <c r="H265" s="227">
        <v>0.59079999999999999</v>
      </c>
      <c r="I265" s="227">
        <v>1.0053000000000001</v>
      </c>
      <c r="J265" s="227">
        <v>0.30172142696749904</v>
      </c>
      <c r="K265" s="227">
        <v>140</v>
      </c>
      <c r="L265" s="227">
        <v>140</v>
      </c>
      <c r="M265" s="227">
        <v>140</v>
      </c>
      <c r="N265" s="227">
        <v>103.96</v>
      </c>
      <c r="O265" s="227">
        <v>120.41</v>
      </c>
      <c r="P265" s="227">
        <v>136.97999999999999</v>
      </c>
      <c r="Q265" s="227">
        <v>127.24</v>
      </c>
      <c r="R265" s="227">
        <v>140</v>
      </c>
      <c r="S265" s="227">
        <v>75</v>
      </c>
      <c r="T265" s="227">
        <v>41.351999999999997</v>
      </c>
      <c r="U265" s="227">
        <v>54.194000000000003</v>
      </c>
      <c r="V265" s="227">
        <v>46.472999999999999</v>
      </c>
      <c r="W265" s="227">
        <v>79.5</v>
      </c>
      <c r="X265" s="227">
        <v>79.5</v>
      </c>
      <c r="Y265" s="227">
        <v>79.5</v>
      </c>
      <c r="Z265" s="227">
        <v>79.5</v>
      </c>
      <c r="AA265" s="227">
        <v>76.546999999999997</v>
      </c>
      <c r="AB265" s="227">
        <v>219.59</v>
      </c>
      <c r="AC265" s="227">
        <v>653.54</v>
      </c>
      <c r="AD265" s="230">
        <v>2.5415509259259258E-3</v>
      </c>
      <c r="AE265" s="230">
        <v>1317.54</v>
      </c>
      <c r="AF265" s="230">
        <v>3219.3960000000002</v>
      </c>
      <c r="AG265" s="230">
        <v>260687.31289991917</v>
      </c>
      <c r="AH265" s="230">
        <v>929148.49020565045</v>
      </c>
      <c r="AI265" s="230">
        <v>3921.24</v>
      </c>
    </row>
    <row r="266" spans="5:35" x14ac:dyDescent="0.35">
      <c r="E266" s="226">
        <v>0.31334000000000006</v>
      </c>
      <c r="F266" s="227">
        <v>4.1300383561643832</v>
      </c>
      <c r="G266" s="227">
        <v>1507.4639999999999</v>
      </c>
      <c r="H266" s="227">
        <v>0.59209999999999996</v>
      </c>
      <c r="I266" s="227">
        <v>1.0093000000000001</v>
      </c>
      <c r="J266" s="227">
        <v>0.30324107974527681</v>
      </c>
      <c r="K266" s="227">
        <v>140</v>
      </c>
      <c r="L266" s="227">
        <v>140</v>
      </c>
      <c r="M266" s="227">
        <v>140</v>
      </c>
      <c r="N266" s="227">
        <v>104.05</v>
      </c>
      <c r="O266" s="227">
        <v>120.43</v>
      </c>
      <c r="P266" s="227">
        <v>136.94999999999999</v>
      </c>
      <c r="Q266" s="227">
        <v>127.25</v>
      </c>
      <c r="R266" s="227">
        <v>140</v>
      </c>
      <c r="S266" s="227">
        <v>75</v>
      </c>
      <c r="T266" s="227">
        <v>41.241</v>
      </c>
      <c r="U266" s="227">
        <v>54.112000000000002</v>
      </c>
      <c r="V266" s="227">
        <v>46.362000000000002</v>
      </c>
      <c r="W266" s="227">
        <v>79.5</v>
      </c>
      <c r="X266" s="227">
        <v>79.5</v>
      </c>
      <c r="Y266" s="227">
        <v>79.5</v>
      </c>
      <c r="Z266" s="227">
        <v>79.5</v>
      </c>
      <c r="AA266" s="227">
        <v>76.605000000000004</v>
      </c>
      <c r="AB266" s="227">
        <v>218.83</v>
      </c>
      <c r="AC266" s="227">
        <v>653.24</v>
      </c>
      <c r="AD266" s="230">
        <v>2.5327546296296296E-3</v>
      </c>
      <c r="AE266" s="230">
        <v>1312.98</v>
      </c>
      <c r="AF266" s="230">
        <v>3217.92</v>
      </c>
      <c r="AG266" s="230">
        <v>262000.29289991918</v>
      </c>
      <c r="AH266" s="230">
        <v>932366.41020565049</v>
      </c>
      <c r="AI266" s="230">
        <v>3919.44</v>
      </c>
    </row>
    <row r="267" spans="5:35" x14ac:dyDescent="0.35">
      <c r="E267" s="226">
        <v>0.31734000000000007</v>
      </c>
      <c r="F267" s="227">
        <v>4.1464767123287674</v>
      </c>
      <c r="G267" s="227">
        <v>1513.4639999999999</v>
      </c>
      <c r="H267" s="227">
        <v>0.59360000000000002</v>
      </c>
      <c r="I267" s="227">
        <v>1.0133000000000001</v>
      </c>
      <c r="J267" s="227">
        <v>0.30475489918972126</v>
      </c>
      <c r="K267" s="227">
        <v>140</v>
      </c>
      <c r="L267" s="227">
        <v>140</v>
      </c>
      <c r="M267" s="227">
        <v>140</v>
      </c>
      <c r="N267" s="227">
        <v>104.14</v>
      </c>
      <c r="O267" s="227">
        <v>120.44</v>
      </c>
      <c r="P267" s="227">
        <v>136.91</v>
      </c>
      <c r="Q267" s="227">
        <v>127.25</v>
      </c>
      <c r="R267" s="227">
        <v>140</v>
      </c>
      <c r="S267" s="227">
        <v>75</v>
      </c>
      <c r="T267" s="227">
        <v>41.143999999999998</v>
      </c>
      <c r="U267" s="227">
        <v>54.036000000000001</v>
      </c>
      <c r="V267" s="227">
        <v>46.274999999999999</v>
      </c>
      <c r="W267" s="227">
        <v>79.5</v>
      </c>
      <c r="X267" s="227">
        <v>79.5</v>
      </c>
      <c r="Y267" s="227">
        <v>79.5</v>
      </c>
      <c r="Z267" s="227">
        <v>79.5</v>
      </c>
      <c r="AA267" s="227">
        <v>76.674999999999997</v>
      </c>
      <c r="AB267" s="227">
        <v>217.99</v>
      </c>
      <c r="AC267" s="227">
        <v>653.01</v>
      </c>
      <c r="AD267" s="230">
        <v>2.5230324074074074E-3</v>
      </c>
      <c r="AE267" s="230">
        <v>1307.9399999999998</v>
      </c>
      <c r="AF267" s="230">
        <v>3216.7799999999997</v>
      </c>
      <c r="AG267" s="230">
        <v>263308.23289991915</v>
      </c>
      <c r="AH267" s="230">
        <v>935583.19020565052</v>
      </c>
      <c r="AI267" s="230">
        <v>3918.06</v>
      </c>
    </row>
    <row r="268" spans="5:35" x14ac:dyDescent="0.35">
      <c r="E268" s="226">
        <v>0.32134000000000007</v>
      </c>
      <c r="F268" s="227">
        <v>4.1629150684931506</v>
      </c>
      <c r="G268" s="227">
        <v>1519.4639999999999</v>
      </c>
      <c r="H268" s="227">
        <v>0.59530000000000005</v>
      </c>
      <c r="I268" s="227">
        <v>1.0173000000000001</v>
      </c>
      <c r="J268" s="227">
        <v>0.30626191307861012</v>
      </c>
      <c r="K268" s="227">
        <v>140</v>
      </c>
      <c r="L268" s="227">
        <v>140</v>
      </c>
      <c r="M268" s="227">
        <v>140</v>
      </c>
      <c r="N268" s="227">
        <v>104.21</v>
      </c>
      <c r="O268" s="227">
        <v>120.43</v>
      </c>
      <c r="P268" s="227">
        <v>136.85</v>
      </c>
      <c r="Q268" s="227">
        <v>127.24</v>
      </c>
      <c r="R268" s="227">
        <v>140</v>
      </c>
      <c r="S268" s="227">
        <v>75</v>
      </c>
      <c r="T268" s="227">
        <v>41.069000000000003</v>
      </c>
      <c r="U268" s="227">
        <v>53.982999999999997</v>
      </c>
      <c r="V268" s="227">
        <v>46.215000000000003</v>
      </c>
      <c r="W268" s="227">
        <v>79.5</v>
      </c>
      <c r="X268" s="227">
        <v>79.5</v>
      </c>
      <c r="Y268" s="227">
        <v>79.5</v>
      </c>
      <c r="Z268" s="227">
        <v>79.5</v>
      </c>
      <c r="AA268" s="227">
        <v>76.775000000000006</v>
      </c>
      <c r="AB268" s="227">
        <v>217.01</v>
      </c>
      <c r="AC268" s="227">
        <v>652.9</v>
      </c>
      <c r="AD268" s="230">
        <v>2.5116898148148147E-3</v>
      </c>
      <c r="AE268" s="230">
        <v>1302.06</v>
      </c>
      <c r="AF268" s="230">
        <v>3216.2520000000004</v>
      </c>
      <c r="AG268" s="230">
        <v>264610.29289991915</v>
      </c>
      <c r="AH268" s="230">
        <v>938799.4422056505</v>
      </c>
      <c r="AI268" s="230">
        <v>3917.3999999999996</v>
      </c>
    </row>
    <row r="269" spans="5:35" x14ac:dyDescent="0.35">
      <c r="E269" s="226">
        <v>0.32544000000000006</v>
      </c>
      <c r="F269" s="227">
        <v>4.1793534246575339</v>
      </c>
      <c r="G269" s="227">
        <v>1525.4639999999999</v>
      </c>
      <c r="H269" s="227">
        <v>0.59719999999999995</v>
      </c>
      <c r="I269" s="227">
        <v>1.0214000000000001</v>
      </c>
      <c r="J269" s="227">
        <v>0.30776170474527681</v>
      </c>
      <c r="K269" s="227">
        <v>140</v>
      </c>
      <c r="L269" s="227">
        <v>140</v>
      </c>
      <c r="M269" s="227">
        <v>140</v>
      </c>
      <c r="N269" s="227">
        <v>104.27</v>
      </c>
      <c r="O269" s="227">
        <v>120.42</v>
      </c>
      <c r="P269" s="227">
        <v>136.79</v>
      </c>
      <c r="Q269" s="227">
        <v>127.23</v>
      </c>
      <c r="R269" s="227">
        <v>140</v>
      </c>
      <c r="S269" s="227">
        <v>75</v>
      </c>
      <c r="T269" s="227">
        <v>41</v>
      </c>
      <c r="U269" s="227">
        <v>53.938000000000002</v>
      </c>
      <c r="V269" s="227">
        <v>46.164999999999999</v>
      </c>
      <c r="W269" s="227">
        <v>79.5</v>
      </c>
      <c r="X269" s="227">
        <v>79.5</v>
      </c>
      <c r="Y269" s="227">
        <v>79.5</v>
      </c>
      <c r="Z269" s="227">
        <v>79.5</v>
      </c>
      <c r="AA269" s="227">
        <v>76.884</v>
      </c>
      <c r="AB269" s="227">
        <v>215.97</v>
      </c>
      <c r="AC269" s="227">
        <v>652.83000000000004</v>
      </c>
      <c r="AD269" s="230">
        <v>2.4996527777777777E-3</v>
      </c>
      <c r="AE269" s="230">
        <v>1295.82</v>
      </c>
      <c r="AF269" s="230">
        <v>3215.9219999999996</v>
      </c>
      <c r="AG269" s="230">
        <v>265906.11289991916</v>
      </c>
      <c r="AH269" s="230">
        <v>942015.36420565052</v>
      </c>
      <c r="AI269" s="230">
        <v>3916.9800000000005</v>
      </c>
    </row>
    <row r="270" spans="5:35" x14ac:dyDescent="0.35">
      <c r="E270" s="226">
        <v>0.32944000000000007</v>
      </c>
      <c r="F270" s="227">
        <v>4.1957917808219181</v>
      </c>
      <c r="G270" s="227">
        <v>1531.4639999999999</v>
      </c>
      <c r="H270" s="227">
        <v>0.59930000000000005</v>
      </c>
      <c r="I270" s="227">
        <v>1.0254000000000001</v>
      </c>
      <c r="J270" s="227">
        <v>0.30925357974527679</v>
      </c>
      <c r="K270" s="227">
        <v>140</v>
      </c>
      <c r="L270" s="227">
        <v>140</v>
      </c>
      <c r="M270" s="227">
        <v>140</v>
      </c>
      <c r="N270" s="227">
        <v>104.33</v>
      </c>
      <c r="O270" s="227">
        <v>120.4</v>
      </c>
      <c r="P270" s="227">
        <v>136.72</v>
      </c>
      <c r="Q270" s="227">
        <v>127.21</v>
      </c>
      <c r="R270" s="227">
        <v>140</v>
      </c>
      <c r="S270" s="227">
        <v>75</v>
      </c>
      <c r="T270" s="227">
        <v>40.942999999999998</v>
      </c>
      <c r="U270" s="227">
        <v>53.905000000000001</v>
      </c>
      <c r="V270" s="227">
        <v>46.13</v>
      </c>
      <c r="W270" s="227">
        <v>79.5</v>
      </c>
      <c r="X270" s="227">
        <v>79.5</v>
      </c>
      <c r="Y270" s="227">
        <v>79.5</v>
      </c>
      <c r="Z270" s="227">
        <v>79.5</v>
      </c>
      <c r="AA270" s="227">
        <v>77.007000000000005</v>
      </c>
      <c r="AB270" s="227">
        <v>214.83</v>
      </c>
      <c r="AC270" s="227">
        <v>652.83000000000004</v>
      </c>
      <c r="AD270" s="230">
        <v>2.4864583333333336E-3</v>
      </c>
      <c r="AE270" s="230">
        <v>1288.98</v>
      </c>
      <c r="AF270" s="230">
        <v>3215.91</v>
      </c>
      <c r="AG270" s="230">
        <v>267195.09289991914</v>
      </c>
      <c r="AH270" s="230">
        <v>945231.27420565055</v>
      </c>
      <c r="AI270" s="230">
        <v>3916.9800000000005</v>
      </c>
    </row>
    <row r="271" spans="5:35" x14ac:dyDescent="0.35">
      <c r="E271" s="226">
        <v>0.33344000000000007</v>
      </c>
      <c r="F271" s="227">
        <v>4.2122301369863013</v>
      </c>
      <c r="G271" s="227">
        <v>1537.4639999999999</v>
      </c>
      <c r="H271" s="227">
        <v>0.60160000000000002</v>
      </c>
      <c r="I271" s="227">
        <v>1.0294000000000001</v>
      </c>
      <c r="J271" s="227">
        <v>0.31073726030083237</v>
      </c>
      <c r="K271" s="227">
        <v>140</v>
      </c>
      <c r="L271" s="227">
        <v>140</v>
      </c>
      <c r="M271" s="227">
        <v>140</v>
      </c>
      <c r="N271" s="227">
        <v>104.38</v>
      </c>
      <c r="O271" s="227">
        <v>120.38</v>
      </c>
      <c r="P271" s="227">
        <v>136.63999999999999</v>
      </c>
      <c r="Q271" s="227">
        <v>127.18</v>
      </c>
      <c r="R271" s="227">
        <v>140</v>
      </c>
      <c r="S271" s="227">
        <v>75</v>
      </c>
      <c r="T271" s="227">
        <v>40.884999999999998</v>
      </c>
      <c r="U271" s="227">
        <v>53.874000000000002</v>
      </c>
      <c r="V271" s="227">
        <v>46.100999999999999</v>
      </c>
      <c r="W271" s="227">
        <v>79.5</v>
      </c>
      <c r="X271" s="227">
        <v>79.5</v>
      </c>
      <c r="Y271" s="227">
        <v>79.5</v>
      </c>
      <c r="Z271" s="227">
        <v>79.5</v>
      </c>
      <c r="AA271" s="227">
        <v>77.137</v>
      </c>
      <c r="AB271" s="227">
        <v>213.65</v>
      </c>
      <c r="AC271" s="227">
        <v>652.84</v>
      </c>
      <c r="AD271" s="230">
        <v>2.472800925925926E-3</v>
      </c>
      <c r="AE271" s="230">
        <v>1281.9000000000001</v>
      </c>
      <c r="AF271" s="230">
        <v>3215.9820000000004</v>
      </c>
      <c r="AG271" s="230">
        <v>268476.99289991916</v>
      </c>
      <c r="AH271" s="230">
        <v>948447.25620565051</v>
      </c>
      <c r="AI271" s="230">
        <v>3917.04</v>
      </c>
    </row>
    <row r="272" spans="5:35" x14ac:dyDescent="0.35">
      <c r="E272" s="226">
        <v>0.33744000000000007</v>
      </c>
      <c r="F272" s="227">
        <v>4.2286684931506846</v>
      </c>
      <c r="G272" s="227">
        <v>1543.4639999999999</v>
      </c>
      <c r="H272" s="227">
        <v>0.60399999999999998</v>
      </c>
      <c r="I272" s="227">
        <v>1.0334000000000001</v>
      </c>
      <c r="J272" s="227">
        <v>0.31221205196749902</v>
      </c>
      <c r="K272" s="227">
        <v>140</v>
      </c>
      <c r="L272" s="227">
        <v>140</v>
      </c>
      <c r="M272" s="227">
        <v>140</v>
      </c>
      <c r="N272" s="227">
        <v>104.43</v>
      </c>
      <c r="O272" s="227">
        <v>120.35</v>
      </c>
      <c r="P272" s="227">
        <v>136.56</v>
      </c>
      <c r="Q272" s="227">
        <v>127.14</v>
      </c>
      <c r="R272" s="227">
        <v>140</v>
      </c>
      <c r="S272" s="227">
        <v>75</v>
      </c>
      <c r="T272" s="227">
        <v>40.850999999999999</v>
      </c>
      <c r="U272" s="227">
        <v>53.863</v>
      </c>
      <c r="V272" s="227">
        <v>46.093000000000004</v>
      </c>
      <c r="W272" s="227">
        <v>79.5</v>
      </c>
      <c r="X272" s="227">
        <v>79.5</v>
      </c>
      <c r="Y272" s="227">
        <v>79.5</v>
      </c>
      <c r="Z272" s="227">
        <v>79.5</v>
      </c>
      <c r="AA272" s="227">
        <v>77.289000000000001</v>
      </c>
      <c r="AB272" s="227">
        <v>212.37</v>
      </c>
      <c r="AC272" s="227">
        <v>652.97</v>
      </c>
      <c r="AD272" s="230">
        <v>2.4579861111111113E-3</v>
      </c>
      <c r="AE272" s="230">
        <v>1274.22</v>
      </c>
      <c r="AF272" s="230">
        <v>3216.576</v>
      </c>
      <c r="AG272" s="230">
        <v>269751.21289991913</v>
      </c>
      <c r="AH272" s="230">
        <v>951663.83220565051</v>
      </c>
      <c r="AI272" s="230">
        <v>3917.82</v>
      </c>
    </row>
    <row r="273" spans="5:35" x14ac:dyDescent="0.35">
      <c r="E273" s="226">
        <v>0.34144000000000008</v>
      </c>
      <c r="F273" s="227">
        <v>4.2451068493150688</v>
      </c>
      <c r="G273" s="227">
        <v>1549.4639999999999</v>
      </c>
      <c r="H273" s="227">
        <v>0.60650000000000004</v>
      </c>
      <c r="I273" s="227">
        <v>1.0374000000000001</v>
      </c>
      <c r="J273" s="227">
        <v>0.31367788530083229</v>
      </c>
      <c r="K273" s="227">
        <v>140</v>
      </c>
      <c r="L273" s="227">
        <v>140</v>
      </c>
      <c r="M273" s="227">
        <v>140</v>
      </c>
      <c r="N273" s="227">
        <v>104.47</v>
      </c>
      <c r="O273" s="227">
        <v>120.32</v>
      </c>
      <c r="P273" s="227">
        <v>136.47999999999999</v>
      </c>
      <c r="Q273" s="227">
        <v>127.11</v>
      </c>
      <c r="R273" s="227">
        <v>140</v>
      </c>
      <c r="S273" s="227">
        <v>75</v>
      </c>
      <c r="T273" s="227">
        <v>40.805</v>
      </c>
      <c r="U273" s="227">
        <v>53.845999999999997</v>
      </c>
      <c r="V273" s="227">
        <v>46.082000000000001</v>
      </c>
      <c r="W273" s="227">
        <v>79.5</v>
      </c>
      <c r="X273" s="227">
        <v>79.5</v>
      </c>
      <c r="Y273" s="227">
        <v>79.5</v>
      </c>
      <c r="Z273" s="227">
        <v>79.5</v>
      </c>
      <c r="AA273" s="227">
        <v>77.433999999999997</v>
      </c>
      <c r="AB273" s="227">
        <v>211.08</v>
      </c>
      <c r="AC273" s="227">
        <v>653.04999999999995</v>
      </c>
      <c r="AD273" s="230">
        <v>2.4430555555555555E-3</v>
      </c>
      <c r="AE273" s="230">
        <v>1266.48</v>
      </c>
      <c r="AF273" s="230">
        <v>3217.0020000000004</v>
      </c>
      <c r="AG273" s="230">
        <v>271017.69289991912</v>
      </c>
      <c r="AH273" s="230">
        <v>954880.83420565049</v>
      </c>
      <c r="AI273" s="230">
        <v>3918.2999999999997</v>
      </c>
    </row>
    <row r="274" spans="5:35" x14ac:dyDescent="0.35">
      <c r="E274" s="226">
        <v>0.34544000000000008</v>
      </c>
      <c r="F274" s="227">
        <v>4.261545205479452</v>
      </c>
      <c r="G274" s="227">
        <v>1555.4639999999999</v>
      </c>
      <c r="H274" s="227">
        <v>0.60909999999999997</v>
      </c>
      <c r="I274" s="227">
        <v>1.0414000000000001</v>
      </c>
      <c r="J274" s="227">
        <v>0.31513434363416565</v>
      </c>
      <c r="K274" s="227">
        <v>140</v>
      </c>
      <c r="L274" s="227">
        <v>140</v>
      </c>
      <c r="M274" s="227">
        <v>140</v>
      </c>
      <c r="N274" s="227">
        <v>104.5</v>
      </c>
      <c r="O274" s="227">
        <v>120.28</v>
      </c>
      <c r="P274" s="227">
        <v>136.38999999999999</v>
      </c>
      <c r="Q274" s="227">
        <v>127.07</v>
      </c>
      <c r="R274" s="227">
        <v>140</v>
      </c>
      <c r="S274" s="227">
        <v>75</v>
      </c>
      <c r="T274" s="227">
        <v>40.771999999999998</v>
      </c>
      <c r="U274" s="227">
        <v>53.838999999999999</v>
      </c>
      <c r="V274" s="227">
        <v>46.082999999999998</v>
      </c>
      <c r="W274" s="227">
        <v>79.5</v>
      </c>
      <c r="X274" s="227">
        <v>79.5</v>
      </c>
      <c r="Y274" s="227">
        <v>79.5</v>
      </c>
      <c r="Z274" s="227">
        <v>79.5</v>
      </c>
      <c r="AA274" s="227">
        <v>77.587999999999994</v>
      </c>
      <c r="AB274" s="227">
        <v>209.73</v>
      </c>
      <c r="AC274" s="227">
        <v>653.19000000000005</v>
      </c>
      <c r="AD274" s="230">
        <v>2.4274305555555555E-3</v>
      </c>
      <c r="AE274" s="230">
        <v>1258.3799999999999</v>
      </c>
      <c r="AF274" s="230">
        <v>3217.6919999999996</v>
      </c>
      <c r="AG274" s="230">
        <v>272276.07289991912</v>
      </c>
      <c r="AH274" s="230">
        <v>958098.52620565053</v>
      </c>
      <c r="AI274" s="230">
        <v>3919.1400000000003</v>
      </c>
    </row>
    <row r="275" spans="5:35" x14ac:dyDescent="0.35">
      <c r="E275" s="226">
        <v>0.34954000000000007</v>
      </c>
      <c r="F275" s="227">
        <v>4.2779835616438353</v>
      </c>
      <c r="G275" s="227">
        <v>1561.4639999999999</v>
      </c>
      <c r="H275" s="227">
        <v>0.61180000000000001</v>
      </c>
      <c r="I275" s="227">
        <v>1.0455000000000001</v>
      </c>
      <c r="J275" s="227">
        <v>0.31658107974527672</v>
      </c>
      <c r="K275" s="227">
        <v>140</v>
      </c>
      <c r="L275" s="227">
        <v>140</v>
      </c>
      <c r="M275" s="227">
        <v>140</v>
      </c>
      <c r="N275" s="227">
        <v>104.53</v>
      </c>
      <c r="O275" s="227">
        <v>120.25</v>
      </c>
      <c r="P275" s="227">
        <v>136.30000000000001</v>
      </c>
      <c r="Q275" s="227">
        <v>127.02</v>
      </c>
      <c r="R275" s="227">
        <v>140</v>
      </c>
      <c r="S275" s="227">
        <v>75</v>
      </c>
      <c r="T275" s="227">
        <v>40.747</v>
      </c>
      <c r="U275" s="227">
        <v>53.838999999999999</v>
      </c>
      <c r="V275" s="227">
        <v>46.093000000000004</v>
      </c>
      <c r="W275" s="227">
        <v>79.5</v>
      </c>
      <c r="X275" s="227">
        <v>79.5</v>
      </c>
      <c r="Y275" s="227">
        <v>79.5</v>
      </c>
      <c r="Z275" s="227">
        <v>79.5</v>
      </c>
      <c r="AA275" s="227">
        <v>77.748999999999995</v>
      </c>
      <c r="AB275" s="227">
        <v>208.33</v>
      </c>
      <c r="AC275" s="227">
        <v>653.37</v>
      </c>
      <c r="AD275" s="230">
        <v>2.4112268518518519E-3</v>
      </c>
      <c r="AE275" s="230">
        <v>1249.98</v>
      </c>
      <c r="AF275" s="230">
        <v>3218.5680000000002</v>
      </c>
      <c r="AG275" s="230">
        <v>273526.0528999191</v>
      </c>
      <c r="AH275" s="230">
        <v>961317.0942056505</v>
      </c>
      <c r="AI275" s="230">
        <v>3920.2200000000003</v>
      </c>
    </row>
    <row r="276" spans="5:35" x14ac:dyDescent="0.35">
      <c r="E276" s="226">
        <v>0.35354000000000008</v>
      </c>
      <c r="F276" s="227">
        <v>4.2944219178082186</v>
      </c>
      <c r="G276" s="227">
        <v>1567.4639999999999</v>
      </c>
      <c r="H276" s="227">
        <v>0.61460000000000004</v>
      </c>
      <c r="I276" s="227">
        <v>1.0495000000000001</v>
      </c>
      <c r="J276" s="227">
        <v>0.31801781585638789</v>
      </c>
      <c r="K276" s="227">
        <v>140</v>
      </c>
      <c r="L276" s="227">
        <v>140</v>
      </c>
      <c r="M276" s="227">
        <v>140</v>
      </c>
      <c r="N276" s="227">
        <v>104.56</v>
      </c>
      <c r="O276" s="227">
        <v>120.2</v>
      </c>
      <c r="P276" s="227">
        <v>136.21</v>
      </c>
      <c r="Q276" s="227">
        <v>126.98</v>
      </c>
      <c r="R276" s="227">
        <v>140</v>
      </c>
      <c r="S276" s="227">
        <v>75</v>
      </c>
      <c r="T276" s="227">
        <v>40.734000000000002</v>
      </c>
      <c r="U276" s="227">
        <v>53.847999999999999</v>
      </c>
      <c r="V276" s="227">
        <v>46.110999999999997</v>
      </c>
      <c r="W276" s="227">
        <v>79.5</v>
      </c>
      <c r="X276" s="227">
        <v>79.5</v>
      </c>
      <c r="Y276" s="227">
        <v>79.5</v>
      </c>
      <c r="Z276" s="227">
        <v>79.5</v>
      </c>
      <c r="AA276" s="227">
        <v>77.918999999999997</v>
      </c>
      <c r="AB276" s="227">
        <v>206.89</v>
      </c>
      <c r="AC276" s="227">
        <v>653.59</v>
      </c>
      <c r="AD276" s="230">
        <v>2.3945601851851849E-3</v>
      </c>
      <c r="AE276" s="230">
        <v>1241.3399999999997</v>
      </c>
      <c r="AF276" s="230">
        <v>3219.6719999999996</v>
      </c>
      <c r="AG276" s="230">
        <v>274767.39289991913</v>
      </c>
      <c r="AH276" s="230">
        <v>964536.76620565052</v>
      </c>
      <c r="AI276" s="230">
        <v>3921.54</v>
      </c>
    </row>
    <row r="277" spans="5:35" x14ac:dyDescent="0.35">
      <c r="E277" s="226">
        <v>0.35754000000000008</v>
      </c>
      <c r="F277" s="227">
        <v>4.3108602739726027</v>
      </c>
      <c r="G277" s="227">
        <v>1573.4639999999999</v>
      </c>
      <c r="H277" s="227">
        <v>0.61739999999999995</v>
      </c>
      <c r="I277" s="227">
        <v>1.0535000000000001</v>
      </c>
      <c r="J277" s="227">
        <v>0.3194444130786101</v>
      </c>
      <c r="K277" s="227">
        <v>140</v>
      </c>
      <c r="L277" s="227">
        <v>140</v>
      </c>
      <c r="M277" s="227">
        <v>140</v>
      </c>
      <c r="N277" s="227">
        <v>104.59</v>
      </c>
      <c r="O277" s="227">
        <v>120.16</v>
      </c>
      <c r="P277" s="227">
        <v>136.12</v>
      </c>
      <c r="Q277" s="227">
        <v>126.93</v>
      </c>
      <c r="R277" s="227">
        <v>140</v>
      </c>
      <c r="S277" s="227">
        <v>75</v>
      </c>
      <c r="T277" s="227">
        <v>40.719000000000001</v>
      </c>
      <c r="U277" s="227">
        <v>53.857999999999997</v>
      </c>
      <c r="V277" s="227">
        <v>46.13</v>
      </c>
      <c r="W277" s="227">
        <v>79.5</v>
      </c>
      <c r="X277" s="227">
        <v>79.5</v>
      </c>
      <c r="Y277" s="227">
        <v>79.5</v>
      </c>
      <c r="Z277" s="227">
        <v>79.5</v>
      </c>
      <c r="AA277" s="227">
        <v>78.087999999999994</v>
      </c>
      <c r="AB277" s="227">
        <v>205.43</v>
      </c>
      <c r="AC277" s="227">
        <v>653.82000000000005</v>
      </c>
      <c r="AD277" s="230">
        <v>2.3776620370370371E-3</v>
      </c>
      <c r="AE277" s="230">
        <v>1232.58</v>
      </c>
      <c r="AF277" s="230">
        <v>3220.7699999999995</v>
      </c>
      <c r="AG277" s="230">
        <v>275999.97289991914</v>
      </c>
      <c r="AH277" s="230">
        <v>967757.53620565054</v>
      </c>
      <c r="AI277" s="230">
        <v>3922.92</v>
      </c>
    </row>
    <row r="278" spans="5:35" x14ac:dyDescent="0.35">
      <c r="E278" s="226">
        <v>0.36154000000000008</v>
      </c>
      <c r="F278" s="227">
        <v>4.327298630136986</v>
      </c>
      <c r="G278" s="227">
        <v>1579.4639999999999</v>
      </c>
      <c r="H278" s="227">
        <v>0.62029999999999996</v>
      </c>
      <c r="I278" s="227">
        <v>1.0575000000000001</v>
      </c>
      <c r="J278" s="227">
        <v>0.32086066307861011</v>
      </c>
      <c r="K278" s="227">
        <v>140</v>
      </c>
      <c r="L278" s="227">
        <v>140</v>
      </c>
      <c r="M278" s="227">
        <v>140</v>
      </c>
      <c r="N278" s="227">
        <v>104.61</v>
      </c>
      <c r="O278" s="227">
        <v>120.12</v>
      </c>
      <c r="P278" s="227">
        <v>136.03</v>
      </c>
      <c r="Q278" s="227">
        <v>126.88</v>
      </c>
      <c r="R278" s="227">
        <v>140</v>
      </c>
      <c r="S278" s="227">
        <v>75</v>
      </c>
      <c r="T278" s="227">
        <v>40.704000000000001</v>
      </c>
      <c r="U278" s="227">
        <v>53.869</v>
      </c>
      <c r="V278" s="227">
        <v>46.152999999999999</v>
      </c>
      <c r="W278" s="227">
        <v>79.5</v>
      </c>
      <c r="X278" s="227">
        <v>79.5</v>
      </c>
      <c r="Y278" s="227">
        <v>79.5</v>
      </c>
      <c r="Z278" s="227">
        <v>79.5</v>
      </c>
      <c r="AA278" s="227">
        <v>78.259</v>
      </c>
      <c r="AB278" s="227">
        <v>203.94</v>
      </c>
      <c r="AC278" s="227">
        <v>654.04999999999995</v>
      </c>
      <c r="AD278" s="230">
        <v>2.3604166666666665E-3</v>
      </c>
      <c r="AE278" s="230">
        <v>1223.6399999999999</v>
      </c>
      <c r="AF278" s="230">
        <v>3221.91</v>
      </c>
      <c r="AG278" s="230">
        <v>277223.61289991916</v>
      </c>
      <c r="AH278" s="230">
        <v>970979.44620565057</v>
      </c>
      <c r="AI278" s="230">
        <v>3924.2999999999997</v>
      </c>
    </row>
    <row r="279" spans="5:35" x14ac:dyDescent="0.35">
      <c r="E279" s="226">
        <v>0.36554000000000009</v>
      </c>
      <c r="F279" s="227">
        <v>4.3437369863013693</v>
      </c>
      <c r="G279" s="227">
        <v>1585.4639999999999</v>
      </c>
      <c r="H279" s="227">
        <v>0.62329999999999997</v>
      </c>
      <c r="I279" s="227">
        <v>1.0615000000000001</v>
      </c>
      <c r="J279" s="227">
        <v>0.32226649641194349</v>
      </c>
      <c r="K279" s="227">
        <v>140</v>
      </c>
      <c r="L279" s="227">
        <v>140</v>
      </c>
      <c r="M279" s="227">
        <v>140</v>
      </c>
      <c r="N279" s="227">
        <v>104.63</v>
      </c>
      <c r="O279" s="227">
        <v>120.08</v>
      </c>
      <c r="P279" s="227">
        <v>135.93</v>
      </c>
      <c r="Q279" s="227">
        <v>126.83</v>
      </c>
      <c r="R279" s="227">
        <v>140</v>
      </c>
      <c r="S279" s="227">
        <v>75</v>
      </c>
      <c r="T279" s="227">
        <v>40.692</v>
      </c>
      <c r="U279" s="227">
        <v>53.884</v>
      </c>
      <c r="V279" s="227">
        <v>46.179000000000002</v>
      </c>
      <c r="W279" s="227">
        <v>79.5</v>
      </c>
      <c r="X279" s="227">
        <v>79.5</v>
      </c>
      <c r="Y279" s="227">
        <v>79.5</v>
      </c>
      <c r="Z279" s="227">
        <v>79.5</v>
      </c>
      <c r="AA279" s="227">
        <v>78.435000000000002</v>
      </c>
      <c r="AB279" s="227">
        <v>202.44</v>
      </c>
      <c r="AC279" s="227">
        <v>654.29999999999995</v>
      </c>
      <c r="AD279" s="230">
        <v>2.3430555555555557E-3</v>
      </c>
      <c r="AE279" s="230">
        <v>1214.6400000000001</v>
      </c>
      <c r="AF279" s="230">
        <v>3223.1400000000003</v>
      </c>
      <c r="AG279" s="230">
        <v>278438.25289991917</v>
      </c>
      <c r="AH279" s="230">
        <v>974202.58620565059</v>
      </c>
      <c r="AI279" s="230">
        <v>3925.7999999999997</v>
      </c>
    </row>
    <row r="280" spans="5:35" x14ac:dyDescent="0.35">
      <c r="E280" s="226">
        <v>0.36953999999999987</v>
      </c>
      <c r="F280" s="227">
        <v>4.3601753424657534</v>
      </c>
      <c r="G280" s="227">
        <v>1591.4639999999999</v>
      </c>
      <c r="H280" s="227">
        <v>0.62629999999999997</v>
      </c>
      <c r="I280" s="227">
        <v>1.0654999999999999</v>
      </c>
      <c r="J280" s="227">
        <v>0.32366170474527683</v>
      </c>
      <c r="K280" s="227">
        <v>140</v>
      </c>
      <c r="L280" s="227">
        <v>140</v>
      </c>
      <c r="M280" s="227">
        <v>140</v>
      </c>
      <c r="N280" s="227">
        <v>104.65</v>
      </c>
      <c r="O280" s="227">
        <v>120.03</v>
      </c>
      <c r="P280" s="227">
        <v>135.84</v>
      </c>
      <c r="Q280" s="227">
        <v>126.77</v>
      </c>
      <c r="R280" s="227">
        <v>140</v>
      </c>
      <c r="S280" s="227">
        <v>75</v>
      </c>
      <c r="T280" s="227">
        <v>40.685000000000002</v>
      </c>
      <c r="U280" s="227">
        <v>53.902000000000001</v>
      </c>
      <c r="V280" s="227">
        <v>46.21</v>
      </c>
      <c r="W280" s="227">
        <v>79.5</v>
      </c>
      <c r="X280" s="227">
        <v>79.5</v>
      </c>
      <c r="Y280" s="227">
        <v>79.5</v>
      </c>
      <c r="Z280" s="227">
        <v>79.5</v>
      </c>
      <c r="AA280" s="227">
        <v>78.616</v>
      </c>
      <c r="AB280" s="227">
        <v>200.91</v>
      </c>
      <c r="AC280" s="227">
        <v>654.57000000000005</v>
      </c>
      <c r="AD280" s="230">
        <v>2.3253472222222221E-3</v>
      </c>
      <c r="AE280" s="230">
        <v>1205.46</v>
      </c>
      <c r="AF280" s="230">
        <v>3224.4780000000001</v>
      </c>
      <c r="AG280" s="230">
        <v>279643.71289991919</v>
      </c>
      <c r="AH280" s="230">
        <v>977427.06420565059</v>
      </c>
      <c r="AI280" s="230">
        <v>3927.42</v>
      </c>
    </row>
    <row r="281" spans="5:35" x14ac:dyDescent="0.35">
      <c r="E281" s="226">
        <v>0.37364000000000008</v>
      </c>
      <c r="F281" s="227">
        <v>4.3766136986301367</v>
      </c>
      <c r="G281" s="227">
        <v>1597.4639999999999</v>
      </c>
      <c r="H281" s="227">
        <v>0.62939999999999996</v>
      </c>
      <c r="I281" s="227">
        <v>1.0696000000000001</v>
      </c>
      <c r="J281" s="227">
        <v>0.32504601030083236</v>
      </c>
      <c r="K281" s="227">
        <v>140</v>
      </c>
      <c r="L281" s="227">
        <v>140</v>
      </c>
      <c r="M281" s="227">
        <v>140</v>
      </c>
      <c r="N281" s="227">
        <v>104.66</v>
      </c>
      <c r="O281" s="227">
        <v>119.99</v>
      </c>
      <c r="P281" s="227">
        <v>135.74</v>
      </c>
      <c r="Q281" s="227">
        <v>126.71</v>
      </c>
      <c r="R281" s="227">
        <v>140</v>
      </c>
      <c r="S281" s="227">
        <v>75</v>
      </c>
      <c r="T281" s="227">
        <v>40.679000000000002</v>
      </c>
      <c r="U281" s="227">
        <v>53.923000000000002</v>
      </c>
      <c r="V281" s="227">
        <v>46.247</v>
      </c>
      <c r="W281" s="227">
        <v>79.5</v>
      </c>
      <c r="X281" s="227">
        <v>79.5</v>
      </c>
      <c r="Y281" s="227">
        <v>79.5</v>
      </c>
      <c r="Z281" s="227">
        <v>79.5</v>
      </c>
      <c r="AA281" s="227">
        <v>78.805000000000007</v>
      </c>
      <c r="AB281" s="227">
        <v>199.34</v>
      </c>
      <c r="AC281" s="227">
        <v>654.86</v>
      </c>
      <c r="AD281" s="230">
        <v>2.3071759259259261E-3</v>
      </c>
      <c r="AE281" s="230">
        <v>1196.04</v>
      </c>
      <c r="AF281" s="230">
        <v>3225.924</v>
      </c>
      <c r="AG281" s="230">
        <v>280839.75289991917</v>
      </c>
      <c r="AH281" s="230">
        <v>980652.98820565059</v>
      </c>
      <c r="AI281" s="230">
        <v>3929.16</v>
      </c>
    </row>
    <row r="282" spans="5:35" x14ac:dyDescent="0.35">
      <c r="E282" s="226">
        <v>0.37764000000000009</v>
      </c>
      <c r="F282" s="227">
        <v>4.39305205479452</v>
      </c>
      <c r="G282" s="227">
        <v>1603.4639999999999</v>
      </c>
      <c r="H282" s="227">
        <v>0.63260000000000005</v>
      </c>
      <c r="I282" s="227">
        <v>1.0736000000000001</v>
      </c>
      <c r="J282" s="227">
        <v>0.3264192047452768</v>
      </c>
      <c r="K282" s="227">
        <v>140</v>
      </c>
      <c r="L282" s="227">
        <v>140</v>
      </c>
      <c r="M282" s="227">
        <v>140</v>
      </c>
      <c r="N282" s="227">
        <v>104.67</v>
      </c>
      <c r="O282" s="227">
        <v>119.94</v>
      </c>
      <c r="P282" s="227">
        <v>135.63999999999999</v>
      </c>
      <c r="Q282" s="227">
        <v>126.65</v>
      </c>
      <c r="R282" s="227">
        <v>140</v>
      </c>
      <c r="S282" s="227">
        <v>75</v>
      </c>
      <c r="T282" s="227">
        <v>40.680999999999997</v>
      </c>
      <c r="U282" s="227">
        <v>53.951000000000001</v>
      </c>
      <c r="V282" s="227">
        <v>46.290999999999997</v>
      </c>
      <c r="W282" s="227">
        <v>79.5</v>
      </c>
      <c r="X282" s="227">
        <v>79.5</v>
      </c>
      <c r="Y282" s="227">
        <v>79.5</v>
      </c>
      <c r="Z282" s="227">
        <v>79.5</v>
      </c>
      <c r="AA282" s="227">
        <v>79.001999999999995</v>
      </c>
      <c r="AB282" s="227">
        <v>197.74</v>
      </c>
      <c r="AC282" s="227">
        <v>655.19000000000005</v>
      </c>
      <c r="AD282" s="230">
        <v>2.2886574074074077E-3</v>
      </c>
      <c r="AE282" s="230">
        <v>1186.44</v>
      </c>
      <c r="AF282" s="230">
        <v>3227.5499999999997</v>
      </c>
      <c r="AG282" s="230">
        <v>282026.19289991917</v>
      </c>
      <c r="AH282" s="230">
        <v>983880.53820565064</v>
      </c>
      <c r="AI282" s="230">
        <v>3931.1400000000003</v>
      </c>
    </row>
    <row r="283" spans="5:35" x14ac:dyDescent="0.35">
      <c r="E283" s="226">
        <v>0.38163999999999987</v>
      </c>
      <c r="F283" s="227">
        <v>4.4094904109589041</v>
      </c>
      <c r="G283" s="227">
        <v>1609.4639999999999</v>
      </c>
      <c r="H283" s="227">
        <v>0.63580000000000003</v>
      </c>
      <c r="I283" s="227">
        <v>1.0775999999999999</v>
      </c>
      <c r="J283" s="227">
        <v>0.32778114918972123</v>
      </c>
      <c r="K283" s="227">
        <v>140</v>
      </c>
      <c r="L283" s="227">
        <v>140</v>
      </c>
      <c r="M283" s="227">
        <v>140</v>
      </c>
      <c r="N283" s="227">
        <v>104.68</v>
      </c>
      <c r="O283" s="227">
        <v>119.89</v>
      </c>
      <c r="P283" s="227">
        <v>135.54</v>
      </c>
      <c r="Q283" s="227">
        <v>126.59</v>
      </c>
      <c r="R283" s="227">
        <v>140</v>
      </c>
      <c r="S283" s="227">
        <v>75</v>
      </c>
      <c r="T283" s="227">
        <v>40.692</v>
      </c>
      <c r="U283" s="227">
        <v>53.985999999999997</v>
      </c>
      <c r="V283" s="227">
        <v>46.341000000000001</v>
      </c>
      <c r="W283" s="227">
        <v>79.5</v>
      </c>
      <c r="X283" s="227">
        <v>79.5</v>
      </c>
      <c r="Y283" s="227">
        <v>79.5</v>
      </c>
      <c r="Z283" s="227">
        <v>79.5</v>
      </c>
      <c r="AA283" s="227">
        <v>79.204999999999998</v>
      </c>
      <c r="AB283" s="227">
        <v>196.12</v>
      </c>
      <c r="AC283" s="227">
        <v>655.56</v>
      </c>
      <c r="AD283" s="230">
        <v>2.2699074074074076E-3</v>
      </c>
      <c r="AE283" s="230">
        <v>1176.72</v>
      </c>
      <c r="AF283" s="230">
        <v>3229.3440000000001</v>
      </c>
      <c r="AG283" s="230">
        <v>283202.91289991915</v>
      </c>
      <c r="AH283" s="230">
        <v>987109.88220565068</v>
      </c>
      <c r="AI283" s="230">
        <v>3933.3599999999997</v>
      </c>
    </row>
    <row r="284" spans="5:35" x14ac:dyDescent="0.35">
      <c r="E284" s="226">
        <v>0.38563999999999987</v>
      </c>
      <c r="F284" s="227">
        <v>4.4259287671232874</v>
      </c>
      <c r="G284" s="227">
        <v>1615.4639999999999</v>
      </c>
      <c r="H284" s="227">
        <v>0.63900000000000001</v>
      </c>
      <c r="I284" s="227">
        <v>1.0815999999999999</v>
      </c>
      <c r="J284" s="227">
        <v>0.32913177418972123</v>
      </c>
      <c r="K284" s="227">
        <v>140</v>
      </c>
      <c r="L284" s="227">
        <v>140</v>
      </c>
      <c r="M284" s="227">
        <v>140</v>
      </c>
      <c r="N284" s="227">
        <v>104.68</v>
      </c>
      <c r="O284" s="227">
        <v>119.83</v>
      </c>
      <c r="P284" s="227">
        <v>135.43</v>
      </c>
      <c r="Q284" s="227">
        <v>126.53</v>
      </c>
      <c r="R284" s="227">
        <v>140</v>
      </c>
      <c r="S284" s="227">
        <v>75</v>
      </c>
      <c r="T284" s="227">
        <v>40.701000000000001</v>
      </c>
      <c r="U284" s="227">
        <v>54.02</v>
      </c>
      <c r="V284" s="227">
        <v>46.392000000000003</v>
      </c>
      <c r="W284" s="227">
        <v>79.5</v>
      </c>
      <c r="X284" s="227">
        <v>79.5</v>
      </c>
      <c r="Y284" s="227">
        <v>79.5</v>
      </c>
      <c r="Z284" s="227">
        <v>79.5</v>
      </c>
      <c r="AA284" s="227">
        <v>79.412999999999997</v>
      </c>
      <c r="AB284" s="227">
        <v>194.49</v>
      </c>
      <c r="AC284" s="227">
        <v>655.92</v>
      </c>
      <c r="AD284" s="230">
        <v>2.2510416666666668E-3</v>
      </c>
      <c r="AE284" s="230">
        <v>1166.94</v>
      </c>
      <c r="AF284" s="230">
        <v>3231.1559999999999</v>
      </c>
      <c r="AG284" s="230">
        <v>284369.85289991915</v>
      </c>
      <c r="AH284" s="230">
        <v>990341.03820565064</v>
      </c>
      <c r="AI284" s="230">
        <v>3935.5199999999995</v>
      </c>
    </row>
    <row r="285" spans="5:35" x14ac:dyDescent="0.35">
      <c r="E285" s="226">
        <v>0.38963999999999988</v>
      </c>
      <c r="F285" s="227">
        <v>4.4423671232876707</v>
      </c>
      <c r="G285" s="227">
        <v>1621.4639999999999</v>
      </c>
      <c r="H285" s="227">
        <v>0.64229999999999998</v>
      </c>
      <c r="I285" s="227">
        <v>1.0855999999999999</v>
      </c>
      <c r="J285" s="227">
        <v>0.33047073252305453</v>
      </c>
      <c r="K285" s="227">
        <v>140</v>
      </c>
      <c r="L285" s="227">
        <v>140</v>
      </c>
      <c r="M285" s="227">
        <v>140</v>
      </c>
      <c r="N285" s="227">
        <v>104.68</v>
      </c>
      <c r="O285" s="227">
        <v>119.76</v>
      </c>
      <c r="P285" s="227">
        <v>135.33000000000001</v>
      </c>
      <c r="Q285" s="227">
        <v>126.45</v>
      </c>
      <c r="R285" s="227">
        <v>139.91999999999999</v>
      </c>
      <c r="S285" s="227">
        <v>74.919999999999987</v>
      </c>
      <c r="T285" s="227">
        <v>40.722999999999999</v>
      </c>
      <c r="U285" s="227">
        <v>54.064999999999998</v>
      </c>
      <c r="V285" s="227">
        <v>46.45</v>
      </c>
      <c r="W285" s="227">
        <v>79.5</v>
      </c>
      <c r="X285" s="227">
        <v>79.5</v>
      </c>
      <c r="Y285" s="227">
        <v>79.5</v>
      </c>
      <c r="Z285" s="227">
        <v>79.5</v>
      </c>
      <c r="AA285" s="227">
        <v>79.5</v>
      </c>
      <c r="AB285" s="227">
        <v>192.81</v>
      </c>
      <c r="AC285" s="227">
        <v>656.18</v>
      </c>
      <c r="AD285" s="230">
        <v>2.2315972222222221E-3</v>
      </c>
      <c r="AE285" s="230">
        <v>1156.8599999999999</v>
      </c>
      <c r="AF285" s="230">
        <v>3232.4280000000003</v>
      </c>
      <c r="AG285" s="230">
        <v>285526.71289991913</v>
      </c>
      <c r="AH285" s="230">
        <v>993573.46620565059</v>
      </c>
      <c r="AI285" s="230">
        <v>3937.08</v>
      </c>
    </row>
    <row r="286" spans="5:35" x14ac:dyDescent="0.35">
      <c r="E286" s="226">
        <v>0.39363999999999988</v>
      </c>
      <c r="F286" s="227">
        <v>4.4588054794520549</v>
      </c>
      <c r="G286" s="227">
        <v>1627.4639999999999</v>
      </c>
      <c r="H286" s="227">
        <v>0.64559999999999995</v>
      </c>
      <c r="I286" s="227">
        <v>1.0895999999999999</v>
      </c>
      <c r="J286" s="227">
        <v>0.33179774641194343</v>
      </c>
      <c r="K286" s="227">
        <v>140</v>
      </c>
      <c r="L286" s="227">
        <v>140</v>
      </c>
      <c r="M286" s="227">
        <v>140</v>
      </c>
      <c r="N286" s="227">
        <v>104.68</v>
      </c>
      <c r="O286" s="227">
        <v>119.68</v>
      </c>
      <c r="P286" s="227">
        <v>135.22</v>
      </c>
      <c r="Q286" s="227">
        <v>126.37</v>
      </c>
      <c r="R286" s="227">
        <v>139.79</v>
      </c>
      <c r="S286" s="227">
        <v>74.789999999999992</v>
      </c>
      <c r="T286" s="227">
        <v>40.746000000000002</v>
      </c>
      <c r="U286" s="227">
        <v>54.116</v>
      </c>
      <c r="V286" s="227">
        <v>46.515999999999998</v>
      </c>
      <c r="W286" s="227">
        <v>79.5</v>
      </c>
      <c r="X286" s="227">
        <v>79.5</v>
      </c>
      <c r="Y286" s="227">
        <v>79.5</v>
      </c>
      <c r="Z286" s="227">
        <v>79.5</v>
      </c>
      <c r="AA286" s="227">
        <v>79.5</v>
      </c>
      <c r="AB286" s="227">
        <v>191.09</v>
      </c>
      <c r="AC286" s="227">
        <v>656.35</v>
      </c>
      <c r="AD286" s="230">
        <v>2.2116898148148148E-3</v>
      </c>
      <c r="AE286" s="230">
        <v>1146.54</v>
      </c>
      <c r="AF286" s="230">
        <v>3233.2679999999996</v>
      </c>
      <c r="AG286" s="230">
        <v>286673.25289991911</v>
      </c>
      <c r="AH286" s="230">
        <v>996806.73420565063</v>
      </c>
      <c r="AI286" s="230">
        <v>3938.1000000000004</v>
      </c>
    </row>
    <row r="287" spans="5:35" x14ac:dyDescent="0.35">
      <c r="E287" s="226">
        <v>0.39773999999999987</v>
      </c>
      <c r="F287" s="227">
        <v>4.4752438356164381</v>
      </c>
      <c r="G287" s="227">
        <v>1633.4639999999999</v>
      </c>
      <c r="H287" s="227">
        <v>0.64880000000000004</v>
      </c>
      <c r="I287" s="227">
        <v>1.0936999999999999</v>
      </c>
      <c r="J287" s="227">
        <v>0.33311281585638786</v>
      </c>
      <c r="K287" s="227">
        <v>140</v>
      </c>
      <c r="L287" s="227">
        <v>140</v>
      </c>
      <c r="M287" s="227">
        <v>140</v>
      </c>
      <c r="N287" s="227">
        <v>104.67</v>
      </c>
      <c r="O287" s="227">
        <v>119.6</v>
      </c>
      <c r="P287" s="227">
        <v>135.12</v>
      </c>
      <c r="Q287" s="227">
        <v>126.28</v>
      </c>
      <c r="R287" s="227">
        <v>139.65</v>
      </c>
      <c r="S287" s="227">
        <v>74.650000000000006</v>
      </c>
      <c r="T287" s="227">
        <v>40.771999999999998</v>
      </c>
      <c r="U287" s="227">
        <v>54.168999999999997</v>
      </c>
      <c r="V287" s="227">
        <v>46.585000000000001</v>
      </c>
      <c r="W287" s="227">
        <v>79.5</v>
      </c>
      <c r="X287" s="227">
        <v>79.5</v>
      </c>
      <c r="Y287" s="227">
        <v>79.5</v>
      </c>
      <c r="Z287" s="227">
        <v>79.5</v>
      </c>
      <c r="AA287" s="227">
        <v>79.5</v>
      </c>
      <c r="AB287" s="227">
        <v>189.37</v>
      </c>
      <c r="AC287" s="227">
        <v>656.53</v>
      </c>
      <c r="AD287" s="230">
        <v>2.1917824074074075E-3</v>
      </c>
      <c r="AE287" s="230">
        <v>1136.22</v>
      </c>
      <c r="AF287" s="230">
        <v>3234.1560000000004</v>
      </c>
      <c r="AG287" s="230">
        <v>287809.47289991908</v>
      </c>
      <c r="AH287" s="230">
        <v>1000040.8902056506</v>
      </c>
      <c r="AI287" s="230">
        <v>3939.18</v>
      </c>
    </row>
    <row r="288" spans="5:35" x14ac:dyDescent="0.35">
      <c r="E288" s="226">
        <v>0.40173999999999987</v>
      </c>
      <c r="F288" s="227">
        <v>4.4916821917808214</v>
      </c>
      <c r="G288" s="227">
        <v>1639.4639999999999</v>
      </c>
      <c r="H288" s="227">
        <v>0.65210000000000001</v>
      </c>
      <c r="I288" s="227">
        <v>1.0976999999999999</v>
      </c>
      <c r="J288" s="227">
        <v>0.33441594085638787</v>
      </c>
      <c r="K288" s="227">
        <v>140</v>
      </c>
      <c r="L288" s="227">
        <v>140</v>
      </c>
      <c r="M288" s="227">
        <v>140</v>
      </c>
      <c r="N288" s="227">
        <v>104.66</v>
      </c>
      <c r="O288" s="227">
        <v>119.51</v>
      </c>
      <c r="P288" s="227">
        <v>135.01</v>
      </c>
      <c r="Q288" s="227">
        <v>126.2</v>
      </c>
      <c r="R288" s="227">
        <v>139.51</v>
      </c>
      <c r="S288" s="227">
        <v>74.509999999999991</v>
      </c>
      <c r="T288" s="227">
        <v>40.801000000000002</v>
      </c>
      <c r="U288" s="227">
        <v>54.223999999999997</v>
      </c>
      <c r="V288" s="227">
        <v>46.655999999999999</v>
      </c>
      <c r="W288" s="227">
        <v>79.5</v>
      </c>
      <c r="X288" s="227">
        <v>79.5</v>
      </c>
      <c r="Y288" s="227">
        <v>79.5</v>
      </c>
      <c r="Z288" s="227">
        <v>79.5</v>
      </c>
      <c r="AA288" s="227">
        <v>79.5</v>
      </c>
      <c r="AB288" s="227">
        <v>187.65</v>
      </c>
      <c r="AC288" s="227">
        <v>656.72</v>
      </c>
      <c r="AD288" s="230">
        <v>2.1718750000000002E-3</v>
      </c>
      <c r="AE288" s="230">
        <v>1125.9000000000001</v>
      </c>
      <c r="AF288" s="230">
        <v>3235.0860000000002</v>
      </c>
      <c r="AG288" s="230">
        <v>288935.37289991911</v>
      </c>
      <c r="AH288" s="230">
        <v>1003275.9762056506</v>
      </c>
      <c r="AI288" s="230">
        <v>3940.32</v>
      </c>
    </row>
    <row r="289" spans="5:35" x14ac:dyDescent="0.35">
      <c r="E289" s="226">
        <v>0.40573999999999988</v>
      </c>
      <c r="F289" s="227">
        <v>4.5081205479452056</v>
      </c>
      <c r="G289" s="227">
        <v>1645.4639999999999</v>
      </c>
      <c r="H289" s="227">
        <v>0.65539999999999998</v>
      </c>
      <c r="I289" s="227">
        <v>1.1016999999999999</v>
      </c>
      <c r="J289" s="227">
        <v>0.33570726030083231</v>
      </c>
      <c r="K289" s="227">
        <v>140</v>
      </c>
      <c r="L289" s="227">
        <v>140</v>
      </c>
      <c r="M289" s="227">
        <v>140</v>
      </c>
      <c r="N289" s="227">
        <v>104.65</v>
      </c>
      <c r="O289" s="227">
        <v>119.43</v>
      </c>
      <c r="P289" s="227">
        <v>134.9</v>
      </c>
      <c r="Q289" s="227">
        <v>126.11</v>
      </c>
      <c r="R289" s="227">
        <v>139.38</v>
      </c>
      <c r="S289" s="227">
        <v>74.38</v>
      </c>
      <c r="T289" s="227">
        <v>40.831000000000003</v>
      </c>
      <c r="U289" s="227">
        <v>54.28</v>
      </c>
      <c r="V289" s="227">
        <v>46.728999999999999</v>
      </c>
      <c r="W289" s="227">
        <v>79.5</v>
      </c>
      <c r="X289" s="227">
        <v>79.5</v>
      </c>
      <c r="Y289" s="227">
        <v>79.5</v>
      </c>
      <c r="Z289" s="227">
        <v>79.5</v>
      </c>
      <c r="AA289" s="227">
        <v>79.5</v>
      </c>
      <c r="AB289" s="227">
        <v>185.95</v>
      </c>
      <c r="AC289" s="227">
        <v>656.92</v>
      </c>
      <c r="AD289" s="230">
        <v>2.1521990740740737E-3</v>
      </c>
      <c r="AE289" s="230">
        <v>1115.6999999999998</v>
      </c>
      <c r="AF289" s="230">
        <v>3236.04</v>
      </c>
      <c r="AG289" s="230">
        <v>290051.07289991912</v>
      </c>
      <c r="AH289" s="230">
        <v>1006512.0162056506</v>
      </c>
      <c r="AI289" s="230">
        <v>3941.5199999999995</v>
      </c>
    </row>
    <row r="290" spans="5:35" x14ac:dyDescent="0.35">
      <c r="E290" s="226">
        <v>0.40973999999999988</v>
      </c>
      <c r="F290" s="227">
        <v>4.5245589041095888</v>
      </c>
      <c r="G290" s="227">
        <v>1651.4639999999999</v>
      </c>
      <c r="H290" s="227">
        <v>0.65859999999999996</v>
      </c>
      <c r="I290" s="227">
        <v>1.1056999999999999</v>
      </c>
      <c r="J290" s="227">
        <v>0.33698677418972123</v>
      </c>
      <c r="K290" s="227">
        <v>140</v>
      </c>
      <c r="L290" s="227">
        <v>140</v>
      </c>
      <c r="M290" s="227">
        <v>140</v>
      </c>
      <c r="N290" s="227">
        <v>104.64</v>
      </c>
      <c r="O290" s="227">
        <v>119.34</v>
      </c>
      <c r="P290" s="227">
        <v>134.79</v>
      </c>
      <c r="Q290" s="227">
        <v>126.02</v>
      </c>
      <c r="R290" s="227">
        <v>139.24</v>
      </c>
      <c r="S290" s="227">
        <v>74.240000000000009</v>
      </c>
      <c r="T290" s="227">
        <v>40.866</v>
      </c>
      <c r="U290" s="227">
        <v>54.338999999999999</v>
      </c>
      <c r="V290" s="227">
        <v>46.805</v>
      </c>
      <c r="W290" s="227">
        <v>79.5</v>
      </c>
      <c r="X290" s="227">
        <v>79.5</v>
      </c>
      <c r="Y290" s="227">
        <v>79.5</v>
      </c>
      <c r="Z290" s="227">
        <v>79.5</v>
      </c>
      <c r="AA290" s="227">
        <v>79.5</v>
      </c>
      <c r="AB290" s="227">
        <v>184.25</v>
      </c>
      <c r="AC290" s="227">
        <v>657.12</v>
      </c>
      <c r="AD290" s="230">
        <v>2.1325231481481481E-3</v>
      </c>
      <c r="AE290" s="230">
        <v>1105.5</v>
      </c>
      <c r="AF290" s="230">
        <v>3237.06</v>
      </c>
      <c r="AG290" s="230">
        <v>291156.57289991912</v>
      </c>
      <c r="AH290" s="230">
        <v>1009749.0762056507</v>
      </c>
      <c r="AI290" s="230">
        <v>3942.7200000000003</v>
      </c>
    </row>
    <row r="291" spans="5:35" x14ac:dyDescent="0.35">
      <c r="E291" s="226">
        <v>0.41373999999999989</v>
      </c>
      <c r="F291" s="227">
        <v>4.5409972602739721</v>
      </c>
      <c r="G291" s="227">
        <v>1657.4639999999999</v>
      </c>
      <c r="H291" s="227">
        <v>0.66180000000000005</v>
      </c>
      <c r="I291" s="227">
        <v>1.1096999999999999</v>
      </c>
      <c r="J291" s="227">
        <v>0.33825476030083229</v>
      </c>
      <c r="K291" s="227">
        <v>140</v>
      </c>
      <c r="L291" s="227">
        <v>140</v>
      </c>
      <c r="M291" s="227">
        <v>140</v>
      </c>
      <c r="N291" s="227">
        <v>104.63</v>
      </c>
      <c r="O291" s="227">
        <v>119.26</v>
      </c>
      <c r="P291" s="227">
        <v>134.69</v>
      </c>
      <c r="Q291" s="227">
        <v>125.93</v>
      </c>
      <c r="R291" s="227">
        <v>139.1</v>
      </c>
      <c r="S291" s="227">
        <v>74.099999999999994</v>
      </c>
      <c r="T291" s="227">
        <v>40.899000000000001</v>
      </c>
      <c r="U291" s="227">
        <v>54.395000000000003</v>
      </c>
      <c r="V291" s="227">
        <v>46.878999999999998</v>
      </c>
      <c r="W291" s="227">
        <v>79.5</v>
      </c>
      <c r="X291" s="227">
        <v>79.5</v>
      </c>
      <c r="Y291" s="227">
        <v>79.5</v>
      </c>
      <c r="Z291" s="227">
        <v>79.5</v>
      </c>
      <c r="AA291" s="227">
        <v>79.5</v>
      </c>
      <c r="AB291" s="227">
        <v>182.59</v>
      </c>
      <c r="AC291" s="227">
        <v>657.32</v>
      </c>
      <c r="AD291" s="230">
        <v>2.1133101851851851E-3</v>
      </c>
      <c r="AE291" s="230">
        <v>1095.54</v>
      </c>
      <c r="AF291" s="230">
        <v>3238.038</v>
      </c>
      <c r="AG291" s="230">
        <v>292252.1128999191</v>
      </c>
      <c r="AH291" s="230">
        <v>1012987.1142056506</v>
      </c>
      <c r="AI291" s="230">
        <v>3943.92</v>
      </c>
    </row>
    <row r="292" spans="5:35" x14ac:dyDescent="0.35">
      <c r="E292" s="226">
        <v>0.41783999999999988</v>
      </c>
      <c r="F292" s="227">
        <v>4.5574356164383563</v>
      </c>
      <c r="G292" s="227">
        <v>1663.4639999999999</v>
      </c>
      <c r="H292" s="227">
        <v>0.66500000000000004</v>
      </c>
      <c r="I292" s="227">
        <v>1.1137999999999999</v>
      </c>
      <c r="J292" s="227">
        <v>0.33951121863416567</v>
      </c>
      <c r="K292" s="227">
        <v>140</v>
      </c>
      <c r="L292" s="227">
        <v>140</v>
      </c>
      <c r="M292" s="227">
        <v>140</v>
      </c>
      <c r="N292" s="227">
        <v>104.62</v>
      </c>
      <c r="O292" s="227">
        <v>119.18</v>
      </c>
      <c r="P292" s="227">
        <v>134.58000000000001</v>
      </c>
      <c r="Q292" s="227">
        <v>125.84</v>
      </c>
      <c r="R292" s="227">
        <v>138.96</v>
      </c>
      <c r="S292" s="227">
        <v>73.960000000000008</v>
      </c>
      <c r="T292" s="227">
        <v>40.936</v>
      </c>
      <c r="U292" s="227">
        <v>54.454000000000001</v>
      </c>
      <c r="V292" s="227">
        <v>46.956000000000003</v>
      </c>
      <c r="W292" s="227">
        <v>79.5</v>
      </c>
      <c r="X292" s="227">
        <v>79.5</v>
      </c>
      <c r="Y292" s="227">
        <v>79.5</v>
      </c>
      <c r="Z292" s="227">
        <v>79.5</v>
      </c>
      <c r="AA292" s="227">
        <v>79.5</v>
      </c>
      <c r="AB292" s="227">
        <v>180.93</v>
      </c>
      <c r="AC292" s="227">
        <v>657.53</v>
      </c>
      <c r="AD292" s="230">
        <v>2.0940972222222225E-3</v>
      </c>
      <c r="AE292" s="230">
        <v>1085.5800000000002</v>
      </c>
      <c r="AF292" s="230">
        <v>3239.076</v>
      </c>
      <c r="AG292" s="230">
        <v>293337.69289991912</v>
      </c>
      <c r="AH292" s="230">
        <v>1016226.1902056506</v>
      </c>
      <c r="AI292" s="230">
        <v>3945.18</v>
      </c>
    </row>
    <row r="293" spans="5:35" x14ac:dyDescent="0.35">
      <c r="E293" s="226">
        <v>0.42183999999999988</v>
      </c>
      <c r="F293" s="227">
        <v>4.5738739726027395</v>
      </c>
      <c r="G293" s="227">
        <v>1669.4639999999999</v>
      </c>
      <c r="H293" s="227">
        <v>0.66810000000000003</v>
      </c>
      <c r="I293" s="227">
        <v>1.1177999999999999</v>
      </c>
      <c r="J293" s="227">
        <v>0.3407563575230545</v>
      </c>
      <c r="K293" s="227">
        <v>140</v>
      </c>
      <c r="L293" s="227">
        <v>140</v>
      </c>
      <c r="M293" s="227">
        <v>140</v>
      </c>
      <c r="N293" s="227">
        <v>104.61</v>
      </c>
      <c r="O293" s="227">
        <v>119.09</v>
      </c>
      <c r="P293" s="227">
        <v>134.47999999999999</v>
      </c>
      <c r="Q293" s="227">
        <v>125.75</v>
      </c>
      <c r="R293" s="227">
        <v>138.82</v>
      </c>
      <c r="S293" s="227">
        <v>73.819999999999993</v>
      </c>
      <c r="T293" s="227">
        <v>40.975000000000001</v>
      </c>
      <c r="U293" s="227">
        <v>54.512999999999998</v>
      </c>
      <c r="V293" s="227">
        <v>47.033000000000001</v>
      </c>
      <c r="W293" s="227">
        <v>79.5</v>
      </c>
      <c r="X293" s="227">
        <v>79.5</v>
      </c>
      <c r="Y293" s="227">
        <v>79.5</v>
      </c>
      <c r="Z293" s="227">
        <v>79.5</v>
      </c>
      <c r="AA293" s="227">
        <v>79.5</v>
      </c>
      <c r="AB293" s="227">
        <v>179.3</v>
      </c>
      <c r="AC293" s="227">
        <v>657.75</v>
      </c>
      <c r="AD293" s="230">
        <v>2.0752314814814817E-3</v>
      </c>
      <c r="AE293" s="230">
        <v>1075.8000000000002</v>
      </c>
      <c r="AF293" s="230">
        <v>3240.1259999999997</v>
      </c>
      <c r="AG293" s="230">
        <v>294413.4928999191</v>
      </c>
      <c r="AH293" s="230">
        <v>1019466.3162056507</v>
      </c>
      <c r="AI293" s="230">
        <v>3946.5</v>
      </c>
    </row>
    <row r="294" spans="5:35" x14ac:dyDescent="0.35">
      <c r="E294" s="226">
        <v>0.42583999999999989</v>
      </c>
      <c r="F294" s="227">
        <v>4.5903123287671228</v>
      </c>
      <c r="G294" s="227">
        <v>1675.4639999999999</v>
      </c>
      <c r="H294" s="227">
        <v>0.67120000000000002</v>
      </c>
      <c r="I294" s="227">
        <v>1.1217999999999999</v>
      </c>
      <c r="J294" s="227">
        <v>0.34199031585638789</v>
      </c>
      <c r="K294" s="227">
        <v>140</v>
      </c>
      <c r="L294" s="227">
        <v>140</v>
      </c>
      <c r="M294" s="227">
        <v>140</v>
      </c>
      <c r="N294" s="227">
        <v>104.6</v>
      </c>
      <c r="O294" s="227">
        <v>119.01</v>
      </c>
      <c r="P294" s="227">
        <v>134.37</v>
      </c>
      <c r="Q294" s="227">
        <v>125.66</v>
      </c>
      <c r="R294" s="227">
        <v>138.68</v>
      </c>
      <c r="S294" s="227">
        <v>73.680000000000007</v>
      </c>
      <c r="T294" s="227">
        <v>41.017000000000003</v>
      </c>
      <c r="U294" s="227">
        <v>54.576000000000001</v>
      </c>
      <c r="V294" s="227">
        <v>47.113999999999997</v>
      </c>
      <c r="W294" s="227">
        <v>79.5</v>
      </c>
      <c r="X294" s="227">
        <v>79.5</v>
      </c>
      <c r="Y294" s="227">
        <v>79.5</v>
      </c>
      <c r="Z294" s="227">
        <v>79.5</v>
      </c>
      <c r="AA294" s="227">
        <v>79.5</v>
      </c>
      <c r="AB294" s="227">
        <v>177.69</v>
      </c>
      <c r="AC294" s="227">
        <v>657.97</v>
      </c>
      <c r="AD294" s="230">
        <v>2.0565972222222222E-3</v>
      </c>
      <c r="AE294" s="230">
        <v>1066.1400000000001</v>
      </c>
      <c r="AF294" s="230">
        <v>3241.2420000000002</v>
      </c>
      <c r="AG294" s="230">
        <v>295479.63289991912</v>
      </c>
      <c r="AH294" s="230">
        <v>1022707.5582056507</v>
      </c>
      <c r="AI294" s="230">
        <v>3947.82</v>
      </c>
    </row>
    <row r="295" spans="5:35" x14ac:dyDescent="0.35">
      <c r="E295" s="226">
        <v>0.42983999999999989</v>
      </c>
      <c r="F295" s="227">
        <v>4.606750684931507</v>
      </c>
      <c r="G295" s="227">
        <v>1681.4639999999999</v>
      </c>
      <c r="H295" s="227">
        <v>0.67430000000000001</v>
      </c>
      <c r="I295" s="227">
        <v>1.1257999999999999</v>
      </c>
      <c r="J295" s="227">
        <v>0.34321323252305452</v>
      </c>
      <c r="K295" s="227">
        <v>140</v>
      </c>
      <c r="L295" s="227">
        <v>140</v>
      </c>
      <c r="M295" s="227">
        <v>140</v>
      </c>
      <c r="N295" s="227">
        <v>104.59</v>
      </c>
      <c r="O295" s="227">
        <v>118.92</v>
      </c>
      <c r="P295" s="227">
        <v>134.27000000000001</v>
      </c>
      <c r="Q295" s="227">
        <v>125.57</v>
      </c>
      <c r="R295" s="227">
        <v>138.53</v>
      </c>
      <c r="S295" s="227">
        <v>73.53</v>
      </c>
      <c r="T295" s="227">
        <v>41.061</v>
      </c>
      <c r="U295" s="227">
        <v>54.64</v>
      </c>
      <c r="V295" s="227">
        <v>47.195999999999998</v>
      </c>
      <c r="W295" s="227">
        <v>79.5</v>
      </c>
      <c r="X295" s="227">
        <v>79.5</v>
      </c>
      <c r="Y295" s="227">
        <v>79.5</v>
      </c>
      <c r="Z295" s="227">
        <v>79.5</v>
      </c>
      <c r="AA295" s="227">
        <v>79.5</v>
      </c>
      <c r="AB295" s="227">
        <v>176.1</v>
      </c>
      <c r="AC295" s="227">
        <v>658.2</v>
      </c>
      <c r="AD295" s="230">
        <v>2.0381944444444445E-3</v>
      </c>
      <c r="AE295" s="230">
        <v>1056.5999999999999</v>
      </c>
      <c r="AF295" s="230">
        <v>3242.3819999999996</v>
      </c>
      <c r="AG295" s="230">
        <v>296536.23289991909</v>
      </c>
      <c r="AH295" s="230">
        <v>1025949.9402056506</v>
      </c>
      <c r="AI295" s="230">
        <v>3949.2000000000003</v>
      </c>
    </row>
    <row r="296" spans="5:35" x14ac:dyDescent="0.35">
      <c r="E296" s="226">
        <v>0.43383999999999989</v>
      </c>
      <c r="F296" s="227">
        <v>4.6231890410958902</v>
      </c>
      <c r="G296" s="227">
        <v>1687.4639999999999</v>
      </c>
      <c r="H296" s="227">
        <v>0.67730000000000001</v>
      </c>
      <c r="I296" s="227">
        <v>1.1297999999999999</v>
      </c>
      <c r="J296" s="227">
        <v>0.3444253158563878</v>
      </c>
      <c r="K296" s="227">
        <v>140</v>
      </c>
      <c r="L296" s="227">
        <v>140</v>
      </c>
      <c r="M296" s="227">
        <v>140</v>
      </c>
      <c r="N296" s="227">
        <v>104.58</v>
      </c>
      <c r="O296" s="227">
        <v>118.84</v>
      </c>
      <c r="P296" s="227">
        <v>134.16999999999999</v>
      </c>
      <c r="Q296" s="227">
        <v>125.48</v>
      </c>
      <c r="R296" s="227">
        <v>138.38999999999999</v>
      </c>
      <c r="S296" s="227">
        <v>73.389999999999986</v>
      </c>
      <c r="T296" s="227">
        <v>41.106999999999999</v>
      </c>
      <c r="U296" s="227">
        <v>54.704000000000001</v>
      </c>
      <c r="V296" s="227">
        <v>47.277999999999999</v>
      </c>
      <c r="W296" s="227">
        <v>79.5</v>
      </c>
      <c r="X296" s="227">
        <v>79.5</v>
      </c>
      <c r="Y296" s="227">
        <v>79.5</v>
      </c>
      <c r="Z296" s="227">
        <v>79.5</v>
      </c>
      <c r="AA296" s="227">
        <v>79.5</v>
      </c>
      <c r="AB296" s="227">
        <v>174.54</v>
      </c>
      <c r="AC296" s="227">
        <v>658.44</v>
      </c>
      <c r="AD296" s="230">
        <v>2.0201388888888886E-3</v>
      </c>
      <c r="AE296" s="230">
        <v>1047.2399999999998</v>
      </c>
      <c r="AF296" s="230">
        <v>3243.5339999999997</v>
      </c>
      <c r="AG296" s="230">
        <v>297583.47289991908</v>
      </c>
      <c r="AH296" s="230">
        <v>1029193.4742056506</v>
      </c>
      <c r="AI296" s="230">
        <v>3950.6400000000003</v>
      </c>
    </row>
    <row r="297" spans="5:35" x14ac:dyDescent="0.35">
      <c r="E297" s="226">
        <v>0.4378399999999999</v>
      </c>
      <c r="F297" s="227">
        <v>4.6396273972602735</v>
      </c>
      <c r="G297" s="227">
        <v>1693.4639999999999</v>
      </c>
      <c r="H297" s="227">
        <v>0.68020000000000003</v>
      </c>
      <c r="I297" s="227">
        <v>1.1337999999999999</v>
      </c>
      <c r="J297" s="227">
        <v>0.34562663530083226</v>
      </c>
      <c r="K297" s="227">
        <v>140</v>
      </c>
      <c r="L297" s="227">
        <v>140</v>
      </c>
      <c r="M297" s="227">
        <v>140</v>
      </c>
      <c r="N297" s="227">
        <v>104.58</v>
      </c>
      <c r="O297" s="227">
        <v>118.75</v>
      </c>
      <c r="P297" s="227">
        <v>134.07</v>
      </c>
      <c r="Q297" s="227">
        <v>125.39</v>
      </c>
      <c r="R297" s="227">
        <v>138.24</v>
      </c>
      <c r="S297" s="227">
        <v>73.240000000000009</v>
      </c>
      <c r="T297" s="227">
        <v>41.155000000000001</v>
      </c>
      <c r="U297" s="227">
        <v>54.768999999999998</v>
      </c>
      <c r="V297" s="227">
        <v>47.360999999999997</v>
      </c>
      <c r="W297" s="227">
        <v>79.5</v>
      </c>
      <c r="X297" s="227">
        <v>79.5</v>
      </c>
      <c r="Y297" s="227">
        <v>79.5</v>
      </c>
      <c r="Z297" s="227">
        <v>79.5</v>
      </c>
      <c r="AA297" s="227">
        <v>79.5</v>
      </c>
      <c r="AB297" s="227">
        <v>172.99</v>
      </c>
      <c r="AC297" s="227">
        <v>658.68</v>
      </c>
      <c r="AD297" s="230">
        <v>2.0021990740740742E-3</v>
      </c>
      <c r="AE297" s="230">
        <v>1037.94</v>
      </c>
      <c r="AF297" s="230">
        <v>3244.71</v>
      </c>
      <c r="AG297" s="230">
        <v>298621.41289991909</v>
      </c>
      <c r="AH297" s="230">
        <v>1032438.1842056506</v>
      </c>
      <c r="AI297" s="230">
        <v>3952.08</v>
      </c>
    </row>
    <row r="298" spans="5:35" x14ac:dyDescent="0.35">
      <c r="E298" s="226">
        <v>0.44193999999999989</v>
      </c>
      <c r="F298" s="227">
        <v>4.6560657534246577</v>
      </c>
      <c r="G298" s="227">
        <v>1699.4639999999999</v>
      </c>
      <c r="H298" s="227">
        <v>0.68320000000000003</v>
      </c>
      <c r="I298" s="227">
        <v>1.1378999999999999</v>
      </c>
      <c r="J298" s="227">
        <v>0.34681739918972115</v>
      </c>
      <c r="K298" s="227">
        <v>140</v>
      </c>
      <c r="L298" s="227">
        <v>140</v>
      </c>
      <c r="M298" s="227">
        <v>140</v>
      </c>
      <c r="N298" s="227">
        <v>104.57</v>
      </c>
      <c r="O298" s="227">
        <v>118.67</v>
      </c>
      <c r="P298" s="227">
        <v>133.96</v>
      </c>
      <c r="Q298" s="227">
        <v>125.29</v>
      </c>
      <c r="R298" s="227">
        <v>138.1</v>
      </c>
      <c r="S298" s="227">
        <v>73.099999999999994</v>
      </c>
      <c r="T298" s="227">
        <v>41.201999999999998</v>
      </c>
      <c r="U298" s="227">
        <v>54.832999999999998</v>
      </c>
      <c r="V298" s="227">
        <v>47.445</v>
      </c>
      <c r="W298" s="227">
        <v>79.5</v>
      </c>
      <c r="X298" s="227">
        <v>79.5</v>
      </c>
      <c r="Y298" s="227">
        <v>79.5</v>
      </c>
      <c r="Z298" s="227">
        <v>79.5</v>
      </c>
      <c r="AA298" s="227">
        <v>79.5</v>
      </c>
      <c r="AB298" s="227">
        <v>171.47</v>
      </c>
      <c r="AC298" s="227">
        <v>658.91</v>
      </c>
      <c r="AD298" s="230">
        <v>1.9846064814814813E-3</v>
      </c>
      <c r="AE298" s="230">
        <v>1028.82</v>
      </c>
      <c r="AF298" s="230">
        <v>3245.88</v>
      </c>
      <c r="AG298" s="230">
        <v>299650.23289991909</v>
      </c>
      <c r="AH298" s="230">
        <v>1035684.0642056506</v>
      </c>
      <c r="AI298" s="230">
        <v>3953.46</v>
      </c>
    </row>
    <row r="299" spans="5:35" x14ac:dyDescent="0.35">
      <c r="E299" s="226">
        <v>0.44593999999999989</v>
      </c>
      <c r="F299" s="227">
        <v>4.6725041095890409</v>
      </c>
      <c r="G299" s="227">
        <v>1705.4639999999999</v>
      </c>
      <c r="H299" s="227">
        <v>0.68600000000000005</v>
      </c>
      <c r="I299" s="227">
        <v>1.1418999999999999</v>
      </c>
      <c r="J299" s="227">
        <v>0.34799788530083231</v>
      </c>
      <c r="K299" s="227">
        <v>140</v>
      </c>
      <c r="L299" s="227">
        <v>140</v>
      </c>
      <c r="M299" s="227">
        <v>140</v>
      </c>
      <c r="N299" s="227">
        <v>104.57</v>
      </c>
      <c r="O299" s="227">
        <v>118.58</v>
      </c>
      <c r="P299" s="227">
        <v>133.86000000000001</v>
      </c>
      <c r="Q299" s="227">
        <v>125.2</v>
      </c>
      <c r="R299" s="227">
        <v>137.96</v>
      </c>
      <c r="S299" s="227">
        <v>72.960000000000008</v>
      </c>
      <c r="T299" s="227">
        <v>41.25</v>
      </c>
      <c r="U299" s="227">
        <v>54.898000000000003</v>
      </c>
      <c r="V299" s="227">
        <v>47.529000000000003</v>
      </c>
      <c r="W299" s="227">
        <v>79.5</v>
      </c>
      <c r="X299" s="227">
        <v>79.5</v>
      </c>
      <c r="Y299" s="227">
        <v>79.5</v>
      </c>
      <c r="Z299" s="227">
        <v>79.5</v>
      </c>
      <c r="AA299" s="227">
        <v>79.5</v>
      </c>
      <c r="AB299" s="227">
        <v>169.99</v>
      </c>
      <c r="AC299" s="227">
        <v>659.15</v>
      </c>
      <c r="AD299" s="230">
        <v>1.9674768518518518E-3</v>
      </c>
      <c r="AE299" s="230">
        <v>1019.9399999999998</v>
      </c>
      <c r="AF299" s="230">
        <v>3247.0619999999999</v>
      </c>
      <c r="AG299" s="230">
        <v>300670.1728999191</v>
      </c>
      <c r="AH299" s="230">
        <v>1038931.1262056506</v>
      </c>
      <c r="AI299" s="230">
        <v>3954.8999999999996</v>
      </c>
    </row>
    <row r="300" spans="5:35" x14ac:dyDescent="0.35">
      <c r="E300" s="226">
        <v>0.4499399999999999</v>
      </c>
      <c r="F300" s="227">
        <v>4.6889424657534242</v>
      </c>
      <c r="G300" s="227">
        <v>1711.4639999999999</v>
      </c>
      <c r="H300" s="227">
        <v>0.68879999999999997</v>
      </c>
      <c r="I300" s="227">
        <v>1.1458999999999999</v>
      </c>
      <c r="J300" s="227">
        <v>0.34916830196749893</v>
      </c>
      <c r="K300" s="227">
        <v>140</v>
      </c>
      <c r="L300" s="227">
        <v>140</v>
      </c>
      <c r="M300" s="227">
        <v>140</v>
      </c>
      <c r="N300" s="227">
        <v>104.56</v>
      </c>
      <c r="O300" s="227">
        <v>118.5</v>
      </c>
      <c r="P300" s="227">
        <v>133.77000000000001</v>
      </c>
      <c r="Q300" s="227">
        <v>125.11</v>
      </c>
      <c r="R300" s="227">
        <v>137.82</v>
      </c>
      <c r="S300" s="227">
        <v>72.819999999999993</v>
      </c>
      <c r="T300" s="227">
        <v>41.298999999999999</v>
      </c>
      <c r="U300" s="227">
        <v>54.963000000000001</v>
      </c>
      <c r="V300" s="227">
        <v>47.613</v>
      </c>
      <c r="W300" s="227">
        <v>79.5</v>
      </c>
      <c r="X300" s="227">
        <v>79.5</v>
      </c>
      <c r="Y300" s="227">
        <v>79.5</v>
      </c>
      <c r="Z300" s="227">
        <v>79.5</v>
      </c>
      <c r="AA300" s="227">
        <v>79.5</v>
      </c>
      <c r="AB300" s="227">
        <v>168.54</v>
      </c>
      <c r="AC300" s="227">
        <v>659.4</v>
      </c>
      <c r="AD300" s="230">
        <v>1.9506944444444444E-3</v>
      </c>
      <c r="AE300" s="230">
        <v>1011.24</v>
      </c>
      <c r="AF300" s="230">
        <v>3248.25</v>
      </c>
      <c r="AG300" s="230">
        <v>301681.41289991909</v>
      </c>
      <c r="AH300" s="230">
        <v>1042179.3762056506</v>
      </c>
      <c r="AI300" s="230">
        <v>3956.3999999999996</v>
      </c>
    </row>
    <row r="301" spans="5:35" x14ac:dyDescent="0.35">
      <c r="E301" s="226">
        <v>0.4539399999999999</v>
      </c>
      <c r="F301" s="227">
        <v>4.7053808219178084</v>
      </c>
      <c r="G301" s="227">
        <v>1717.4639999999999</v>
      </c>
      <c r="H301" s="227">
        <v>0.6915</v>
      </c>
      <c r="I301" s="227">
        <v>1.1498999999999999</v>
      </c>
      <c r="J301" s="227">
        <v>0.35032878807861001</v>
      </c>
      <c r="K301" s="227">
        <v>140</v>
      </c>
      <c r="L301" s="227">
        <v>140</v>
      </c>
      <c r="M301" s="227">
        <v>140</v>
      </c>
      <c r="N301" s="227">
        <v>104.56</v>
      </c>
      <c r="O301" s="227">
        <v>118.42</v>
      </c>
      <c r="P301" s="227">
        <v>133.66999999999999</v>
      </c>
      <c r="Q301" s="227">
        <v>125.02</v>
      </c>
      <c r="R301" s="227">
        <v>137.66999999999999</v>
      </c>
      <c r="S301" s="227">
        <v>72.669999999999987</v>
      </c>
      <c r="T301" s="227">
        <v>41.347999999999999</v>
      </c>
      <c r="U301" s="227">
        <v>55.027000000000001</v>
      </c>
      <c r="V301" s="227">
        <v>47.698</v>
      </c>
      <c r="W301" s="227">
        <v>79.5</v>
      </c>
      <c r="X301" s="227">
        <v>79.5</v>
      </c>
      <c r="Y301" s="227">
        <v>79.5</v>
      </c>
      <c r="Z301" s="227">
        <v>79.5</v>
      </c>
      <c r="AA301" s="227">
        <v>79.5</v>
      </c>
      <c r="AB301" s="227">
        <v>167.11</v>
      </c>
      <c r="AC301" s="227">
        <v>659.64</v>
      </c>
      <c r="AD301" s="230">
        <v>1.9341435185185186E-3</v>
      </c>
      <c r="AE301" s="230">
        <v>1002.66</v>
      </c>
      <c r="AF301" s="230">
        <v>3249.4380000000001</v>
      </c>
      <c r="AG301" s="230">
        <v>302684.07289991906</v>
      </c>
      <c r="AH301" s="230">
        <v>1045428.8142056506</v>
      </c>
      <c r="AI301" s="230">
        <v>3957.84</v>
      </c>
    </row>
    <row r="302" spans="5:35" x14ac:dyDescent="0.35">
      <c r="E302" s="226">
        <v>0.4579399999999999</v>
      </c>
      <c r="F302" s="227">
        <v>4.7218191780821916</v>
      </c>
      <c r="G302" s="227">
        <v>1723.4639999999999</v>
      </c>
      <c r="H302" s="227">
        <v>0.69420000000000004</v>
      </c>
      <c r="I302" s="227">
        <v>1.1538999999999999</v>
      </c>
      <c r="J302" s="227">
        <v>0.35147955196749892</v>
      </c>
      <c r="K302" s="227">
        <v>140</v>
      </c>
      <c r="L302" s="227">
        <v>140</v>
      </c>
      <c r="M302" s="227">
        <v>140</v>
      </c>
      <c r="N302" s="227">
        <v>104.56</v>
      </c>
      <c r="O302" s="227">
        <v>118.34</v>
      </c>
      <c r="P302" s="227">
        <v>133.57</v>
      </c>
      <c r="Q302" s="227">
        <v>124.92</v>
      </c>
      <c r="R302" s="227">
        <v>137.53</v>
      </c>
      <c r="S302" s="227">
        <v>72.53</v>
      </c>
      <c r="T302" s="227">
        <v>41.4</v>
      </c>
      <c r="U302" s="227">
        <v>55.093000000000004</v>
      </c>
      <c r="V302" s="227">
        <v>47.781999999999996</v>
      </c>
      <c r="W302" s="227">
        <v>79.5</v>
      </c>
      <c r="X302" s="227">
        <v>79.5</v>
      </c>
      <c r="Y302" s="227">
        <v>79.5</v>
      </c>
      <c r="Z302" s="227">
        <v>79.5</v>
      </c>
      <c r="AA302" s="227">
        <v>79.5</v>
      </c>
      <c r="AB302" s="227">
        <v>165.71</v>
      </c>
      <c r="AC302" s="227">
        <v>659.88</v>
      </c>
      <c r="AD302" s="230">
        <v>1.9179398148148148E-3</v>
      </c>
      <c r="AE302" s="230">
        <v>994.26</v>
      </c>
      <c r="AF302" s="230">
        <v>3250.6499999999996</v>
      </c>
      <c r="AG302" s="230">
        <v>303678.33289991907</v>
      </c>
      <c r="AH302" s="230">
        <v>1048679.4642056506</v>
      </c>
      <c r="AI302" s="230">
        <v>3959.2799999999997</v>
      </c>
    </row>
    <row r="303" spans="5:35" x14ac:dyDescent="0.35">
      <c r="E303" s="226">
        <v>0.46193999999999991</v>
      </c>
      <c r="F303" s="227">
        <v>4.7382575342465749</v>
      </c>
      <c r="G303" s="227">
        <v>1729.4639999999999</v>
      </c>
      <c r="H303" s="227">
        <v>0.69689999999999996</v>
      </c>
      <c r="I303" s="227">
        <v>1.1578999999999999</v>
      </c>
      <c r="J303" s="227">
        <v>0.35262094085638779</v>
      </c>
      <c r="K303" s="227">
        <v>140</v>
      </c>
      <c r="L303" s="227">
        <v>140</v>
      </c>
      <c r="M303" s="227">
        <v>140</v>
      </c>
      <c r="N303" s="227">
        <v>104.56</v>
      </c>
      <c r="O303" s="227">
        <v>118.26</v>
      </c>
      <c r="P303" s="227">
        <v>133.47999999999999</v>
      </c>
      <c r="Q303" s="227">
        <v>124.83</v>
      </c>
      <c r="R303" s="227">
        <v>137.38999999999999</v>
      </c>
      <c r="S303" s="227">
        <v>72.389999999999986</v>
      </c>
      <c r="T303" s="227">
        <v>41.45</v>
      </c>
      <c r="U303" s="227">
        <v>55.156999999999996</v>
      </c>
      <c r="V303" s="227">
        <v>47.863999999999997</v>
      </c>
      <c r="W303" s="227">
        <v>79.5</v>
      </c>
      <c r="X303" s="227">
        <v>79.5</v>
      </c>
      <c r="Y303" s="227">
        <v>79.5</v>
      </c>
      <c r="Z303" s="227">
        <v>79.5</v>
      </c>
      <c r="AA303" s="227">
        <v>79.5</v>
      </c>
      <c r="AB303" s="227">
        <v>164.36</v>
      </c>
      <c r="AC303" s="227">
        <v>660.12</v>
      </c>
      <c r="AD303" s="230">
        <v>1.902314814814815E-3</v>
      </c>
      <c r="AE303" s="230">
        <v>986.16000000000008</v>
      </c>
      <c r="AF303" s="230">
        <v>3251.826</v>
      </c>
      <c r="AG303" s="230">
        <v>304664.49289991905</v>
      </c>
      <c r="AH303" s="230">
        <v>1051931.2902056505</v>
      </c>
      <c r="AI303" s="230">
        <v>3960.7200000000003</v>
      </c>
    </row>
    <row r="304" spans="5:35" x14ac:dyDescent="0.35">
      <c r="E304" s="226">
        <v>0.4660399999999999</v>
      </c>
      <c r="F304" s="227">
        <v>4.7546958904109591</v>
      </c>
      <c r="G304" s="227">
        <v>1735.4639999999999</v>
      </c>
      <c r="H304" s="227">
        <v>0.69940000000000002</v>
      </c>
      <c r="I304" s="227">
        <v>1.1619999999999999</v>
      </c>
      <c r="J304" s="227">
        <v>0.35375309363416557</v>
      </c>
      <c r="K304" s="227">
        <v>140</v>
      </c>
      <c r="L304" s="227">
        <v>140</v>
      </c>
      <c r="M304" s="227">
        <v>140</v>
      </c>
      <c r="N304" s="227">
        <v>104.57</v>
      </c>
      <c r="O304" s="227">
        <v>118.18</v>
      </c>
      <c r="P304" s="227">
        <v>133.38999999999999</v>
      </c>
      <c r="Q304" s="227">
        <v>124.74</v>
      </c>
      <c r="R304" s="227">
        <v>137.25</v>
      </c>
      <c r="S304" s="227">
        <v>72.25</v>
      </c>
      <c r="T304" s="227">
        <v>41.503999999999998</v>
      </c>
      <c r="U304" s="227">
        <v>55.222999999999999</v>
      </c>
      <c r="V304" s="227">
        <v>47.945999999999998</v>
      </c>
      <c r="W304" s="227">
        <v>79.5</v>
      </c>
      <c r="X304" s="227">
        <v>79.5</v>
      </c>
      <c r="Y304" s="227">
        <v>79.5</v>
      </c>
      <c r="Z304" s="227">
        <v>79.5</v>
      </c>
      <c r="AA304" s="227">
        <v>79.5</v>
      </c>
      <c r="AB304" s="227">
        <v>163.03</v>
      </c>
      <c r="AC304" s="227">
        <v>660.37</v>
      </c>
      <c r="AD304" s="230">
        <v>1.8869212962962963E-3</v>
      </c>
      <c r="AE304" s="230">
        <v>978.18</v>
      </c>
      <c r="AF304" s="230">
        <v>3253.038</v>
      </c>
      <c r="AG304" s="230">
        <v>305642.67289991904</v>
      </c>
      <c r="AH304" s="230">
        <v>1055184.3282056504</v>
      </c>
      <c r="AI304" s="230">
        <v>3962.2200000000003</v>
      </c>
    </row>
    <row r="305" spans="5:35" x14ac:dyDescent="0.35">
      <c r="E305" s="226">
        <v>0.4700399999999999</v>
      </c>
      <c r="F305" s="227">
        <v>4.7711342465753424</v>
      </c>
      <c r="G305" s="227">
        <v>1741.4639999999999</v>
      </c>
      <c r="H305" s="227">
        <v>0.70189999999999997</v>
      </c>
      <c r="I305" s="227">
        <v>1.1659999999999999</v>
      </c>
      <c r="J305" s="227">
        <v>0.35487621863416557</v>
      </c>
      <c r="K305" s="227">
        <v>140</v>
      </c>
      <c r="L305" s="227">
        <v>140</v>
      </c>
      <c r="M305" s="227">
        <v>140</v>
      </c>
      <c r="N305" s="227">
        <v>104.57</v>
      </c>
      <c r="O305" s="227">
        <v>118.1</v>
      </c>
      <c r="P305" s="227">
        <v>133.29</v>
      </c>
      <c r="Q305" s="227">
        <v>124.65</v>
      </c>
      <c r="R305" s="227">
        <v>137.11000000000001</v>
      </c>
      <c r="S305" s="227">
        <v>72.110000000000014</v>
      </c>
      <c r="T305" s="227">
        <v>41.558</v>
      </c>
      <c r="U305" s="227">
        <v>55.289000000000001</v>
      </c>
      <c r="V305" s="227">
        <v>48.029000000000003</v>
      </c>
      <c r="W305" s="227">
        <v>79.5</v>
      </c>
      <c r="X305" s="227">
        <v>79.5</v>
      </c>
      <c r="Y305" s="227">
        <v>79.5</v>
      </c>
      <c r="Z305" s="227">
        <v>79.5</v>
      </c>
      <c r="AA305" s="227">
        <v>79.5</v>
      </c>
      <c r="AB305" s="227">
        <v>161.72999999999999</v>
      </c>
      <c r="AC305" s="227">
        <v>660.61</v>
      </c>
      <c r="AD305" s="230">
        <v>1.8718749999999998E-3</v>
      </c>
      <c r="AE305" s="230">
        <v>970.37999999999988</v>
      </c>
      <c r="AF305" s="230">
        <v>3254.2559999999999</v>
      </c>
      <c r="AG305" s="230">
        <v>306613.05289991904</v>
      </c>
      <c r="AH305" s="230">
        <v>1058438.5842056505</v>
      </c>
      <c r="AI305" s="230">
        <v>3963.66</v>
      </c>
    </row>
    <row r="306" spans="5:35" x14ac:dyDescent="0.35">
      <c r="E306" s="226">
        <v>0.47403999999999991</v>
      </c>
      <c r="F306" s="227">
        <v>4.7875726027397256</v>
      </c>
      <c r="G306" s="227">
        <v>1747.4639999999999</v>
      </c>
      <c r="H306" s="227">
        <v>0.70440000000000003</v>
      </c>
      <c r="I306" s="227">
        <v>1.17</v>
      </c>
      <c r="J306" s="227">
        <v>0.3559905241897211</v>
      </c>
      <c r="K306" s="227">
        <v>140</v>
      </c>
      <c r="L306" s="227">
        <v>140</v>
      </c>
      <c r="M306" s="227">
        <v>140</v>
      </c>
      <c r="N306" s="227">
        <v>104.57</v>
      </c>
      <c r="O306" s="227">
        <v>118.02</v>
      </c>
      <c r="P306" s="227">
        <v>133.19999999999999</v>
      </c>
      <c r="Q306" s="227">
        <v>124.57</v>
      </c>
      <c r="R306" s="227">
        <v>136.97</v>
      </c>
      <c r="S306" s="227">
        <v>71.97</v>
      </c>
      <c r="T306" s="227">
        <v>41.612000000000002</v>
      </c>
      <c r="U306" s="227">
        <v>55.356000000000002</v>
      </c>
      <c r="V306" s="227">
        <v>48.11</v>
      </c>
      <c r="W306" s="227">
        <v>79.5</v>
      </c>
      <c r="X306" s="227">
        <v>79.5</v>
      </c>
      <c r="Y306" s="227">
        <v>79.5</v>
      </c>
      <c r="Z306" s="227">
        <v>79.5</v>
      </c>
      <c r="AA306" s="227">
        <v>79.5</v>
      </c>
      <c r="AB306" s="227">
        <v>160.46</v>
      </c>
      <c r="AC306" s="227">
        <v>660.86</v>
      </c>
      <c r="AD306" s="230">
        <v>1.857175925925926E-3</v>
      </c>
      <c r="AE306" s="230">
        <v>962.76</v>
      </c>
      <c r="AF306" s="230">
        <v>3255.4679999999998</v>
      </c>
      <c r="AG306" s="230">
        <v>307575.81289991905</v>
      </c>
      <c r="AH306" s="230">
        <v>1061694.0522056506</v>
      </c>
      <c r="AI306" s="230">
        <v>3965.16</v>
      </c>
    </row>
    <row r="307" spans="5:35" x14ac:dyDescent="0.35">
      <c r="E307" s="226">
        <v>0.47803999999999991</v>
      </c>
      <c r="F307" s="227">
        <v>4.8040109589041098</v>
      </c>
      <c r="G307" s="227">
        <v>1753.4639999999999</v>
      </c>
      <c r="H307" s="227">
        <v>0.70679999999999998</v>
      </c>
      <c r="I307" s="227">
        <v>1.1739999999999999</v>
      </c>
      <c r="J307" s="227">
        <v>0.35709614918972116</v>
      </c>
      <c r="K307" s="227">
        <v>140</v>
      </c>
      <c r="L307" s="227">
        <v>140</v>
      </c>
      <c r="M307" s="227">
        <v>140</v>
      </c>
      <c r="N307" s="227">
        <v>104.58</v>
      </c>
      <c r="O307" s="227">
        <v>117.94</v>
      </c>
      <c r="P307" s="227">
        <v>133.12</v>
      </c>
      <c r="Q307" s="227">
        <v>124.48</v>
      </c>
      <c r="R307" s="227">
        <v>136.83000000000001</v>
      </c>
      <c r="S307" s="227">
        <v>71.830000000000013</v>
      </c>
      <c r="T307" s="227">
        <v>41.667000000000002</v>
      </c>
      <c r="U307" s="227">
        <v>55.421999999999997</v>
      </c>
      <c r="V307" s="227">
        <v>48.192</v>
      </c>
      <c r="W307" s="227">
        <v>79.5</v>
      </c>
      <c r="X307" s="227">
        <v>79.5</v>
      </c>
      <c r="Y307" s="227">
        <v>79.5</v>
      </c>
      <c r="Z307" s="227">
        <v>79.5</v>
      </c>
      <c r="AA307" s="227">
        <v>79.5</v>
      </c>
      <c r="AB307" s="227">
        <v>159.21</v>
      </c>
      <c r="AC307" s="227">
        <v>661.11</v>
      </c>
      <c r="AD307" s="230">
        <v>1.8427083333333334E-3</v>
      </c>
      <c r="AE307" s="230">
        <v>955.26</v>
      </c>
      <c r="AF307" s="230">
        <v>3256.6859999999997</v>
      </c>
      <c r="AG307" s="230">
        <v>308531.07289991906</v>
      </c>
      <c r="AH307" s="230">
        <v>1064950.7382056506</v>
      </c>
      <c r="AI307" s="230">
        <v>3966.66</v>
      </c>
    </row>
    <row r="308" spans="5:35" x14ac:dyDescent="0.35">
      <c r="E308" s="226">
        <v>0.48203999999999991</v>
      </c>
      <c r="F308" s="227">
        <v>4.8204493150684931</v>
      </c>
      <c r="G308" s="227">
        <v>1759.4639999999999</v>
      </c>
      <c r="H308" s="227">
        <v>0.70920000000000005</v>
      </c>
      <c r="I308" s="227">
        <v>1.1779999999999999</v>
      </c>
      <c r="J308" s="227">
        <v>0.35819323252305446</v>
      </c>
      <c r="K308" s="227">
        <v>140</v>
      </c>
      <c r="L308" s="227">
        <v>140</v>
      </c>
      <c r="M308" s="227">
        <v>140</v>
      </c>
      <c r="N308" s="227">
        <v>104.58</v>
      </c>
      <c r="O308" s="227">
        <v>117.86</v>
      </c>
      <c r="P308" s="227">
        <v>133.03</v>
      </c>
      <c r="Q308" s="227">
        <v>124.39</v>
      </c>
      <c r="R308" s="227">
        <v>136.69</v>
      </c>
      <c r="S308" s="227">
        <v>71.69</v>
      </c>
      <c r="T308" s="227">
        <v>41.725000000000001</v>
      </c>
      <c r="U308" s="227">
        <v>55.49</v>
      </c>
      <c r="V308" s="227">
        <v>48.274999999999999</v>
      </c>
      <c r="W308" s="227">
        <v>79.5</v>
      </c>
      <c r="X308" s="227">
        <v>79.5</v>
      </c>
      <c r="Y308" s="227">
        <v>79.5</v>
      </c>
      <c r="Z308" s="227">
        <v>79.5</v>
      </c>
      <c r="AA308" s="227">
        <v>79.5</v>
      </c>
      <c r="AB308" s="227">
        <v>157.97999999999999</v>
      </c>
      <c r="AC308" s="227">
        <v>661.36</v>
      </c>
      <c r="AD308" s="230">
        <v>1.828472222222222E-3</v>
      </c>
      <c r="AE308" s="230">
        <v>947.87999999999988</v>
      </c>
      <c r="AF308" s="230">
        <v>3257.94</v>
      </c>
      <c r="AG308" s="230">
        <v>309478.95289991907</v>
      </c>
      <c r="AH308" s="230">
        <v>1068208.6782056505</v>
      </c>
      <c r="AI308" s="230">
        <v>3968.16</v>
      </c>
    </row>
    <row r="309" spans="5:35" x14ac:dyDescent="0.35">
      <c r="E309" s="226">
        <v>0.48603999999999992</v>
      </c>
      <c r="F309" s="227">
        <v>4.8368876712328763</v>
      </c>
      <c r="G309" s="227">
        <v>1765.4639999999999</v>
      </c>
      <c r="H309" s="227">
        <v>0.71150000000000002</v>
      </c>
      <c r="I309" s="227">
        <v>1.1819999999999999</v>
      </c>
      <c r="J309" s="227">
        <v>0.35928191307861002</v>
      </c>
      <c r="K309" s="227">
        <v>140</v>
      </c>
      <c r="L309" s="227">
        <v>140</v>
      </c>
      <c r="M309" s="227">
        <v>140</v>
      </c>
      <c r="N309" s="227">
        <v>104.59</v>
      </c>
      <c r="O309" s="227">
        <v>117.78</v>
      </c>
      <c r="P309" s="227">
        <v>132.94</v>
      </c>
      <c r="Q309" s="227">
        <v>124.3</v>
      </c>
      <c r="R309" s="227">
        <v>136.56</v>
      </c>
      <c r="S309" s="227">
        <v>71.56</v>
      </c>
      <c r="T309" s="227">
        <v>41.781999999999996</v>
      </c>
      <c r="U309" s="227">
        <v>55.558</v>
      </c>
      <c r="V309" s="227">
        <v>48.356000000000002</v>
      </c>
      <c r="W309" s="227">
        <v>79.5</v>
      </c>
      <c r="X309" s="227">
        <v>79.5</v>
      </c>
      <c r="Y309" s="227">
        <v>79.5</v>
      </c>
      <c r="Z309" s="227">
        <v>79.5</v>
      </c>
      <c r="AA309" s="227">
        <v>79.5</v>
      </c>
      <c r="AB309" s="227">
        <v>156.77000000000001</v>
      </c>
      <c r="AC309" s="227">
        <v>661.61</v>
      </c>
      <c r="AD309" s="230">
        <v>1.8144675925925928E-3</v>
      </c>
      <c r="AE309" s="230">
        <v>940.62</v>
      </c>
      <c r="AF309" s="230">
        <v>3259.1760000000004</v>
      </c>
      <c r="AG309" s="230">
        <v>310419.57289991906</v>
      </c>
      <c r="AH309" s="230">
        <v>1071467.8542056505</v>
      </c>
      <c r="AI309" s="230">
        <v>3969.66</v>
      </c>
    </row>
    <row r="310" spans="5:35" x14ac:dyDescent="0.35">
      <c r="E310" s="226">
        <v>0.49013999999999991</v>
      </c>
      <c r="F310" s="227">
        <v>4.8533260273972605</v>
      </c>
      <c r="G310" s="227">
        <v>1771.4639999999999</v>
      </c>
      <c r="H310" s="227">
        <v>0.71379999999999999</v>
      </c>
      <c r="I310" s="227">
        <v>1.1860999999999999</v>
      </c>
      <c r="J310" s="227">
        <v>0.36036232974527665</v>
      </c>
      <c r="K310" s="227">
        <v>140</v>
      </c>
      <c r="L310" s="227">
        <v>140</v>
      </c>
      <c r="M310" s="227">
        <v>140</v>
      </c>
      <c r="N310" s="227">
        <v>104.59</v>
      </c>
      <c r="O310" s="227">
        <v>117.7</v>
      </c>
      <c r="P310" s="227">
        <v>132.86000000000001</v>
      </c>
      <c r="Q310" s="227">
        <v>124.21</v>
      </c>
      <c r="R310" s="227">
        <v>136.41999999999999</v>
      </c>
      <c r="S310" s="227">
        <v>71.419999999999987</v>
      </c>
      <c r="T310" s="227">
        <v>41.838999999999999</v>
      </c>
      <c r="U310" s="227">
        <v>55.625</v>
      </c>
      <c r="V310" s="227">
        <v>48.438000000000002</v>
      </c>
      <c r="W310" s="227">
        <v>79.5</v>
      </c>
      <c r="X310" s="227">
        <v>79.5</v>
      </c>
      <c r="Y310" s="227">
        <v>79.5</v>
      </c>
      <c r="Z310" s="227">
        <v>79.5</v>
      </c>
      <c r="AA310" s="227">
        <v>79.5</v>
      </c>
      <c r="AB310" s="227">
        <v>155.58000000000001</v>
      </c>
      <c r="AC310" s="227">
        <v>661.86</v>
      </c>
      <c r="AD310" s="230">
        <v>1.8006944444444446E-3</v>
      </c>
      <c r="AE310" s="230">
        <v>933.48</v>
      </c>
      <c r="AF310" s="230">
        <v>3260.4120000000003</v>
      </c>
      <c r="AG310" s="230">
        <v>311353.05289991904</v>
      </c>
      <c r="AH310" s="230">
        <v>1074728.2662056505</v>
      </c>
      <c r="AI310" s="230">
        <v>3971.16</v>
      </c>
    </row>
    <row r="311" spans="5:35" x14ac:dyDescent="0.35">
      <c r="E311" s="226">
        <v>0.49413999999999991</v>
      </c>
      <c r="F311" s="227">
        <v>4.8697643835616438</v>
      </c>
      <c r="G311" s="227">
        <v>1777.4639999999999</v>
      </c>
      <c r="H311" s="227">
        <v>0.71599999999999997</v>
      </c>
      <c r="I311" s="227">
        <v>1.1900999999999999</v>
      </c>
      <c r="J311" s="227">
        <v>0.36143462141194338</v>
      </c>
      <c r="K311" s="227">
        <v>140</v>
      </c>
      <c r="L311" s="227">
        <v>140</v>
      </c>
      <c r="M311" s="227">
        <v>140</v>
      </c>
      <c r="N311" s="227">
        <v>104.6</v>
      </c>
      <c r="O311" s="227">
        <v>117.62</v>
      </c>
      <c r="P311" s="227">
        <v>132.77000000000001</v>
      </c>
      <c r="Q311" s="227">
        <v>124.12</v>
      </c>
      <c r="R311" s="227">
        <v>136.28</v>
      </c>
      <c r="S311" s="227">
        <v>71.28</v>
      </c>
      <c r="T311" s="227">
        <v>41.899000000000001</v>
      </c>
      <c r="U311" s="227">
        <v>55.692999999999998</v>
      </c>
      <c r="V311" s="227">
        <v>48.521000000000001</v>
      </c>
      <c r="W311" s="227">
        <v>79.5</v>
      </c>
      <c r="X311" s="227">
        <v>79.5</v>
      </c>
      <c r="Y311" s="227">
        <v>79.5</v>
      </c>
      <c r="Z311" s="227">
        <v>79.5</v>
      </c>
      <c r="AA311" s="227">
        <v>79.5</v>
      </c>
      <c r="AB311" s="227">
        <v>154.41</v>
      </c>
      <c r="AC311" s="227">
        <v>662.12</v>
      </c>
      <c r="AD311" s="230">
        <v>1.7871527777777777E-3</v>
      </c>
      <c r="AE311" s="230">
        <v>926.45999999999992</v>
      </c>
      <c r="AF311" s="230">
        <v>3261.6780000000003</v>
      </c>
      <c r="AG311" s="230">
        <v>312279.51289991906</v>
      </c>
      <c r="AH311" s="230">
        <v>1077989.9442056506</v>
      </c>
      <c r="AI311" s="230">
        <v>3972.7200000000003</v>
      </c>
    </row>
    <row r="312" spans="5:35" x14ac:dyDescent="0.35">
      <c r="E312" s="226">
        <v>0.49813999999999992</v>
      </c>
      <c r="F312" s="227">
        <v>4.886202739726027</v>
      </c>
      <c r="G312" s="227">
        <v>1783.4639999999999</v>
      </c>
      <c r="H312" s="227">
        <v>0.71830000000000005</v>
      </c>
      <c r="I312" s="227">
        <v>1.1940999999999999</v>
      </c>
      <c r="J312" s="227">
        <v>0.36249899641194333</v>
      </c>
      <c r="K312" s="227">
        <v>140</v>
      </c>
      <c r="L312" s="227">
        <v>140</v>
      </c>
      <c r="M312" s="227">
        <v>140</v>
      </c>
      <c r="N312" s="227">
        <v>104.61</v>
      </c>
      <c r="O312" s="227">
        <v>117.54</v>
      </c>
      <c r="P312" s="227">
        <v>132.69</v>
      </c>
      <c r="Q312" s="227">
        <v>124.03</v>
      </c>
      <c r="R312" s="227">
        <v>136.13999999999999</v>
      </c>
      <c r="S312" s="227">
        <v>71.139999999999986</v>
      </c>
      <c r="T312" s="227">
        <v>41.957999999999998</v>
      </c>
      <c r="U312" s="227">
        <v>55.762</v>
      </c>
      <c r="V312" s="227">
        <v>48.601999999999997</v>
      </c>
      <c r="W312" s="227">
        <v>79.5</v>
      </c>
      <c r="X312" s="227">
        <v>79.5</v>
      </c>
      <c r="Y312" s="227">
        <v>79.5</v>
      </c>
      <c r="Z312" s="227">
        <v>79.5</v>
      </c>
      <c r="AA312" s="227">
        <v>79.5</v>
      </c>
      <c r="AB312" s="227">
        <v>153.27000000000001</v>
      </c>
      <c r="AC312" s="227">
        <v>662.38</v>
      </c>
      <c r="AD312" s="230">
        <v>1.7739583333333336E-3</v>
      </c>
      <c r="AE312" s="230">
        <v>919.62</v>
      </c>
      <c r="AF312" s="230">
        <v>3262.9319999999998</v>
      </c>
      <c r="AG312" s="230">
        <v>313199.13289991906</v>
      </c>
      <c r="AH312" s="230">
        <v>1081252.8762056506</v>
      </c>
      <c r="AI312" s="230">
        <v>3974.2799999999997</v>
      </c>
    </row>
    <row r="313" spans="5:35" x14ac:dyDescent="0.35">
      <c r="E313" s="226">
        <v>0.50213999999999992</v>
      </c>
      <c r="F313" s="227">
        <v>4.9026410958904112</v>
      </c>
      <c r="G313" s="227">
        <v>1789.4639999999999</v>
      </c>
      <c r="H313" s="227">
        <v>0.72040000000000004</v>
      </c>
      <c r="I313" s="227">
        <v>1.1980999999999999</v>
      </c>
      <c r="J313" s="227">
        <v>0.36355559363416562</v>
      </c>
      <c r="K313" s="227">
        <v>140</v>
      </c>
      <c r="L313" s="227">
        <v>140</v>
      </c>
      <c r="M313" s="227">
        <v>140</v>
      </c>
      <c r="N313" s="227">
        <v>104.61</v>
      </c>
      <c r="O313" s="227">
        <v>117.46</v>
      </c>
      <c r="P313" s="227">
        <v>132.61000000000001</v>
      </c>
      <c r="Q313" s="227">
        <v>123.94</v>
      </c>
      <c r="R313" s="227">
        <v>136</v>
      </c>
      <c r="S313" s="227">
        <v>71</v>
      </c>
      <c r="T313" s="227">
        <v>42.018000000000001</v>
      </c>
      <c r="U313" s="227">
        <v>55.832000000000001</v>
      </c>
      <c r="V313" s="227">
        <v>48.685000000000002</v>
      </c>
      <c r="W313" s="227">
        <v>79.5</v>
      </c>
      <c r="X313" s="227">
        <v>79.5</v>
      </c>
      <c r="Y313" s="227">
        <v>79.5</v>
      </c>
      <c r="Z313" s="227">
        <v>79.5</v>
      </c>
      <c r="AA313" s="227">
        <v>79.5</v>
      </c>
      <c r="AB313" s="227">
        <v>152.15</v>
      </c>
      <c r="AC313" s="227">
        <v>662.63</v>
      </c>
      <c r="AD313" s="230">
        <v>1.7609953703703704E-3</v>
      </c>
      <c r="AE313" s="230">
        <v>912.90000000000009</v>
      </c>
      <c r="AF313" s="230">
        <v>3264.21</v>
      </c>
      <c r="AG313" s="230">
        <v>314112.03289991908</v>
      </c>
      <c r="AH313" s="230">
        <v>1084517.0862056506</v>
      </c>
      <c r="AI313" s="230">
        <v>3975.7799999999997</v>
      </c>
    </row>
    <row r="314" spans="5:35" x14ac:dyDescent="0.35">
      <c r="E314" s="226">
        <v>0.50613999999999992</v>
      </c>
      <c r="F314" s="227">
        <v>4.9190794520547945</v>
      </c>
      <c r="G314" s="227">
        <v>1795.4639999999999</v>
      </c>
      <c r="H314" s="227">
        <v>0.72260000000000002</v>
      </c>
      <c r="I314" s="227">
        <v>1.2020999999999999</v>
      </c>
      <c r="J314" s="227">
        <v>0.36460455196749891</v>
      </c>
      <c r="K314" s="227">
        <v>140</v>
      </c>
      <c r="L314" s="227">
        <v>140</v>
      </c>
      <c r="M314" s="227">
        <v>140</v>
      </c>
      <c r="N314" s="227">
        <v>104.62</v>
      </c>
      <c r="O314" s="227">
        <v>117.39</v>
      </c>
      <c r="P314" s="227">
        <v>132.53</v>
      </c>
      <c r="Q314" s="227">
        <v>123.86</v>
      </c>
      <c r="R314" s="227">
        <v>135.87</v>
      </c>
      <c r="S314" s="227">
        <v>70.87</v>
      </c>
      <c r="T314" s="227">
        <v>42.078000000000003</v>
      </c>
      <c r="U314" s="227">
        <v>55.901000000000003</v>
      </c>
      <c r="V314" s="227">
        <v>48.767000000000003</v>
      </c>
      <c r="W314" s="227">
        <v>79.5</v>
      </c>
      <c r="X314" s="227">
        <v>79.5</v>
      </c>
      <c r="Y314" s="227">
        <v>79.5</v>
      </c>
      <c r="Z314" s="227">
        <v>79.5</v>
      </c>
      <c r="AA314" s="227">
        <v>79.5</v>
      </c>
      <c r="AB314" s="227">
        <v>151.05000000000001</v>
      </c>
      <c r="AC314" s="227">
        <v>662.89</v>
      </c>
      <c r="AD314" s="230">
        <v>1.748263888888889E-3</v>
      </c>
      <c r="AE314" s="230">
        <v>906.3</v>
      </c>
      <c r="AF314" s="230">
        <v>3265.4759999999997</v>
      </c>
      <c r="AG314" s="230">
        <v>315018.33289991907</v>
      </c>
      <c r="AH314" s="230">
        <v>1087782.5622056506</v>
      </c>
      <c r="AI314" s="230">
        <v>3977.34</v>
      </c>
    </row>
    <row r="315" spans="5:35" x14ac:dyDescent="0.35">
      <c r="E315" s="226">
        <v>0.51013999999999993</v>
      </c>
      <c r="F315" s="227">
        <v>4.9355178082191777</v>
      </c>
      <c r="G315" s="227">
        <v>1801.4639999999999</v>
      </c>
      <c r="H315" s="227">
        <v>0.72470000000000001</v>
      </c>
      <c r="I315" s="227">
        <v>1.2060999999999999</v>
      </c>
      <c r="J315" s="227">
        <v>0.3656459408563878</v>
      </c>
      <c r="K315" s="227">
        <v>140</v>
      </c>
      <c r="L315" s="227">
        <v>140</v>
      </c>
      <c r="M315" s="227">
        <v>140</v>
      </c>
      <c r="N315" s="227">
        <v>104.62</v>
      </c>
      <c r="O315" s="227">
        <v>117.31</v>
      </c>
      <c r="P315" s="227">
        <v>132.44999999999999</v>
      </c>
      <c r="Q315" s="227">
        <v>123.77</v>
      </c>
      <c r="R315" s="227">
        <v>135.72999999999999</v>
      </c>
      <c r="S315" s="227">
        <v>70.72999999999999</v>
      </c>
      <c r="T315" s="227">
        <v>42.137999999999998</v>
      </c>
      <c r="U315" s="227">
        <v>55.972000000000001</v>
      </c>
      <c r="V315" s="227">
        <v>48.85</v>
      </c>
      <c r="W315" s="227">
        <v>79.5</v>
      </c>
      <c r="X315" s="227">
        <v>79.5</v>
      </c>
      <c r="Y315" s="227">
        <v>79.5</v>
      </c>
      <c r="Z315" s="227">
        <v>79.5</v>
      </c>
      <c r="AA315" s="227">
        <v>79.5</v>
      </c>
      <c r="AB315" s="227">
        <v>149.96</v>
      </c>
      <c r="AC315" s="227">
        <v>663.15</v>
      </c>
      <c r="AD315" s="230">
        <v>1.7356481481481483E-3</v>
      </c>
      <c r="AE315" s="230">
        <v>899.76</v>
      </c>
      <c r="AF315" s="230">
        <v>3266.76</v>
      </c>
      <c r="AG315" s="230">
        <v>315918.09289991908</v>
      </c>
      <c r="AH315" s="230">
        <v>1091049.3222056506</v>
      </c>
      <c r="AI315" s="230">
        <v>3978.8999999999996</v>
      </c>
    </row>
    <row r="316" spans="5:35" x14ac:dyDescent="0.35">
      <c r="E316" s="226">
        <v>0.51423999999999992</v>
      </c>
      <c r="F316" s="227">
        <v>4.9519561643835619</v>
      </c>
      <c r="G316" s="227">
        <v>1807.4639999999999</v>
      </c>
      <c r="H316" s="227">
        <v>0.72670000000000001</v>
      </c>
      <c r="I316" s="227">
        <v>1.2101999999999999</v>
      </c>
      <c r="J316" s="227">
        <v>0.36667989918972121</v>
      </c>
      <c r="K316" s="227">
        <v>140</v>
      </c>
      <c r="L316" s="227">
        <v>140</v>
      </c>
      <c r="M316" s="227">
        <v>140</v>
      </c>
      <c r="N316" s="227">
        <v>104.63</v>
      </c>
      <c r="O316" s="227">
        <v>117.23</v>
      </c>
      <c r="P316" s="227">
        <v>132.37</v>
      </c>
      <c r="Q316" s="227">
        <v>123.68</v>
      </c>
      <c r="R316" s="227">
        <v>135.6</v>
      </c>
      <c r="S316" s="227">
        <v>70.599999999999994</v>
      </c>
      <c r="T316" s="227">
        <v>42.201000000000001</v>
      </c>
      <c r="U316" s="227">
        <v>56.042000000000002</v>
      </c>
      <c r="V316" s="227">
        <v>48.933</v>
      </c>
      <c r="W316" s="227">
        <v>79.5</v>
      </c>
      <c r="X316" s="227">
        <v>79.5</v>
      </c>
      <c r="Y316" s="227">
        <v>79.5</v>
      </c>
      <c r="Z316" s="227">
        <v>79.5</v>
      </c>
      <c r="AA316" s="227">
        <v>79.5</v>
      </c>
      <c r="AB316" s="227">
        <v>148.88999999999999</v>
      </c>
      <c r="AC316" s="227">
        <v>663.41</v>
      </c>
      <c r="AD316" s="230">
        <v>1.7232638888888888E-3</v>
      </c>
      <c r="AE316" s="230">
        <v>893.33999999999992</v>
      </c>
      <c r="AF316" s="230">
        <v>3268.0559999999996</v>
      </c>
      <c r="AG316" s="230">
        <v>316811.43289991911</v>
      </c>
      <c r="AH316" s="230">
        <v>1094317.3782056507</v>
      </c>
      <c r="AI316" s="230">
        <v>3980.46</v>
      </c>
    </row>
    <row r="317" spans="5:35" x14ac:dyDescent="0.35">
      <c r="E317" s="226">
        <v>0.51823999999999992</v>
      </c>
      <c r="F317" s="227">
        <v>4.9683945205479452</v>
      </c>
      <c r="G317" s="227">
        <v>1813.4639999999999</v>
      </c>
      <c r="H317" s="227">
        <v>0.7288</v>
      </c>
      <c r="I317" s="227">
        <v>1.2141999999999999</v>
      </c>
      <c r="J317" s="227">
        <v>0.36770663530083225</v>
      </c>
      <c r="K317" s="227">
        <v>140</v>
      </c>
      <c r="L317" s="227">
        <v>140</v>
      </c>
      <c r="M317" s="227">
        <v>140</v>
      </c>
      <c r="N317" s="227">
        <v>104.63</v>
      </c>
      <c r="O317" s="227">
        <v>117.16</v>
      </c>
      <c r="P317" s="227">
        <v>132.29</v>
      </c>
      <c r="Q317" s="227">
        <v>123.6</v>
      </c>
      <c r="R317" s="227">
        <v>135.46</v>
      </c>
      <c r="S317" s="227">
        <v>70.460000000000008</v>
      </c>
      <c r="T317" s="227">
        <v>42.262999999999998</v>
      </c>
      <c r="U317" s="227">
        <v>56.113</v>
      </c>
      <c r="V317" s="227">
        <v>49.015000000000001</v>
      </c>
      <c r="W317" s="227">
        <v>79.5</v>
      </c>
      <c r="X317" s="227">
        <v>79.5</v>
      </c>
      <c r="Y317" s="227">
        <v>79.5</v>
      </c>
      <c r="Z317" s="227">
        <v>79.5</v>
      </c>
      <c r="AA317" s="227">
        <v>79.5</v>
      </c>
      <c r="AB317" s="227">
        <v>147.85</v>
      </c>
      <c r="AC317" s="227">
        <v>663.68</v>
      </c>
      <c r="AD317" s="230">
        <v>1.7112268518518518E-3</v>
      </c>
      <c r="AE317" s="230">
        <v>887.1</v>
      </c>
      <c r="AF317" s="230">
        <v>3269.3460000000005</v>
      </c>
      <c r="AG317" s="230">
        <v>317698.53289991908</v>
      </c>
      <c r="AH317" s="230">
        <v>1097586.7242056506</v>
      </c>
      <c r="AI317" s="230">
        <v>3982.08</v>
      </c>
    </row>
    <row r="318" spans="5:35" x14ac:dyDescent="0.35">
      <c r="E318" s="226">
        <v>0.52223999999999993</v>
      </c>
      <c r="F318" s="227">
        <v>4.9848328767123284</v>
      </c>
      <c r="G318" s="227">
        <v>1819.4639999999999</v>
      </c>
      <c r="H318" s="227">
        <v>0.73080000000000001</v>
      </c>
      <c r="I318" s="227">
        <v>1.2181999999999999</v>
      </c>
      <c r="J318" s="227">
        <v>0.36872614918972113</v>
      </c>
      <c r="K318" s="227">
        <v>140</v>
      </c>
      <c r="L318" s="227">
        <v>140</v>
      </c>
      <c r="M318" s="227">
        <v>140</v>
      </c>
      <c r="N318" s="227">
        <v>104.64</v>
      </c>
      <c r="O318" s="227">
        <v>117.08</v>
      </c>
      <c r="P318" s="227">
        <v>132.21</v>
      </c>
      <c r="Q318" s="227">
        <v>123.51</v>
      </c>
      <c r="R318" s="227">
        <v>135.33000000000001</v>
      </c>
      <c r="S318" s="227">
        <v>70.330000000000013</v>
      </c>
      <c r="T318" s="227">
        <v>42.326999999999998</v>
      </c>
      <c r="U318" s="227">
        <v>56.185000000000002</v>
      </c>
      <c r="V318" s="227">
        <v>49.098999999999997</v>
      </c>
      <c r="W318" s="227">
        <v>79.5</v>
      </c>
      <c r="X318" s="227">
        <v>79.5</v>
      </c>
      <c r="Y318" s="227">
        <v>79.5</v>
      </c>
      <c r="Z318" s="227">
        <v>79.5</v>
      </c>
      <c r="AA318" s="227">
        <v>79.5</v>
      </c>
      <c r="AB318" s="227">
        <v>146.81</v>
      </c>
      <c r="AC318" s="227">
        <v>663.95</v>
      </c>
      <c r="AD318" s="230">
        <v>1.6991898148148148E-3</v>
      </c>
      <c r="AE318" s="230">
        <v>880.86</v>
      </c>
      <c r="AF318" s="230">
        <v>3270.6660000000002</v>
      </c>
      <c r="AG318" s="230">
        <v>318579.39289991907</v>
      </c>
      <c r="AH318" s="230">
        <v>1100857.3902056506</v>
      </c>
      <c r="AI318" s="230">
        <v>3983.7000000000003</v>
      </c>
    </row>
    <row r="319" spans="5:35" x14ac:dyDescent="0.35">
      <c r="E319" s="226">
        <v>0.52623999999999993</v>
      </c>
      <c r="F319" s="227">
        <v>5.0012712328767126</v>
      </c>
      <c r="G319" s="227">
        <v>1825.4639999999999</v>
      </c>
      <c r="H319" s="227">
        <v>0.73270000000000002</v>
      </c>
      <c r="I319" s="227">
        <v>1.2222</v>
      </c>
      <c r="J319" s="227">
        <v>0.36973857974527669</v>
      </c>
      <c r="K319" s="227">
        <v>140</v>
      </c>
      <c r="L319" s="227">
        <v>140</v>
      </c>
      <c r="M319" s="227">
        <v>140</v>
      </c>
      <c r="N319" s="227">
        <v>104.64</v>
      </c>
      <c r="O319" s="227">
        <v>117</v>
      </c>
      <c r="P319" s="227">
        <v>132.13999999999999</v>
      </c>
      <c r="Q319" s="227">
        <v>123.43</v>
      </c>
      <c r="R319" s="227">
        <v>135.19999999999999</v>
      </c>
      <c r="S319" s="227">
        <v>70.199999999999989</v>
      </c>
      <c r="T319" s="227">
        <v>42.392000000000003</v>
      </c>
      <c r="U319" s="227">
        <v>56.258000000000003</v>
      </c>
      <c r="V319" s="227">
        <v>49.183999999999997</v>
      </c>
      <c r="W319" s="227">
        <v>79.5</v>
      </c>
      <c r="X319" s="227">
        <v>79.5</v>
      </c>
      <c r="Y319" s="227">
        <v>79.5</v>
      </c>
      <c r="Z319" s="227">
        <v>79.5</v>
      </c>
      <c r="AA319" s="227">
        <v>79.5</v>
      </c>
      <c r="AB319" s="227">
        <v>145.79</v>
      </c>
      <c r="AC319" s="227">
        <v>664.22</v>
      </c>
      <c r="AD319" s="230">
        <v>1.6873842592592591E-3</v>
      </c>
      <c r="AE319" s="230">
        <v>874.7399999999999</v>
      </c>
      <c r="AF319" s="230">
        <v>3272.0040000000004</v>
      </c>
      <c r="AG319" s="230">
        <v>319454.13289991906</v>
      </c>
      <c r="AH319" s="230">
        <v>1104129.3942056505</v>
      </c>
      <c r="AI319" s="230">
        <v>3985.32</v>
      </c>
    </row>
    <row r="320" spans="5:35" x14ac:dyDescent="0.35">
      <c r="E320" s="226">
        <v>0.53023999999999993</v>
      </c>
      <c r="F320" s="227">
        <v>5.0177095890410959</v>
      </c>
      <c r="G320" s="227">
        <v>1831.4639999999999</v>
      </c>
      <c r="H320" s="227">
        <v>0.73470000000000002</v>
      </c>
      <c r="I320" s="227">
        <v>1.2262</v>
      </c>
      <c r="J320" s="227">
        <v>0.37074399641194333</v>
      </c>
      <c r="K320" s="227">
        <v>140</v>
      </c>
      <c r="L320" s="227">
        <v>140</v>
      </c>
      <c r="M320" s="227">
        <v>140</v>
      </c>
      <c r="N320" s="227">
        <v>104.64</v>
      </c>
      <c r="O320" s="227">
        <v>116.92</v>
      </c>
      <c r="P320" s="227">
        <v>132.06</v>
      </c>
      <c r="Q320" s="227">
        <v>123.34</v>
      </c>
      <c r="R320" s="227">
        <v>135.06</v>
      </c>
      <c r="S320" s="227">
        <v>70.06</v>
      </c>
      <c r="T320" s="227">
        <v>42.459000000000003</v>
      </c>
      <c r="U320" s="227">
        <v>56.332000000000001</v>
      </c>
      <c r="V320" s="227">
        <v>49.27</v>
      </c>
      <c r="W320" s="227">
        <v>79.5</v>
      </c>
      <c r="X320" s="227">
        <v>79.5</v>
      </c>
      <c r="Y320" s="227">
        <v>79.5</v>
      </c>
      <c r="Z320" s="227">
        <v>79.5</v>
      </c>
      <c r="AA320" s="227">
        <v>79.5</v>
      </c>
      <c r="AB320" s="227">
        <v>144.78</v>
      </c>
      <c r="AC320" s="227">
        <v>664.49</v>
      </c>
      <c r="AD320" s="230">
        <v>1.6756944444444445E-3</v>
      </c>
      <c r="AE320" s="230">
        <v>868.68</v>
      </c>
      <c r="AF320" s="230">
        <v>3273.366</v>
      </c>
      <c r="AG320" s="230">
        <v>320322.81289991905</v>
      </c>
      <c r="AH320" s="230">
        <v>1107402.7602056505</v>
      </c>
      <c r="AI320" s="230">
        <v>3986.94</v>
      </c>
    </row>
    <row r="321" spans="5:35" x14ac:dyDescent="0.35">
      <c r="E321" s="226">
        <v>0.53433999999999993</v>
      </c>
      <c r="F321" s="227">
        <v>5.0341479452054791</v>
      </c>
      <c r="G321" s="227">
        <v>1837.4639999999999</v>
      </c>
      <c r="H321" s="227">
        <v>0.73660000000000003</v>
      </c>
      <c r="I321" s="227">
        <v>1.2302999999999999</v>
      </c>
      <c r="J321" s="227">
        <v>0.37174253807861002</v>
      </c>
      <c r="K321" s="227">
        <v>140</v>
      </c>
      <c r="L321" s="227">
        <v>140</v>
      </c>
      <c r="M321" s="227">
        <v>140</v>
      </c>
      <c r="N321" s="227">
        <v>104.64</v>
      </c>
      <c r="O321" s="227">
        <v>116.85</v>
      </c>
      <c r="P321" s="227">
        <v>131.97999999999999</v>
      </c>
      <c r="Q321" s="227">
        <v>123.25</v>
      </c>
      <c r="R321" s="227">
        <v>134.93</v>
      </c>
      <c r="S321" s="227">
        <v>69.930000000000007</v>
      </c>
      <c r="T321" s="227">
        <v>42.526000000000003</v>
      </c>
      <c r="U321" s="227">
        <v>56.406999999999996</v>
      </c>
      <c r="V321" s="227">
        <v>49.356000000000002</v>
      </c>
      <c r="W321" s="227">
        <v>79.5</v>
      </c>
      <c r="X321" s="227">
        <v>79.5</v>
      </c>
      <c r="Y321" s="227">
        <v>79.5</v>
      </c>
      <c r="Z321" s="227">
        <v>79.5</v>
      </c>
      <c r="AA321" s="227">
        <v>79.5</v>
      </c>
      <c r="AB321" s="227">
        <v>143.79</v>
      </c>
      <c r="AC321" s="227">
        <v>664.77</v>
      </c>
      <c r="AD321" s="230">
        <v>1.6642361111111111E-3</v>
      </c>
      <c r="AE321" s="230">
        <v>862.74</v>
      </c>
      <c r="AF321" s="230">
        <v>3274.7339999999999</v>
      </c>
      <c r="AG321" s="230">
        <v>321185.55289991904</v>
      </c>
      <c r="AH321" s="230">
        <v>1110677.4942056504</v>
      </c>
      <c r="AI321" s="230">
        <v>3988.62</v>
      </c>
    </row>
    <row r="322" spans="5:35" x14ac:dyDescent="0.35">
      <c r="E322" s="226">
        <v>0.53833999999999993</v>
      </c>
      <c r="F322" s="227">
        <v>5.0505863013698624</v>
      </c>
      <c r="G322" s="227">
        <v>1843.4639999999999</v>
      </c>
      <c r="H322" s="227">
        <v>0.73850000000000005</v>
      </c>
      <c r="I322" s="227">
        <v>1.2343</v>
      </c>
      <c r="J322" s="227">
        <v>0.3727342741897211</v>
      </c>
      <c r="K322" s="227">
        <v>140</v>
      </c>
      <c r="L322" s="227">
        <v>140</v>
      </c>
      <c r="M322" s="227">
        <v>140</v>
      </c>
      <c r="N322" s="227">
        <v>104.64</v>
      </c>
      <c r="O322" s="227">
        <v>116.77</v>
      </c>
      <c r="P322" s="227">
        <v>131.91</v>
      </c>
      <c r="Q322" s="227">
        <v>123.17</v>
      </c>
      <c r="R322" s="227">
        <v>134.80000000000001</v>
      </c>
      <c r="S322" s="227">
        <v>69.800000000000011</v>
      </c>
      <c r="T322" s="227">
        <v>42.593000000000004</v>
      </c>
      <c r="U322" s="227">
        <v>56.481999999999999</v>
      </c>
      <c r="V322" s="227">
        <v>49.442</v>
      </c>
      <c r="W322" s="227">
        <v>79.5</v>
      </c>
      <c r="X322" s="227">
        <v>79.5</v>
      </c>
      <c r="Y322" s="227">
        <v>79.5</v>
      </c>
      <c r="Z322" s="227">
        <v>79.5</v>
      </c>
      <c r="AA322" s="227">
        <v>79.5</v>
      </c>
      <c r="AB322" s="227">
        <v>142.81</v>
      </c>
      <c r="AC322" s="227">
        <v>665.05</v>
      </c>
      <c r="AD322" s="230">
        <v>1.6528935185185186E-3</v>
      </c>
      <c r="AE322" s="230">
        <v>856.86</v>
      </c>
      <c r="AF322" s="230">
        <v>3276.1020000000003</v>
      </c>
      <c r="AG322" s="230">
        <v>322042.41289991903</v>
      </c>
      <c r="AH322" s="230">
        <v>1113953.5962056504</v>
      </c>
      <c r="AI322" s="230">
        <v>3990.2999999999997</v>
      </c>
    </row>
    <row r="323" spans="5:35" x14ac:dyDescent="0.35">
      <c r="E323" s="226">
        <v>0.54233999999999993</v>
      </c>
      <c r="F323" s="227">
        <v>5.0670246575342466</v>
      </c>
      <c r="G323" s="227">
        <v>1849.4639999999999</v>
      </c>
      <c r="H323" s="227">
        <v>0.74039999999999995</v>
      </c>
      <c r="I323" s="227">
        <v>1.2383</v>
      </c>
      <c r="J323" s="227">
        <v>0.37371927418972106</v>
      </c>
      <c r="K323" s="227">
        <v>140</v>
      </c>
      <c r="L323" s="227">
        <v>140</v>
      </c>
      <c r="M323" s="227">
        <v>140</v>
      </c>
      <c r="N323" s="227">
        <v>104.64</v>
      </c>
      <c r="O323" s="227">
        <v>116.69</v>
      </c>
      <c r="P323" s="227">
        <v>131.84</v>
      </c>
      <c r="Q323" s="227">
        <v>123.08</v>
      </c>
      <c r="R323" s="227">
        <v>134.66999999999999</v>
      </c>
      <c r="S323" s="227">
        <v>69.669999999999987</v>
      </c>
      <c r="T323" s="227">
        <v>42.662999999999997</v>
      </c>
      <c r="U323" s="227">
        <v>56.558</v>
      </c>
      <c r="V323" s="227">
        <v>49.529000000000003</v>
      </c>
      <c r="W323" s="227">
        <v>79.5</v>
      </c>
      <c r="X323" s="227">
        <v>79.5</v>
      </c>
      <c r="Y323" s="227">
        <v>79.5</v>
      </c>
      <c r="Z323" s="227">
        <v>79.5</v>
      </c>
      <c r="AA323" s="227">
        <v>79.5</v>
      </c>
      <c r="AB323" s="227">
        <v>141.84</v>
      </c>
      <c r="AC323" s="227">
        <v>665.33</v>
      </c>
      <c r="AD323" s="230">
        <v>1.6416666666666667E-3</v>
      </c>
      <c r="AE323" s="230">
        <v>851.04000000000008</v>
      </c>
      <c r="AF323" s="230">
        <v>3277.5</v>
      </c>
      <c r="AG323" s="230">
        <v>322893.45289991901</v>
      </c>
      <c r="AH323" s="230">
        <v>1117231.0962056504</v>
      </c>
      <c r="AI323" s="230">
        <v>3991.9800000000005</v>
      </c>
    </row>
    <row r="324" spans="5:35" x14ac:dyDescent="0.35">
      <c r="E324" s="226">
        <v>0.54633999999999994</v>
      </c>
      <c r="F324" s="227">
        <v>5.0834630136986299</v>
      </c>
      <c r="G324" s="227">
        <v>1855.4639999999999</v>
      </c>
      <c r="H324" s="227">
        <v>0.74229999999999996</v>
      </c>
      <c r="I324" s="227">
        <v>1.2423</v>
      </c>
      <c r="J324" s="227">
        <v>0.37469767696749889</v>
      </c>
      <c r="K324" s="227">
        <v>140</v>
      </c>
      <c r="L324" s="227">
        <v>140</v>
      </c>
      <c r="M324" s="227">
        <v>140</v>
      </c>
      <c r="N324" s="227">
        <v>104.64</v>
      </c>
      <c r="O324" s="227">
        <v>116.62</v>
      </c>
      <c r="P324" s="227">
        <v>131.76</v>
      </c>
      <c r="Q324" s="227">
        <v>123</v>
      </c>
      <c r="R324" s="227">
        <v>134.54</v>
      </c>
      <c r="S324" s="227">
        <v>69.539999999999992</v>
      </c>
      <c r="T324" s="227">
        <v>42.731999999999999</v>
      </c>
      <c r="U324" s="227">
        <v>56.634999999999998</v>
      </c>
      <c r="V324" s="227">
        <v>49.616</v>
      </c>
      <c r="W324" s="227">
        <v>79.5</v>
      </c>
      <c r="X324" s="227">
        <v>79.5</v>
      </c>
      <c r="Y324" s="227">
        <v>79.5</v>
      </c>
      <c r="Z324" s="227">
        <v>79.5</v>
      </c>
      <c r="AA324" s="227">
        <v>79.5</v>
      </c>
      <c r="AB324" s="227">
        <v>140.88999999999999</v>
      </c>
      <c r="AC324" s="227">
        <v>665.62</v>
      </c>
      <c r="AD324" s="230">
        <v>1.6306712962962961E-3</v>
      </c>
      <c r="AE324" s="230">
        <v>845.33999999999992</v>
      </c>
      <c r="AF324" s="230">
        <v>3278.8979999999997</v>
      </c>
      <c r="AG324" s="230">
        <v>323738.79289991903</v>
      </c>
      <c r="AH324" s="230">
        <v>1120509.9942056504</v>
      </c>
      <c r="AI324" s="230">
        <v>3993.7200000000003</v>
      </c>
    </row>
    <row r="325" spans="5:35" x14ac:dyDescent="0.35">
      <c r="E325" s="226">
        <v>0.55033999999999994</v>
      </c>
      <c r="F325" s="227">
        <v>5.0999013698630131</v>
      </c>
      <c r="G325" s="227">
        <v>1861.4639999999999</v>
      </c>
      <c r="H325" s="227">
        <v>0.74409999999999998</v>
      </c>
      <c r="I325" s="227">
        <v>1.2463</v>
      </c>
      <c r="J325" s="227">
        <v>0.3756695519674989</v>
      </c>
      <c r="K325" s="227">
        <v>140</v>
      </c>
      <c r="L325" s="227">
        <v>140</v>
      </c>
      <c r="M325" s="227">
        <v>140</v>
      </c>
      <c r="N325" s="227">
        <v>104.63</v>
      </c>
      <c r="O325" s="227">
        <v>116.54</v>
      </c>
      <c r="P325" s="227">
        <v>131.69</v>
      </c>
      <c r="Q325" s="227">
        <v>122.91</v>
      </c>
      <c r="R325" s="227">
        <v>134.41</v>
      </c>
      <c r="S325" s="227">
        <v>69.41</v>
      </c>
      <c r="T325" s="227">
        <v>42.802999999999997</v>
      </c>
      <c r="U325" s="227">
        <v>56.712000000000003</v>
      </c>
      <c r="V325" s="227">
        <v>49.703000000000003</v>
      </c>
      <c r="W325" s="227">
        <v>79.5</v>
      </c>
      <c r="X325" s="227">
        <v>79.5</v>
      </c>
      <c r="Y325" s="227">
        <v>79.5</v>
      </c>
      <c r="Z325" s="227">
        <v>79.5</v>
      </c>
      <c r="AA325" s="227">
        <v>79.5</v>
      </c>
      <c r="AB325" s="227">
        <v>139.94999999999999</v>
      </c>
      <c r="AC325" s="227">
        <v>665.9</v>
      </c>
      <c r="AD325" s="230">
        <v>1.6197916666666665E-3</v>
      </c>
      <c r="AE325" s="230">
        <v>839.69999999999982</v>
      </c>
      <c r="AF325" s="230">
        <v>3280.3080000000004</v>
      </c>
      <c r="AG325" s="230">
        <v>324578.49289991905</v>
      </c>
      <c r="AH325" s="230">
        <v>1123790.3022056504</v>
      </c>
      <c r="AI325" s="230">
        <v>3995.3999999999996</v>
      </c>
    </row>
    <row r="326" spans="5:35" x14ac:dyDescent="0.35">
      <c r="E326" s="226">
        <v>0.55433999999999994</v>
      </c>
      <c r="F326" s="227">
        <v>5.1163397260273973</v>
      </c>
      <c r="G326" s="227">
        <v>1867.4639999999999</v>
      </c>
      <c r="H326" s="227">
        <v>0.74590000000000001</v>
      </c>
      <c r="I326" s="227">
        <v>1.2503</v>
      </c>
      <c r="J326" s="227">
        <v>0.37663496863416557</v>
      </c>
      <c r="K326" s="227">
        <v>140</v>
      </c>
      <c r="L326" s="227">
        <v>140</v>
      </c>
      <c r="M326" s="227">
        <v>140</v>
      </c>
      <c r="N326" s="227">
        <v>104.63</v>
      </c>
      <c r="O326" s="227">
        <v>116.46</v>
      </c>
      <c r="P326" s="227">
        <v>131.62</v>
      </c>
      <c r="Q326" s="227">
        <v>122.83</v>
      </c>
      <c r="R326" s="227">
        <v>134.28</v>
      </c>
      <c r="S326" s="227">
        <v>69.28</v>
      </c>
      <c r="T326" s="227">
        <v>42.872999999999998</v>
      </c>
      <c r="U326" s="227">
        <v>56.79</v>
      </c>
      <c r="V326" s="227">
        <v>49.792000000000002</v>
      </c>
      <c r="W326" s="227">
        <v>79.5</v>
      </c>
      <c r="X326" s="227">
        <v>79.5</v>
      </c>
      <c r="Y326" s="227">
        <v>79.5</v>
      </c>
      <c r="Z326" s="227">
        <v>79.5</v>
      </c>
      <c r="AA326" s="227">
        <v>79.5</v>
      </c>
      <c r="AB326" s="227">
        <v>139.02000000000001</v>
      </c>
      <c r="AC326" s="227">
        <v>666.19</v>
      </c>
      <c r="AD326" s="230">
        <v>1.6090277777777778E-3</v>
      </c>
      <c r="AE326" s="230">
        <v>834.12</v>
      </c>
      <c r="AF326" s="230">
        <v>3281.7299999999996</v>
      </c>
      <c r="AG326" s="230">
        <v>325412.61289991904</v>
      </c>
      <c r="AH326" s="230">
        <v>1127072.0322056504</v>
      </c>
      <c r="AI326" s="230">
        <v>3997.1400000000003</v>
      </c>
    </row>
    <row r="327" spans="5:35" x14ac:dyDescent="0.35">
      <c r="E327" s="226">
        <v>0.55843999999999994</v>
      </c>
      <c r="F327" s="227">
        <v>5.1327780821917806</v>
      </c>
      <c r="G327" s="227">
        <v>1873.4639999999999</v>
      </c>
      <c r="H327" s="227">
        <v>0.74770000000000003</v>
      </c>
      <c r="I327" s="227">
        <v>1.2544</v>
      </c>
      <c r="J327" s="227">
        <v>0.37759406585638777</v>
      </c>
      <c r="K327" s="227">
        <v>140</v>
      </c>
      <c r="L327" s="227">
        <v>140</v>
      </c>
      <c r="M327" s="227">
        <v>140</v>
      </c>
      <c r="N327" s="227">
        <v>104.63</v>
      </c>
      <c r="O327" s="227">
        <v>116.39</v>
      </c>
      <c r="P327" s="227">
        <v>131.55000000000001</v>
      </c>
      <c r="Q327" s="227">
        <v>122.75</v>
      </c>
      <c r="R327" s="227">
        <v>134.15</v>
      </c>
      <c r="S327" s="227">
        <v>69.150000000000006</v>
      </c>
      <c r="T327" s="227">
        <v>42.945999999999998</v>
      </c>
      <c r="U327" s="227">
        <v>56.869</v>
      </c>
      <c r="V327" s="227">
        <v>49.881</v>
      </c>
      <c r="W327" s="227">
        <v>79.5</v>
      </c>
      <c r="X327" s="227">
        <v>79.5</v>
      </c>
      <c r="Y327" s="227">
        <v>79.5</v>
      </c>
      <c r="Z327" s="227">
        <v>79.5</v>
      </c>
      <c r="AA327" s="227">
        <v>79.5</v>
      </c>
      <c r="AB327" s="227">
        <v>138.11000000000001</v>
      </c>
      <c r="AC327" s="227">
        <v>666.48</v>
      </c>
      <c r="AD327" s="230">
        <v>1.5984953703703706E-3</v>
      </c>
      <c r="AE327" s="230">
        <v>828.66000000000008</v>
      </c>
      <c r="AF327" s="230">
        <v>3283.1760000000004</v>
      </c>
      <c r="AG327" s="230">
        <v>326241.27289991901</v>
      </c>
      <c r="AH327" s="230">
        <v>1130355.2082056503</v>
      </c>
      <c r="AI327" s="230">
        <v>3998.88</v>
      </c>
    </row>
    <row r="328" spans="5:35" x14ac:dyDescent="0.35">
      <c r="E328" s="226">
        <v>0.56243999999999994</v>
      </c>
      <c r="F328" s="227">
        <v>5.1492164383561638</v>
      </c>
      <c r="G328" s="227">
        <v>1879.4639999999999</v>
      </c>
      <c r="H328" s="227">
        <v>0.74939999999999996</v>
      </c>
      <c r="I328" s="227">
        <v>1.2584</v>
      </c>
      <c r="J328" s="227">
        <v>0.37854691307860999</v>
      </c>
      <c r="K328" s="227">
        <v>140</v>
      </c>
      <c r="L328" s="227">
        <v>140</v>
      </c>
      <c r="M328" s="227">
        <v>140</v>
      </c>
      <c r="N328" s="227">
        <v>104.62</v>
      </c>
      <c r="O328" s="227">
        <v>116.31</v>
      </c>
      <c r="P328" s="227">
        <v>131.47999999999999</v>
      </c>
      <c r="Q328" s="227">
        <v>122.66</v>
      </c>
      <c r="R328" s="227">
        <v>134.02000000000001</v>
      </c>
      <c r="S328" s="227">
        <v>69.02000000000001</v>
      </c>
      <c r="T328" s="227">
        <v>43.02</v>
      </c>
      <c r="U328" s="227">
        <v>56.948</v>
      </c>
      <c r="V328" s="227">
        <v>49.97</v>
      </c>
      <c r="W328" s="227">
        <v>79.5</v>
      </c>
      <c r="X328" s="227">
        <v>79.5</v>
      </c>
      <c r="Y328" s="227">
        <v>79.5</v>
      </c>
      <c r="Z328" s="227">
        <v>79.5</v>
      </c>
      <c r="AA328" s="227">
        <v>79.5</v>
      </c>
      <c r="AB328" s="227">
        <v>137.21</v>
      </c>
      <c r="AC328" s="227">
        <v>666.78</v>
      </c>
      <c r="AD328" s="230">
        <v>1.5880787037037037E-3</v>
      </c>
      <c r="AE328" s="230">
        <v>823.2600000000001</v>
      </c>
      <c r="AF328" s="230">
        <v>3284.6279999999997</v>
      </c>
      <c r="AG328" s="230">
        <v>327064.53289991902</v>
      </c>
      <c r="AH328" s="230">
        <v>1133639.8362056504</v>
      </c>
      <c r="AI328" s="230">
        <v>4000.68</v>
      </c>
    </row>
    <row r="329" spans="5:35" x14ac:dyDescent="0.35">
      <c r="E329" s="226">
        <v>0.56643999999999994</v>
      </c>
      <c r="F329" s="227">
        <v>5.165654794520548</v>
      </c>
      <c r="G329" s="227">
        <v>1885.4639999999999</v>
      </c>
      <c r="H329" s="227">
        <v>0.75119999999999998</v>
      </c>
      <c r="I329" s="227">
        <v>1.2624</v>
      </c>
      <c r="J329" s="227">
        <v>0.37949357974527664</v>
      </c>
      <c r="K329" s="227">
        <v>140</v>
      </c>
      <c r="L329" s="227">
        <v>140</v>
      </c>
      <c r="M329" s="227">
        <v>140</v>
      </c>
      <c r="N329" s="227">
        <v>104.61</v>
      </c>
      <c r="O329" s="227">
        <v>116.23</v>
      </c>
      <c r="P329" s="227">
        <v>131.41</v>
      </c>
      <c r="Q329" s="227">
        <v>122.58</v>
      </c>
      <c r="R329" s="227">
        <v>133.9</v>
      </c>
      <c r="S329" s="227">
        <v>68.900000000000006</v>
      </c>
      <c r="T329" s="227">
        <v>43.094000000000001</v>
      </c>
      <c r="U329" s="227">
        <v>57.027000000000001</v>
      </c>
      <c r="V329" s="227">
        <v>50.06</v>
      </c>
      <c r="W329" s="227">
        <v>79.5</v>
      </c>
      <c r="X329" s="227">
        <v>79.5</v>
      </c>
      <c r="Y329" s="227">
        <v>79.5</v>
      </c>
      <c r="Z329" s="227">
        <v>79.5</v>
      </c>
      <c r="AA329" s="227">
        <v>79.5</v>
      </c>
      <c r="AB329" s="227">
        <v>136.32</v>
      </c>
      <c r="AC329" s="227">
        <v>667.07</v>
      </c>
      <c r="AD329" s="230">
        <v>1.5777777777777778E-3</v>
      </c>
      <c r="AE329" s="230">
        <v>817.92</v>
      </c>
      <c r="AF329" s="230">
        <v>3286.0860000000002</v>
      </c>
      <c r="AG329" s="230">
        <v>327882.45289991901</v>
      </c>
      <c r="AH329" s="230">
        <v>1136925.9222056502</v>
      </c>
      <c r="AI329" s="230">
        <v>4002.42</v>
      </c>
    </row>
    <row r="330" spans="5:35" x14ac:dyDescent="0.35">
      <c r="E330" s="226">
        <v>0.57043999999999995</v>
      </c>
      <c r="F330" s="227">
        <v>5.1820931506849313</v>
      </c>
      <c r="G330" s="227">
        <v>1891.4639999999999</v>
      </c>
      <c r="H330" s="227">
        <v>0.75290000000000001</v>
      </c>
      <c r="I330" s="227">
        <v>1.2664</v>
      </c>
      <c r="J330" s="227">
        <v>0.38043420474527662</v>
      </c>
      <c r="K330" s="227">
        <v>140</v>
      </c>
      <c r="L330" s="227">
        <v>140</v>
      </c>
      <c r="M330" s="227">
        <v>140</v>
      </c>
      <c r="N330" s="227">
        <v>104.61</v>
      </c>
      <c r="O330" s="227">
        <v>116.16</v>
      </c>
      <c r="P330" s="227">
        <v>131.34</v>
      </c>
      <c r="Q330" s="227">
        <v>122.5</v>
      </c>
      <c r="R330" s="227">
        <v>133.77000000000001</v>
      </c>
      <c r="S330" s="227">
        <v>68.77000000000001</v>
      </c>
      <c r="T330" s="227">
        <v>43.167999999999999</v>
      </c>
      <c r="U330" s="227">
        <v>57.106000000000002</v>
      </c>
      <c r="V330" s="227">
        <v>50.15</v>
      </c>
      <c r="W330" s="227">
        <v>79.5</v>
      </c>
      <c r="X330" s="227">
        <v>79.5</v>
      </c>
      <c r="Y330" s="227">
        <v>79.5</v>
      </c>
      <c r="Z330" s="227">
        <v>79.5</v>
      </c>
      <c r="AA330" s="227">
        <v>79.5</v>
      </c>
      <c r="AB330" s="227">
        <v>135.44999999999999</v>
      </c>
      <c r="AC330" s="227">
        <v>667.37</v>
      </c>
      <c r="AD330" s="230">
        <v>1.5677083333333333E-3</v>
      </c>
      <c r="AE330" s="230">
        <v>812.69999999999993</v>
      </c>
      <c r="AF330" s="230">
        <v>3287.5439999999999</v>
      </c>
      <c r="AG330" s="230">
        <v>328695.15289991902</v>
      </c>
      <c r="AH330" s="230">
        <v>1140213.4662056502</v>
      </c>
      <c r="AI330" s="230">
        <v>4004.2200000000003</v>
      </c>
    </row>
    <row r="331" spans="5:35" x14ac:dyDescent="0.35">
      <c r="E331" s="226">
        <v>0.57443999999999995</v>
      </c>
      <c r="F331" s="227">
        <v>5.1985315068493145</v>
      </c>
      <c r="G331" s="227">
        <v>1897.4639999999999</v>
      </c>
      <c r="H331" s="227">
        <v>0.75460000000000005</v>
      </c>
      <c r="I331" s="227">
        <v>1.2704</v>
      </c>
      <c r="J331" s="227">
        <v>0.38136878807860997</v>
      </c>
      <c r="K331" s="227">
        <v>140</v>
      </c>
      <c r="L331" s="227">
        <v>140</v>
      </c>
      <c r="M331" s="227">
        <v>140</v>
      </c>
      <c r="N331" s="227">
        <v>104.6</v>
      </c>
      <c r="O331" s="227">
        <v>116.09</v>
      </c>
      <c r="P331" s="227">
        <v>131.27000000000001</v>
      </c>
      <c r="Q331" s="227">
        <v>122.42</v>
      </c>
      <c r="R331" s="227">
        <v>133.65</v>
      </c>
      <c r="S331" s="227">
        <v>68.650000000000006</v>
      </c>
      <c r="T331" s="227">
        <v>43.244</v>
      </c>
      <c r="U331" s="227">
        <v>57.186</v>
      </c>
      <c r="V331" s="227">
        <v>50.24</v>
      </c>
      <c r="W331" s="227">
        <v>79.5</v>
      </c>
      <c r="X331" s="227">
        <v>79.5</v>
      </c>
      <c r="Y331" s="227">
        <v>79.5</v>
      </c>
      <c r="Z331" s="227">
        <v>79.5</v>
      </c>
      <c r="AA331" s="227">
        <v>79.5</v>
      </c>
      <c r="AB331" s="227">
        <v>134.58000000000001</v>
      </c>
      <c r="AC331" s="227">
        <v>667.67</v>
      </c>
      <c r="AD331" s="230">
        <v>1.557638888888889E-3</v>
      </c>
      <c r="AE331" s="230">
        <v>807.48000000000013</v>
      </c>
      <c r="AF331" s="230">
        <v>3289.0200000000004</v>
      </c>
      <c r="AG331" s="230">
        <v>329502.632899919</v>
      </c>
      <c r="AH331" s="230">
        <v>1143502.4862056503</v>
      </c>
      <c r="AI331" s="230">
        <v>4006.0199999999995</v>
      </c>
    </row>
    <row r="332" spans="5:35" x14ac:dyDescent="0.35">
      <c r="E332" s="226">
        <v>0.57843999999999995</v>
      </c>
      <c r="F332" s="227">
        <v>5.2149698630136987</v>
      </c>
      <c r="G332" s="227">
        <v>1903.4639999999999</v>
      </c>
      <c r="H332" s="227">
        <v>0.75619999999999998</v>
      </c>
      <c r="I332" s="227">
        <v>1.2744</v>
      </c>
      <c r="J332" s="227">
        <v>0.38229746863416553</v>
      </c>
      <c r="K332" s="227">
        <v>140</v>
      </c>
      <c r="L332" s="227">
        <v>140</v>
      </c>
      <c r="M332" s="227">
        <v>140</v>
      </c>
      <c r="N332" s="227">
        <v>104.59</v>
      </c>
      <c r="O332" s="227">
        <v>116.01</v>
      </c>
      <c r="P332" s="227">
        <v>131.19999999999999</v>
      </c>
      <c r="Q332" s="227">
        <v>122.33</v>
      </c>
      <c r="R332" s="227">
        <v>133.52000000000001</v>
      </c>
      <c r="S332" s="227">
        <v>68.52000000000001</v>
      </c>
      <c r="T332" s="227">
        <v>43.319000000000003</v>
      </c>
      <c r="U332" s="227">
        <v>57.265999999999998</v>
      </c>
      <c r="V332" s="227">
        <v>50.331000000000003</v>
      </c>
      <c r="W332" s="227">
        <v>79.5</v>
      </c>
      <c r="X332" s="227">
        <v>79.5</v>
      </c>
      <c r="Y332" s="227">
        <v>79.5</v>
      </c>
      <c r="Z332" s="227">
        <v>79.5</v>
      </c>
      <c r="AA332" s="227">
        <v>79.5</v>
      </c>
      <c r="AB332" s="227">
        <v>133.72999999999999</v>
      </c>
      <c r="AC332" s="227">
        <v>667.97</v>
      </c>
      <c r="AD332" s="230">
        <v>1.5478009259259258E-3</v>
      </c>
      <c r="AE332" s="230">
        <v>802.38</v>
      </c>
      <c r="AF332" s="230">
        <v>3290.4959999999996</v>
      </c>
      <c r="AG332" s="230">
        <v>330305.01289991901</v>
      </c>
      <c r="AH332" s="230">
        <v>1146792.9822056503</v>
      </c>
      <c r="AI332" s="230">
        <v>4007.82</v>
      </c>
    </row>
    <row r="333" spans="5:35" x14ac:dyDescent="0.35">
      <c r="E333" s="226">
        <v>0.58253999999999995</v>
      </c>
      <c r="F333" s="227">
        <v>5.231408219178082</v>
      </c>
      <c r="G333" s="227">
        <v>1909.4639999999999</v>
      </c>
      <c r="H333" s="227">
        <v>0.75790000000000002</v>
      </c>
      <c r="I333" s="227">
        <v>1.2785</v>
      </c>
      <c r="J333" s="227">
        <v>0.38322031585638777</v>
      </c>
      <c r="K333" s="227">
        <v>140</v>
      </c>
      <c r="L333" s="227">
        <v>140</v>
      </c>
      <c r="M333" s="227">
        <v>140</v>
      </c>
      <c r="N333" s="227">
        <v>104.58</v>
      </c>
      <c r="O333" s="227">
        <v>115.94</v>
      </c>
      <c r="P333" s="227">
        <v>131.13</v>
      </c>
      <c r="Q333" s="227">
        <v>122.25</v>
      </c>
      <c r="R333" s="227">
        <v>133.4</v>
      </c>
      <c r="S333" s="227">
        <v>68.400000000000006</v>
      </c>
      <c r="T333" s="227">
        <v>43.396000000000001</v>
      </c>
      <c r="U333" s="227">
        <v>57.347000000000001</v>
      </c>
      <c r="V333" s="227">
        <v>50.421999999999997</v>
      </c>
      <c r="W333" s="227">
        <v>79.5</v>
      </c>
      <c r="X333" s="227">
        <v>79.5</v>
      </c>
      <c r="Y333" s="227">
        <v>79.5</v>
      </c>
      <c r="Z333" s="227">
        <v>79.5</v>
      </c>
      <c r="AA333" s="227">
        <v>79.5</v>
      </c>
      <c r="AB333" s="227">
        <v>132.88999999999999</v>
      </c>
      <c r="AC333" s="227">
        <v>668.27</v>
      </c>
      <c r="AD333" s="230">
        <v>1.5380787037037036E-3</v>
      </c>
      <c r="AE333" s="230">
        <v>797.33999999999992</v>
      </c>
      <c r="AF333" s="230">
        <v>3291.99</v>
      </c>
      <c r="AG333" s="230">
        <v>331102.35289991903</v>
      </c>
      <c r="AH333" s="230">
        <v>1150084.9722056503</v>
      </c>
      <c r="AI333" s="230">
        <v>4009.62</v>
      </c>
    </row>
    <row r="334" spans="5:35" x14ac:dyDescent="0.35">
      <c r="E334" s="226">
        <v>0.58653999999999995</v>
      </c>
      <c r="F334" s="227">
        <v>5.2478465753424652</v>
      </c>
      <c r="G334" s="227">
        <v>1915.4639999999999</v>
      </c>
      <c r="H334" s="227">
        <v>0.75949999999999995</v>
      </c>
      <c r="I334" s="227">
        <v>1.2825</v>
      </c>
      <c r="J334" s="227">
        <v>0.38413739918972106</v>
      </c>
      <c r="K334" s="227">
        <v>140</v>
      </c>
      <c r="L334" s="227">
        <v>140</v>
      </c>
      <c r="M334" s="227">
        <v>140</v>
      </c>
      <c r="N334" s="227">
        <v>104.57</v>
      </c>
      <c r="O334" s="227">
        <v>115.86</v>
      </c>
      <c r="P334" s="227">
        <v>131.07</v>
      </c>
      <c r="Q334" s="227">
        <v>122.17</v>
      </c>
      <c r="R334" s="227">
        <v>133.28</v>
      </c>
      <c r="S334" s="227">
        <v>68.28</v>
      </c>
      <c r="T334" s="227">
        <v>43.473999999999997</v>
      </c>
      <c r="U334" s="227">
        <v>57.429000000000002</v>
      </c>
      <c r="V334" s="227">
        <v>50.512999999999998</v>
      </c>
      <c r="W334" s="227">
        <v>79.5</v>
      </c>
      <c r="X334" s="227">
        <v>79.5</v>
      </c>
      <c r="Y334" s="227">
        <v>79.5</v>
      </c>
      <c r="Z334" s="227">
        <v>79.5</v>
      </c>
      <c r="AA334" s="227">
        <v>79.5</v>
      </c>
      <c r="AB334" s="227">
        <v>132.06</v>
      </c>
      <c r="AC334" s="227">
        <v>668.58</v>
      </c>
      <c r="AD334" s="230">
        <v>1.5284722222222223E-3</v>
      </c>
      <c r="AE334" s="230">
        <v>792.36</v>
      </c>
      <c r="AF334" s="230">
        <v>3293.4959999999996</v>
      </c>
      <c r="AG334" s="230">
        <v>331894.71289991902</v>
      </c>
      <c r="AH334" s="230">
        <v>1153378.4682056503</v>
      </c>
      <c r="AI334" s="230">
        <v>4011.4800000000005</v>
      </c>
    </row>
    <row r="335" spans="5:35" x14ac:dyDescent="0.35">
      <c r="E335" s="226">
        <v>0.59053999999999995</v>
      </c>
      <c r="F335" s="227">
        <v>5.2642849315068494</v>
      </c>
      <c r="G335" s="227">
        <v>1921.4639999999999</v>
      </c>
      <c r="H335" s="227">
        <v>0.7611</v>
      </c>
      <c r="I335" s="227">
        <v>1.2865</v>
      </c>
      <c r="J335" s="227">
        <v>0.38504878807860998</v>
      </c>
      <c r="K335" s="227">
        <v>140</v>
      </c>
      <c r="L335" s="227">
        <v>140</v>
      </c>
      <c r="M335" s="227">
        <v>140</v>
      </c>
      <c r="N335" s="227">
        <v>104.56</v>
      </c>
      <c r="O335" s="227">
        <v>115.79</v>
      </c>
      <c r="P335" s="227">
        <v>131</v>
      </c>
      <c r="Q335" s="227">
        <v>122.09</v>
      </c>
      <c r="R335" s="227">
        <v>133.16</v>
      </c>
      <c r="S335" s="227">
        <v>68.16</v>
      </c>
      <c r="T335" s="227">
        <v>43.552</v>
      </c>
      <c r="U335" s="227">
        <v>57.51</v>
      </c>
      <c r="V335" s="227">
        <v>50.604999999999997</v>
      </c>
      <c r="W335" s="227">
        <v>79.5</v>
      </c>
      <c r="X335" s="227">
        <v>79.5</v>
      </c>
      <c r="Y335" s="227">
        <v>79.5</v>
      </c>
      <c r="Z335" s="227">
        <v>79.5</v>
      </c>
      <c r="AA335" s="227">
        <v>79.5</v>
      </c>
      <c r="AB335" s="227">
        <v>131.24</v>
      </c>
      <c r="AC335" s="227">
        <v>668.89</v>
      </c>
      <c r="AD335" s="230">
        <v>1.5189814814814816E-3</v>
      </c>
      <c r="AE335" s="230">
        <v>787.44</v>
      </c>
      <c r="AF335" s="230">
        <v>3295.0020000000004</v>
      </c>
      <c r="AG335" s="230">
        <v>332682.15289991902</v>
      </c>
      <c r="AH335" s="230">
        <v>1156673.4702056504</v>
      </c>
      <c r="AI335" s="230">
        <v>4013.34</v>
      </c>
    </row>
    <row r="336" spans="5:35" x14ac:dyDescent="0.35">
      <c r="E336" s="226">
        <v>0.59453999999999996</v>
      </c>
      <c r="F336" s="227">
        <v>5.2807232876712327</v>
      </c>
      <c r="G336" s="227">
        <v>1927.4639999999999</v>
      </c>
      <c r="H336" s="227">
        <v>0.76270000000000004</v>
      </c>
      <c r="I336" s="227">
        <v>1.2905</v>
      </c>
      <c r="J336" s="227">
        <v>0.38595455196749889</v>
      </c>
      <c r="K336" s="227">
        <v>140</v>
      </c>
      <c r="L336" s="227">
        <v>140</v>
      </c>
      <c r="M336" s="227">
        <v>140</v>
      </c>
      <c r="N336" s="227">
        <v>104.55</v>
      </c>
      <c r="O336" s="227">
        <v>115.72</v>
      </c>
      <c r="P336" s="227">
        <v>130.94</v>
      </c>
      <c r="Q336" s="227">
        <v>122.02</v>
      </c>
      <c r="R336" s="227">
        <v>133.04</v>
      </c>
      <c r="S336" s="227">
        <v>68.039999999999992</v>
      </c>
      <c r="T336" s="227">
        <v>43.631</v>
      </c>
      <c r="U336" s="227">
        <v>57.593000000000004</v>
      </c>
      <c r="V336" s="227">
        <v>50.697000000000003</v>
      </c>
      <c r="W336" s="227">
        <v>79.5</v>
      </c>
      <c r="X336" s="227">
        <v>79.5</v>
      </c>
      <c r="Y336" s="227">
        <v>79.5</v>
      </c>
      <c r="Z336" s="227">
        <v>79.5</v>
      </c>
      <c r="AA336" s="227">
        <v>79.5</v>
      </c>
      <c r="AB336" s="227">
        <v>130.43</v>
      </c>
      <c r="AC336" s="227">
        <v>669.19</v>
      </c>
      <c r="AD336" s="230">
        <v>1.5096064814814816E-3</v>
      </c>
      <c r="AE336" s="230">
        <v>782.58</v>
      </c>
      <c r="AF336" s="230">
        <v>3296.5260000000003</v>
      </c>
      <c r="AG336" s="230">
        <v>333464.73289991904</v>
      </c>
      <c r="AH336" s="230">
        <v>1159969.9962056505</v>
      </c>
      <c r="AI336" s="230">
        <v>4015.1400000000003</v>
      </c>
    </row>
    <row r="337" spans="5:35" x14ac:dyDescent="0.35">
      <c r="E337" s="226">
        <v>0.59853999999999996</v>
      </c>
      <c r="F337" s="227">
        <v>5.2971616438356159</v>
      </c>
      <c r="G337" s="227">
        <v>1933.4639999999999</v>
      </c>
      <c r="H337" s="227">
        <v>0.76429999999999998</v>
      </c>
      <c r="I337" s="227">
        <v>1.2945</v>
      </c>
      <c r="J337" s="227">
        <v>0.38685476030083227</v>
      </c>
      <c r="K337" s="227">
        <v>140</v>
      </c>
      <c r="L337" s="227">
        <v>140</v>
      </c>
      <c r="M337" s="227">
        <v>140</v>
      </c>
      <c r="N337" s="227">
        <v>104.53</v>
      </c>
      <c r="O337" s="227">
        <v>115.65</v>
      </c>
      <c r="P337" s="227">
        <v>130.87</v>
      </c>
      <c r="Q337" s="227">
        <v>121.94</v>
      </c>
      <c r="R337" s="227">
        <v>132.91999999999999</v>
      </c>
      <c r="S337" s="227">
        <v>67.919999999999987</v>
      </c>
      <c r="T337" s="227">
        <v>43.71</v>
      </c>
      <c r="U337" s="227">
        <v>57.676000000000002</v>
      </c>
      <c r="V337" s="227">
        <v>50.79</v>
      </c>
      <c r="W337" s="227">
        <v>79.5</v>
      </c>
      <c r="X337" s="227">
        <v>79.5</v>
      </c>
      <c r="Y337" s="227">
        <v>79.5</v>
      </c>
      <c r="Z337" s="227">
        <v>79.5</v>
      </c>
      <c r="AA337" s="227">
        <v>79.5</v>
      </c>
      <c r="AB337" s="227">
        <v>129.63</v>
      </c>
      <c r="AC337" s="227">
        <v>669.5</v>
      </c>
      <c r="AD337" s="230">
        <v>1.5003472222222221E-3</v>
      </c>
      <c r="AE337" s="230">
        <v>777.78</v>
      </c>
      <c r="AF337" s="230">
        <v>3298.0559999999996</v>
      </c>
      <c r="AG337" s="230">
        <v>334242.51289991906</v>
      </c>
      <c r="AH337" s="230">
        <v>1163268.0522056506</v>
      </c>
      <c r="AI337" s="230">
        <v>4017</v>
      </c>
    </row>
    <row r="338" spans="5:35" x14ac:dyDescent="0.35">
      <c r="E338" s="226">
        <v>0.60253999999999996</v>
      </c>
      <c r="F338" s="227">
        <v>5.3136000000000001</v>
      </c>
      <c r="G338" s="227">
        <v>1939.4639999999999</v>
      </c>
      <c r="H338" s="227">
        <v>0.76580000000000004</v>
      </c>
      <c r="I338" s="227">
        <v>1.2985</v>
      </c>
      <c r="J338" s="227">
        <v>0.38774941307860999</v>
      </c>
      <c r="K338" s="227">
        <v>140</v>
      </c>
      <c r="L338" s="227">
        <v>140</v>
      </c>
      <c r="M338" s="227">
        <v>140</v>
      </c>
      <c r="N338" s="227">
        <v>104.52</v>
      </c>
      <c r="O338" s="227">
        <v>115.57</v>
      </c>
      <c r="P338" s="227">
        <v>130.81</v>
      </c>
      <c r="Q338" s="227">
        <v>121.86</v>
      </c>
      <c r="R338" s="227">
        <v>132.80000000000001</v>
      </c>
      <c r="S338" s="227">
        <v>67.800000000000011</v>
      </c>
      <c r="T338" s="227">
        <v>43.79</v>
      </c>
      <c r="U338" s="227">
        <v>57.759</v>
      </c>
      <c r="V338" s="227">
        <v>50.883000000000003</v>
      </c>
      <c r="W338" s="227">
        <v>79.5</v>
      </c>
      <c r="X338" s="227">
        <v>79.5</v>
      </c>
      <c r="Y338" s="227">
        <v>79.5</v>
      </c>
      <c r="Z338" s="227">
        <v>79.5</v>
      </c>
      <c r="AA338" s="227">
        <v>79.5</v>
      </c>
      <c r="AB338" s="227">
        <v>128.83000000000001</v>
      </c>
      <c r="AC338" s="227">
        <v>669.82</v>
      </c>
      <c r="AD338" s="230">
        <v>1.4910879629629632E-3</v>
      </c>
      <c r="AE338" s="230">
        <v>772.98000000000013</v>
      </c>
      <c r="AF338" s="230">
        <v>3299.5920000000001</v>
      </c>
      <c r="AG338" s="230">
        <v>335015.49289991905</v>
      </c>
      <c r="AH338" s="230">
        <v>1166567.6442056505</v>
      </c>
      <c r="AI338" s="230">
        <v>4018.92</v>
      </c>
    </row>
    <row r="339" spans="5:35" x14ac:dyDescent="0.35">
      <c r="E339" s="226">
        <v>0.60663999999999996</v>
      </c>
      <c r="F339" s="227">
        <v>5.3300383561643834</v>
      </c>
      <c r="G339" s="227">
        <v>1945.4639999999999</v>
      </c>
      <c r="H339" s="227">
        <v>0.76729999999999998</v>
      </c>
      <c r="I339" s="227">
        <v>1.3026</v>
      </c>
      <c r="J339" s="227">
        <v>0.38863857974527666</v>
      </c>
      <c r="K339" s="227">
        <v>140</v>
      </c>
      <c r="L339" s="227">
        <v>140</v>
      </c>
      <c r="M339" s="227">
        <v>140</v>
      </c>
      <c r="N339" s="227">
        <v>104.5</v>
      </c>
      <c r="O339" s="227">
        <v>115.5</v>
      </c>
      <c r="P339" s="227">
        <v>130.74</v>
      </c>
      <c r="Q339" s="227">
        <v>121.78</v>
      </c>
      <c r="R339" s="227">
        <v>132.69</v>
      </c>
      <c r="S339" s="227">
        <v>67.69</v>
      </c>
      <c r="T339" s="227">
        <v>43.869</v>
      </c>
      <c r="U339" s="227">
        <v>57.841000000000001</v>
      </c>
      <c r="V339" s="227">
        <v>50.975000000000001</v>
      </c>
      <c r="W339" s="227">
        <v>79.5</v>
      </c>
      <c r="X339" s="227">
        <v>79.5</v>
      </c>
      <c r="Y339" s="227">
        <v>79.5</v>
      </c>
      <c r="Z339" s="227">
        <v>79.5</v>
      </c>
      <c r="AA339" s="227">
        <v>79.5</v>
      </c>
      <c r="AB339" s="227">
        <v>128.04</v>
      </c>
      <c r="AC339" s="227">
        <v>670.13</v>
      </c>
      <c r="AD339" s="230">
        <v>1.4819444444444444E-3</v>
      </c>
      <c r="AE339" s="230">
        <v>768.2399999999999</v>
      </c>
      <c r="AF339" s="230">
        <v>3301.1099999999997</v>
      </c>
      <c r="AG339" s="230">
        <v>335783.73289991904</v>
      </c>
      <c r="AH339" s="230">
        <v>1169868.7542056506</v>
      </c>
      <c r="AI339" s="230">
        <v>4020.7799999999997</v>
      </c>
    </row>
    <row r="340" spans="5:35" x14ac:dyDescent="0.35">
      <c r="E340" s="226">
        <v>0.61063999999999996</v>
      </c>
      <c r="F340" s="227">
        <v>5.3464767123287666</v>
      </c>
      <c r="G340" s="227">
        <v>1951.4639999999999</v>
      </c>
      <c r="H340" s="227">
        <v>0.76890000000000003</v>
      </c>
      <c r="I340" s="227">
        <v>1.3066</v>
      </c>
      <c r="J340" s="227">
        <v>0.38952232974527667</v>
      </c>
      <c r="K340" s="227">
        <v>140</v>
      </c>
      <c r="L340" s="227">
        <v>140</v>
      </c>
      <c r="M340" s="227">
        <v>140</v>
      </c>
      <c r="N340" s="227">
        <v>104.49</v>
      </c>
      <c r="O340" s="227">
        <v>115.43</v>
      </c>
      <c r="P340" s="227">
        <v>130.68</v>
      </c>
      <c r="Q340" s="227">
        <v>121.7</v>
      </c>
      <c r="R340" s="227">
        <v>132.57</v>
      </c>
      <c r="S340" s="227">
        <v>67.569999999999993</v>
      </c>
      <c r="T340" s="227">
        <v>43.948999999999998</v>
      </c>
      <c r="U340" s="227">
        <v>57.923999999999999</v>
      </c>
      <c r="V340" s="227">
        <v>51.067999999999998</v>
      </c>
      <c r="W340" s="227">
        <v>79.5</v>
      </c>
      <c r="X340" s="227">
        <v>79.5</v>
      </c>
      <c r="Y340" s="227">
        <v>79.5</v>
      </c>
      <c r="Z340" s="227">
        <v>79.5</v>
      </c>
      <c r="AA340" s="227">
        <v>79.5</v>
      </c>
      <c r="AB340" s="227">
        <v>127.26</v>
      </c>
      <c r="AC340" s="227">
        <v>670.44</v>
      </c>
      <c r="AD340" s="230">
        <v>1.4729166666666666E-3</v>
      </c>
      <c r="AE340" s="230">
        <v>763.56</v>
      </c>
      <c r="AF340" s="230">
        <v>3302.6460000000002</v>
      </c>
      <c r="AG340" s="230">
        <v>336547.29289991903</v>
      </c>
      <c r="AH340" s="230">
        <v>1173171.4002056506</v>
      </c>
      <c r="AI340" s="230">
        <v>4022.6400000000003</v>
      </c>
    </row>
    <row r="341" spans="5:35" x14ac:dyDescent="0.35">
      <c r="E341" s="226">
        <v>0.61463999999999996</v>
      </c>
      <c r="F341" s="227">
        <v>5.3629150684931508</v>
      </c>
      <c r="G341" s="227">
        <v>1957.4639999999999</v>
      </c>
      <c r="H341" s="227">
        <v>0.77039999999999997</v>
      </c>
      <c r="I341" s="227">
        <v>1.3106</v>
      </c>
      <c r="J341" s="227">
        <v>0.39040080196749888</v>
      </c>
      <c r="K341" s="227">
        <v>140</v>
      </c>
      <c r="L341" s="227">
        <v>140</v>
      </c>
      <c r="M341" s="227">
        <v>140</v>
      </c>
      <c r="N341" s="227">
        <v>104.47</v>
      </c>
      <c r="O341" s="227">
        <v>115.36</v>
      </c>
      <c r="P341" s="227">
        <v>130.62</v>
      </c>
      <c r="Q341" s="227">
        <v>121.63</v>
      </c>
      <c r="R341" s="227">
        <v>132.46</v>
      </c>
      <c r="S341" s="227">
        <v>67.460000000000008</v>
      </c>
      <c r="T341" s="227">
        <v>44.03</v>
      </c>
      <c r="U341" s="227">
        <v>58.006999999999998</v>
      </c>
      <c r="V341" s="227">
        <v>51.161000000000001</v>
      </c>
      <c r="W341" s="227">
        <v>79.5</v>
      </c>
      <c r="X341" s="227">
        <v>79.5</v>
      </c>
      <c r="Y341" s="227">
        <v>79.5</v>
      </c>
      <c r="Z341" s="227">
        <v>79.5</v>
      </c>
      <c r="AA341" s="227">
        <v>79.5</v>
      </c>
      <c r="AB341" s="227">
        <v>126.5</v>
      </c>
      <c r="AC341" s="227">
        <v>670.75</v>
      </c>
      <c r="AD341" s="230">
        <v>1.4641203703703704E-3</v>
      </c>
      <c r="AE341" s="230">
        <v>758.99999999999989</v>
      </c>
      <c r="AF341" s="230">
        <v>3304.1880000000001</v>
      </c>
      <c r="AG341" s="230">
        <v>337306.29289991903</v>
      </c>
      <c r="AH341" s="230">
        <v>1176475.5882056507</v>
      </c>
      <c r="AI341" s="230">
        <v>4024.5</v>
      </c>
    </row>
    <row r="342" spans="5:35" x14ac:dyDescent="0.35">
      <c r="E342" s="226">
        <v>0.61863999999999997</v>
      </c>
      <c r="F342" s="227">
        <v>5.3793534246575341</v>
      </c>
      <c r="G342" s="227">
        <v>1963.4639999999999</v>
      </c>
      <c r="H342" s="227">
        <v>0.77190000000000003</v>
      </c>
      <c r="I342" s="227">
        <v>1.3146</v>
      </c>
      <c r="J342" s="227">
        <v>0.39127392696749891</v>
      </c>
      <c r="K342" s="227">
        <v>140</v>
      </c>
      <c r="L342" s="227">
        <v>140</v>
      </c>
      <c r="M342" s="227">
        <v>140</v>
      </c>
      <c r="N342" s="227">
        <v>104.46</v>
      </c>
      <c r="O342" s="227">
        <v>115.29</v>
      </c>
      <c r="P342" s="227">
        <v>130.56</v>
      </c>
      <c r="Q342" s="227">
        <v>121.55</v>
      </c>
      <c r="R342" s="227">
        <v>132.34</v>
      </c>
      <c r="S342" s="227">
        <v>67.34</v>
      </c>
      <c r="T342" s="227">
        <v>44.110999999999997</v>
      </c>
      <c r="U342" s="227">
        <v>58.09</v>
      </c>
      <c r="V342" s="227">
        <v>51.253999999999998</v>
      </c>
      <c r="W342" s="227">
        <v>79.5</v>
      </c>
      <c r="X342" s="227">
        <v>79.5</v>
      </c>
      <c r="Y342" s="227">
        <v>79.5</v>
      </c>
      <c r="Z342" s="227">
        <v>79.5</v>
      </c>
      <c r="AA342" s="227">
        <v>79.5</v>
      </c>
      <c r="AB342" s="227">
        <v>125.73</v>
      </c>
      <c r="AC342" s="227">
        <v>671.06</v>
      </c>
      <c r="AD342" s="230">
        <v>1.4552083333333333E-3</v>
      </c>
      <c r="AE342" s="230">
        <v>754.38</v>
      </c>
      <c r="AF342" s="230">
        <v>3305.7299999999996</v>
      </c>
      <c r="AG342" s="230">
        <v>338060.67289991904</v>
      </c>
      <c r="AH342" s="230">
        <v>1179781.3182056507</v>
      </c>
      <c r="AI342" s="230">
        <v>4026.3599999999997</v>
      </c>
    </row>
    <row r="343" spans="5:35" x14ac:dyDescent="0.35">
      <c r="E343" s="226">
        <v>0.62263999999999997</v>
      </c>
      <c r="F343" s="227">
        <v>5.3957917808219173</v>
      </c>
      <c r="G343" s="227">
        <v>1969.4639999999999</v>
      </c>
      <c r="H343" s="227">
        <v>0.77329999999999999</v>
      </c>
      <c r="I343" s="227">
        <v>1.3186</v>
      </c>
      <c r="J343" s="227">
        <v>0.39214184363416554</v>
      </c>
      <c r="K343" s="227">
        <v>140</v>
      </c>
      <c r="L343" s="227">
        <v>140</v>
      </c>
      <c r="M343" s="227">
        <v>140</v>
      </c>
      <c r="N343" s="227">
        <v>104.44</v>
      </c>
      <c r="O343" s="227">
        <v>115.21</v>
      </c>
      <c r="P343" s="227">
        <v>130.49</v>
      </c>
      <c r="Q343" s="227">
        <v>121.47</v>
      </c>
      <c r="R343" s="227">
        <v>132.22999999999999</v>
      </c>
      <c r="S343" s="227">
        <v>67.22999999999999</v>
      </c>
      <c r="T343" s="227">
        <v>44.192999999999998</v>
      </c>
      <c r="U343" s="227">
        <v>58.173000000000002</v>
      </c>
      <c r="V343" s="227">
        <v>51.347999999999999</v>
      </c>
      <c r="W343" s="227">
        <v>79.5</v>
      </c>
      <c r="X343" s="227">
        <v>79.5</v>
      </c>
      <c r="Y343" s="227">
        <v>79.5</v>
      </c>
      <c r="Z343" s="227">
        <v>79.5</v>
      </c>
      <c r="AA343" s="227">
        <v>79.5</v>
      </c>
      <c r="AB343" s="227">
        <v>124.98</v>
      </c>
      <c r="AC343" s="227">
        <v>671.38</v>
      </c>
      <c r="AD343" s="230">
        <v>1.4465277777777779E-3</v>
      </c>
      <c r="AE343" s="230">
        <v>749.88000000000011</v>
      </c>
      <c r="AF343" s="230">
        <v>3307.2839999999997</v>
      </c>
      <c r="AG343" s="230">
        <v>338810.55289991904</v>
      </c>
      <c r="AH343" s="230">
        <v>1183088.6022056506</v>
      </c>
      <c r="AI343" s="230">
        <v>4028.2799999999997</v>
      </c>
    </row>
    <row r="344" spans="5:35" x14ac:dyDescent="0.35">
      <c r="E344" s="226">
        <v>0.62663999999999997</v>
      </c>
      <c r="F344" s="227">
        <v>5.4122301369863015</v>
      </c>
      <c r="G344" s="227">
        <v>1975.4639999999999</v>
      </c>
      <c r="H344" s="227">
        <v>0.77480000000000004</v>
      </c>
      <c r="I344" s="227">
        <v>1.3226</v>
      </c>
      <c r="J344" s="227">
        <v>0.39300455196749889</v>
      </c>
      <c r="K344" s="227">
        <v>140</v>
      </c>
      <c r="L344" s="227">
        <v>140</v>
      </c>
      <c r="M344" s="227">
        <v>140</v>
      </c>
      <c r="N344" s="227">
        <v>104.42</v>
      </c>
      <c r="O344" s="227">
        <v>115.14</v>
      </c>
      <c r="P344" s="227">
        <v>130.43</v>
      </c>
      <c r="Q344" s="227">
        <v>121.4</v>
      </c>
      <c r="R344" s="227">
        <v>132.12</v>
      </c>
      <c r="S344" s="227">
        <v>67.12</v>
      </c>
      <c r="T344" s="227">
        <v>44.276000000000003</v>
      </c>
      <c r="U344" s="227">
        <v>58.256999999999998</v>
      </c>
      <c r="V344" s="227">
        <v>51.442</v>
      </c>
      <c r="W344" s="227">
        <v>79.5</v>
      </c>
      <c r="X344" s="227">
        <v>79.5</v>
      </c>
      <c r="Y344" s="227">
        <v>79.5</v>
      </c>
      <c r="Z344" s="227">
        <v>79.5</v>
      </c>
      <c r="AA344" s="227">
        <v>79.5</v>
      </c>
      <c r="AB344" s="227">
        <v>124.23</v>
      </c>
      <c r="AC344" s="227">
        <v>671.7</v>
      </c>
      <c r="AD344" s="230">
        <v>1.4378472222222223E-3</v>
      </c>
      <c r="AE344" s="230">
        <v>745.38</v>
      </c>
      <c r="AF344" s="230">
        <v>3308.8500000000004</v>
      </c>
      <c r="AG344" s="230">
        <v>339555.93289991905</v>
      </c>
      <c r="AH344" s="230">
        <v>1186397.4522056507</v>
      </c>
      <c r="AI344" s="230">
        <v>4030.2000000000003</v>
      </c>
    </row>
    <row r="345" spans="5:35" x14ac:dyDescent="0.35">
      <c r="E345" s="226">
        <v>0.63073999999999997</v>
      </c>
      <c r="F345" s="227">
        <v>5.4286684931506848</v>
      </c>
      <c r="G345" s="227">
        <v>1981.4639999999999</v>
      </c>
      <c r="H345" s="227">
        <v>0.77629999999999999</v>
      </c>
      <c r="I345" s="227">
        <v>1.3267</v>
      </c>
      <c r="J345" s="227">
        <v>0.39386205196749891</v>
      </c>
      <c r="K345" s="227">
        <v>140</v>
      </c>
      <c r="L345" s="227">
        <v>140</v>
      </c>
      <c r="M345" s="227">
        <v>140</v>
      </c>
      <c r="N345" s="227">
        <v>104.41</v>
      </c>
      <c r="O345" s="227">
        <v>115.07</v>
      </c>
      <c r="P345" s="227">
        <v>130.37</v>
      </c>
      <c r="Q345" s="227">
        <v>121.32</v>
      </c>
      <c r="R345" s="227">
        <v>132</v>
      </c>
      <c r="S345" s="227">
        <v>67</v>
      </c>
      <c r="T345" s="227">
        <v>44.36</v>
      </c>
      <c r="U345" s="227">
        <v>58.341000000000001</v>
      </c>
      <c r="V345" s="227">
        <v>51.537999999999997</v>
      </c>
      <c r="W345" s="227">
        <v>79.5</v>
      </c>
      <c r="X345" s="227">
        <v>79.5</v>
      </c>
      <c r="Y345" s="227">
        <v>79.5</v>
      </c>
      <c r="Z345" s="227">
        <v>79.5</v>
      </c>
      <c r="AA345" s="227">
        <v>79.5</v>
      </c>
      <c r="AB345" s="227">
        <v>123.48</v>
      </c>
      <c r="AC345" s="227">
        <v>672.02</v>
      </c>
      <c r="AD345" s="230">
        <v>1.4291666666666667E-3</v>
      </c>
      <c r="AE345" s="230">
        <v>740.87999999999988</v>
      </c>
      <c r="AF345" s="230">
        <v>3310.4340000000002</v>
      </c>
      <c r="AG345" s="230">
        <v>340296.81289991905</v>
      </c>
      <c r="AH345" s="230">
        <v>1189707.8862056506</v>
      </c>
      <c r="AI345" s="230">
        <v>4032.12</v>
      </c>
    </row>
    <row r="346" spans="5:35" x14ac:dyDescent="0.35">
      <c r="E346" s="226">
        <v>0.63473999999999997</v>
      </c>
      <c r="F346" s="227">
        <v>5.4451068493150681</v>
      </c>
      <c r="G346" s="227">
        <v>1987.4639999999999</v>
      </c>
      <c r="H346" s="227">
        <v>0.77769999999999995</v>
      </c>
      <c r="I346" s="227">
        <v>1.3307</v>
      </c>
      <c r="J346" s="227">
        <v>0.39471448252305447</v>
      </c>
      <c r="K346" s="227">
        <v>140</v>
      </c>
      <c r="L346" s="227">
        <v>140</v>
      </c>
      <c r="M346" s="227">
        <v>140</v>
      </c>
      <c r="N346" s="227">
        <v>104.39</v>
      </c>
      <c r="O346" s="227">
        <v>115</v>
      </c>
      <c r="P346" s="227">
        <v>130.31</v>
      </c>
      <c r="Q346" s="227">
        <v>121.25</v>
      </c>
      <c r="R346" s="227">
        <v>131.88999999999999</v>
      </c>
      <c r="S346" s="227">
        <v>66.889999999999986</v>
      </c>
      <c r="T346" s="227">
        <v>44.444000000000003</v>
      </c>
      <c r="U346" s="227">
        <v>58.424999999999997</v>
      </c>
      <c r="V346" s="227">
        <v>51.633000000000003</v>
      </c>
      <c r="W346" s="227">
        <v>79.5</v>
      </c>
      <c r="X346" s="227">
        <v>79.5</v>
      </c>
      <c r="Y346" s="227">
        <v>79.5</v>
      </c>
      <c r="Z346" s="227">
        <v>79.5</v>
      </c>
      <c r="AA346" s="227">
        <v>79.5</v>
      </c>
      <c r="AB346" s="227">
        <v>122.75</v>
      </c>
      <c r="AC346" s="227">
        <v>672.34</v>
      </c>
      <c r="AD346" s="230">
        <v>1.4207175925925926E-3</v>
      </c>
      <c r="AE346" s="230">
        <v>736.5</v>
      </c>
      <c r="AF346" s="230">
        <v>3312.0119999999997</v>
      </c>
      <c r="AG346" s="230">
        <v>341033.31289991905</v>
      </c>
      <c r="AH346" s="230">
        <v>1193019.8982056507</v>
      </c>
      <c r="AI346" s="230">
        <v>4034.04</v>
      </c>
    </row>
    <row r="347" spans="5:35" x14ac:dyDescent="0.35">
      <c r="E347" s="226">
        <v>0.63873999999999997</v>
      </c>
      <c r="F347" s="227">
        <v>5.4615452054794522</v>
      </c>
      <c r="G347" s="227">
        <v>1993.4639999999999</v>
      </c>
      <c r="H347" s="227">
        <v>0.77910000000000001</v>
      </c>
      <c r="I347" s="227">
        <v>1.3347</v>
      </c>
      <c r="J347" s="227">
        <v>0.39556184363416558</v>
      </c>
      <c r="K347" s="227">
        <v>140</v>
      </c>
      <c r="L347" s="227">
        <v>140</v>
      </c>
      <c r="M347" s="227">
        <v>140</v>
      </c>
      <c r="N347" s="227">
        <v>104.37</v>
      </c>
      <c r="O347" s="227">
        <v>114.93</v>
      </c>
      <c r="P347" s="227">
        <v>130.25</v>
      </c>
      <c r="Q347" s="227">
        <v>121.17</v>
      </c>
      <c r="R347" s="227">
        <v>131.78</v>
      </c>
      <c r="S347" s="227">
        <v>66.78</v>
      </c>
      <c r="T347" s="227">
        <v>44.529000000000003</v>
      </c>
      <c r="U347" s="227">
        <v>58.509</v>
      </c>
      <c r="V347" s="227">
        <v>51.73</v>
      </c>
      <c r="W347" s="227">
        <v>79.5</v>
      </c>
      <c r="X347" s="227">
        <v>79.5</v>
      </c>
      <c r="Y347" s="227">
        <v>79.5</v>
      </c>
      <c r="Z347" s="227">
        <v>79.5</v>
      </c>
      <c r="AA347" s="227">
        <v>79.5</v>
      </c>
      <c r="AB347" s="227">
        <v>122.02</v>
      </c>
      <c r="AC347" s="227">
        <v>672.66</v>
      </c>
      <c r="AD347" s="230">
        <v>1.4122685185185184E-3</v>
      </c>
      <c r="AE347" s="230">
        <v>732.12</v>
      </c>
      <c r="AF347" s="230">
        <v>3313.6080000000002</v>
      </c>
      <c r="AG347" s="230">
        <v>341765.43289991905</v>
      </c>
      <c r="AH347" s="230">
        <v>1196333.5062056507</v>
      </c>
      <c r="AI347" s="230">
        <v>4035.96</v>
      </c>
    </row>
    <row r="348" spans="5:35" x14ac:dyDescent="0.35">
      <c r="E348" s="226">
        <v>0.64273999999999998</v>
      </c>
      <c r="F348" s="227">
        <v>5.4779835616438355</v>
      </c>
      <c r="G348" s="227">
        <v>1999.4639999999999</v>
      </c>
      <c r="H348" s="227">
        <v>0.78049999999999997</v>
      </c>
      <c r="I348" s="227">
        <v>1.3387</v>
      </c>
      <c r="J348" s="227">
        <v>0.39640420474527666</v>
      </c>
      <c r="K348" s="227">
        <v>140</v>
      </c>
      <c r="L348" s="227">
        <v>140</v>
      </c>
      <c r="M348" s="227">
        <v>140</v>
      </c>
      <c r="N348" s="227">
        <v>104.35</v>
      </c>
      <c r="O348" s="227">
        <v>114.87</v>
      </c>
      <c r="P348" s="227">
        <v>130.19</v>
      </c>
      <c r="Q348" s="227">
        <v>121.1</v>
      </c>
      <c r="R348" s="227">
        <v>131.66999999999999</v>
      </c>
      <c r="S348" s="227">
        <v>66.669999999999987</v>
      </c>
      <c r="T348" s="227">
        <v>44.613999999999997</v>
      </c>
      <c r="U348" s="227">
        <v>58.591999999999999</v>
      </c>
      <c r="V348" s="227">
        <v>51.825000000000003</v>
      </c>
      <c r="W348" s="227">
        <v>79.5</v>
      </c>
      <c r="X348" s="227">
        <v>79.5</v>
      </c>
      <c r="Y348" s="227">
        <v>79.5</v>
      </c>
      <c r="Z348" s="227">
        <v>79.5</v>
      </c>
      <c r="AA348" s="227">
        <v>79.5</v>
      </c>
      <c r="AB348" s="227">
        <v>121.3</v>
      </c>
      <c r="AC348" s="227">
        <v>672.98</v>
      </c>
      <c r="AD348" s="230">
        <v>1.4039351851851851E-3</v>
      </c>
      <c r="AE348" s="230">
        <v>727.8</v>
      </c>
      <c r="AF348" s="230">
        <v>3315.1859999999997</v>
      </c>
      <c r="AG348" s="230">
        <v>342493.23289991904</v>
      </c>
      <c r="AH348" s="230">
        <v>1199648.6922056507</v>
      </c>
      <c r="AI348" s="230">
        <v>4037.88</v>
      </c>
    </row>
    <row r="349" spans="5:35" x14ac:dyDescent="0.35">
      <c r="E349" s="226">
        <v>0.64673999999999998</v>
      </c>
      <c r="F349" s="227">
        <v>5.4944219178082188</v>
      </c>
      <c r="G349" s="227">
        <v>2005.4639999999999</v>
      </c>
      <c r="H349" s="227">
        <v>0.78190000000000004</v>
      </c>
      <c r="I349" s="227">
        <v>1.3427</v>
      </c>
      <c r="J349" s="227">
        <v>0.39724163530083217</v>
      </c>
      <c r="K349" s="227">
        <v>140</v>
      </c>
      <c r="L349" s="227">
        <v>140</v>
      </c>
      <c r="M349" s="227">
        <v>140</v>
      </c>
      <c r="N349" s="227">
        <v>104.33</v>
      </c>
      <c r="O349" s="227">
        <v>114.8</v>
      </c>
      <c r="P349" s="227">
        <v>130.13</v>
      </c>
      <c r="Q349" s="227">
        <v>121.02</v>
      </c>
      <c r="R349" s="227">
        <v>131.56</v>
      </c>
      <c r="S349" s="227">
        <v>66.56</v>
      </c>
      <c r="T349" s="227">
        <v>44.7</v>
      </c>
      <c r="U349" s="227">
        <v>58.676000000000002</v>
      </c>
      <c r="V349" s="227">
        <v>51.923000000000002</v>
      </c>
      <c r="W349" s="227">
        <v>79.5</v>
      </c>
      <c r="X349" s="227">
        <v>79.5</v>
      </c>
      <c r="Y349" s="227">
        <v>79.5</v>
      </c>
      <c r="Z349" s="227">
        <v>79.5</v>
      </c>
      <c r="AA349" s="227">
        <v>79.5</v>
      </c>
      <c r="AB349" s="227">
        <v>120.59</v>
      </c>
      <c r="AC349" s="227">
        <v>673.31</v>
      </c>
      <c r="AD349" s="230">
        <v>1.3957175925925927E-3</v>
      </c>
      <c r="AE349" s="230">
        <v>723.54000000000008</v>
      </c>
      <c r="AF349" s="230">
        <v>3316.7939999999999</v>
      </c>
      <c r="AG349" s="230">
        <v>343216.77289991901</v>
      </c>
      <c r="AH349" s="230">
        <v>1202965.4862056507</v>
      </c>
      <c r="AI349" s="230">
        <v>4039.8599999999997</v>
      </c>
    </row>
    <row r="350" spans="5:35" x14ac:dyDescent="0.35">
      <c r="E350" s="226">
        <v>0.65073999999999999</v>
      </c>
      <c r="F350" s="227">
        <v>5.5108602739726029</v>
      </c>
      <c r="G350" s="227">
        <v>2011.4639999999999</v>
      </c>
      <c r="H350" s="227">
        <v>0.7833</v>
      </c>
      <c r="I350" s="227">
        <v>1.3467</v>
      </c>
      <c r="J350" s="227">
        <v>0.39807420474527666</v>
      </c>
      <c r="K350" s="227">
        <v>140</v>
      </c>
      <c r="L350" s="227">
        <v>140</v>
      </c>
      <c r="M350" s="227">
        <v>140</v>
      </c>
      <c r="N350" s="227">
        <v>104.31</v>
      </c>
      <c r="O350" s="227">
        <v>114.73</v>
      </c>
      <c r="P350" s="227">
        <v>130.07</v>
      </c>
      <c r="Q350" s="227">
        <v>120.95</v>
      </c>
      <c r="R350" s="227">
        <v>131.46</v>
      </c>
      <c r="S350" s="227">
        <v>66.460000000000008</v>
      </c>
      <c r="T350" s="227">
        <v>44.784999999999997</v>
      </c>
      <c r="U350" s="227">
        <v>58.759</v>
      </c>
      <c r="V350" s="227">
        <v>52.018999999999998</v>
      </c>
      <c r="W350" s="227">
        <v>79.5</v>
      </c>
      <c r="X350" s="227">
        <v>79.5</v>
      </c>
      <c r="Y350" s="227">
        <v>79.5</v>
      </c>
      <c r="Z350" s="227">
        <v>79.5</v>
      </c>
      <c r="AA350" s="227">
        <v>79.5</v>
      </c>
      <c r="AB350" s="227">
        <v>119.89</v>
      </c>
      <c r="AC350" s="227">
        <v>673.63</v>
      </c>
      <c r="AD350" s="230">
        <v>1.3876157407407407E-3</v>
      </c>
      <c r="AE350" s="230">
        <v>719.34</v>
      </c>
      <c r="AF350" s="230">
        <v>3318.3779999999997</v>
      </c>
      <c r="AG350" s="230">
        <v>343936.11289991904</v>
      </c>
      <c r="AH350" s="230">
        <v>1206283.8642056508</v>
      </c>
      <c r="AI350" s="230">
        <v>4041.7799999999997</v>
      </c>
    </row>
    <row r="351" spans="5:35" x14ac:dyDescent="0.35">
      <c r="E351" s="226">
        <v>0.65483999999999998</v>
      </c>
      <c r="F351" s="227">
        <v>5.5272986301369862</v>
      </c>
      <c r="G351" s="227">
        <v>2017.4639999999999</v>
      </c>
      <c r="H351" s="227">
        <v>0.78469999999999995</v>
      </c>
      <c r="I351" s="227">
        <v>1.3508</v>
      </c>
      <c r="J351" s="227">
        <v>0.39890191307861</v>
      </c>
      <c r="K351" s="227">
        <v>140</v>
      </c>
      <c r="L351" s="227">
        <v>140</v>
      </c>
      <c r="M351" s="227">
        <v>140</v>
      </c>
      <c r="N351" s="227">
        <v>104.29</v>
      </c>
      <c r="O351" s="227">
        <v>114.66</v>
      </c>
      <c r="P351" s="227">
        <v>130.01</v>
      </c>
      <c r="Q351" s="227">
        <v>120.88</v>
      </c>
      <c r="R351" s="227">
        <v>131.35</v>
      </c>
      <c r="S351" s="227">
        <v>66.349999999999994</v>
      </c>
      <c r="T351" s="227">
        <v>44.871000000000002</v>
      </c>
      <c r="U351" s="227">
        <v>58.841000000000001</v>
      </c>
      <c r="V351" s="227">
        <v>52.116</v>
      </c>
      <c r="W351" s="227">
        <v>79.5</v>
      </c>
      <c r="X351" s="227">
        <v>79.5</v>
      </c>
      <c r="Y351" s="227">
        <v>79.5</v>
      </c>
      <c r="Z351" s="227">
        <v>79.5</v>
      </c>
      <c r="AA351" s="227">
        <v>79.5</v>
      </c>
      <c r="AB351" s="227">
        <v>119.19</v>
      </c>
      <c r="AC351" s="227">
        <v>673.95</v>
      </c>
      <c r="AD351" s="230">
        <v>1.3795138888888889E-3</v>
      </c>
      <c r="AE351" s="230">
        <v>715.1400000000001</v>
      </c>
      <c r="AF351" s="230">
        <v>3319.9679999999998</v>
      </c>
      <c r="AG351" s="230">
        <v>344651.25289991905</v>
      </c>
      <c r="AH351" s="230">
        <v>1209603.8322056509</v>
      </c>
      <c r="AI351" s="230">
        <v>4043.7000000000003</v>
      </c>
    </row>
    <row r="352" spans="5:35" x14ac:dyDescent="0.35">
      <c r="E352" s="226">
        <v>0.65883999999999998</v>
      </c>
      <c r="F352" s="227">
        <v>5.5437369863013695</v>
      </c>
      <c r="G352" s="227">
        <v>2023.4639999999999</v>
      </c>
      <c r="H352" s="227">
        <v>0.78600000000000003</v>
      </c>
      <c r="I352" s="227">
        <v>1.3548</v>
      </c>
      <c r="J352" s="227">
        <v>0.39972482974527668</v>
      </c>
      <c r="K352" s="227">
        <v>140</v>
      </c>
      <c r="L352" s="227">
        <v>140</v>
      </c>
      <c r="M352" s="227">
        <v>140</v>
      </c>
      <c r="N352" s="227">
        <v>104.27</v>
      </c>
      <c r="O352" s="227">
        <v>114.6</v>
      </c>
      <c r="P352" s="227">
        <v>129.96</v>
      </c>
      <c r="Q352" s="227">
        <v>120.81</v>
      </c>
      <c r="R352" s="227">
        <v>131.25</v>
      </c>
      <c r="S352" s="227">
        <v>66.25</v>
      </c>
      <c r="T352" s="227">
        <v>44.957000000000001</v>
      </c>
      <c r="U352" s="227">
        <v>58.923999999999999</v>
      </c>
      <c r="V352" s="227">
        <v>52.213999999999999</v>
      </c>
      <c r="W352" s="227">
        <v>79.5</v>
      </c>
      <c r="X352" s="227">
        <v>79.5</v>
      </c>
      <c r="Y352" s="227">
        <v>79.5</v>
      </c>
      <c r="Z352" s="227">
        <v>79.5</v>
      </c>
      <c r="AA352" s="227">
        <v>79.5</v>
      </c>
      <c r="AB352" s="227">
        <v>118.5</v>
      </c>
      <c r="AC352" s="227">
        <v>674.28</v>
      </c>
      <c r="AD352" s="230">
        <v>1.3715277777777777E-3</v>
      </c>
      <c r="AE352" s="230">
        <v>710.99999999999989</v>
      </c>
      <c r="AF352" s="230">
        <v>3321.57</v>
      </c>
      <c r="AG352" s="230">
        <v>345362.25289991905</v>
      </c>
      <c r="AH352" s="230">
        <v>1212925.4022056509</v>
      </c>
      <c r="AI352" s="230">
        <v>4045.68</v>
      </c>
    </row>
    <row r="353" spans="5:35" x14ac:dyDescent="0.35">
      <c r="E353" s="226">
        <v>0.66283999999999998</v>
      </c>
      <c r="F353" s="227">
        <v>5.5601753424657536</v>
      </c>
      <c r="G353" s="227">
        <v>2029.4639999999999</v>
      </c>
      <c r="H353" s="227">
        <v>0.78739999999999999</v>
      </c>
      <c r="I353" s="227">
        <v>1.3588</v>
      </c>
      <c r="J353" s="227">
        <v>0.40054295474527668</v>
      </c>
      <c r="K353" s="227">
        <v>140</v>
      </c>
      <c r="L353" s="227">
        <v>140</v>
      </c>
      <c r="M353" s="227">
        <v>140</v>
      </c>
      <c r="N353" s="227">
        <v>104.25</v>
      </c>
      <c r="O353" s="227">
        <v>114.53</v>
      </c>
      <c r="P353" s="227">
        <v>129.9</v>
      </c>
      <c r="Q353" s="227">
        <v>120.74</v>
      </c>
      <c r="R353" s="227">
        <v>131.13999999999999</v>
      </c>
      <c r="S353" s="227">
        <v>66.139999999999986</v>
      </c>
      <c r="T353" s="227">
        <v>45.045000000000002</v>
      </c>
      <c r="U353" s="227">
        <v>59.006</v>
      </c>
      <c r="V353" s="227">
        <v>52.313000000000002</v>
      </c>
      <c r="W353" s="227">
        <v>79.5</v>
      </c>
      <c r="X353" s="227">
        <v>79.5</v>
      </c>
      <c r="Y353" s="227">
        <v>79.5</v>
      </c>
      <c r="Z353" s="227">
        <v>79.5</v>
      </c>
      <c r="AA353" s="227">
        <v>79.5</v>
      </c>
      <c r="AB353" s="227">
        <v>117.81</v>
      </c>
      <c r="AC353" s="227">
        <v>674.61</v>
      </c>
      <c r="AD353" s="230">
        <v>1.3635416666666668E-3</v>
      </c>
      <c r="AE353" s="230">
        <v>706.86000000000013</v>
      </c>
      <c r="AF353" s="230">
        <v>3323.1840000000002</v>
      </c>
      <c r="AG353" s="230">
        <v>346069.11289991904</v>
      </c>
      <c r="AH353" s="230">
        <v>1216248.5862056508</v>
      </c>
      <c r="AI353" s="230">
        <v>4047.66</v>
      </c>
    </row>
    <row r="354" spans="5:35" x14ac:dyDescent="0.35">
      <c r="E354" s="226">
        <v>0.66683999999999999</v>
      </c>
      <c r="F354" s="227">
        <v>5.5766136986301369</v>
      </c>
      <c r="G354" s="227">
        <v>2035.4639999999999</v>
      </c>
      <c r="H354" s="227">
        <v>0.78869999999999996</v>
      </c>
      <c r="I354" s="227">
        <v>1.3628</v>
      </c>
      <c r="J354" s="227">
        <v>0.4013564269674989</v>
      </c>
      <c r="K354" s="227">
        <v>140</v>
      </c>
      <c r="L354" s="227">
        <v>140</v>
      </c>
      <c r="M354" s="227">
        <v>140</v>
      </c>
      <c r="N354" s="227">
        <v>104.23</v>
      </c>
      <c r="O354" s="227">
        <v>114.47</v>
      </c>
      <c r="P354" s="227">
        <v>129.84</v>
      </c>
      <c r="Q354" s="227">
        <v>120.67</v>
      </c>
      <c r="R354" s="227">
        <v>131.04</v>
      </c>
      <c r="S354" s="227">
        <v>66.039999999999992</v>
      </c>
      <c r="T354" s="227">
        <v>45.131</v>
      </c>
      <c r="U354" s="227">
        <v>59.088000000000001</v>
      </c>
      <c r="V354" s="227">
        <v>52.411000000000001</v>
      </c>
      <c r="W354" s="227">
        <v>79.5</v>
      </c>
      <c r="X354" s="227">
        <v>79.5</v>
      </c>
      <c r="Y354" s="227">
        <v>79.5</v>
      </c>
      <c r="Z354" s="227">
        <v>79.5</v>
      </c>
      <c r="AA354" s="227">
        <v>79.5</v>
      </c>
      <c r="AB354" s="227">
        <v>117.14</v>
      </c>
      <c r="AC354" s="227">
        <v>674.93</v>
      </c>
      <c r="AD354" s="230">
        <v>1.3557870370370371E-3</v>
      </c>
      <c r="AE354" s="230">
        <v>702.84</v>
      </c>
      <c r="AF354" s="230">
        <v>3324.7799999999997</v>
      </c>
      <c r="AG354" s="230">
        <v>346771.95289991907</v>
      </c>
      <c r="AH354" s="230">
        <v>1219573.3662056508</v>
      </c>
      <c r="AI354" s="230">
        <v>4049.58</v>
      </c>
    </row>
    <row r="355" spans="5:35" x14ac:dyDescent="0.35">
      <c r="E355" s="226">
        <v>0.67083999999999999</v>
      </c>
      <c r="F355" s="227">
        <v>5.5930520547945202</v>
      </c>
      <c r="G355" s="227">
        <v>2041.4639999999999</v>
      </c>
      <c r="H355" s="227">
        <v>0.79</v>
      </c>
      <c r="I355" s="227">
        <v>1.3668</v>
      </c>
      <c r="J355" s="227">
        <v>0.40216517696749893</v>
      </c>
      <c r="K355" s="227">
        <v>140</v>
      </c>
      <c r="L355" s="227">
        <v>140</v>
      </c>
      <c r="M355" s="227">
        <v>140</v>
      </c>
      <c r="N355" s="227">
        <v>104.21</v>
      </c>
      <c r="O355" s="227">
        <v>114.4</v>
      </c>
      <c r="P355" s="227">
        <v>129.79</v>
      </c>
      <c r="Q355" s="227">
        <v>120.6</v>
      </c>
      <c r="R355" s="227">
        <v>130.94</v>
      </c>
      <c r="S355" s="227">
        <v>65.94</v>
      </c>
      <c r="T355" s="227">
        <v>45.219000000000001</v>
      </c>
      <c r="U355" s="227">
        <v>59.17</v>
      </c>
      <c r="V355" s="227">
        <v>52.509</v>
      </c>
      <c r="W355" s="227">
        <v>79.5</v>
      </c>
      <c r="X355" s="227">
        <v>79.5</v>
      </c>
      <c r="Y355" s="227">
        <v>79.5</v>
      </c>
      <c r="Z355" s="227">
        <v>79.5</v>
      </c>
      <c r="AA355" s="227">
        <v>79.5</v>
      </c>
      <c r="AB355" s="227">
        <v>116.46</v>
      </c>
      <c r="AC355" s="227">
        <v>675.26</v>
      </c>
      <c r="AD355" s="230">
        <v>1.3479166666666665E-3</v>
      </c>
      <c r="AE355" s="230">
        <v>698.75999999999988</v>
      </c>
      <c r="AF355" s="230">
        <v>3326.3879999999999</v>
      </c>
      <c r="AG355" s="230">
        <v>347470.71289991908</v>
      </c>
      <c r="AH355" s="230">
        <v>1222899.7542056509</v>
      </c>
      <c r="AI355" s="230">
        <v>4051.56</v>
      </c>
    </row>
    <row r="356" spans="5:35" x14ac:dyDescent="0.35">
      <c r="E356" s="226">
        <v>0.67493999999999998</v>
      </c>
      <c r="F356" s="227">
        <v>5.6094904109589043</v>
      </c>
      <c r="G356" s="227">
        <v>2047.4639999999999</v>
      </c>
      <c r="H356" s="227">
        <v>0.7913</v>
      </c>
      <c r="I356" s="227">
        <v>1.3709</v>
      </c>
      <c r="J356" s="227">
        <v>0.40296934363416559</v>
      </c>
      <c r="K356" s="227">
        <v>140</v>
      </c>
      <c r="L356" s="227">
        <v>140</v>
      </c>
      <c r="M356" s="227">
        <v>140</v>
      </c>
      <c r="N356" s="227">
        <v>104.19</v>
      </c>
      <c r="O356" s="227">
        <v>114.34</v>
      </c>
      <c r="P356" s="227">
        <v>129.72999999999999</v>
      </c>
      <c r="Q356" s="227">
        <v>120.53</v>
      </c>
      <c r="R356" s="227">
        <v>130.84</v>
      </c>
      <c r="S356" s="227">
        <v>65.84</v>
      </c>
      <c r="T356" s="227">
        <v>45.307000000000002</v>
      </c>
      <c r="U356" s="227">
        <v>59.253</v>
      </c>
      <c r="V356" s="227">
        <v>52.61</v>
      </c>
      <c r="W356" s="227">
        <v>79.5</v>
      </c>
      <c r="X356" s="227">
        <v>79.5</v>
      </c>
      <c r="Y356" s="227">
        <v>79.5</v>
      </c>
      <c r="Z356" s="227">
        <v>79.5</v>
      </c>
      <c r="AA356" s="227">
        <v>79.5</v>
      </c>
      <c r="AB356" s="227">
        <v>115.8</v>
      </c>
      <c r="AC356" s="227">
        <v>675.59</v>
      </c>
      <c r="AD356" s="230">
        <v>1.3402777777777777E-3</v>
      </c>
      <c r="AE356" s="230">
        <v>694.8</v>
      </c>
      <c r="AF356" s="230">
        <v>3328.0200000000004</v>
      </c>
      <c r="AG356" s="230">
        <v>348165.51289991906</v>
      </c>
      <c r="AH356" s="230">
        <v>1226227.7742056509</v>
      </c>
      <c r="AI356" s="230">
        <v>4053.54</v>
      </c>
    </row>
    <row r="357" spans="5:35" x14ac:dyDescent="0.35">
      <c r="E357" s="226">
        <v>0.67893999999999999</v>
      </c>
      <c r="F357" s="227">
        <v>5.6259287671232876</v>
      </c>
      <c r="G357" s="227">
        <v>2053.4639999999999</v>
      </c>
      <c r="H357" s="227">
        <v>0.79259999999999997</v>
      </c>
      <c r="I357" s="227">
        <v>1.3749</v>
      </c>
      <c r="J357" s="227">
        <v>0.40376885752305453</v>
      </c>
      <c r="K357" s="227">
        <v>140</v>
      </c>
      <c r="L357" s="227">
        <v>140</v>
      </c>
      <c r="M357" s="227">
        <v>140</v>
      </c>
      <c r="N357" s="227">
        <v>104.16</v>
      </c>
      <c r="O357" s="227">
        <v>114.28</v>
      </c>
      <c r="P357" s="227">
        <v>129.66999999999999</v>
      </c>
      <c r="Q357" s="227">
        <v>120.46</v>
      </c>
      <c r="R357" s="227">
        <v>130.74</v>
      </c>
      <c r="S357" s="227">
        <v>65.740000000000009</v>
      </c>
      <c r="T357" s="227">
        <v>45.396000000000001</v>
      </c>
      <c r="U357" s="227">
        <v>59.335000000000001</v>
      </c>
      <c r="V357" s="227">
        <v>52.709000000000003</v>
      </c>
      <c r="W357" s="227">
        <v>79.5</v>
      </c>
      <c r="X357" s="227">
        <v>79.5</v>
      </c>
      <c r="Y357" s="227">
        <v>79.5</v>
      </c>
      <c r="Z357" s="227">
        <v>79.5</v>
      </c>
      <c r="AA357" s="227">
        <v>79.5</v>
      </c>
      <c r="AB357" s="227">
        <v>115.13</v>
      </c>
      <c r="AC357" s="227">
        <v>675.92</v>
      </c>
      <c r="AD357" s="230">
        <v>1.332523148148148E-3</v>
      </c>
      <c r="AE357" s="230">
        <v>690.78</v>
      </c>
      <c r="AF357" s="230">
        <v>3329.6400000000003</v>
      </c>
      <c r="AG357" s="230">
        <v>348856.29289991909</v>
      </c>
      <c r="AH357" s="230">
        <v>1229557.4142056508</v>
      </c>
      <c r="AI357" s="230">
        <v>4055.5199999999995</v>
      </c>
    </row>
    <row r="358" spans="5:35" x14ac:dyDescent="0.35">
      <c r="E358" s="226">
        <v>0.68293999999999999</v>
      </c>
      <c r="F358" s="227">
        <v>5.6423671232876709</v>
      </c>
      <c r="G358" s="227">
        <v>2059.4639999999999</v>
      </c>
      <c r="H358" s="227">
        <v>0.79390000000000005</v>
      </c>
      <c r="I358" s="227">
        <v>1.3789</v>
      </c>
      <c r="J358" s="227">
        <v>0.40456385752305452</v>
      </c>
      <c r="K358" s="227">
        <v>140</v>
      </c>
      <c r="L358" s="227">
        <v>140</v>
      </c>
      <c r="M358" s="227">
        <v>140</v>
      </c>
      <c r="N358" s="227">
        <v>104.14</v>
      </c>
      <c r="O358" s="227">
        <v>114.21</v>
      </c>
      <c r="P358" s="227">
        <v>129.62</v>
      </c>
      <c r="Q358" s="227">
        <v>120.39</v>
      </c>
      <c r="R358" s="227">
        <v>130.63999999999999</v>
      </c>
      <c r="S358" s="227">
        <v>65.639999999999986</v>
      </c>
      <c r="T358" s="227">
        <v>45.484999999999999</v>
      </c>
      <c r="U358" s="227">
        <v>59.417999999999999</v>
      </c>
      <c r="V358" s="227">
        <v>52.81</v>
      </c>
      <c r="W358" s="227">
        <v>79.5</v>
      </c>
      <c r="X358" s="227">
        <v>79.5</v>
      </c>
      <c r="Y358" s="227">
        <v>79.5</v>
      </c>
      <c r="Z358" s="227">
        <v>79.5</v>
      </c>
      <c r="AA358" s="227">
        <v>79.5</v>
      </c>
      <c r="AB358" s="227">
        <v>114.48</v>
      </c>
      <c r="AC358" s="227">
        <v>676.25</v>
      </c>
      <c r="AD358" s="230">
        <v>1.325E-3</v>
      </c>
      <c r="AE358" s="230">
        <v>686.88</v>
      </c>
      <c r="AF358" s="230">
        <v>3331.2779999999998</v>
      </c>
      <c r="AG358" s="230">
        <v>349543.1728999191</v>
      </c>
      <c r="AH358" s="230">
        <v>1232888.6922056507</v>
      </c>
      <c r="AI358" s="230">
        <v>4057.5</v>
      </c>
    </row>
    <row r="359" spans="5:35" x14ac:dyDescent="0.35">
      <c r="E359" s="226">
        <v>0.68694</v>
      </c>
      <c r="F359" s="227">
        <v>5.658805479452055</v>
      </c>
      <c r="G359" s="227">
        <v>2065.4639999999999</v>
      </c>
      <c r="H359" s="227">
        <v>0.79520000000000002</v>
      </c>
      <c r="I359" s="227">
        <v>1.3829</v>
      </c>
      <c r="J359" s="227">
        <v>0.40535427418972114</v>
      </c>
      <c r="K359" s="227">
        <v>140</v>
      </c>
      <c r="L359" s="227">
        <v>140</v>
      </c>
      <c r="M359" s="227">
        <v>140</v>
      </c>
      <c r="N359" s="227">
        <v>104.12</v>
      </c>
      <c r="O359" s="227">
        <v>114.15</v>
      </c>
      <c r="P359" s="227">
        <v>129.56</v>
      </c>
      <c r="Q359" s="227">
        <v>120.32</v>
      </c>
      <c r="R359" s="227">
        <v>130.54</v>
      </c>
      <c r="S359" s="227">
        <v>65.539999999999992</v>
      </c>
      <c r="T359" s="227">
        <v>45.575000000000003</v>
      </c>
      <c r="U359" s="227">
        <v>59.500999999999998</v>
      </c>
      <c r="V359" s="227">
        <v>52.911000000000001</v>
      </c>
      <c r="W359" s="227">
        <v>79.5</v>
      </c>
      <c r="X359" s="227">
        <v>79.5</v>
      </c>
      <c r="Y359" s="227">
        <v>79.5</v>
      </c>
      <c r="Z359" s="227">
        <v>79.5</v>
      </c>
      <c r="AA359" s="227">
        <v>79.5</v>
      </c>
      <c r="AB359" s="227">
        <v>113.82</v>
      </c>
      <c r="AC359" s="227">
        <v>676.58</v>
      </c>
      <c r="AD359" s="230">
        <v>1.3173611111111109E-3</v>
      </c>
      <c r="AE359" s="230">
        <v>682.91999999999985</v>
      </c>
      <c r="AF359" s="230">
        <v>3332.9219999999996</v>
      </c>
      <c r="AG359" s="230">
        <v>350226.09289991908</v>
      </c>
      <c r="AH359" s="230">
        <v>1236221.6142056508</v>
      </c>
      <c r="AI359" s="230">
        <v>4059.4800000000005</v>
      </c>
    </row>
    <row r="360" spans="5:35" x14ac:dyDescent="0.35">
      <c r="E360" s="226">
        <v>0.69094</v>
      </c>
      <c r="F360" s="227">
        <v>5.6752438356164383</v>
      </c>
      <c r="G360" s="227">
        <v>2071.4639999999999</v>
      </c>
      <c r="H360" s="227">
        <v>0.7964</v>
      </c>
      <c r="I360" s="227">
        <v>1.3869</v>
      </c>
      <c r="J360" s="227">
        <v>0.40614017696749893</v>
      </c>
      <c r="K360" s="227">
        <v>140</v>
      </c>
      <c r="L360" s="227">
        <v>140</v>
      </c>
      <c r="M360" s="227">
        <v>140</v>
      </c>
      <c r="N360" s="227">
        <v>104.1</v>
      </c>
      <c r="O360" s="227">
        <v>114.09</v>
      </c>
      <c r="P360" s="227">
        <v>129.51</v>
      </c>
      <c r="Q360" s="227">
        <v>120.25</v>
      </c>
      <c r="R360" s="227">
        <v>130.44</v>
      </c>
      <c r="S360" s="227">
        <v>65.44</v>
      </c>
      <c r="T360" s="227">
        <v>45.664999999999999</v>
      </c>
      <c r="U360" s="227">
        <v>59.582999999999998</v>
      </c>
      <c r="V360" s="227">
        <v>53.012</v>
      </c>
      <c r="W360" s="227">
        <v>79.5</v>
      </c>
      <c r="X360" s="227">
        <v>79.5</v>
      </c>
      <c r="Y360" s="227">
        <v>79.5</v>
      </c>
      <c r="Z360" s="227">
        <v>79.5</v>
      </c>
      <c r="AA360" s="227">
        <v>79.5</v>
      </c>
      <c r="AB360" s="227">
        <v>113.17</v>
      </c>
      <c r="AC360" s="227">
        <v>676.92</v>
      </c>
      <c r="AD360" s="230">
        <v>1.309837962962963E-3</v>
      </c>
      <c r="AE360" s="230">
        <v>679.02</v>
      </c>
      <c r="AF360" s="230">
        <v>3334.56</v>
      </c>
      <c r="AG360" s="230">
        <v>350905.1128999191</v>
      </c>
      <c r="AH360" s="230">
        <v>1239556.1742056508</v>
      </c>
      <c r="AI360" s="230">
        <v>4061.5199999999995</v>
      </c>
    </row>
    <row r="361" spans="5:35" x14ac:dyDescent="0.35">
      <c r="E361" s="226">
        <v>0.69494</v>
      </c>
      <c r="F361" s="227">
        <v>5.6916821917808216</v>
      </c>
      <c r="G361" s="227">
        <v>2077.4639999999999</v>
      </c>
      <c r="H361" s="227">
        <v>0.79769999999999996</v>
      </c>
      <c r="I361" s="227">
        <v>1.3909</v>
      </c>
      <c r="J361" s="227">
        <v>0.40692149641194342</v>
      </c>
      <c r="K361" s="227">
        <v>140</v>
      </c>
      <c r="L361" s="227">
        <v>140</v>
      </c>
      <c r="M361" s="227">
        <v>140</v>
      </c>
      <c r="N361" s="227">
        <v>104.07</v>
      </c>
      <c r="O361" s="227">
        <v>114.02</v>
      </c>
      <c r="P361" s="227">
        <v>129.44999999999999</v>
      </c>
      <c r="Q361" s="227">
        <v>120.18</v>
      </c>
      <c r="R361" s="227">
        <v>130.34</v>
      </c>
      <c r="S361" s="227">
        <v>65.34</v>
      </c>
      <c r="T361" s="227">
        <v>45.756</v>
      </c>
      <c r="U361" s="227">
        <v>59.667000000000002</v>
      </c>
      <c r="V361" s="227">
        <v>53.113999999999997</v>
      </c>
      <c r="W361" s="227">
        <v>79.5</v>
      </c>
      <c r="X361" s="227">
        <v>79.5</v>
      </c>
      <c r="Y361" s="227">
        <v>79.5</v>
      </c>
      <c r="Z361" s="227">
        <v>79.5</v>
      </c>
      <c r="AA361" s="227">
        <v>79.5</v>
      </c>
      <c r="AB361" s="227">
        <v>112.51</v>
      </c>
      <c r="AC361" s="227">
        <v>677.25</v>
      </c>
      <c r="AD361" s="230">
        <v>1.3021990740740741E-3</v>
      </c>
      <c r="AE361" s="230">
        <v>675.06000000000006</v>
      </c>
      <c r="AF361" s="230">
        <v>3336.2220000000002</v>
      </c>
      <c r="AG361" s="230">
        <v>351580.1728999191</v>
      </c>
      <c r="AH361" s="230">
        <v>1242892.3962056509</v>
      </c>
      <c r="AI361" s="230">
        <v>4063.5</v>
      </c>
    </row>
    <row r="362" spans="5:35" x14ac:dyDescent="0.35">
      <c r="E362" s="226">
        <v>0.69903999999999999</v>
      </c>
      <c r="F362" s="227">
        <v>5.7081205479452057</v>
      </c>
      <c r="G362" s="227">
        <v>2083.4639999999999</v>
      </c>
      <c r="H362" s="227">
        <v>0.79900000000000004</v>
      </c>
      <c r="I362" s="227">
        <v>1.395</v>
      </c>
      <c r="J362" s="227">
        <v>0.40769837141194337</v>
      </c>
      <c r="K362" s="227">
        <v>140</v>
      </c>
      <c r="L362" s="227">
        <v>140</v>
      </c>
      <c r="M362" s="227">
        <v>140</v>
      </c>
      <c r="N362" s="227">
        <v>104.05</v>
      </c>
      <c r="O362" s="227">
        <v>113.96</v>
      </c>
      <c r="P362" s="227">
        <v>129.4</v>
      </c>
      <c r="Q362" s="227">
        <v>120.12</v>
      </c>
      <c r="R362" s="227">
        <v>130.25</v>
      </c>
      <c r="S362" s="227">
        <v>65.25</v>
      </c>
      <c r="T362" s="227">
        <v>45.845999999999997</v>
      </c>
      <c r="U362" s="227">
        <v>59.749000000000002</v>
      </c>
      <c r="V362" s="227">
        <v>53.216000000000001</v>
      </c>
      <c r="W362" s="227">
        <v>79.5</v>
      </c>
      <c r="X362" s="227">
        <v>79.5</v>
      </c>
      <c r="Y362" s="227">
        <v>79.5</v>
      </c>
      <c r="Z362" s="227">
        <v>79.5</v>
      </c>
      <c r="AA362" s="227">
        <v>79.5</v>
      </c>
      <c r="AB362" s="227">
        <v>111.87</v>
      </c>
      <c r="AC362" s="227">
        <v>677.59</v>
      </c>
      <c r="AD362" s="230">
        <v>1.2947916666666667E-3</v>
      </c>
      <c r="AE362" s="230">
        <v>671.22</v>
      </c>
      <c r="AF362" s="230">
        <v>3337.866</v>
      </c>
      <c r="AG362" s="230">
        <v>352251.39289991907</v>
      </c>
      <c r="AH362" s="230">
        <v>1246230.2622056508</v>
      </c>
      <c r="AI362" s="230">
        <v>4065.54</v>
      </c>
    </row>
    <row r="363" spans="5:35" x14ac:dyDescent="0.35">
      <c r="E363" s="226">
        <v>0.70304</v>
      </c>
      <c r="F363" s="227">
        <v>5.724558904109589</v>
      </c>
      <c r="G363" s="227">
        <v>2089.4639999999999</v>
      </c>
      <c r="H363" s="227">
        <v>0.80020000000000002</v>
      </c>
      <c r="I363" s="227">
        <v>1.399</v>
      </c>
      <c r="J363" s="227">
        <v>0.40847073252305449</v>
      </c>
      <c r="K363" s="227">
        <v>140</v>
      </c>
      <c r="L363" s="227">
        <v>140</v>
      </c>
      <c r="M363" s="227">
        <v>140</v>
      </c>
      <c r="N363" s="227">
        <v>104.02</v>
      </c>
      <c r="O363" s="227">
        <v>113.9</v>
      </c>
      <c r="P363" s="227">
        <v>129.34</v>
      </c>
      <c r="Q363" s="227">
        <v>120.05</v>
      </c>
      <c r="R363" s="227">
        <v>130.15</v>
      </c>
      <c r="S363" s="227">
        <v>65.150000000000006</v>
      </c>
      <c r="T363" s="227">
        <v>45.938000000000002</v>
      </c>
      <c r="U363" s="227">
        <v>59.832999999999998</v>
      </c>
      <c r="V363" s="227">
        <v>53.319000000000003</v>
      </c>
      <c r="W363" s="227">
        <v>79.5</v>
      </c>
      <c r="X363" s="227">
        <v>79.5</v>
      </c>
      <c r="Y363" s="227">
        <v>79.5</v>
      </c>
      <c r="Z363" s="227">
        <v>79.5</v>
      </c>
      <c r="AA363" s="227">
        <v>79.5</v>
      </c>
      <c r="AB363" s="227">
        <v>111.22</v>
      </c>
      <c r="AC363" s="227">
        <v>677.93</v>
      </c>
      <c r="AD363" s="230">
        <v>1.2872685185185185E-3</v>
      </c>
      <c r="AE363" s="230">
        <v>667.32</v>
      </c>
      <c r="AF363" s="230">
        <v>3339.54</v>
      </c>
      <c r="AG363" s="230">
        <v>352918.71289991908</v>
      </c>
      <c r="AH363" s="230">
        <v>1249569.8022056508</v>
      </c>
      <c r="AI363" s="230">
        <v>4067.58</v>
      </c>
    </row>
    <row r="364" spans="5:35" x14ac:dyDescent="0.35">
      <c r="E364" s="226">
        <v>0.70704</v>
      </c>
      <c r="F364" s="227">
        <v>5.7409972602739723</v>
      </c>
      <c r="G364" s="227">
        <v>2095.4639999999999</v>
      </c>
      <c r="H364" s="227">
        <v>0.80149999999999999</v>
      </c>
      <c r="I364" s="227">
        <v>1.403</v>
      </c>
      <c r="J364" s="227">
        <v>0.40923864918972114</v>
      </c>
      <c r="K364" s="227">
        <v>140</v>
      </c>
      <c r="L364" s="227">
        <v>140</v>
      </c>
      <c r="M364" s="227">
        <v>140</v>
      </c>
      <c r="N364" s="227">
        <v>104</v>
      </c>
      <c r="O364" s="227">
        <v>113.84</v>
      </c>
      <c r="P364" s="227">
        <v>129.29</v>
      </c>
      <c r="Q364" s="227">
        <v>119.98</v>
      </c>
      <c r="R364" s="227">
        <v>130.06</v>
      </c>
      <c r="S364" s="227">
        <v>65.06</v>
      </c>
      <c r="T364" s="227">
        <v>46.03</v>
      </c>
      <c r="U364" s="227">
        <v>59.917000000000002</v>
      </c>
      <c r="V364" s="227">
        <v>53.421999999999997</v>
      </c>
      <c r="W364" s="227">
        <v>79.5</v>
      </c>
      <c r="X364" s="227">
        <v>79.5</v>
      </c>
      <c r="Y364" s="227">
        <v>79.5</v>
      </c>
      <c r="Z364" s="227">
        <v>79.5</v>
      </c>
      <c r="AA364" s="227">
        <v>79.5</v>
      </c>
      <c r="AB364" s="227">
        <v>110.58</v>
      </c>
      <c r="AC364" s="227">
        <v>678.27</v>
      </c>
      <c r="AD364" s="230">
        <v>1.2798611111111112E-3</v>
      </c>
      <c r="AE364" s="230">
        <v>663.48</v>
      </c>
      <c r="AF364" s="230">
        <v>3341.2139999999999</v>
      </c>
      <c r="AG364" s="230">
        <v>353582.19289991906</v>
      </c>
      <c r="AH364" s="230">
        <v>1252911.0162056508</v>
      </c>
      <c r="AI364" s="230">
        <v>4069.62</v>
      </c>
    </row>
    <row r="365" spans="5:35" x14ac:dyDescent="0.35">
      <c r="E365" s="226">
        <v>0.71104000000000001</v>
      </c>
      <c r="F365" s="227">
        <v>5.7574356164383564</v>
      </c>
      <c r="G365" s="227">
        <v>2101.4639999999999</v>
      </c>
      <c r="H365" s="227">
        <v>0.80269999999999997</v>
      </c>
      <c r="I365" s="227">
        <v>1.407</v>
      </c>
      <c r="J365" s="227">
        <v>0.41000212141194337</v>
      </c>
      <c r="K365" s="227">
        <v>140</v>
      </c>
      <c r="L365" s="227">
        <v>140</v>
      </c>
      <c r="M365" s="227">
        <v>140</v>
      </c>
      <c r="N365" s="227">
        <v>103.98</v>
      </c>
      <c r="O365" s="227">
        <v>113.77</v>
      </c>
      <c r="P365" s="227">
        <v>129.22999999999999</v>
      </c>
      <c r="Q365" s="227">
        <v>119.91</v>
      </c>
      <c r="R365" s="227">
        <v>129.96</v>
      </c>
      <c r="S365" s="227">
        <v>64.960000000000008</v>
      </c>
      <c r="T365" s="227">
        <v>46.122999999999998</v>
      </c>
      <c r="U365" s="227">
        <v>60.000999999999998</v>
      </c>
      <c r="V365" s="227">
        <v>53.524999999999999</v>
      </c>
      <c r="W365" s="227">
        <v>79.5</v>
      </c>
      <c r="X365" s="227">
        <v>79.5</v>
      </c>
      <c r="Y365" s="227">
        <v>79.5</v>
      </c>
      <c r="Z365" s="227">
        <v>79.5</v>
      </c>
      <c r="AA365" s="227">
        <v>79.5</v>
      </c>
      <c r="AB365" s="227">
        <v>109.94</v>
      </c>
      <c r="AC365" s="227">
        <v>678.61</v>
      </c>
      <c r="AD365" s="230">
        <v>1.2724537037037036E-3</v>
      </c>
      <c r="AE365" s="230">
        <v>659.64</v>
      </c>
      <c r="AF365" s="230">
        <v>3342.8940000000002</v>
      </c>
      <c r="AG365" s="230">
        <v>354241.83289991907</v>
      </c>
      <c r="AH365" s="230">
        <v>1256253.9102056508</v>
      </c>
      <c r="AI365" s="230">
        <v>4071.66</v>
      </c>
    </row>
    <row r="366" spans="5:35" x14ac:dyDescent="0.35">
      <c r="E366" s="226">
        <v>0.71504000000000001</v>
      </c>
      <c r="F366" s="227">
        <v>5.7738739726027397</v>
      </c>
      <c r="G366" s="227">
        <v>2107.4639999999999</v>
      </c>
      <c r="H366" s="227">
        <v>0.80400000000000005</v>
      </c>
      <c r="I366" s="227">
        <v>1.411</v>
      </c>
      <c r="J366" s="227">
        <v>0.41076114918972112</v>
      </c>
      <c r="K366" s="227">
        <v>140</v>
      </c>
      <c r="L366" s="227">
        <v>140</v>
      </c>
      <c r="M366" s="227">
        <v>140</v>
      </c>
      <c r="N366" s="227">
        <v>103.95</v>
      </c>
      <c r="O366" s="227">
        <v>113.71</v>
      </c>
      <c r="P366" s="227">
        <v>129.18</v>
      </c>
      <c r="Q366" s="227">
        <v>119.85</v>
      </c>
      <c r="R366" s="227">
        <v>129.87</v>
      </c>
      <c r="S366" s="227">
        <v>64.87</v>
      </c>
      <c r="T366" s="227">
        <v>46.216000000000001</v>
      </c>
      <c r="U366" s="227">
        <v>60.085000000000001</v>
      </c>
      <c r="V366" s="227">
        <v>53.628999999999998</v>
      </c>
      <c r="W366" s="227">
        <v>79.5</v>
      </c>
      <c r="X366" s="227">
        <v>79.5</v>
      </c>
      <c r="Y366" s="227">
        <v>79.5</v>
      </c>
      <c r="Z366" s="227">
        <v>79.5</v>
      </c>
      <c r="AA366" s="227">
        <v>79.5</v>
      </c>
      <c r="AB366" s="227">
        <v>109.3</v>
      </c>
      <c r="AC366" s="227">
        <v>678.95</v>
      </c>
      <c r="AD366" s="230">
        <v>1.2650462962962962E-3</v>
      </c>
      <c r="AE366" s="230">
        <v>655.8</v>
      </c>
      <c r="AF366" s="230">
        <v>3344.5800000000004</v>
      </c>
      <c r="AG366" s="230">
        <v>354897.63289991906</v>
      </c>
      <c r="AH366" s="230">
        <v>1259598.4902056509</v>
      </c>
      <c r="AI366" s="230">
        <v>4073.7000000000003</v>
      </c>
    </row>
    <row r="367" spans="5:35" x14ac:dyDescent="0.35">
      <c r="E367" s="226">
        <v>0.71904000000000001</v>
      </c>
      <c r="F367" s="227">
        <v>5.790312328767123</v>
      </c>
      <c r="G367" s="227">
        <v>2113.4639999999999</v>
      </c>
      <c r="H367" s="227">
        <v>0.80520000000000003</v>
      </c>
      <c r="I367" s="227">
        <v>1.415</v>
      </c>
      <c r="J367" s="227">
        <v>0.41151580196749893</v>
      </c>
      <c r="K367" s="227">
        <v>140</v>
      </c>
      <c r="L367" s="227">
        <v>140</v>
      </c>
      <c r="M367" s="227">
        <v>140</v>
      </c>
      <c r="N367" s="227">
        <v>103.93</v>
      </c>
      <c r="O367" s="227">
        <v>113.65</v>
      </c>
      <c r="P367" s="227">
        <v>129.13</v>
      </c>
      <c r="Q367" s="227">
        <v>119.78</v>
      </c>
      <c r="R367" s="227">
        <v>129.77000000000001</v>
      </c>
      <c r="S367" s="227">
        <v>64.77000000000001</v>
      </c>
      <c r="T367" s="227">
        <v>46.308</v>
      </c>
      <c r="U367" s="227">
        <v>60.167999999999999</v>
      </c>
      <c r="V367" s="227">
        <v>53.731999999999999</v>
      </c>
      <c r="W367" s="227">
        <v>79.5</v>
      </c>
      <c r="X367" s="227">
        <v>79.5</v>
      </c>
      <c r="Y367" s="227">
        <v>79.5</v>
      </c>
      <c r="Z367" s="227">
        <v>79.5</v>
      </c>
      <c r="AA367" s="227">
        <v>79.5</v>
      </c>
      <c r="AB367" s="227">
        <v>108.67</v>
      </c>
      <c r="AC367" s="227">
        <v>679.29</v>
      </c>
      <c r="AD367" s="230">
        <v>1.2577546296296297E-3</v>
      </c>
      <c r="AE367" s="230">
        <v>652.0200000000001</v>
      </c>
      <c r="AF367" s="230">
        <v>3346.2479999999996</v>
      </c>
      <c r="AG367" s="230">
        <v>355549.65289991908</v>
      </c>
      <c r="AH367" s="230">
        <v>1262944.7382056508</v>
      </c>
      <c r="AI367" s="230">
        <v>4075.74</v>
      </c>
    </row>
    <row r="368" spans="5:35" x14ac:dyDescent="0.35">
      <c r="E368" s="226">
        <v>0.72314000000000001</v>
      </c>
      <c r="F368" s="227">
        <v>5.8067506849315063</v>
      </c>
      <c r="G368" s="227">
        <v>2119.4639999999999</v>
      </c>
      <c r="H368" s="227">
        <v>0.80640000000000001</v>
      </c>
      <c r="I368" s="227">
        <v>1.4191</v>
      </c>
      <c r="J368" s="227">
        <v>0.41226607974527668</v>
      </c>
      <c r="K368" s="227">
        <v>140</v>
      </c>
      <c r="L368" s="227">
        <v>140</v>
      </c>
      <c r="M368" s="227">
        <v>140</v>
      </c>
      <c r="N368" s="227">
        <v>103.9</v>
      </c>
      <c r="O368" s="227">
        <v>113.59</v>
      </c>
      <c r="P368" s="227">
        <v>129.07</v>
      </c>
      <c r="Q368" s="227">
        <v>119.71</v>
      </c>
      <c r="R368" s="227">
        <v>129.68</v>
      </c>
      <c r="S368" s="227">
        <v>64.680000000000007</v>
      </c>
      <c r="T368" s="227">
        <v>46.401000000000003</v>
      </c>
      <c r="U368" s="227">
        <v>60.252000000000002</v>
      </c>
      <c r="V368" s="227">
        <v>53.835999999999999</v>
      </c>
      <c r="W368" s="227">
        <v>79.5</v>
      </c>
      <c r="X368" s="227">
        <v>79.5</v>
      </c>
      <c r="Y368" s="227">
        <v>79.5</v>
      </c>
      <c r="Z368" s="227">
        <v>79.5</v>
      </c>
      <c r="AA368" s="227">
        <v>79.5</v>
      </c>
      <c r="AB368" s="227">
        <v>108.04</v>
      </c>
      <c r="AC368" s="227">
        <v>679.63</v>
      </c>
      <c r="AD368" s="230">
        <v>1.250462962962963E-3</v>
      </c>
      <c r="AE368" s="230">
        <v>648.24</v>
      </c>
      <c r="AF368" s="230">
        <v>3347.9340000000002</v>
      </c>
      <c r="AG368" s="230">
        <v>356197.89289991907</v>
      </c>
      <c r="AH368" s="230">
        <v>1266292.6722056507</v>
      </c>
      <c r="AI368" s="230">
        <v>4077.7799999999997</v>
      </c>
    </row>
    <row r="369" spans="5:35" x14ac:dyDescent="0.35">
      <c r="E369" s="226">
        <v>0.72714000000000001</v>
      </c>
      <c r="F369" s="227">
        <v>5.8231890410958904</v>
      </c>
      <c r="G369" s="227">
        <v>2125.4639999999999</v>
      </c>
      <c r="H369" s="227">
        <v>0.80769999999999997</v>
      </c>
      <c r="I369" s="227">
        <v>1.4231</v>
      </c>
      <c r="J369" s="227">
        <v>0.41301198252305449</v>
      </c>
      <c r="K369" s="227">
        <v>140</v>
      </c>
      <c r="L369" s="227">
        <v>140</v>
      </c>
      <c r="M369" s="227">
        <v>140</v>
      </c>
      <c r="N369" s="227">
        <v>103.87</v>
      </c>
      <c r="O369" s="227">
        <v>113.53</v>
      </c>
      <c r="P369" s="227">
        <v>129.02000000000001</v>
      </c>
      <c r="Q369" s="227">
        <v>119.65</v>
      </c>
      <c r="R369" s="227">
        <v>129.59</v>
      </c>
      <c r="S369" s="227">
        <v>64.59</v>
      </c>
      <c r="T369" s="227">
        <v>46.494999999999997</v>
      </c>
      <c r="U369" s="227">
        <v>60.335999999999999</v>
      </c>
      <c r="V369" s="227">
        <v>53.94</v>
      </c>
      <c r="W369" s="227">
        <v>79.5</v>
      </c>
      <c r="X369" s="227">
        <v>79.5</v>
      </c>
      <c r="Y369" s="227">
        <v>79.5</v>
      </c>
      <c r="Z369" s="227">
        <v>79.5</v>
      </c>
      <c r="AA369" s="227">
        <v>79.5</v>
      </c>
      <c r="AB369" s="227">
        <v>107.41</v>
      </c>
      <c r="AC369" s="227">
        <v>679.98</v>
      </c>
      <c r="AD369" s="230">
        <v>1.2431712962962963E-3</v>
      </c>
      <c r="AE369" s="230">
        <v>644.46</v>
      </c>
      <c r="AF369" s="230">
        <v>3349.6259999999997</v>
      </c>
      <c r="AG369" s="230">
        <v>356842.35289991909</v>
      </c>
      <c r="AH369" s="230">
        <v>1269642.2982056506</v>
      </c>
      <c r="AI369" s="230">
        <v>4079.88</v>
      </c>
    </row>
    <row r="370" spans="5:35" x14ac:dyDescent="0.35">
      <c r="E370" s="226">
        <v>0.73114000000000001</v>
      </c>
      <c r="F370" s="227">
        <v>5.8396273972602737</v>
      </c>
      <c r="G370" s="227">
        <v>2131.4639999999999</v>
      </c>
      <c r="H370" s="227">
        <v>0.80889999999999995</v>
      </c>
      <c r="I370" s="227">
        <v>1.4271</v>
      </c>
      <c r="J370" s="227">
        <v>0.41375357974527671</v>
      </c>
      <c r="K370" s="227">
        <v>140</v>
      </c>
      <c r="L370" s="227">
        <v>140</v>
      </c>
      <c r="M370" s="227">
        <v>140</v>
      </c>
      <c r="N370" s="227">
        <v>103.85</v>
      </c>
      <c r="O370" s="227">
        <v>113.46</v>
      </c>
      <c r="P370" s="227">
        <v>128.97</v>
      </c>
      <c r="Q370" s="227">
        <v>119.58</v>
      </c>
      <c r="R370" s="227">
        <v>129.5</v>
      </c>
      <c r="S370" s="227">
        <v>64.5</v>
      </c>
      <c r="T370" s="227">
        <v>46.59</v>
      </c>
      <c r="U370" s="227">
        <v>60.42</v>
      </c>
      <c r="V370" s="227">
        <v>54.045000000000002</v>
      </c>
      <c r="W370" s="227">
        <v>79.5</v>
      </c>
      <c r="X370" s="227">
        <v>79.5</v>
      </c>
      <c r="Y370" s="227">
        <v>79.5</v>
      </c>
      <c r="Z370" s="227">
        <v>79.5</v>
      </c>
      <c r="AA370" s="227">
        <v>79.5</v>
      </c>
      <c r="AB370" s="227">
        <v>106.79</v>
      </c>
      <c r="AC370" s="227">
        <v>680.32</v>
      </c>
      <c r="AD370" s="230">
        <v>1.2359953703703704E-3</v>
      </c>
      <c r="AE370" s="230">
        <v>640.74</v>
      </c>
      <c r="AF370" s="230">
        <v>3351.3300000000004</v>
      </c>
      <c r="AG370" s="230">
        <v>357483.09289991908</v>
      </c>
      <c r="AH370" s="230">
        <v>1272993.6282056507</v>
      </c>
      <c r="AI370" s="230">
        <v>4081.92</v>
      </c>
    </row>
    <row r="371" spans="5:35" x14ac:dyDescent="0.35">
      <c r="E371" s="226">
        <v>0.73514000000000002</v>
      </c>
      <c r="F371" s="227">
        <v>5.856065753424657</v>
      </c>
      <c r="G371" s="227">
        <v>2137.4639999999999</v>
      </c>
      <c r="H371" s="227">
        <v>0.81010000000000004</v>
      </c>
      <c r="I371" s="227">
        <v>1.4311</v>
      </c>
      <c r="J371" s="227">
        <v>0.41449080196749893</v>
      </c>
      <c r="K371" s="227">
        <v>140</v>
      </c>
      <c r="L371" s="227">
        <v>140</v>
      </c>
      <c r="M371" s="227">
        <v>140</v>
      </c>
      <c r="N371" s="227">
        <v>103.82</v>
      </c>
      <c r="O371" s="227">
        <v>113.4</v>
      </c>
      <c r="P371" s="227">
        <v>128.91999999999999</v>
      </c>
      <c r="Q371" s="227">
        <v>119.52</v>
      </c>
      <c r="R371" s="227">
        <v>129.4</v>
      </c>
      <c r="S371" s="227">
        <v>64.400000000000006</v>
      </c>
      <c r="T371" s="227">
        <v>46.685000000000002</v>
      </c>
      <c r="U371" s="227">
        <v>60.505000000000003</v>
      </c>
      <c r="V371" s="227">
        <v>54.151000000000003</v>
      </c>
      <c r="W371" s="227">
        <v>79.5</v>
      </c>
      <c r="X371" s="227">
        <v>79.5</v>
      </c>
      <c r="Y371" s="227">
        <v>79.5</v>
      </c>
      <c r="Z371" s="227">
        <v>79.5</v>
      </c>
      <c r="AA371" s="227">
        <v>79.5</v>
      </c>
      <c r="AB371" s="227">
        <v>106.16</v>
      </c>
      <c r="AC371" s="227">
        <v>680.67</v>
      </c>
      <c r="AD371" s="230">
        <v>1.2287037037037036E-3</v>
      </c>
      <c r="AE371" s="230">
        <v>636.95999999999992</v>
      </c>
      <c r="AF371" s="230">
        <v>3353.0460000000003</v>
      </c>
      <c r="AG371" s="230">
        <v>358120.0528999191</v>
      </c>
      <c r="AH371" s="230">
        <v>1276346.6742056508</v>
      </c>
      <c r="AI371" s="230">
        <v>4084.0199999999995</v>
      </c>
    </row>
    <row r="372" spans="5:35" x14ac:dyDescent="0.35">
      <c r="E372" s="226">
        <v>0.73914000000000002</v>
      </c>
      <c r="F372" s="227">
        <v>5.8725041095890411</v>
      </c>
      <c r="G372" s="227">
        <v>2143.4639999999999</v>
      </c>
      <c r="H372" s="227">
        <v>0.81130000000000002</v>
      </c>
      <c r="I372" s="227">
        <v>1.4351</v>
      </c>
      <c r="J372" s="227">
        <v>0.41522371863416563</v>
      </c>
      <c r="K372" s="227">
        <v>140</v>
      </c>
      <c r="L372" s="227">
        <v>140</v>
      </c>
      <c r="M372" s="227">
        <v>140</v>
      </c>
      <c r="N372" s="227">
        <v>103.8</v>
      </c>
      <c r="O372" s="227">
        <v>113.34</v>
      </c>
      <c r="P372" s="227">
        <v>128.86000000000001</v>
      </c>
      <c r="Q372" s="227">
        <v>119.45</v>
      </c>
      <c r="R372" s="227">
        <v>129.31</v>
      </c>
      <c r="S372" s="227">
        <v>64.31</v>
      </c>
      <c r="T372" s="227">
        <v>46.780999999999999</v>
      </c>
      <c r="U372" s="227">
        <v>60.59</v>
      </c>
      <c r="V372" s="227">
        <v>54.256999999999998</v>
      </c>
      <c r="W372" s="227">
        <v>79.5</v>
      </c>
      <c r="X372" s="227">
        <v>79.5</v>
      </c>
      <c r="Y372" s="227">
        <v>79.5</v>
      </c>
      <c r="Z372" s="227">
        <v>79.5</v>
      </c>
      <c r="AA372" s="227">
        <v>79.5</v>
      </c>
      <c r="AB372" s="227">
        <v>105.54</v>
      </c>
      <c r="AC372" s="227">
        <v>681.02</v>
      </c>
      <c r="AD372" s="230">
        <v>1.2215277777777778E-3</v>
      </c>
      <c r="AE372" s="230">
        <v>633.24</v>
      </c>
      <c r="AF372" s="230">
        <v>3354.768</v>
      </c>
      <c r="AG372" s="230">
        <v>358753.29289991909</v>
      </c>
      <c r="AH372" s="230">
        <v>1279701.4422056507</v>
      </c>
      <c r="AI372" s="230">
        <v>4086.12</v>
      </c>
    </row>
    <row r="373" spans="5:35" x14ac:dyDescent="0.35">
      <c r="E373" s="226">
        <v>0.74314000000000002</v>
      </c>
      <c r="F373" s="227">
        <v>5.8889424657534244</v>
      </c>
      <c r="G373" s="227">
        <v>2149.4639999999999</v>
      </c>
      <c r="H373" s="227">
        <v>0.8125</v>
      </c>
      <c r="I373" s="227">
        <v>1.4391</v>
      </c>
      <c r="J373" s="227">
        <v>0.41595232974527674</v>
      </c>
      <c r="K373" s="227">
        <v>140</v>
      </c>
      <c r="L373" s="227">
        <v>140</v>
      </c>
      <c r="M373" s="227">
        <v>140</v>
      </c>
      <c r="N373" s="227">
        <v>103.77</v>
      </c>
      <c r="O373" s="227">
        <v>113.28</v>
      </c>
      <c r="P373" s="227">
        <v>128.81</v>
      </c>
      <c r="Q373" s="227">
        <v>119.39</v>
      </c>
      <c r="R373" s="227">
        <v>129.22</v>
      </c>
      <c r="S373" s="227">
        <v>64.22</v>
      </c>
      <c r="T373" s="227">
        <v>46.877000000000002</v>
      </c>
      <c r="U373" s="227">
        <v>60.674999999999997</v>
      </c>
      <c r="V373" s="227">
        <v>54.363999999999997</v>
      </c>
      <c r="W373" s="227">
        <v>79.5</v>
      </c>
      <c r="X373" s="227">
        <v>79.5</v>
      </c>
      <c r="Y373" s="227">
        <v>79.5</v>
      </c>
      <c r="Z373" s="227">
        <v>79.5</v>
      </c>
      <c r="AA373" s="227">
        <v>79.5</v>
      </c>
      <c r="AB373" s="227">
        <v>104.92</v>
      </c>
      <c r="AC373" s="227">
        <v>681.37</v>
      </c>
      <c r="AD373" s="230">
        <v>1.2143518518518519E-3</v>
      </c>
      <c r="AE373" s="230">
        <v>629.52</v>
      </c>
      <c r="AF373" s="230">
        <v>3356.4959999999996</v>
      </c>
      <c r="AG373" s="230">
        <v>359382.81289991911</v>
      </c>
      <c r="AH373" s="230">
        <v>1283057.9382056508</v>
      </c>
      <c r="AI373" s="230">
        <v>4088.2200000000003</v>
      </c>
    </row>
    <row r="374" spans="5:35" x14ac:dyDescent="0.35">
      <c r="E374" s="226">
        <v>0.74724000000000002</v>
      </c>
      <c r="F374" s="227">
        <v>5.9053808219178077</v>
      </c>
      <c r="G374" s="227">
        <v>2155.4639999999999</v>
      </c>
      <c r="H374" s="227">
        <v>0.81369999999999998</v>
      </c>
      <c r="I374" s="227">
        <v>1.4432</v>
      </c>
      <c r="J374" s="227">
        <v>0.41667663530083227</v>
      </c>
      <c r="K374" s="227">
        <v>140</v>
      </c>
      <c r="L374" s="227">
        <v>140</v>
      </c>
      <c r="M374" s="227">
        <v>140</v>
      </c>
      <c r="N374" s="227">
        <v>103.74</v>
      </c>
      <c r="O374" s="227">
        <v>113.22</v>
      </c>
      <c r="P374" s="227">
        <v>128.76</v>
      </c>
      <c r="Q374" s="227">
        <v>119.32</v>
      </c>
      <c r="R374" s="227">
        <v>129.13</v>
      </c>
      <c r="S374" s="227">
        <v>64.13</v>
      </c>
      <c r="T374" s="227">
        <v>46.972999999999999</v>
      </c>
      <c r="U374" s="227">
        <v>60.761000000000003</v>
      </c>
      <c r="V374" s="227">
        <v>54.470999999999997</v>
      </c>
      <c r="W374" s="227">
        <v>79.5</v>
      </c>
      <c r="X374" s="227">
        <v>79.5</v>
      </c>
      <c r="Y374" s="227">
        <v>79.5</v>
      </c>
      <c r="Z374" s="227">
        <v>79.5</v>
      </c>
      <c r="AA374" s="227">
        <v>79.5</v>
      </c>
      <c r="AB374" s="227">
        <v>104.3</v>
      </c>
      <c r="AC374" s="227">
        <v>681.72</v>
      </c>
      <c r="AD374" s="230">
        <v>1.207175925925926E-3</v>
      </c>
      <c r="AE374" s="230">
        <v>625.80000000000007</v>
      </c>
      <c r="AF374" s="230">
        <v>3358.2300000000005</v>
      </c>
      <c r="AG374" s="230">
        <v>360008.6128999191</v>
      </c>
      <c r="AH374" s="230">
        <v>1286416.1682056508</v>
      </c>
      <c r="AI374" s="230">
        <v>4090.32</v>
      </c>
    </row>
    <row r="375" spans="5:35" x14ac:dyDescent="0.35">
      <c r="E375" s="226">
        <v>0.75124000000000002</v>
      </c>
      <c r="F375" s="227">
        <v>5.9218191780821918</v>
      </c>
      <c r="G375" s="227">
        <v>2161.4639999999999</v>
      </c>
      <c r="H375" s="227">
        <v>0.81489999999999996</v>
      </c>
      <c r="I375" s="227">
        <v>1.4472</v>
      </c>
      <c r="J375" s="227">
        <v>0.41739670474527674</v>
      </c>
      <c r="K375" s="227">
        <v>140</v>
      </c>
      <c r="L375" s="227">
        <v>140</v>
      </c>
      <c r="M375" s="227">
        <v>140</v>
      </c>
      <c r="N375" s="227">
        <v>103.71</v>
      </c>
      <c r="O375" s="227">
        <v>113.15</v>
      </c>
      <c r="P375" s="227">
        <v>128.71</v>
      </c>
      <c r="Q375" s="227">
        <v>119.26</v>
      </c>
      <c r="R375" s="227">
        <v>129.04</v>
      </c>
      <c r="S375" s="227">
        <v>64.039999999999992</v>
      </c>
      <c r="T375" s="227">
        <v>47.07</v>
      </c>
      <c r="U375" s="227">
        <v>60.845999999999997</v>
      </c>
      <c r="V375" s="227">
        <v>54.579000000000001</v>
      </c>
      <c r="W375" s="227">
        <v>79.5</v>
      </c>
      <c r="X375" s="227">
        <v>79.5</v>
      </c>
      <c r="Y375" s="227">
        <v>79.5</v>
      </c>
      <c r="Z375" s="227">
        <v>79.5</v>
      </c>
      <c r="AA375" s="227">
        <v>79.5</v>
      </c>
      <c r="AB375" s="227">
        <v>103.69</v>
      </c>
      <c r="AC375" s="227">
        <v>682.07</v>
      </c>
      <c r="AD375" s="230">
        <v>1.2001157407407407E-3</v>
      </c>
      <c r="AE375" s="230">
        <v>622.14</v>
      </c>
      <c r="AF375" s="230">
        <v>3359.9700000000003</v>
      </c>
      <c r="AG375" s="230">
        <v>360630.75289991911</v>
      </c>
      <c r="AH375" s="230">
        <v>1289776.1382056507</v>
      </c>
      <c r="AI375" s="230">
        <v>4092.42</v>
      </c>
    </row>
    <row r="376" spans="5:35" x14ac:dyDescent="0.35">
      <c r="E376" s="226">
        <v>0.75524000000000002</v>
      </c>
      <c r="F376" s="227">
        <v>5.9382575342465751</v>
      </c>
      <c r="G376" s="227">
        <v>2167.4639999999999</v>
      </c>
      <c r="H376" s="227">
        <v>0.81610000000000005</v>
      </c>
      <c r="I376" s="227">
        <v>1.4512</v>
      </c>
      <c r="J376" s="227">
        <v>0.41811246863416562</v>
      </c>
      <c r="K376" s="227">
        <v>140</v>
      </c>
      <c r="L376" s="227">
        <v>140</v>
      </c>
      <c r="M376" s="227">
        <v>140</v>
      </c>
      <c r="N376" s="227">
        <v>103.68</v>
      </c>
      <c r="O376" s="227">
        <v>113.09</v>
      </c>
      <c r="P376" s="227">
        <v>128.65</v>
      </c>
      <c r="Q376" s="227">
        <v>119.2</v>
      </c>
      <c r="R376" s="227">
        <v>128.94999999999999</v>
      </c>
      <c r="S376" s="227">
        <v>63.949999999999989</v>
      </c>
      <c r="T376" s="227">
        <v>47.167000000000002</v>
      </c>
      <c r="U376" s="227">
        <v>60.932000000000002</v>
      </c>
      <c r="V376" s="227">
        <v>54.686999999999998</v>
      </c>
      <c r="W376" s="227">
        <v>79.5</v>
      </c>
      <c r="X376" s="227">
        <v>79.5</v>
      </c>
      <c r="Y376" s="227">
        <v>79.5</v>
      </c>
      <c r="Z376" s="227">
        <v>79.5</v>
      </c>
      <c r="AA376" s="227">
        <v>79.5</v>
      </c>
      <c r="AB376" s="227">
        <v>103.07</v>
      </c>
      <c r="AC376" s="227">
        <v>682.43</v>
      </c>
      <c r="AD376" s="230">
        <v>1.1929398148148146E-3</v>
      </c>
      <c r="AE376" s="230">
        <v>618.41999999999996</v>
      </c>
      <c r="AF376" s="230">
        <v>3361.7160000000003</v>
      </c>
      <c r="AG376" s="230">
        <v>361249.1728999191</v>
      </c>
      <c r="AH376" s="230">
        <v>1293137.8542056507</v>
      </c>
      <c r="AI376" s="230">
        <v>4094.58</v>
      </c>
    </row>
    <row r="377" spans="5:35" x14ac:dyDescent="0.35">
      <c r="E377" s="226">
        <v>0.75924000000000003</v>
      </c>
      <c r="F377" s="227">
        <v>5.9546958904109584</v>
      </c>
      <c r="G377" s="227">
        <v>2173.4639999999999</v>
      </c>
      <c r="H377" s="227">
        <v>0.81730000000000003</v>
      </c>
      <c r="I377" s="227">
        <v>1.4552</v>
      </c>
      <c r="J377" s="227">
        <v>0.4188239964119434</v>
      </c>
      <c r="K377" s="227">
        <v>140</v>
      </c>
      <c r="L377" s="227">
        <v>140</v>
      </c>
      <c r="M377" s="227">
        <v>140</v>
      </c>
      <c r="N377" s="227">
        <v>103.66</v>
      </c>
      <c r="O377" s="227">
        <v>113.03</v>
      </c>
      <c r="P377" s="227">
        <v>128.6</v>
      </c>
      <c r="Q377" s="227">
        <v>119.13</v>
      </c>
      <c r="R377" s="227">
        <v>128.86000000000001</v>
      </c>
      <c r="S377" s="227">
        <v>63.860000000000014</v>
      </c>
      <c r="T377" s="227">
        <v>47.265000000000001</v>
      </c>
      <c r="U377" s="227">
        <v>61.018000000000001</v>
      </c>
      <c r="V377" s="227">
        <v>54.795999999999999</v>
      </c>
      <c r="W377" s="227">
        <v>79.5</v>
      </c>
      <c r="X377" s="227">
        <v>79.5</v>
      </c>
      <c r="Y377" s="227">
        <v>79.5</v>
      </c>
      <c r="Z377" s="227">
        <v>79.5</v>
      </c>
      <c r="AA377" s="227">
        <v>79.5</v>
      </c>
      <c r="AB377" s="227">
        <v>102.46</v>
      </c>
      <c r="AC377" s="227">
        <v>682.79</v>
      </c>
      <c r="AD377" s="230">
        <v>1.1858796296296296E-3</v>
      </c>
      <c r="AE377" s="230">
        <v>614.76</v>
      </c>
      <c r="AF377" s="230">
        <v>3363.4739999999997</v>
      </c>
      <c r="AG377" s="230">
        <v>361863.93289991911</v>
      </c>
      <c r="AH377" s="230">
        <v>1296501.3282056507</v>
      </c>
      <c r="AI377" s="230">
        <v>4096.74</v>
      </c>
    </row>
    <row r="378" spans="5:35" x14ac:dyDescent="0.35">
      <c r="E378" s="226">
        <v>0.76324000000000003</v>
      </c>
      <c r="F378" s="227">
        <v>5.9711342465753425</v>
      </c>
      <c r="G378" s="227">
        <v>2179.4639999999999</v>
      </c>
      <c r="H378" s="227">
        <v>0.81840000000000002</v>
      </c>
      <c r="I378" s="227">
        <v>1.4592000000000001</v>
      </c>
      <c r="J378" s="227">
        <v>0.41953128807861007</v>
      </c>
      <c r="K378" s="227">
        <v>140</v>
      </c>
      <c r="L378" s="227">
        <v>140</v>
      </c>
      <c r="M378" s="227">
        <v>140</v>
      </c>
      <c r="N378" s="227">
        <v>103.63</v>
      </c>
      <c r="O378" s="227">
        <v>112.97</v>
      </c>
      <c r="P378" s="227">
        <v>128.55000000000001</v>
      </c>
      <c r="Q378" s="227">
        <v>119.07</v>
      </c>
      <c r="R378" s="227">
        <v>128.77000000000001</v>
      </c>
      <c r="S378" s="227">
        <v>63.77000000000001</v>
      </c>
      <c r="T378" s="227">
        <v>47.363999999999997</v>
      </c>
      <c r="U378" s="227">
        <v>61.103999999999999</v>
      </c>
      <c r="V378" s="227">
        <v>54.905000000000001</v>
      </c>
      <c r="W378" s="227">
        <v>79.5</v>
      </c>
      <c r="X378" s="227">
        <v>79.5</v>
      </c>
      <c r="Y378" s="227">
        <v>79.5</v>
      </c>
      <c r="Z378" s="227">
        <v>79.5</v>
      </c>
      <c r="AA378" s="227">
        <v>79.5</v>
      </c>
      <c r="AB378" s="227">
        <v>101.85</v>
      </c>
      <c r="AC378" s="227">
        <v>683.14</v>
      </c>
      <c r="AD378" s="230">
        <v>1.1788194444444444E-3</v>
      </c>
      <c r="AE378" s="230">
        <v>611.1</v>
      </c>
      <c r="AF378" s="230">
        <v>3365.2380000000003</v>
      </c>
      <c r="AG378" s="230">
        <v>362475.03289991908</v>
      </c>
      <c r="AH378" s="230">
        <v>1299866.5662056506</v>
      </c>
      <c r="AI378" s="230">
        <v>4098.84</v>
      </c>
    </row>
    <row r="379" spans="5:35" x14ac:dyDescent="0.35">
      <c r="E379" s="226">
        <v>0.76724000000000003</v>
      </c>
      <c r="F379" s="227">
        <v>5.9875726027397258</v>
      </c>
      <c r="G379" s="227">
        <v>2185.4639999999999</v>
      </c>
      <c r="H379" s="227">
        <v>0.8196</v>
      </c>
      <c r="I379" s="227">
        <v>1.4632000000000001</v>
      </c>
      <c r="J379" s="227">
        <v>0.42023441307861004</v>
      </c>
      <c r="K379" s="227">
        <v>140</v>
      </c>
      <c r="L379" s="227">
        <v>140</v>
      </c>
      <c r="M379" s="227">
        <v>140</v>
      </c>
      <c r="N379" s="227">
        <v>103.6</v>
      </c>
      <c r="O379" s="227">
        <v>112.91</v>
      </c>
      <c r="P379" s="227">
        <v>128.5</v>
      </c>
      <c r="Q379" s="227">
        <v>119.01</v>
      </c>
      <c r="R379" s="227">
        <v>128.68</v>
      </c>
      <c r="S379" s="227">
        <v>63.680000000000007</v>
      </c>
      <c r="T379" s="227">
        <v>47.463000000000001</v>
      </c>
      <c r="U379" s="227">
        <v>61.19</v>
      </c>
      <c r="V379" s="227">
        <v>55.015000000000001</v>
      </c>
      <c r="W379" s="227">
        <v>79.5</v>
      </c>
      <c r="X379" s="227">
        <v>79.5</v>
      </c>
      <c r="Y379" s="227">
        <v>79.5</v>
      </c>
      <c r="Z379" s="227">
        <v>79.5</v>
      </c>
      <c r="AA379" s="227">
        <v>79.5</v>
      </c>
      <c r="AB379" s="227">
        <v>101.25</v>
      </c>
      <c r="AC379" s="227">
        <v>683.5</v>
      </c>
      <c r="AD379" s="230">
        <v>1.171875E-3</v>
      </c>
      <c r="AE379" s="230">
        <v>607.49999999999989</v>
      </c>
      <c r="AF379" s="230">
        <v>3367.0079999999998</v>
      </c>
      <c r="AG379" s="230">
        <v>363082.53289991908</v>
      </c>
      <c r="AH379" s="230">
        <v>1303233.5742056505</v>
      </c>
      <c r="AI379" s="230">
        <v>4101</v>
      </c>
    </row>
    <row r="380" spans="5:35" x14ac:dyDescent="0.35">
      <c r="E380" s="226">
        <v>0.77134000000000003</v>
      </c>
      <c r="F380" s="227">
        <v>6.0040109589041091</v>
      </c>
      <c r="G380" s="227">
        <v>2191.4639999999999</v>
      </c>
      <c r="H380" s="227">
        <v>0.82079999999999997</v>
      </c>
      <c r="I380" s="227">
        <v>1.4673</v>
      </c>
      <c r="J380" s="227">
        <v>0.42093337141194342</v>
      </c>
      <c r="K380" s="227">
        <v>140</v>
      </c>
      <c r="L380" s="227">
        <v>140</v>
      </c>
      <c r="M380" s="227">
        <v>140</v>
      </c>
      <c r="N380" s="227">
        <v>103.57</v>
      </c>
      <c r="O380" s="227">
        <v>112.84</v>
      </c>
      <c r="P380" s="227">
        <v>128.44999999999999</v>
      </c>
      <c r="Q380" s="227">
        <v>118.94</v>
      </c>
      <c r="R380" s="227">
        <v>128.59</v>
      </c>
      <c r="S380" s="227">
        <v>63.59</v>
      </c>
      <c r="T380" s="227">
        <v>47.561</v>
      </c>
      <c r="U380" s="227">
        <v>61.274999999999999</v>
      </c>
      <c r="V380" s="227">
        <v>55.125</v>
      </c>
      <c r="W380" s="227">
        <v>79.5</v>
      </c>
      <c r="X380" s="227">
        <v>79.5</v>
      </c>
      <c r="Y380" s="227">
        <v>79.5</v>
      </c>
      <c r="Z380" s="227">
        <v>79.5</v>
      </c>
      <c r="AA380" s="227">
        <v>79.5</v>
      </c>
      <c r="AB380" s="227">
        <v>100.65</v>
      </c>
      <c r="AC380" s="227">
        <v>683.86</v>
      </c>
      <c r="AD380" s="230">
        <v>1.1649305555555556E-3</v>
      </c>
      <c r="AE380" s="230">
        <v>603.90000000000009</v>
      </c>
      <c r="AF380" s="230">
        <v>3368.7660000000001</v>
      </c>
      <c r="AG380" s="230">
        <v>363686.43289991911</v>
      </c>
      <c r="AH380" s="230">
        <v>1306602.3402056505</v>
      </c>
      <c r="AI380" s="230">
        <v>4103.16</v>
      </c>
    </row>
    <row r="381" spans="5:35" x14ac:dyDescent="0.35">
      <c r="E381" s="226">
        <v>0.77534000000000003</v>
      </c>
      <c r="F381" s="227">
        <v>6.0204493150684932</v>
      </c>
      <c r="G381" s="227">
        <v>2197.4639999999999</v>
      </c>
      <c r="H381" s="227">
        <v>0.82189999999999996</v>
      </c>
      <c r="I381" s="227">
        <v>1.4713000000000001</v>
      </c>
      <c r="J381" s="227">
        <v>0.42162816307861006</v>
      </c>
      <c r="K381" s="227">
        <v>140</v>
      </c>
      <c r="L381" s="227">
        <v>140</v>
      </c>
      <c r="M381" s="227">
        <v>140</v>
      </c>
      <c r="N381" s="227">
        <v>103.54</v>
      </c>
      <c r="O381" s="227">
        <v>112.78</v>
      </c>
      <c r="P381" s="227">
        <v>128.4</v>
      </c>
      <c r="Q381" s="227">
        <v>118.88</v>
      </c>
      <c r="R381" s="227">
        <v>128.51</v>
      </c>
      <c r="S381" s="227">
        <v>63.509999999999991</v>
      </c>
      <c r="T381" s="227">
        <v>47.66</v>
      </c>
      <c r="U381" s="227">
        <v>61.360999999999997</v>
      </c>
      <c r="V381" s="227">
        <v>55.234000000000002</v>
      </c>
      <c r="W381" s="227">
        <v>79.5</v>
      </c>
      <c r="X381" s="227">
        <v>79.5</v>
      </c>
      <c r="Y381" s="227">
        <v>79.5</v>
      </c>
      <c r="Z381" s="227">
        <v>79.5</v>
      </c>
      <c r="AA381" s="227">
        <v>79.5</v>
      </c>
      <c r="AB381" s="227">
        <v>100.05</v>
      </c>
      <c r="AC381" s="227">
        <v>684.22</v>
      </c>
      <c r="AD381" s="230">
        <v>1.1579861111111112E-3</v>
      </c>
      <c r="AE381" s="230">
        <v>600.29999999999995</v>
      </c>
      <c r="AF381" s="230">
        <v>3370.5299999999997</v>
      </c>
      <c r="AG381" s="230">
        <v>364286.73289991909</v>
      </c>
      <c r="AH381" s="230">
        <v>1309972.8702056506</v>
      </c>
      <c r="AI381" s="230">
        <v>4105.32</v>
      </c>
    </row>
    <row r="382" spans="5:35" x14ac:dyDescent="0.35">
      <c r="E382" s="226">
        <v>0.77934000000000003</v>
      </c>
      <c r="F382" s="227">
        <v>6.0368876712328765</v>
      </c>
      <c r="G382" s="227">
        <v>2203.4639999999999</v>
      </c>
      <c r="H382" s="227">
        <v>0.82310000000000005</v>
      </c>
      <c r="I382" s="227">
        <v>1.4753000000000001</v>
      </c>
      <c r="J382" s="227">
        <v>0.42231879502305453</v>
      </c>
      <c r="K382" s="227">
        <v>140</v>
      </c>
      <c r="L382" s="227">
        <v>140</v>
      </c>
      <c r="M382" s="227">
        <v>140</v>
      </c>
      <c r="N382" s="227">
        <v>103.51</v>
      </c>
      <c r="O382" s="227">
        <v>112.72</v>
      </c>
      <c r="P382" s="227">
        <v>128.35</v>
      </c>
      <c r="Q382" s="227">
        <v>118.82</v>
      </c>
      <c r="R382" s="227">
        <v>128.41999999999999</v>
      </c>
      <c r="S382" s="227">
        <v>63.419999999999987</v>
      </c>
      <c r="T382" s="227">
        <v>47.759</v>
      </c>
      <c r="U382" s="227">
        <v>61.447000000000003</v>
      </c>
      <c r="V382" s="227">
        <v>55.344000000000001</v>
      </c>
      <c r="W382" s="227">
        <v>79.5</v>
      </c>
      <c r="X382" s="227">
        <v>79.5</v>
      </c>
      <c r="Y382" s="227">
        <v>79.5</v>
      </c>
      <c r="Z382" s="227">
        <v>79.5</v>
      </c>
      <c r="AA382" s="227">
        <v>79.5</v>
      </c>
      <c r="AB382" s="227">
        <v>99.450999999999993</v>
      </c>
      <c r="AC382" s="227">
        <v>684.58</v>
      </c>
      <c r="AD382" s="230">
        <v>1.1510532407407407E-3</v>
      </c>
      <c r="AE382" s="230">
        <v>596.70600000000002</v>
      </c>
      <c r="AF382" s="230">
        <v>3372.2999999999997</v>
      </c>
      <c r="AG382" s="230">
        <v>364883.4388999191</v>
      </c>
      <c r="AH382" s="230">
        <v>1313345.1702056506</v>
      </c>
      <c r="AI382" s="230">
        <v>4107.4800000000005</v>
      </c>
    </row>
    <row r="383" spans="5:35" x14ac:dyDescent="0.35">
      <c r="E383" s="226">
        <v>0.78334000000000004</v>
      </c>
      <c r="F383" s="227">
        <v>6.0533260273972598</v>
      </c>
      <c r="G383" s="227">
        <v>2209.4639999999999</v>
      </c>
      <c r="H383" s="227">
        <v>0.82420000000000004</v>
      </c>
      <c r="I383" s="227">
        <v>1.4793000000000001</v>
      </c>
      <c r="J383" s="227">
        <v>0.42300531585638784</v>
      </c>
      <c r="K383" s="227">
        <v>140</v>
      </c>
      <c r="L383" s="227">
        <v>140</v>
      </c>
      <c r="M383" s="227">
        <v>140</v>
      </c>
      <c r="N383" s="227">
        <v>103.48</v>
      </c>
      <c r="O383" s="227">
        <v>112.66</v>
      </c>
      <c r="P383" s="227">
        <v>128.30000000000001</v>
      </c>
      <c r="Q383" s="227">
        <v>118.75</v>
      </c>
      <c r="R383" s="227">
        <v>128.33000000000001</v>
      </c>
      <c r="S383" s="227">
        <v>63.330000000000013</v>
      </c>
      <c r="T383" s="227">
        <v>47.859000000000002</v>
      </c>
      <c r="U383" s="227">
        <v>61.533000000000001</v>
      </c>
      <c r="V383" s="227">
        <v>55.454999999999998</v>
      </c>
      <c r="W383" s="227">
        <v>79.5</v>
      </c>
      <c r="X383" s="227">
        <v>79.5</v>
      </c>
      <c r="Y383" s="227">
        <v>79.5</v>
      </c>
      <c r="Z383" s="227">
        <v>79.5</v>
      </c>
      <c r="AA383" s="227">
        <v>79.5</v>
      </c>
      <c r="AB383" s="227">
        <v>98.858999999999995</v>
      </c>
      <c r="AC383" s="227">
        <v>684.94</v>
      </c>
      <c r="AD383" s="230">
        <v>1.1442013888888888E-3</v>
      </c>
      <c r="AE383" s="230">
        <v>593.15399999999988</v>
      </c>
      <c r="AF383" s="230">
        <v>3374.0819999999999</v>
      </c>
      <c r="AG383" s="230">
        <v>365476.59289991908</v>
      </c>
      <c r="AH383" s="230">
        <v>1316719.2522056506</v>
      </c>
      <c r="AI383" s="230">
        <v>4109.6400000000003</v>
      </c>
    </row>
    <row r="384" spans="5:35" x14ac:dyDescent="0.35">
      <c r="E384" s="226">
        <v>0.78734000000000004</v>
      </c>
      <c r="F384" s="227">
        <v>6.0697643835616439</v>
      </c>
      <c r="G384" s="227">
        <v>2215.4639999999999</v>
      </c>
      <c r="H384" s="227">
        <v>0.82540000000000002</v>
      </c>
      <c r="I384" s="227">
        <v>1.4833000000000001</v>
      </c>
      <c r="J384" s="227">
        <v>0.42368776030083227</v>
      </c>
      <c r="K384" s="227">
        <v>140</v>
      </c>
      <c r="L384" s="227">
        <v>140</v>
      </c>
      <c r="M384" s="227">
        <v>140</v>
      </c>
      <c r="N384" s="227">
        <v>103.45</v>
      </c>
      <c r="O384" s="227">
        <v>112.6</v>
      </c>
      <c r="P384" s="227">
        <v>128.25</v>
      </c>
      <c r="Q384" s="227">
        <v>118.69</v>
      </c>
      <c r="R384" s="227">
        <v>128.24</v>
      </c>
      <c r="S384" s="227">
        <v>63.240000000000009</v>
      </c>
      <c r="T384" s="227">
        <v>47.959000000000003</v>
      </c>
      <c r="U384" s="227">
        <v>61.619</v>
      </c>
      <c r="V384" s="227">
        <v>55.564999999999998</v>
      </c>
      <c r="W384" s="227">
        <v>79.5</v>
      </c>
      <c r="X384" s="227">
        <v>79.5</v>
      </c>
      <c r="Y384" s="227">
        <v>79.5</v>
      </c>
      <c r="Z384" s="227">
        <v>79.5</v>
      </c>
      <c r="AA384" s="227">
        <v>79.5</v>
      </c>
      <c r="AB384" s="227">
        <v>98.272000000000006</v>
      </c>
      <c r="AC384" s="227">
        <v>685.3</v>
      </c>
      <c r="AD384" s="230">
        <v>1.1374074074074075E-3</v>
      </c>
      <c r="AE384" s="230">
        <v>589.63200000000006</v>
      </c>
      <c r="AF384" s="230">
        <v>3375.8580000000002</v>
      </c>
      <c r="AG384" s="230">
        <v>366066.22489991906</v>
      </c>
      <c r="AH384" s="230">
        <v>1320095.1102056506</v>
      </c>
      <c r="AI384" s="230">
        <v>4111.7999999999993</v>
      </c>
    </row>
    <row r="385" spans="5:35" x14ac:dyDescent="0.35">
      <c r="E385" s="226">
        <v>0.79144000000000003</v>
      </c>
      <c r="F385" s="227">
        <v>6.0862027397260272</v>
      </c>
      <c r="G385" s="227">
        <v>2221.4639999999999</v>
      </c>
      <c r="H385" s="227">
        <v>0.82650000000000001</v>
      </c>
      <c r="I385" s="227">
        <v>1.4874000000000001</v>
      </c>
      <c r="J385" s="227">
        <v>0.42436615613416562</v>
      </c>
      <c r="K385" s="227">
        <v>140</v>
      </c>
      <c r="L385" s="227">
        <v>140</v>
      </c>
      <c r="M385" s="227">
        <v>140</v>
      </c>
      <c r="N385" s="227">
        <v>103.43</v>
      </c>
      <c r="O385" s="227">
        <v>112.53</v>
      </c>
      <c r="P385" s="227">
        <v>128.19999999999999</v>
      </c>
      <c r="Q385" s="227">
        <v>118.63</v>
      </c>
      <c r="R385" s="227">
        <v>128.16</v>
      </c>
      <c r="S385" s="227">
        <v>63.16</v>
      </c>
      <c r="T385" s="227">
        <v>48.058999999999997</v>
      </c>
      <c r="U385" s="227">
        <v>61.704999999999998</v>
      </c>
      <c r="V385" s="227">
        <v>55.676000000000002</v>
      </c>
      <c r="W385" s="227">
        <v>79.5</v>
      </c>
      <c r="X385" s="227">
        <v>79.5</v>
      </c>
      <c r="Y385" s="227">
        <v>79.5</v>
      </c>
      <c r="Z385" s="227">
        <v>79.5</v>
      </c>
      <c r="AA385" s="227">
        <v>79.5</v>
      </c>
      <c r="AB385" s="227">
        <v>97.688999999999993</v>
      </c>
      <c r="AC385" s="227">
        <v>685.66</v>
      </c>
      <c r="AD385" s="230">
        <v>1.1306597222222221E-3</v>
      </c>
      <c r="AE385" s="230">
        <v>586.1339999999999</v>
      </c>
      <c r="AF385" s="230">
        <v>3377.6400000000003</v>
      </c>
      <c r="AG385" s="230">
        <v>366652.35889991908</v>
      </c>
      <c r="AH385" s="230">
        <v>1323472.7502056505</v>
      </c>
      <c r="AI385" s="230">
        <v>4113.96</v>
      </c>
    </row>
    <row r="386" spans="5:35" x14ac:dyDescent="0.35">
      <c r="E386" s="226">
        <v>0.79544000000000004</v>
      </c>
      <c r="F386" s="227">
        <v>6.1026410958904105</v>
      </c>
      <c r="G386" s="227">
        <v>2227.4639999999999</v>
      </c>
      <c r="H386" s="227">
        <v>0.8276</v>
      </c>
      <c r="I386" s="227">
        <v>1.4914000000000001</v>
      </c>
      <c r="J386" s="227">
        <v>0.42504052418972116</v>
      </c>
      <c r="K386" s="227">
        <v>140</v>
      </c>
      <c r="L386" s="227">
        <v>140</v>
      </c>
      <c r="M386" s="227">
        <v>140</v>
      </c>
      <c r="N386" s="227">
        <v>103.4</v>
      </c>
      <c r="O386" s="227">
        <v>112.47</v>
      </c>
      <c r="P386" s="227">
        <v>128.15</v>
      </c>
      <c r="Q386" s="227">
        <v>118.57</v>
      </c>
      <c r="R386" s="227">
        <v>128.07</v>
      </c>
      <c r="S386" s="227">
        <v>63.069999999999993</v>
      </c>
      <c r="T386" s="227">
        <v>48.158999999999999</v>
      </c>
      <c r="U386" s="227">
        <v>61.79</v>
      </c>
      <c r="V386" s="227">
        <v>55.786999999999999</v>
      </c>
      <c r="W386" s="227">
        <v>79.5</v>
      </c>
      <c r="X386" s="227">
        <v>79.5</v>
      </c>
      <c r="Y386" s="227">
        <v>79.5</v>
      </c>
      <c r="Z386" s="227">
        <v>79.5</v>
      </c>
      <c r="AA386" s="227">
        <v>79.5</v>
      </c>
      <c r="AB386" s="227">
        <v>97.108999999999995</v>
      </c>
      <c r="AC386" s="227">
        <v>686.02</v>
      </c>
      <c r="AD386" s="230">
        <v>1.1239467592592592E-3</v>
      </c>
      <c r="AE386" s="230">
        <v>582.65399999999988</v>
      </c>
      <c r="AF386" s="230">
        <v>3379.4160000000002</v>
      </c>
      <c r="AG386" s="230">
        <v>367235.01289991906</v>
      </c>
      <c r="AH386" s="230">
        <v>1326852.1662056504</v>
      </c>
      <c r="AI386" s="230">
        <v>4116.12</v>
      </c>
    </row>
    <row r="387" spans="5:35" x14ac:dyDescent="0.35">
      <c r="E387" s="226">
        <v>0.79944000000000004</v>
      </c>
      <c r="F387" s="227">
        <v>6.1190794520547946</v>
      </c>
      <c r="G387" s="227">
        <v>2233.4639999999999</v>
      </c>
      <c r="H387" s="227">
        <v>0.82869999999999999</v>
      </c>
      <c r="I387" s="227">
        <v>1.4954000000000001</v>
      </c>
      <c r="J387" s="227">
        <v>0.42571087835638777</v>
      </c>
      <c r="K387" s="227">
        <v>140</v>
      </c>
      <c r="L387" s="227">
        <v>140</v>
      </c>
      <c r="M387" s="227">
        <v>140</v>
      </c>
      <c r="N387" s="227">
        <v>103.37</v>
      </c>
      <c r="O387" s="227">
        <v>112.41</v>
      </c>
      <c r="P387" s="227">
        <v>128.1</v>
      </c>
      <c r="Q387" s="227">
        <v>118.51</v>
      </c>
      <c r="R387" s="227">
        <v>127.99</v>
      </c>
      <c r="S387" s="227">
        <v>62.989999999999995</v>
      </c>
      <c r="T387" s="227">
        <v>48.26</v>
      </c>
      <c r="U387" s="227">
        <v>61.875999999999998</v>
      </c>
      <c r="V387" s="227">
        <v>55.896999999999998</v>
      </c>
      <c r="W387" s="227">
        <v>79.5</v>
      </c>
      <c r="X387" s="227">
        <v>79.5</v>
      </c>
      <c r="Y387" s="227">
        <v>79.5</v>
      </c>
      <c r="Z387" s="227">
        <v>79.5</v>
      </c>
      <c r="AA387" s="227">
        <v>79.5</v>
      </c>
      <c r="AB387" s="227">
        <v>96.531000000000006</v>
      </c>
      <c r="AC387" s="227">
        <v>686.38</v>
      </c>
      <c r="AD387" s="230">
        <v>1.1172569444444446E-3</v>
      </c>
      <c r="AE387" s="230">
        <v>579.18600000000004</v>
      </c>
      <c r="AF387" s="230">
        <v>3381.1980000000003</v>
      </c>
      <c r="AG387" s="230">
        <v>367814.19889991905</v>
      </c>
      <c r="AH387" s="230">
        <v>1330233.3642056505</v>
      </c>
      <c r="AI387" s="230">
        <v>4118.28</v>
      </c>
    </row>
    <row r="388" spans="5:35" x14ac:dyDescent="0.35">
      <c r="E388" s="226">
        <v>0.80344000000000004</v>
      </c>
      <c r="F388" s="227">
        <v>6.1355178082191779</v>
      </c>
      <c r="G388" s="227">
        <v>2239.4639999999999</v>
      </c>
      <c r="H388" s="227">
        <v>0.82989999999999997</v>
      </c>
      <c r="I388" s="227">
        <v>1.4994000000000001</v>
      </c>
      <c r="J388" s="227">
        <v>0.42637724641194336</v>
      </c>
      <c r="K388" s="227">
        <v>140</v>
      </c>
      <c r="L388" s="227">
        <v>140</v>
      </c>
      <c r="M388" s="227">
        <v>140</v>
      </c>
      <c r="N388" s="227">
        <v>103.34</v>
      </c>
      <c r="O388" s="227">
        <v>112.35</v>
      </c>
      <c r="P388" s="227">
        <v>128.05000000000001</v>
      </c>
      <c r="Q388" s="227">
        <v>118.45</v>
      </c>
      <c r="R388" s="227">
        <v>127.9</v>
      </c>
      <c r="S388" s="227">
        <v>62.900000000000006</v>
      </c>
      <c r="T388" s="227">
        <v>48.36</v>
      </c>
      <c r="U388" s="227">
        <v>61.962000000000003</v>
      </c>
      <c r="V388" s="227">
        <v>56.009</v>
      </c>
      <c r="W388" s="227">
        <v>79.5</v>
      </c>
      <c r="X388" s="227">
        <v>79.5</v>
      </c>
      <c r="Y388" s="227">
        <v>79.5</v>
      </c>
      <c r="Z388" s="227">
        <v>79.5</v>
      </c>
      <c r="AA388" s="227">
        <v>79.5</v>
      </c>
      <c r="AB388" s="227">
        <v>95.956999999999994</v>
      </c>
      <c r="AC388" s="227">
        <v>686.75</v>
      </c>
      <c r="AD388" s="230">
        <v>1.1106134259259259E-3</v>
      </c>
      <c r="AE388" s="230">
        <v>575.74199999999996</v>
      </c>
      <c r="AF388" s="230">
        <v>3382.9859999999999</v>
      </c>
      <c r="AG388" s="230">
        <v>368389.94089991908</v>
      </c>
      <c r="AH388" s="230">
        <v>1333616.3502056506</v>
      </c>
      <c r="AI388" s="230">
        <v>4120.5</v>
      </c>
    </row>
    <row r="389" spans="5:35" x14ac:dyDescent="0.35">
      <c r="E389" s="226">
        <v>0.80744000000000005</v>
      </c>
      <c r="F389" s="227">
        <v>6.1519561643835612</v>
      </c>
      <c r="G389" s="227">
        <v>2245.4639999999999</v>
      </c>
      <c r="H389" s="227">
        <v>0.83099999999999996</v>
      </c>
      <c r="I389" s="227">
        <v>1.5034000000000001</v>
      </c>
      <c r="J389" s="227">
        <v>0.42703964224527668</v>
      </c>
      <c r="K389" s="227">
        <v>140</v>
      </c>
      <c r="L389" s="227">
        <v>140</v>
      </c>
      <c r="M389" s="227">
        <v>140</v>
      </c>
      <c r="N389" s="227">
        <v>103.31</v>
      </c>
      <c r="O389" s="227">
        <v>112.29</v>
      </c>
      <c r="P389" s="227">
        <v>128</v>
      </c>
      <c r="Q389" s="227">
        <v>118.39</v>
      </c>
      <c r="R389" s="227">
        <v>127.82</v>
      </c>
      <c r="S389" s="227">
        <v>62.819999999999993</v>
      </c>
      <c r="T389" s="227">
        <v>48.460999999999999</v>
      </c>
      <c r="U389" s="227">
        <v>62.048000000000002</v>
      </c>
      <c r="V389" s="227">
        <v>56.121000000000002</v>
      </c>
      <c r="W389" s="227">
        <v>79.5</v>
      </c>
      <c r="X389" s="227">
        <v>79.5</v>
      </c>
      <c r="Y389" s="227">
        <v>79.5</v>
      </c>
      <c r="Z389" s="227">
        <v>79.5</v>
      </c>
      <c r="AA389" s="227">
        <v>79.5</v>
      </c>
      <c r="AB389" s="227">
        <v>95.385000000000005</v>
      </c>
      <c r="AC389" s="227">
        <v>687.11</v>
      </c>
      <c r="AD389" s="230">
        <v>1.1039930555555555E-3</v>
      </c>
      <c r="AE389" s="230">
        <v>572.30999999999995</v>
      </c>
      <c r="AF389" s="230">
        <v>3384.7799999999997</v>
      </c>
      <c r="AG389" s="230">
        <v>368962.25089991908</v>
      </c>
      <c r="AH389" s="230">
        <v>1337001.1302056506</v>
      </c>
      <c r="AI389" s="230">
        <v>4122.66</v>
      </c>
    </row>
    <row r="390" spans="5:35" x14ac:dyDescent="0.35">
      <c r="E390" s="226">
        <v>0.81144000000000005</v>
      </c>
      <c r="F390" s="227">
        <v>6.1683945205479453</v>
      </c>
      <c r="G390" s="227">
        <v>2251.4639999999999</v>
      </c>
      <c r="H390" s="227">
        <v>0.83209999999999995</v>
      </c>
      <c r="I390" s="227">
        <v>1.5074000000000001</v>
      </c>
      <c r="J390" s="227">
        <v>0.42769810057861002</v>
      </c>
      <c r="K390" s="227">
        <v>140</v>
      </c>
      <c r="L390" s="227">
        <v>140</v>
      </c>
      <c r="M390" s="227">
        <v>140</v>
      </c>
      <c r="N390" s="227">
        <v>103.28</v>
      </c>
      <c r="O390" s="227">
        <v>112.23</v>
      </c>
      <c r="P390" s="227">
        <v>127.95</v>
      </c>
      <c r="Q390" s="227">
        <v>118.33</v>
      </c>
      <c r="R390" s="227">
        <v>127.73</v>
      </c>
      <c r="S390" s="227">
        <v>62.730000000000004</v>
      </c>
      <c r="T390" s="227">
        <v>48.563000000000002</v>
      </c>
      <c r="U390" s="227">
        <v>62.134</v>
      </c>
      <c r="V390" s="227">
        <v>56.231999999999999</v>
      </c>
      <c r="W390" s="227">
        <v>79.5</v>
      </c>
      <c r="X390" s="227">
        <v>79.5</v>
      </c>
      <c r="Y390" s="227">
        <v>79.5</v>
      </c>
      <c r="Z390" s="227">
        <v>79.5</v>
      </c>
      <c r="AA390" s="227">
        <v>79.5</v>
      </c>
      <c r="AB390" s="227">
        <v>94.817999999999998</v>
      </c>
      <c r="AC390" s="227">
        <v>687.47</v>
      </c>
      <c r="AD390" s="230">
        <v>1.0974305555555555E-3</v>
      </c>
      <c r="AE390" s="230">
        <v>568.90800000000002</v>
      </c>
      <c r="AF390" s="230">
        <v>3386.5739999999996</v>
      </c>
      <c r="AG390" s="230">
        <v>369531.15889991907</v>
      </c>
      <c r="AH390" s="230">
        <v>1340387.7042056506</v>
      </c>
      <c r="AI390" s="230">
        <v>4124.82</v>
      </c>
    </row>
    <row r="391" spans="5:35" x14ac:dyDescent="0.35">
      <c r="E391" s="226">
        <v>0.81554000000000004</v>
      </c>
      <c r="F391" s="227">
        <v>6.1848328767123286</v>
      </c>
      <c r="G391" s="227">
        <v>2257.4639999999999</v>
      </c>
      <c r="H391" s="227">
        <v>0.83309999999999995</v>
      </c>
      <c r="I391" s="227">
        <v>1.5115000000000001</v>
      </c>
      <c r="J391" s="227">
        <v>0.42835264224527669</v>
      </c>
      <c r="K391" s="227">
        <v>140</v>
      </c>
      <c r="L391" s="227">
        <v>140</v>
      </c>
      <c r="M391" s="227">
        <v>140</v>
      </c>
      <c r="N391" s="227">
        <v>103.25</v>
      </c>
      <c r="O391" s="227">
        <v>112.17</v>
      </c>
      <c r="P391" s="227">
        <v>127.91</v>
      </c>
      <c r="Q391" s="227">
        <v>118.27</v>
      </c>
      <c r="R391" s="227">
        <v>127.65</v>
      </c>
      <c r="S391" s="227">
        <v>62.650000000000006</v>
      </c>
      <c r="T391" s="227">
        <v>48.664000000000001</v>
      </c>
      <c r="U391" s="227">
        <v>62.22</v>
      </c>
      <c r="V391" s="227">
        <v>56.343000000000004</v>
      </c>
      <c r="W391" s="227">
        <v>79.5</v>
      </c>
      <c r="X391" s="227">
        <v>79.5</v>
      </c>
      <c r="Y391" s="227">
        <v>79.5</v>
      </c>
      <c r="Z391" s="227">
        <v>79.5</v>
      </c>
      <c r="AA391" s="227">
        <v>79.5</v>
      </c>
      <c r="AB391" s="227">
        <v>94.254000000000005</v>
      </c>
      <c r="AC391" s="227">
        <v>687.84</v>
      </c>
      <c r="AD391" s="230">
        <v>1.0909027777777779E-3</v>
      </c>
      <c r="AE391" s="230">
        <v>565.524</v>
      </c>
      <c r="AF391" s="230">
        <v>3388.3620000000001</v>
      </c>
      <c r="AG391" s="230">
        <v>370096.68289991905</v>
      </c>
      <c r="AH391" s="230">
        <v>1343776.0662056506</v>
      </c>
      <c r="AI391" s="230">
        <v>4127.04</v>
      </c>
    </row>
    <row r="392" spans="5:35" x14ac:dyDescent="0.35">
      <c r="E392" s="226">
        <v>0.81954000000000005</v>
      </c>
      <c r="F392" s="227">
        <v>6.2012712328767119</v>
      </c>
      <c r="G392" s="227">
        <v>2263.4639999999999</v>
      </c>
      <c r="H392" s="227">
        <v>0.83420000000000005</v>
      </c>
      <c r="I392" s="227">
        <v>1.5155000000000001</v>
      </c>
      <c r="J392" s="227">
        <v>0.42900328807860999</v>
      </c>
      <c r="K392" s="227">
        <v>140</v>
      </c>
      <c r="L392" s="227">
        <v>140</v>
      </c>
      <c r="M392" s="227">
        <v>140</v>
      </c>
      <c r="N392" s="227">
        <v>103.22</v>
      </c>
      <c r="O392" s="227">
        <v>112.11</v>
      </c>
      <c r="P392" s="227">
        <v>127.86</v>
      </c>
      <c r="Q392" s="227">
        <v>118.21</v>
      </c>
      <c r="R392" s="227">
        <v>127.57</v>
      </c>
      <c r="S392" s="227">
        <v>62.569999999999993</v>
      </c>
      <c r="T392" s="227">
        <v>48.765000000000001</v>
      </c>
      <c r="U392" s="227">
        <v>62.305</v>
      </c>
      <c r="V392" s="227">
        <v>56.456000000000003</v>
      </c>
      <c r="W392" s="227">
        <v>79.5</v>
      </c>
      <c r="X392" s="227">
        <v>79.5</v>
      </c>
      <c r="Y392" s="227">
        <v>79.5</v>
      </c>
      <c r="Z392" s="227">
        <v>79.5</v>
      </c>
      <c r="AA392" s="227">
        <v>79.5</v>
      </c>
      <c r="AB392" s="227">
        <v>93.692999999999998</v>
      </c>
      <c r="AC392" s="227">
        <v>688.2</v>
      </c>
      <c r="AD392" s="230">
        <v>1.0844097222222223E-3</v>
      </c>
      <c r="AE392" s="230">
        <v>562.15800000000002</v>
      </c>
      <c r="AF392" s="230">
        <v>3390.1560000000004</v>
      </c>
      <c r="AG392" s="230">
        <v>370658.84089991904</v>
      </c>
      <c r="AH392" s="230">
        <v>1347166.2222056505</v>
      </c>
      <c r="AI392" s="230">
        <v>4129.2000000000007</v>
      </c>
    </row>
    <row r="393" spans="5:35" x14ac:dyDescent="0.35">
      <c r="E393" s="226">
        <v>0.82354000000000005</v>
      </c>
      <c r="F393" s="227">
        <v>6.2177095890410961</v>
      </c>
      <c r="G393" s="227">
        <v>2269.4639999999999</v>
      </c>
      <c r="H393" s="227">
        <v>0.83530000000000004</v>
      </c>
      <c r="I393" s="227">
        <v>1.5195000000000001</v>
      </c>
      <c r="J393" s="227">
        <v>0.42965005196749889</v>
      </c>
      <c r="K393" s="227">
        <v>140</v>
      </c>
      <c r="L393" s="227">
        <v>140</v>
      </c>
      <c r="M393" s="227">
        <v>140</v>
      </c>
      <c r="N393" s="227">
        <v>103.19</v>
      </c>
      <c r="O393" s="227">
        <v>112.04</v>
      </c>
      <c r="P393" s="227">
        <v>127.81</v>
      </c>
      <c r="Q393" s="227">
        <v>118.15</v>
      </c>
      <c r="R393" s="227">
        <v>127.48</v>
      </c>
      <c r="S393" s="227">
        <v>62.480000000000004</v>
      </c>
      <c r="T393" s="227">
        <v>48.866999999999997</v>
      </c>
      <c r="U393" s="227">
        <v>62.390999999999998</v>
      </c>
      <c r="V393" s="227">
        <v>56.567999999999998</v>
      </c>
      <c r="W393" s="227">
        <v>79.5</v>
      </c>
      <c r="X393" s="227">
        <v>79.5</v>
      </c>
      <c r="Y393" s="227">
        <v>79.5</v>
      </c>
      <c r="Z393" s="227">
        <v>79.5</v>
      </c>
      <c r="AA393" s="227">
        <v>79.5</v>
      </c>
      <c r="AB393" s="227">
        <v>93.134</v>
      </c>
      <c r="AC393" s="227">
        <v>688.57</v>
      </c>
      <c r="AD393" s="230">
        <v>1.0779398148148148E-3</v>
      </c>
      <c r="AE393" s="230">
        <v>558.80399999999997</v>
      </c>
      <c r="AF393" s="230">
        <v>3391.9560000000001</v>
      </c>
      <c r="AG393" s="230">
        <v>371217.64489991905</v>
      </c>
      <c r="AH393" s="230">
        <v>1350558.1782056505</v>
      </c>
      <c r="AI393" s="230">
        <v>4131.42</v>
      </c>
    </row>
    <row r="394" spans="5:35" x14ac:dyDescent="0.35">
      <c r="E394" s="226">
        <v>0.82754000000000005</v>
      </c>
      <c r="F394" s="227">
        <v>6.2341479452054793</v>
      </c>
      <c r="G394" s="227">
        <v>2275.4639999999999</v>
      </c>
      <c r="H394" s="227">
        <v>0.83640000000000003</v>
      </c>
      <c r="I394" s="227">
        <v>1.5235000000000001</v>
      </c>
      <c r="J394" s="227">
        <v>0.43029296168972109</v>
      </c>
      <c r="K394" s="227">
        <v>140</v>
      </c>
      <c r="L394" s="227">
        <v>140</v>
      </c>
      <c r="M394" s="227">
        <v>140</v>
      </c>
      <c r="N394" s="227">
        <v>103.16</v>
      </c>
      <c r="O394" s="227">
        <v>111.98</v>
      </c>
      <c r="P394" s="227">
        <v>127.76</v>
      </c>
      <c r="Q394" s="227">
        <v>118.09</v>
      </c>
      <c r="R394" s="227">
        <v>127.4</v>
      </c>
      <c r="S394" s="227">
        <v>62.400000000000006</v>
      </c>
      <c r="T394" s="227">
        <v>48.969000000000001</v>
      </c>
      <c r="U394" s="227">
        <v>62.475999999999999</v>
      </c>
      <c r="V394" s="227">
        <v>56.680999999999997</v>
      </c>
      <c r="W394" s="227">
        <v>79.5</v>
      </c>
      <c r="X394" s="227">
        <v>79.5</v>
      </c>
      <c r="Y394" s="227">
        <v>79.5</v>
      </c>
      <c r="Z394" s="227">
        <v>79.5</v>
      </c>
      <c r="AA394" s="227">
        <v>79.5</v>
      </c>
      <c r="AB394" s="227">
        <v>92.578999999999994</v>
      </c>
      <c r="AC394" s="227">
        <v>688.93</v>
      </c>
      <c r="AD394" s="230">
        <v>1.0715162037037036E-3</v>
      </c>
      <c r="AE394" s="230">
        <v>555.47399999999993</v>
      </c>
      <c r="AF394" s="230">
        <v>3393.7559999999999</v>
      </c>
      <c r="AG394" s="230">
        <v>371773.11889991903</v>
      </c>
      <c r="AH394" s="230">
        <v>1353951.9342056506</v>
      </c>
      <c r="AI394" s="230">
        <v>4133.58</v>
      </c>
    </row>
    <row r="395" spans="5:35" x14ac:dyDescent="0.35">
      <c r="E395" s="226">
        <v>0.83154000000000006</v>
      </c>
      <c r="F395" s="227">
        <v>6.2505863013698626</v>
      </c>
      <c r="G395" s="227">
        <v>2281.4639999999999</v>
      </c>
      <c r="H395" s="227">
        <v>0.83740000000000003</v>
      </c>
      <c r="I395" s="227">
        <v>1.5275000000000001</v>
      </c>
      <c r="J395" s="227">
        <v>0.43093205891194331</v>
      </c>
      <c r="K395" s="227">
        <v>140</v>
      </c>
      <c r="L395" s="227">
        <v>140</v>
      </c>
      <c r="M395" s="227">
        <v>140</v>
      </c>
      <c r="N395" s="227">
        <v>103.13</v>
      </c>
      <c r="O395" s="227">
        <v>111.92</v>
      </c>
      <c r="P395" s="227">
        <v>127.71</v>
      </c>
      <c r="Q395" s="227">
        <v>118.03</v>
      </c>
      <c r="R395" s="227">
        <v>127.32</v>
      </c>
      <c r="S395" s="227">
        <v>62.319999999999993</v>
      </c>
      <c r="T395" s="227">
        <v>49.07</v>
      </c>
      <c r="U395" s="227">
        <v>62.561999999999998</v>
      </c>
      <c r="V395" s="227">
        <v>56.792999999999999</v>
      </c>
      <c r="W395" s="227">
        <v>79.5</v>
      </c>
      <c r="X395" s="227">
        <v>79.5</v>
      </c>
      <c r="Y395" s="227">
        <v>79.5</v>
      </c>
      <c r="Z395" s="227">
        <v>79.5</v>
      </c>
      <c r="AA395" s="227">
        <v>79.5</v>
      </c>
      <c r="AB395" s="227">
        <v>92.03</v>
      </c>
      <c r="AC395" s="227">
        <v>689.3</v>
      </c>
      <c r="AD395" s="230">
        <v>1.065162037037037E-3</v>
      </c>
      <c r="AE395" s="230">
        <v>552.17999999999995</v>
      </c>
      <c r="AF395" s="230">
        <v>3395.5499999999997</v>
      </c>
      <c r="AG395" s="230">
        <v>372325.29889991903</v>
      </c>
      <c r="AH395" s="230">
        <v>1357347.4842056506</v>
      </c>
      <c r="AI395" s="230">
        <v>4135.7999999999993</v>
      </c>
    </row>
    <row r="396" spans="5:35" x14ac:dyDescent="0.35">
      <c r="E396" s="226">
        <v>0.83554000000000006</v>
      </c>
      <c r="F396" s="227">
        <v>6.2670246575342468</v>
      </c>
      <c r="G396" s="227">
        <v>2287.4639999999999</v>
      </c>
      <c r="H396" s="227">
        <v>0.83850000000000002</v>
      </c>
      <c r="I396" s="227">
        <v>1.5315000000000001</v>
      </c>
      <c r="J396" s="227">
        <v>0.43156737141194329</v>
      </c>
      <c r="K396" s="227">
        <v>140</v>
      </c>
      <c r="L396" s="227">
        <v>140</v>
      </c>
      <c r="M396" s="227">
        <v>140</v>
      </c>
      <c r="N396" s="227">
        <v>103.11</v>
      </c>
      <c r="O396" s="227">
        <v>111.86</v>
      </c>
      <c r="P396" s="227">
        <v>127.67</v>
      </c>
      <c r="Q396" s="227">
        <v>117.98</v>
      </c>
      <c r="R396" s="227">
        <v>127.24</v>
      </c>
      <c r="S396" s="227">
        <v>62.239999999999995</v>
      </c>
      <c r="T396" s="227">
        <v>49.171999999999997</v>
      </c>
      <c r="U396" s="227">
        <v>62.646999999999998</v>
      </c>
      <c r="V396" s="227">
        <v>56.905000000000001</v>
      </c>
      <c r="W396" s="227">
        <v>79.5</v>
      </c>
      <c r="X396" s="227">
        <v>79.5</v>
      </c>
      <c r="Y396" s="227">
        <v>79.5</v>
      </c>
      <c r="Z396" s="227">
        <v>79.5</v>
      </c>
      <c r="AA396" s="227">
        <v>79.5</v>
      </c>
      <c r="AB396" s="227">
        <v>91.484999999999999</v>
      </c>
      <c r="AC396" s="227">
        <v>689.66</v>
      </c>
      <c r="AD396" s="230">
        <v>1.0588541666666667E-3</v>
      </c>
      <c r="AE396" s="230">
        <v>548.91</v>
      </c>
      <c r="AF396" s="230">
        <v>3397.3439999999996</v>
      </c>
      <c r="AG396" s="230">
        <v>372874.208899919</v>
      </c>
      <c r="AH396" s="230">
        <v>1360744.8282056507</v>
      </c>
      <c r="AI396" s="230">
        <v>4137.96</v>
      </c>
    </row>
    <row r="397" spans="5:35" x14ac:dyDescent="0.35">
      <c r="E397" s="226">
        <v>0.83964000000000005</v>
      </c>
      <c r="F397" s="227">
        <v>6.28346301369863</v>
      </c>
      <c r="G397" s="227">
        <v>2293.4639999999999</v>
      </c>
      <c r="H397" s="227">
        <v>0.83950000000000002</v>
      </c>
      <c r="I397" s="227">
        <v>1.5356000000000001</v>
      </c>
      <c r="J397" s="227">
        <v>0.43219894085638771</v>
      </c>
      <c r="K397" s="227">
        <v>140</v>
      </c>
      <c r="L397" s="227">
        <v>140</v>
      </c>
      <c r="M397" s="227">
        <v>140</v>
      </c>
      <c r="N397" s="227">
        <v>103.08</v>
      </c>
      <c r="O397" s="227">
        <v>111.8</v>
      </c>
      <c r="P397" s="227">
        <v>127.62</v>
      </c>
      <c r="Q397" s="227">
        <v>117.92</v>
      </c>
      <c r="R397" s="227">
        <v>127.15</v>
      </c>
      <c r="S397" s="227">
        <v>62.150000000000006</v>
      </c>
      <c r="T397" s="227">
        <v>49.274000000000001</v>
      </c>
      <c r="U397" s="227">
        <v>62.731000000000002</v>
      </c>
      <c r="V397" s="227">
        <v>57.017000000000003</v>
      </c>
      <c r="W397" s="227">
        <v>79.5</v>
      </c>
      <c r="X397" s="227">
        <v>79.5</v>
      </c>
      <c r="Y397" s="227">
        <v>79.5</v>
      </c>
      <c r="Z397" s="227">
        <v>79.5</v>
      </c>
      <c r="AA397" s="227">
        <v>79.5</v>
      </c>
      <c r="AB397" s="227">
        <v>90.945999999999998</v>
      </c>
      <c r="AC397" s="227">
        <v>690.02</v>
      </c>
      <c r="AD397" s="230">
        <v>1.0526157407407407E-3</v>
      </c>
      <c r="AE397" s="230">
        <v>545.67599999999993</v>
      </c>
      <c r="AF397" s="230">
        <v>3399.1319999999996</v>
      </c>
      <c r="AG397" s="230">
        <v>373419.88489991898</v>
      </c>
      <c r="AH397" s="230">
        <v>1364143.9602056507</v>
      </c>
      <c r="AI397" s="230">
        <v>4140.12</v>
      </c>
    </row>
    <row r="398" spans="5:35" x14ac:dyDescent="0.35">
      <c r="E398" s="226">
        <v>0.84364000000000006</v>
      </c>
      <c r="F398" s="227">
        <v>6.2999013698630133</v>
      </c>
      <c r="G398" s="227">
        <v>2299.4639999999999</v>
      </c>
      <c r="H398" s="227">
        <v>0.84050000000000002</v>
      </c>
      <c r="I398" s="227">
        <v>1.5396000000000001</v>
      </c>
      <c r="J398" s="227">
        <v>0.43282679502305438</v>
      </c>
      <c r="K398" s="227">
        <v>140</v>
      </c>
      <c r="L398" s="227">
        <v>140</v>
      </c>
      <c r="M398" s="227">
        <v>140</v>
      </c>
      <c r="N398" s="227">
        <v>103.05</v>
      </c>
      <c r="O398" s="227">
        <v>111.74</v>
      </c>
      <c r="P398" s="227">
        <v>127.57</v>
      </c>
      <c r="Q398" s="227">
        <v>117.86</v>
      </c>
      <c r="R398" s="227">
        <v>127.07</v>
      </c>
      <c r="S398" s="227">
        <v>62.069999999999993</v>
      </c>
      <c r="T398" s="227">
        <v>49.375</v>
      </c>
      <c r="U398" s="227">
        <v>62.816000000000003</v>
      </c>
      <c r="V398" s="227">
        <v>57.128999999999998</v>
      </c>
      <c r="W398" s="227">
        <v>79.5</v>
      </c>
      <c r="X398" s="227">
        <v>79.5</v>
      </c>
      <c r="Y398" s="227">
        <v>79.5</v>
      </c>
      <c r="Z398" s="227">
        <v>79.5</v>
      </c>
      <c r="AA398" s="227">
        <v>79.5</v>
      </c>
      <c r="AB398" s="227">
        <v>90.411000000000001</v>
      </c>
      <c r="AC398" s="227">
        <v>690.39</v>
      </c>
      <c r="AD398" s="230">
        <v>1.046423611111111E-3</v>
      </c>
      <c r="AE398" s="230">
        <v>542.46600000000001</v>
      </c>
      <c r="AF398" s="230">
        <v>3400.9199999999996</v>
      </c>
      <c r="AG398" s="230">
        <v>373962.35089991899</v>
      </c>
      <c r="AH398" s="230">
        <v>1367544.8802056506</v>
      </c>
      <c r="AI398" s="230">
        <v>4142.34</v>
      </c>
    </row>
    <row r="399" spans="5:35" x14ac:dyDescent="0.35">
      <c r="E399" s="226">
        <v>0.84764000000000006</v>
      </c>
      <c r="F399" s="227">
        <v>6.3163397260273975</v>
      </c>
      <c r="G399" s="227">
        <v>2305.4639999999999</v>
      </c>
      <c r="H399" s="227">
        <v>0.84150000000000003</v>
      </c>
      <c r="I399" s="227">
        <v>1.5436000000000001</v>
      </c>
      <c r="J399" s="227">
        <v>0.43345097557860995</v>
      </c>
      <c r="K399" s="227">
        <v>140</v>
      </c>
      <c r="L399" s="227">
        <v>140</v>
      </c>
      <c r="M399" s="227">
        <v>140</v>
      </c>
      <c r="N399" s="227">
        <v>103.02</v>
      </c>
      <c r="O399" s="227">
        <v>111.68</v>
      </c>
      <c r="P399" s="227">
        <v>127.53</v>
      </c>
      <c r="Q399" s="227">
        <v>117.8</v>
      </c>
      <c r="R399" s="227">
        <v>126.99</v>
      </c>
      <c r="S399" s="227">
        <v>61.989999999999995</v>
      </c>
      <c r="T399" s="227">
        <v>49.476999999999997</v>
      </c>
      <c r="U399" s="227">
        <v>62.901000000000003</v>
      </c>
      <c r="V399" s="227">
        <v>57.241</v>
      </c>
      <c r="W399" s="227">
        <v>79.5</v>
      </c>
      <c r="X399" s="227">
        <v>79.5</v>
      </c>
      <c r="Y399" s="227">
        <v>79.5</v>
      </c>
      <c r="Z399" s="227">
        <v>79.5</v>
      </c>
      <c r="AA399" s="227">
        <v>79.5</v>
      </c>
      <c r="AB399" s="227">
        <v>89.882000000000005</v>
      </c>
      <c r="AC399" s="227">
        <v>690.75</v>
      </c>
      <c r="AD399" s="230">
        <v>1.0403009259259261E-3</v>
      </c>
      <c r="AE399" s="230">
        <v>539.29200000000003</v>
      </c>
      <c r="AF399" s="230">
        <v>3402.7139999999999</v>
      </c>
      <c r="AG399" s="230">
        <v>374501.64289991901</v>
      </c>
      <c r="AH399" s="230">
        <v>1370947.5942056505</v>
      </c>
      <c r="AI399" s="230">
        <v>4144.5</v>
      </c>
    </row>
    <row r="400" spans="5:35" x14ac:dyDescent="0.35">
      <c r="E400" s="226">
        <v>0.85164000000000006</v>
      </c>
      <c r="F400" s="227">
        <v>6.3327780821917807</v>
      </c>
      <c r="G400" s="227">
        <v>2311.4639999999999</v>
      </c>
      <c r="H400" s="227">
        <v>0.84260000000000002</v>
      </c>
      <c r="I400" s="227">
        <v>1.5476000000000001</v>
      </c>
      <c r="J400" s="227">
        <v>0.43407151030083219</v>
      </c>
      <c r="K400" s="227">
        <v>140</v>
      </c>
      <c r="L400" s="227">
        <v>140</v>
      </c>
      <c r="M400" s="227">
        <v>140</v>
      </c>
      <c r="N400" s="227">
        <v>102.99</v>
      </c>
      <c r="O400" s="227">
        <v>111.62</v>
      </c>
      <c r="P400" s="227">
        <v>127.48</v>
      </c>
      <c r="Q400" s="227">
        <v>117.75</v>
      </c>
      <c r="R400" s="227">
        <v>126.91</v>
      </c>
      <c r="S400" s="227">
        <v>61.91</v>
      </c>
      <c r="T400" s="227">
        <v>49.579000000000001</v>
      </c>
      <c r="U400" s="227">
        <v>62.984999999999999</v>
      </c>
      <c r="V400" s="227">
        <v>57.353000000000002</v>
      </c>
      <c r="W400" s="227">
        <v>79.5</v>
      </c>
      <c r="X400" s="227">
        <v>79.5</v>
      </c>
      <c r="Y400" s="227">
        <v>79.5</v>
      </c>
      <c r="Z400" s="227">
        <v>79.5</v>
      </c>
      <c r="AA400" s="227">
        <v>79.5</v>
      </c>
      <c r="AB400" s="227">
        <v>89.356999999999999</v>
      </c>
      <c r="AC400" s="227">
        <v>691.11</v>
      </c>
      <c r="AD400" s="230">
        <v>1.0342245370370371E-3</v>
      </c>
      <c r="AE400" s="230">
        <v>536.14200000000005</v>
      </c>
      <c r="AF400" s="230">
        <v>3404.5020000000004</v>
      </c>
      <c r="AG400" s="230">
        <v>375037.784899919</v>
      </c>
      <c r="AH400" s="230">
        <v>1374352.0962056506</v>
      </c>
      <c r="AI400" s="230">
        <v>4146.66</v>
      </c>
    </row>
    <row r="401" spans="5:35" x14ac:dyDescent="0.35">
      <c r="E401" s="226">
        <v>0.85564000000000007</v>
      </c>
      <c r="F401" s="227">
        <v>6.349216438356164</v>
      </c>
      <c r="G401" s="227">
        <v>2317.4639999999999</v>
      </c>
      <c r="H401" s="227">
        <v>0.84360000000000002</v>
      </c>
      <c r="I401" s="227">
        <v>1.5516000000000001</v>
      </c>
      <c r="J401" s="227">
        <v>0.43468844085638775</v>
      </c>
      <c r="K401" s="227">
        <v>140</v>
      </c>
      <c r="L401" s="227">
        <v>140</v>
      </c>
      <c r="M401" s="227">
        <v>140</v>
      </c>
      <c r="N401" s="227">
        <v>102.96</v>
      </c>
      <c r="O401" s="227">
        <v>111.56</v>
      </c>
      <c r="P401" s="227">
        <v>127.44</v>
      </c>
      <c r="Q401" s="227">
        <v>117.69</v>
      </c>
      <c r="R401" s="227">
        <v>126.83</v>
      </c>
      <c r="S401" s="227">
        <v>61.83</v>
      </c>
      <c r="T401" s="227">
        <v>49.68</v>
      </c>
      <c r="U401" s="227">
        <v>63.069000000000003</v>
      </c>
      <c r="V401" s="227">
        <v>57.465000000000003</v>
      </c>
      <c r="W401" s="227">
        <v>79.5</v>
      </c>
      <c r="X401" s="227">
        <v>79.5</v>
      </c>
      <c r="Y401" s="227">
        <v>79.5</v>
      </c>
      <c r="Z401" s="227">
        <v>79.5</v>
      </c>
      <c r="AA401" s="227">
        <v>79.5</v>
      </c>
      <c r="AB401" s="227">
        <v>88.837999999999994</v>
      </c>
      <c r="AC401" s="227">
        <v>691.48</v>
      </c>
      <c r="AD401" s="230">
        <v>1.0282175925925925E-3</v>
      </c>
      <c r="AE401" s="230">
        <v>533.02799999999991</v>
      </c>
      <c r="AF401" s="230">
        <v>3406.2839999999997</v>
      </c>
      <c r="AG401" s="230">
        <v>375570.81289991899</v>
      </c>
      <c r="AH401" s="230">
        <v>1377758.3802056506</v>
      </c>
      <c r="AI401" s="230">
        <v>4148.88</v>
      </c>
    </row>
    <row r="402" spans="5:35" x14ac:dyDescent="0.35">
      <c r="E402" s="226">
        <v>0.85964000000000007</v>
      </c>
      <c r="F402" s="227">
        <v>6.3656547945205482</v>
      </c>
      <c r="G402" s="227">
        <v>2323.4639999999999</v>
      </c>
      <c r="H402" s="227">
        <v>0.84450000000000003</v>
      </c>
      <c r="I402" s="227">
        <v>1.5556000000000001</v>
      </c>
      <c r="J402" s="227">
        <v>0.43530178807860992</v>
      </c>
      <c r="K402" s="227">
        <v>140</v>
      </c>
      <c r="L402" s="227">
        <v>140</v>
      </c>
      <c r="M402" s="227">
        <v>140</v>
      </c>
      <c r="N402" s="227">
        <v>102.94</v>
      </c>
      <c r="O402" s="227">
        <v>111.5</v>
      </c>
      <c r="P402" s="227">
        <v>127.39</v>
      </c>
      <c r="Q402" s="227">
        <v>117.64</v>
      </c>
      <c r="R402" s="227">
        <v>126.75</v>
      </c>
      <c r="S402" s="227">
        <v>61.75</v>
      </c>
      <c r="T402" s="227">
        <v>49.781999999999996</v>
      </c>
      <c r="U402" s="227">
        <v>63.154000000000003</v>
      </c>
      <c r="V402" s="227">
        <v>57.576000000000001</v>
      </c>
      <c r="W402" s="227">
        <v>79.5</v>
      </c>
      <c r="X402" s="227">
        <v>79.5</v>
      </c>
      <c r="Y402" s="227">
        <v>79.5</v>
      </c>
      <c r="Z402" s="227">
        <v>79.5</v>
      </c>
      <c r="AA402" s="227">
        <v>79.5</v>
      </c>
      <c r="AB402" s="227">
        <v>88.322000000000003</v>
      </c>
      <c r="AC402" s="227">
        <v>691.84</v>
      </c>
      <c r="AD402" s="230">
        <v>1.0222453703703704E-3</v>
      </c>
      <c r="AE402" s="230">
        <v>529.93200000000002</v>
      </c>
      <c r="AF402" s="230">
        <v>3408.0719999999997</v>
      </c>
      <c r="AG402" s="230">
        <v>376100.74489991897</v>
      </c>
      <c r="AH402" s="230">
        <v>1381166.4522056505</v>
      </c>
      <c r="AI402" s="230">
        <v>4151.04</v>
      </c>
    </row>
    <row r="403" spans="5:35" x14ac:dyDescent="0.35">
      <c r="E403" s="226">
        <v>0.86374000000000006</v>
      </c>
      <c r="F403" s="227">
        <v>6.3820931506849314</v>
      </c>
      <c r="G403" s="227">
        <v>2329.4639999999999</v>
      </c>
      <c r="H403" s="227">
        <v>0.84550000000000003</v>
      </c>
      <c r="I403" s="227">
        <v>1.5597000000000001</v>
      </c>
      <c r="J403" s="227">
        <v>0.43591155196749881</v>
      </c>
      <c r="K403" s="227">
        <v>140</v>
      </c>
      <c r="L403" s="227">
        <v>140</v>
      </c>
      <c r="M403" s="227">
        <v>140</v>
      </c>
      <c r="N403" s="227">
        <v>102.91</v>
      </c>
      <c r="O403" s="227">
        <v>111.44</v>
      </c>
      <c r="P403" s="227">
        <v>127.35</v>
      </c>
      <c r="Q403" s="227">
        <v>117.58</v>
      </c>
      <c r="R403" s="227">
        <v>126.67</v>
      </c>
      <c r="S403" s="227">
        <v>61.67</v>
      </c>
      <c r="T403" s="227">
        <v>49.884</v>
      </c>
      <c r="U403" s="227">
        <v>63.238</v>
      </c>
      <c r="V403" s="227">
        <v>57.688000000000002</v>
      </c>
      <c r="W403" s="227">
        <v>79.5</v>
      </c>
      <c r="X403" s="227">
        <v>79.5</v>
      </c>
      <c r="Y403" s="227">
        <v>79.5</v>
      </c>
      <c r="Z403" s="227">
        <v>79.5</v>
      </c>
      <c r="AA403" s="227">
        <v>79.5</v>
      </c>
      <c r="AB403" s="227">
        <v>87.805999999999997</v>
      </c>
      <c r="AC403" s="227">
        <v>692.2</v>
      </c>
      <c r="AD403" s="230">
        <v>1.0162731481481481E-3</v>
      </c>
      <c r="AE403" s="230">
        <v>526.83600000000001</v>
      </c>
      <c r="AF403" s="230">
        <v>3409.8599999999997</v>
      </c>
      <c r="AG403" s="230">
        <v>376627.58089991898</v>
      </c>
      <c r="AH403" s="230">
        <v>1384576.3122056506</v>
      </c>
      <c r="AI403" s="230">
        <v>4153.2000000000007</v>
      </c>
    </row>
    <row r="404" spans="5:35" x14ac:dyDescent="0.35">
      <c r="E404" s="226">
        <v>0.86774000000000007</v>
      </c>
      <c r="F404" s="227">
        <v>6.3985315068493147</v>
      </c>
      <c r="G404" s="227">
        <v>2335.4639999999999</v>
      </c>
      <c r="H404" s="227">
        <v>0.84650000000000003</v>
      </c>
      <c r="I404" s="227">
        <v>1.5637000000000001</v>
      </c>
      <c r="J404" s="227">
        <v>0.43651776724527663</v>
      </c>
      <c r="K404" s="227">
        <v>140</v>
      </c>
      <c r="L404" s="227">
        <v>140</v>
      </c>
      <c r="M404" s="227">
        <v>140</v>
      </c>
      <c r="N404" s="227">
        <v>102.88</v>
      </c>
      <c r="O404" s="227">
        <v>111.38</v>
      </c>
      <c r="P404" s="227">
        <v>127.3</v>
      </c>
      <c r="Q404" s="227">
        <v>117.53</v>
      </c>
      <c r="R404" s="227">
        <v>126.6</v>
      </c>
      <c r="S404" s="227">
        <v>61.599999999999994</v>
      </c>
      <c r="T404" s="227">
        <v>49.984999999999999</v>
      </c>
      <c r="U404" s="227">
        <v>63.322000000000003</v>
      </c>
      <c r="V404" s="227">
        <v>57.8</v>
      </c>
      <c r="W404" s="227">
        <v>79.5</v>
      </c>
      <c r="X404" s="227">
        <v>79.5</v>
      </c>
      <c r="Y404" s="227">
        <v>79.5</v>
      </c>
      <c r="Z404" s="227">
        <v>79.5</v>
      </c>
      <c r="AA404" s="227">
        <v>79.5</v>
      </c>
      <c r="AB404" s="227">
        <v>87.295000000000002</v>
      </c>
      <c r="AC404" s="227">
        <v>692.56</v>
      </c>
      <c r="AD404" s="230">
        <v>1.0103587962962963E-3</v>
      </c>
      <c r="AE404" s="230">
        <v>523.77</v>
      </c>
      <c r="AF404" s="230">
        <v>3411.6419999999998</v>
      </c>
      <c r="AG404" s="230">
        <v>377151.35089991899</v>
      </c>
      <c r="AH404" s="230">
        <v>1387987.9542056506</v>
      </c>
      <c r="AI404" s="230">
        <v>4155.3599999999997</v>
      </c>
    </row>
    <row r="405" spans="5:35" x14ac:dyDescent="0.35">
      <c r="E405" s="226">
        <v>0.87174000000000007</v>
      </c>
      <c r="F405" s="227">
        <v>6.4149698630136989</v>
      </c>
      <c r="G405" s="227">
        <v>2341.4639999999999</v>
      </c>
      <c r="H405" s="227">
        <v>0.84750000000000003</v>
      </c>
      <c r="I405" s="227">
        <v>1.5677000000000001</v>
      </c>
      <c r="J405" s="227">
        <v>0.43712046863416548</v>
      </c>
      <c r="K405" s="227">
        <v>140</v>
      </c>
      <c r="L405" s="227">
        <v>140</v>
      </c>
      <c r="M405" s="227">
        <v>140</v>
      </c>
      <c r="N405" s="227">
        <v>102.85</v>
      </c>
      <c r="O405" s="227">
        <v>111.32</v>
      </c>
      <c r="P405" s="227">
        <v>127.26</v>
      </c>
      <c r="Q405" s="227">
        <v>117.47</v>
      </c>
      <c r="R405" s="227">
        <v>126.52</v>
      </c>
      <c r="S405" s="227">
        <v>61.519999999999996</v>
      </c>
      <c r="T405" s="227">
        <v>50.087000000000003</v>
      </c>
      <c r="U405" s="227">
        <v>63.405999999999999</v>
      </c>
      <c r="V405" s="227">
        <v>57.911999999999999</v>
      </c>
      <c r="W405" s="227">
        <v>79.5</v>
      </c>
      <c r="X405" s="227">
        <v>79.5</v>
      </c>
      <c r="Y405" s="227">
        <v>79.5</v>
      </c>
      <c r="Z405" s="227">
        <v>79.5</v>
      </c>
      <c r="AA405" s="227">
        <v>79.5</v>
      </c>
      <c r="AB405" s="227">
        <v>86.789000000000001</v>
      </c>
      <c r="AC405" s="227">
        <v>692.93</v>
      </c>
      <c r="AD405" s="230">
        <v>1.0045023148148148E-3</v>
      </c>
      <c r="AE405" s="230">
        <v>520.73400000000004</v>
      </c>
      <c r="AF405" s="230">
        <v>3413.43</v>
      </c>
      <c r="AG405" s="230">
        <v>377672.08489991899</v>
      </c>
      <c r="AH405" s="230">
        <v>1391401.3842056505</v>
      </c>
      <c r="AI405" s="230">
        <v>4157.58</v>
      </c>
    </row>
    <row r="406" spans="5:35" x14ac:dyDescent="0.35">
      <c r="E406" s="226">
        <v>0.87574000000000007</v>
      </c>
      <c r="F406" s="227">
        <v>6.4314082191780821</v>
      </c>
      <c r="G406" s="227">
        <v>2347.4639999999999</v>
      </c>
      <c r="H406" s="227">
        <v>0.84840000000000004</v>
      </c>
      <c r="I406" s="227">
        <v>1.5717000000000001</v>
      </c>
      <c r="J406" s="227">
        <v>0.43771969780083214</v>
      </c>
      <c r="K406" s="227">
        <v>140</v>
      </c>
      <c r="L406" s="227">
        <v>140</v>
      </c>
      <c r="M406" s="227">
        <v>140</v>
      </c>
      <c r="N406" s="227">
        <v>102.82</v>
      </c>
      <c r="O406" s="227">
        <v>111.27</v>
      </c>
      <c r="P406" s="227">
        <v>127.21</v>
      </c>
      <c r="Q406" s="227">
        <v>117.42</v>
      </c>
      <c r="R406" s="227">
        <v>126.44</v>
      </c>
      <c r="S406" s="227">
        <v>61.44</v>
      </c>
      <c r="T406" s="227">
        <v>50.189</v>
      </c>
      <c r="U406" s="227">
        <v>63.49</v>
      </c>
      <c r="V406" s="227">
        <v>58.023000000000003</v>
      </c>
      <c r="W406" s="227">
        <v>79.5</v>
      </c>
      <c r="X406" s="227">
        <v>79.5</v>
      </c>
      <c r="Y406" s="227">
        <v>79.5</v>
      </c>
      <c r="Z406" s="227">
        <v>79.5</v>
      </c>
      <c r="AA406" s="227">
        <v>79.5</v>
      </c>
      <c r="AB406" s="227">
        <v>86.289000000000001</v>
      </c>
      <c r="AC406" s="227">
        <v>693.29</v>
      </c>
      <c r="AD406" s="230">
        <v>9.9871527777777784E-4</v>
      </c>
      <c r="AE406" s="230">
        <v>517.73400000000004</v>
      </c>
      <c r="AF406" s="230">
        <v>3415.212</v>
      </c>
      <c r="AG406" s="230">
        <v>378189.81889991899</v>
      </c>
      <c r="AH406" s="230">
        <v>1394816.5962056506</v>
      </c>
      <c r="AI406" s="230">
        <v>4159.74</v>
      </c>
    </row>
    <row r="407" spans="5:35" x14ac:dyDescent="0.35">
      <c r="E407" s="226">
        <v>0.87974000000000008</v>
      </c>
      <c r="F407" s="227">
        <v>6.4478465753424654</v>
      </c>
      <c r="G407" s="227">
        <v>2353.4639999999999</v>
      </c>
      <c r="H407" s="227">
        <v>0.84940000000000004</v>
      </c>
      <c r="I407" s="227">
        <v>1.5757000000000001</v>
      </c>
      <c r="J407" s="227">
        <v>0.43831548946749888</v>
      </c>
      <c r="K407" s="227">
        <v>140</v>
      </c>
      <c r="L407" s="227">
        <v>140</v>
      </c>
      <c r="M407" s="227">
        <v>140</v>
      </c>
      <c r="N407" s="227">
        <v>102.8</v>
      </c>
      <c r="O407" s="227">
        <v>111.21</v>
      </c>
      <c r="P407" s="227">
        <v>127.17</v>
      </c>
      <c r="Q407" s="227">
        <v>117.36</v>
      </c>
      <c r="R407" s="227">
        <v>126.36</v>
      </c>
      <c r="S407" s="227">
        <v>61.36</v>
      </c>
      <c r="T407" s="227">
        <v>50.29</v>
      </c>
      <c r="U407" s="227">
        <v>63.573</v>
      </c>
      <c r="V407" s="227">
        <v>58.134999999999998</v>
      </c>
      <c r="W407" s="227">
        <v>79.5</v>
      </c>
      <c r="X407" s="227">
        <v>79.5</v>
      </c>
      <c r="Y407" s="227">
        <v>79.5</v>
      </c>
      <c r="Z407" s="227">
        <v>79.5</v>
      </c>
      <c r="AA407" s="227">
        <v>79.5</v>
      </c>
      <c r="AB407" s="227">
        <v>85.793999999999997</v>
      </c>
      <c r="AC407" s="227">
        <v>693.65</v>
      </c>
      <c r="AD407" s="230">
        <v>9.9298611111111115E-4</v>
      </c>
      <c r="AE407" s="230">
        <v>514.76400000000001</v>
      </c>
      <c r="AF407" s="230">
        <v>3416.9880000000003</v>
      </c>
      <c r="AG407" s="230">
        <v>378704.58289991901</v>
      </c>
      <c r="AH407" s="230">
        <v>1398233.5842056505</v>
      </c>
      <c r="AI407" s="230">
        <v>4161.8999999999996</v>
      </c>
    </row>
    <row r="408" spans="5:35" x14ac:dyDescent="0.35">
      <c r="E408" s="226">
        <v>0.88374000000000008</v>
      </c>
      <c r="F408" s="227">
        <v>6.4642849315068496</v>
      </c>
      <c r="G408" s="227">
        <v>2359.4639999999999</v>
      </c>
      <c r="H408" s="227">
        <v>0.85029999999999994</v>
      </c>
      <c r="I408" s="227">
        <v>1.5797000000000001</v>
      </c>
      <c r="J408" s="227">
        <v>0.43890787835638778</v>
      </c>
      <c r="K408" s="227">
        <v>140</v>
      </c>
      <c r="L408" s="227">
        <v>140</v>
      </c>
      <c r="M408" s="227">
        <v>140</v>
      </c>
      <c r="N408" s="227">
        <v>102.77</v>
      </c>
      <c r="O408" s="227">
        <v>111.15</v>
      </c>
      <c r="P408" s="227">
        <v>127.13</v>
      </c>
      <c r="Q408" s="227">
        <v>117.31</v>
      </c>
      <c r="R408" s="227">
        <v>126.29</v>
      </c>
      <c r="S408" s="227">
        <v>61.290000000000006</v>
      </c>
      <c r="T408" s="227">
        <v>50.390999999999998</v>
      </c>
      <c r="U408" s="227">
        <v>63.655999999999999</v>
      </c>
      <c r="V408" s="227">
        <v>58.246000000000002</v>
      </c>
      <c r="W408" s="227">
        <v>79.5</v>
      </c>
      <c r="X408" s="227">
        <v>79.5</v>
      </c>
      <c r="Y408" s="227">
        <v>79.5</v>
      </c>
      <c r="Z408" s="227">
        <v>79.5</v>
      </c>
      <c r="AA408" s="227">
        <v>79.5</v>
      </c>
      <c r="AB408" s="227">
        <v>85.304000000000002</v>
      </c>
      <c r="AC408" s="227">
        <v>694.01</v>
      </c>
      <c r="AD408" s="230">
        <v>9.8731481481481478E-4</v>
      </c>
      <c r="AE408" s="230">
        <v>511.82399999999996</v>
      </c>
      <c r="AF408" s="230">
        <v>3418.7579999999998</v>
      </c>
      <c r="AG408" s="230">
        <v>379216.40689991903</v>
      </c>
      <c r="AH408" s="230">
        <v>1401652.3422056504</v>
      </c>
      <c r="AI408" s="230">
        <v>4164.0599999999995</v>
      </c>
    </row>
    <row r="409" spans="5:35" x14ac:dyDescent="0.35">
      <c r="E409" s="226">
        <v>0.88784000000000007</v>
      </c>
      <c r="F409" s="227">
        <v>6.4807232876712328</v>
      </c>
      <c r="G409" s="227">
        <v>2365.4639999999999</v>
      </c>
      <c r="H409" s="227">
        <v>0.85129999999999995</v>
      </c>
      <c r="I409" s="227">
        <v>1.5838000000000001</v>
      </c>
      <c r="J409" s="227">
        <v>0.43949689224527666</v>
      </c>
      <c r="K409" s="227">
        <v>140</v>
      </c>
      <c r="L409" s="227">
        <v>140</v>
      </c>
      <c r="M409" s="227">
        <v>140</v>
      </c>
      <c r="N409" s="227">
        <v>102.74</v>
      </c>
      <c r="O409" s="227">
        <v>111.09</v>
      </c>
      <c r="P409" s="227">
        <v>127.08</v>
      </c>
      <c r="Q409" s="227">
        <v>117.26</v>
      </c>
      <c r="R409" s="227">
        <v>126.21</v>
      </c>
      <c r="S409" s="227">
        <v>61.209999999999994</v>
      </c>
      <c r="T409" s="227">
        <v>50.491999999999997</v>
      </c>
      <c r="U409" s="227">
        <v>63.738999999999997</v>
      </c>
      <c r="V409" s="227">
        <v>58.356999999999999</v>
      </c>
      <c r="W409" s="227">
        <v>79.5</v>
      </c>
      <c r="X409" s="227">
        <v>79.5</v>
      </c>
      <c r="Y409" s="227">
        <v>79.5</v>
      </c>
      <c r="Z409" s="227">
        <v>79.5</v>
      </c>
      <c r="AA409" s="227">
        <v>79.5</v>
      </c>
      <c r="AB409" s="227">
        <v>84.817999999999998</v>
      </c>
      <c r="AC409" s="227">
        <v>694.37</v>
      </c>
      <c r="AD409" s="230">
        <v>9.8168981481481479E-4</v>
      </c>
      <c r="AE409" s="230">
        <v>508.90800000000002</v>
      </c>
      <c r="AF409" s="230">
        <v>3420.5279999999998</v>
      </c>
      <c r="AG409" s="230">
        <v>379725.31489991903</v>
      </c>
      <c r="AH409" s="230">
        <v>1405072.8702056503</v>
      </c>
      <c r="AI409" s="230">
        <v>4166.22</v>
      </c>
    </row>
    <row r="410" spans="5:35" x14ac:dyDescent="0.35">
      <c r="E410" s="226">
        <v>0.89184000000000008</v>
      </c>
      <c r="F410" s="227">
        <v>6.4971616438356161</v>
      </c>
      <c r="G410" s="227">
        <v>2371.4639999999999</v>
      </c>
      <c r="H410" s="227">
        <v>0.85219999999999996</v>
      </c>
      <c r="I410" s="227">
        <v>1.5878000000000001</v>
      </c>
      <c r="J410" s="227">
        <v>0.44008254502305444</v>
      </c>
      <c r="K410" s="227">
        <v>140</v>
      </c>
      <c r="L410" s="227">
        <v>140</v>
      </c>
      <c r="M410" s="227">
        <v>140</v>
      </c>
      <c r="N410" s="227">
        <v>102.72</v>
      </c>
      <c r="O410" s="227">
        <v>111.03</v>
      </c>
      <c r="P410" s="227">
        <v>127.04</v>
      </c>
      <c r="Q410" s="227">
        <v>117.2</v>
      </c>
      <c r="R410" s="227">
        <v>126.13</v>
      </c>
      <c r="S410" s="227">
        <v>61.129999999999995</v>
      </c>
      <c r="T410" s="227">
        <v>50.593000000000004</v>
      </c>
      <c r="U410" s="227">
        <v>63.820999999999998</v>
      </c>
      <c r="V410" s="227">
        <v>58.466999999999999</v>
      </c>
      <c r="W410" s="227">
        <v>79.5</v>
      </c>
      <c r="X410" s="227">
        <v>79.5</v>
      </c>
      <c r="Y410" s="227">
        <v>79.5</v>
      </c>
      <c r="Z410" s="227">
        <v>79.5</v>
      </c>
      <c r="AA410" s="227">
        <v>79.5</v>
      </c>
      <c r="AB410" s="227">
        <v>84.334000000000003</v>
      </c>
      <c r="AC410" s="227">
        <v>694.72</v>
      </c>
      <c r="AD410" s="230">
        <v>9.76087962962963E-4</v>
      </c>
      <c r="AE410" s="230">
        <v>506.00400000000002</v>
      </c>
      <c r="AF410" s="230">
        <v>3422.2860000000001</v>
      </c>
      <c r="AG410" s="230">
        <v>380231.31889991905</v>
      </c>
      <c r="AH410" s="230">
        <v>1408495.1562056504</v>
      </c>
      <c r="AI410" s="230">
        <v>4168.32</v>
      </c>
    </row>
    <row r="411" spans="5:35" x14ac:dyDescent="0.35">
      <c r="E411" s="226">
        <v>0.89584000000000008</v>
      </c>
      <c r="F411" s="227">
        <v>6.5136000000000003</v>
      </c>
      <c r="G411" s="227">
        <v>2377.4639999999999</v>
      </c>
      <c r="H411" s="227">
        <v>0.85309999999999997</v>
      </c>
      <c r="I411" s="227">
        <v>1.5918000000000001</v>
      </c>
      <c r="J411" s="227">
        <v>0.44066485057861005</v>
      </c>
      <c r="K411" s="227">
        <v>140</v>
      </c>
      <c r="L411" s="227">
        <v>140</v>
      </c>
      <c r="M411" s="227">
        <v>140</v>
      </c>
      <c r="N411" s="227">
        <v>102.69</v>
      </c>
      <c r="O411" s="227">
        <v>110.97</v>
      </c>
      <c r="P411" s="227">
        <v>127</v>
      </c>
      <c r="Q411" s="227">
        <v>117.15</v>
      </c>
      <c r="R411" s="227">
        <v>126.06</v>
      </c>
      <c r="S411" s="227">
        <v>61.06</v>
      </c>
      <c r="T411" s="227">
        <v>50.694000000000003</v>
      </c>
      <c r="U411" s="227">
        <v>63.904000000000003</v>
      </c>
      <c r="V411" s="227">
        <v>58.579000000000001</v>
      </c>
      <c r="W411" s="227">
        <v>79.5</v>
      </c>
      <c r="X411" s="227">
        <v>79.5</v>
      </c>
      <c r="Y411" s="227">
        <v>79.5</v>
      </c>
      <c r="Z411" s="227">
        <v>79.5</v>
      </c>
      <c r="AA411" s="227">
        <v>79.5</v>
      </c>
      <c r="AB411" s="227">
        <v>83.852000000000004</v>
      </c>
      <c r="AC411" s="227">
        <v>695.08</v>
      </c>
      <c r="AD411" s="230">
        <v>9.7050925925925929E-4</v>
      </c>
      <c r="AE411" s="230">
        <v>503.11199999999997</v>
      </c>
      <c r="AF411" s="230">
        <v>3424.0619999999999</v>
      </c>
      <c r="AG411" s="230">
        <v>380734.43089991907</v>
      </c>
      <c r="AH411" s="230">
        <v>1411919.2182056503</v>
      </c>
      <c r="AI411" s="230">
        <v>4170.4800000000005</v>
      </c>
    </row>
    <row r="412" spans="5:35" x14ac:dyDescent="0.35">
      <c r="E412" s="226">
        <v>0.89984000000000008</v>
      </c>
      <c r="F412" s="227">
        <v>6.5300383561643836</v>
      </c>
      <c r="G412" s="227">
        <v>2383.4639999999999</v>
      </c>
      <c r="H412" s="227">
        <v>0.85399999999999998</v>
      </c>
      <c r="I412" s="227">
        <v>1.5958000000000001</v>
      </c>
      <c r="J412" s="227">
        <v>0.44124383668972117</v>
      </c>
      <c r="K412" s="227">
        <v>140</v>
      </c>
      <c r="L412" s="227">
        <v>140</v>
      </c>
      <c r="M412" s="227">
        <v>140</v>
      </c>
      <c r="N412" s="227">
        <v>102.66</v>
      </c>
      <c r="O412" s="227">
        <v>110.92</v>
      </c>
      <c r="P412" s="227">
        <v>126.96</v>
      </c>
      <c r="Q412" s="227">
        <v>117.1</v>
      </c>
      <c r="R412" s="227">
        <v>125.98</v>
      </c>
      <c r="S412" s="227">
        <v>60.980000000000004</v>
      </c>
      <c r="T412" s="227">
        <v>50.795000000000002</v>
      </c>
      <c r="U412" s="227">
        <v>63.987000000000002</v>
      </c>
      <c r="V412" s="227">
        <v>58.69</v>
      </c>
      <c r="W412" s="227">
        <v>79.5</v>
      </c>
      <c r="X412" s="227">
        <v>79.5</v>
      </c>
      <c r="Y412" s="227">
        <v>79.5</v>
      </c>
      <c r="Z412" s="227">
        <v>79.5</v>
      </c>
      <c r="AA412" s="227">
        <v>79.5</v>
      </c>
      <c r="AB412" s="227">
        <v>83.373999999999995</v>
      </c>
      <c r="AC412" s="227">
        <v>695.44</v>
      </c>
      <c r="AD412" s="230">
        <v>9.6497685185185185E-4</v>
      </c>
      <c r="AE412" s="230">
        <v>500.24399999999997</v>
      </c>
      <c r="AF412" s="230">
        <v>3425.8319999999999</v>
      </c>
      <c r="AG412" s="230">
        <v>381234.67489991907</v>
      </c>
      <c r="AH412" s="230">
        <v>1415345.0502056503</v>
      </c>
      <c r="AI412" s="230">
        <v>4172.6400000000003</v>
      </c>
    </row>
    <row r="413" spans="5:35" x14ac:dyDescent="0.35">
      <c r="E413" s="226">
        <v>0.90384000000000009</v>
      </c>
      <c r="F413" s="227">
        <v>6.5464767123287668</v>
      </c>
      <c r="G413" s="227">
        <v>2389.4639999999999</v>
      </c>
      <c r="H413" s="227">
        <v>0.85489999999999999</v>
      </c>
      <c r="I413" s="227">
        <v>1.5998000000000001</v>
      </c>
      <c r="J413" s="227">
        <v>0.44181952418972109</v>
      </c>
      <c r="K413" s="227">
        <v>140</v>
      </c>
      <c r="L413" s="227">
        <v>140</v>
      </c>
      <c r="M413" s="227">
        <v>140</v>
      </c>
      <c r="N413" s="227">
        <v>102.63</v>
      </c>
      <c r="O413" s="227">
        <v>110.86</v>
      </c>
      <c r="P413" s="227">
        <v>126.91</v>
      </c>
      <c r="Q413" s="227">
        <v>117.05</v>
      </c>
      <c r="R413" s="227">
        <v>125.91</v>
      </c>
      <c r="S413" s="227">
        <v>60.91</v>
      </c>
      <c r="T413" s="227">
        <v>50.896000000000001</v>
      </c>
      <c r="U413" s="227">
        <v>64.069999999999993</v>
      </c>
      <c r="V413" s="227">
        <v>58.8</v>
      </c>
      <c r="W413" s="227">
        <v>79.5</v>
      </c>
      <c r="X413" s="227">
        <v>79.5</v>
      </c>
      <c r="Y413" s="227">
        <v>79.5</v>
      </c>
      <c r="Z413" s="227">
        <v>79.5</v>
      </c>
      <c r="AA413" s="227">
        <v>79.5</v>
      </c>
      <c r="AB413" s="227">
        <v>82.899000000000001</v>
      </c>
      <c r="AC413" s="227">
        <v>695.8</v>
      </c>
      <c r="AD413" s="230">
        <v>9.5947916666666664E-4</v>
      </c>
      <c r="AE413" s="230">
        <v>497.39400000000001</v>
      </c>
      <c r="AF413" s="230">
        <v>3427.5959999999995</v>
      </c>
      <c r="AG413" s="230">
        <v>381732.06889991905</v>
      </c>
      <c r="AH413" s="230">
        <v>1418772.6462056502</v>
      </c>
      <c r="AI413" s="230">
        <v>4174.7999999999993</v>
      </c>
    </row>
    <row r="414" spans="5:35" x14ac:dyDescent="0.35">
      <c r="E414" s="226">
        <v>0.90794000000000008</v>
      </c>
      <c r="F414" s="227">
        <v>6.5629150684931501</v>
      </c>
      <c r="G414" s="227">
        <v>2395.4639999999999</v>
      </c>
      <c r="H414" s="227">
        <v>0.85580000000000001</v>
      </c>
      <c r="I414" s="227">
        <v>1.6039000000000001</v>
      </c>
      <c r="J414" s="227">
        <v>0.44239195474527671</v>
      </c>
      <c r="K414" s="227">
        <v>140</v>
      </c>
      <c r="L414" s="227">
        <v>140</v>
      </c>
      <c r="M414" s="227">
        <v>140</v>
      </c>
      <c r="N414" s="227">
        <v>102.61</v>
      </c>
      <c r="O414" s="227">
        <v>110.8</v>
      </c>
      <c r="P414" s="227">
        <v>126.87</v>
      </c>
      <c r="Q414" s="227">
        <v>117</v>
      </c>
      <c r="R414" s="227">
        <v>125.83</v>
      </c>
      <c r="S414" s="227">
        <v>60.83</v>
      </c>
      <c r="T414" s="227">
        <v>50.997</v>
      </c>
      <c r="U414" s="227">
        <v>64.153000000000006</v>
      </c>
      <c r="V414" s="227">
        <v>58.911000000000001</v>
      </c>
      <c r="W414" s="227">
        <v>79.5</v>
      </c>
      <c r="X414" s="227">
        <v>79.5</v>
      </c>
      <c r="Y414" s="227">
        <v>79.5</v>
      </c>
      <c r="Z414" s="227">
        <v>79.5</v>
      </c>
      <c r="AA414" s="227">
        <v>79.5</v>
      </c>
      <c r="AB414" s="227">
        <v>82.43</v>
      </c>
      <c r="AC414" s="227">
        <v>696.16</v>
      </c>
      <c r="AD414" s="230">
        <v>9.5405092592592601E-4</v>
      </c>
      <c r="AE414" s="230">
        <v>494.58000000000004</v>
      </c>
      <c r="AF414" s="230">
        <v>3429.366</v>
      </c>
      <c r="AG414" s="230">
        <v>382226.64889991906</v>
      </c>
      <c r="AH414" s="230">
        <v>1422202.0122056501</v>
      </c>
      <c r="AI414" s="230">
        <v>4176.96</v>
      </c>
    </row>
    <row r="415" spans="5:35" x14ac:dyDescent="0.35">
      <c r="E415" s="226">
        <v>0.91194000000000008</v>
      </c>
      <c r="F415" s="227">
        <v>6.5793534246575343</v>
      </c>
      <c r="G415" s="227">
        <v>2401.4639999999999</v>
      </c>
      <c r="H415" s="227">
        <v>0.85670000000000002</v>
      </c>
      <c r="I415" s="227">
        <v>1.6079000000000001</v>
      </c>
      <c r="J415" s="227">
        <v>0.44296114224527666</v>
      </c>
      <c r="K415" s="227">
        <v>140</v>
      </c>
      <c r="L415" s="227">
        <v>140</v>
      </c>
      <c r="M415" s="227">
        <v>140</v>
      </c>
      <c r="N415" s="227">
        <v>102.58</v>
      </c>
      <c r="O415" s="227">
        <v>110.74</v>
      </c>
      <c r="P415" s="227">
        <v>126.83</v>
      </c>
      <c r="Q415" s="227">
        <v>116.95</v>
      </c>
      <c r="R415" s="227">
        <v>125.76</v>
      </c>
      <c r="S415" s="227">
        <v>60.760000000000005</v>
      </c>
      <c r="T415" s="227">
        <v>51.097999999999999</v>
      </c>
      <c r="U415" s="227">
        <v>64.234999999999999</v>
      </c>
      <c r="V415" s="227">
        <v>59.021999999999998</v>
      </c>
      <c r="W415" s="227">
        <v>79.5</v>
      </c>
      <c r="X415" s="227">
        <v>79.5</v>
      </c>
      <c r="Y415" s="227">
        <v>79.5</v>
      </c>
      <c r="Z415" s="227">
        <v>79.5</v>
      </c>
      <c r="AA415" s="227">
        <v>79.5</v>
      </c>
      <c r="AB415" s="227">
        <v>81.962999999999994</v>
      </c>
      <c r="AC415" s="227">
        <v>696.52</v>
      </c>
      <c r="AD415" s="230">
        <v>9.4864583333333324E-4</v>
      </c>
      <c r="AE415" s="230">
        <v>491.77799999999991</v>
      </c>
      <c r="AF415" s="230">
        <v>3431.13</v>
      </c>
      <c r="AG415" s="230">
        <v>382718.42689991905</v>
      </c>
      <c r="AH415" s="230">
        <v>1425633.14220565</v>
      </c>
      <c r="AI415" s="230">
        <v>4179.12</v>
      </c>
    </row>
    <row r="416" spans="5:35" x14ac:dyDescent="0.35">
      <c r="E416" s="226">
        <v>0.91594000000000009</v>
      </c>
      <c r="F416" s="227">
        <v>6.5957917808219175</v>
      </c>
      <c r="G416" s="227">
        <v>2407.4639999999999</v>
      </c>
      <c r="H416" s="227">
        <v>0.85760000000000003</v>
      </c>
      <c r="I416" s="227">
        <v>1.6119000000000001</v>
      </c>
      <c r="J416" s="227">
        <v>0.44352710752305446</v>
      </c>
      <c r="K416" s="227">
        <v>140</v>
      </c>
      <c r="L416" s="227">
        <v>140</v>
      </c>
      <c r="M416" s="227">
        <v>140</v>
      </c>
      <c r="N416" s="227">
        <v>102.55</v>
      </c>
      <c r="O416" s="227">
        <v>110.68</v>
      </c>
      <c r="P416" s="227">
        <v>126.79</v>
      </c>
      <c r="Q416" s="227">
        <v>116.9</v>
      </c>
      <c r="R416" s="227">
        <v>125.68</v>
      </c>
      <c r="S416" s="227">
        <v>60.680000000000007</v>
      </c>
      <c r="T416" s="227">
        <v>51.198999999999998</v>
      </c>
      <c r="U416" s="227">
        <v>64.316999999999993</v>
      </c>
      <c r="V416" s="227">
        <v>59.133000000000003</v>
      </c>
      <c r="W416" s="227">
        <v>79.5</v>
      </c>
      <c r="X416" s="227">
        <v>79.5</v>
      </c>
      <c r="Y416" s="227">
        <v>79.5</v>
      </c>
      <c r="Z416" s="227">
        <v>79.5</v>
      </c>
      <c r="AA416" s="227">
        <v>79.5</v>
      </c>
      <c r="AB416" s="227">
        <v>81.498999999999995</v>
      </c>
      <c r="AC416" s="227">
        <v>696.88</v>
      </c>
      <c r="AD416" s="230">
        <v>9.4327546296296293E-4</v>
      </c>
      <c r="AE416" s="230">
        <v>488.99399999999997</v>
      </c>
      <c r="AF416" s="230">
        <v>3432.8940000000002</v>
      </c>
      <c r="AG416" s="230">
        <v>383207.42089991906</v>
      </c>
      <c r="AH416" s="230">
        <v>1429066.0362056501</v>
      </c>
      <c r="AI416" s="230">
        <v>4181.28</v>
      </c>
    </row>
    <row r="417" spans="5:35" x14ac:dyDescent="0.35">
      <c r="E417" s="226">
        <v>0.91993999999999987</v>
      </c>
      <c r="F417" s="227">
        <v>6.6122301369863008</v>
      </c>
      <c r="G417" s="227">
        <v>2413.4639999999999</v>
      </c>
      <c r="H417" s="227">
        <v>0.85850000000000004</v>
      </c>
      <c r="I417" s="227">
        <v>1.6158999999999999</v>
      </c>
      <c r="J417" s="227">
        <v>0.44408986446749893</v>
      </c>
      <c r="K417" s="227">
        <v>140</v>
      </c>
      <c r="L417" s="227">
        <v>140</v>
      </c>
      <c r="M417" s="227">
        <v>140</v>
      </c>
      <c r="N417" s="227">
        <v>102.52</v>
      </c>
      <c r="O417" s="227">
        <v>110.63</v>
      </c>
      <c r="P417" s="227">
        <v>126.75</v>
      </c>
      <c r="Q417" s="227">
        <v>116.84</v>
      </c>
      <c r="R417" s="227">
        <v>125.61</v>
      </c>
      <c r="S417" s="227">
        <v>60.61</v>
      </c>
      <c r="T417" s="227">
        <v>51.301000000000002</v>
      </c>
      <c r="U417" s="227">
        <v>64.399000000000001</v>
      </c>
      <c r="V417" s="227">
        <v>59.244</v>
      </c>
      <c r="W417" s="227">
        <v>79.5</v>
      </c>
      <c r="X417" s="227">
        <v>79.5</v>
      </c>
      <c r="Y417" s="227">
        <v>79.5</v>
      </c>
      <c r="Z417" s="227">
        <v>79.5</v>
      </c>
      <c r="AA417" s="227">
        <v>79.5</v>
      </c>
      <c r="AB417" s="227">
        <v>81.037000000000006</v>
      </c>
      <c r="AC417" s="227">
        <v>697.24</v>
      </c>
      <c r="AD417" s="230">
        <v>9.379282407407408E-4</v>
      </c>
      <c r="AE417" s="230">
        <v>486.22200000000004</v>
      </c>
      <c r="AF417" s="230">
        <v>3434.6639999999998</v>
      </c>
      <c r="AG417" s="230">
        <v>383693.64289991907</v>
      </c>
      <c r="AH417" s="230">
        <v>1432500.7002056502</v>
      </c>
      <c r="AI417" s="230">
        <v>4183.4400000000005</v>
      </c>
    </row>
    <row r="418" spans="5:35" x14ac:dyDescent="0.35">
      <c r="E418" s="226">
        <v>0.92393999999999987</v>
      </c>
      <c r="F418" s="227">
        <v>6.628668493150685</v>
      </c>
      <c r="G418" s="227">
        <v>2419.4639999999999</v>
      </c>
      <c r="H418" s="227">
        <v>0.85929999999999995</v>
      </c>
      <c r="I418" s="227">
        <v>1.6198999999999999</v>
      </c>
      <c r="J418" s="227">
        <v>0.4446494408563878</v>
      </c>
      <c r="K418" s="227">
        <v>140</v>
      </c>
      <c r="L418" s="227">
        <v>140</v>
      </c>
      <c r="M418" s="227">
        <v>140</v>
      </c>
      <c r="N418" s="227">
        <v>102.49</v>
      </c>
      <c r="O418" s="227">
        <v>110.57</v>
      </c>
      <c r="P418" s="227">
        <v>126.71</v>
      </c>
      <c r="Q418" s="227">
        <v>116.79</v>
      </c>
      <c r="R418" s="227">
        <v>125.54</v>
      </c>
      <c r="S418" s="227">
        <v>60.540000000000006</v>
      </c>
      <c r="T418" s="227">
        <v>51.402000000000001</v>
      </c>
      <c r="U418" s="227">
        <v>64.480999999999995</v>
      </c>
      <c r="V418" s="227">
        <v>59.354999999999997</v>
      </c>
      <c r="W418" s="227">
        <v>79.5</v>
      </c>
      <c r="X418" s="227">
        <v>79.5</v>
      </c>
      <c r="Y418" s="227">
        <v>79.5</v>
      </c>
      <c r="Z418" s="227">
        <v>79.5</v>
      </c>
      <c r="AA418" s="227">
        <v>79.5</v>
      </c>
      <c r="AB418" s="227">
        <v>80.578999999999994</v>
      </c>
      <c r="AC418" s="227">
        <v>697.6</v>
      </c>
      <c r="AD418" s="230">
        <v>9.3262731481481473E-4</v>
      </c>
      <c r="AE418" s="230">
        <v>483.47399999999993</v>
      </c>
      <c r="AF418" s="230">
        <v>3436.4280000000003</v>
      </c>
      <c r="AG418" s="230">
        <v>384177.11689991906</v>
      </c>
      <c r="AH418" s="230">
        <v>1435937.1282056503</v>
      </c>
      <c r="AI418" s="230">
        <v>4185.6000000000004</v>
      </c>
    </row>
    <row r="419" spans="5:35" x14ac:dyDescent="0.35">
      <c r="E419" s="226">
        <v>0.92793999999999988</v>
      </c>
      <c r="F419" s="227">
        <v>6.6451068493150682</v>
      </c>
      <c r="G419" s="227">
        <v>2425.4639999999999</v>
      </c>
      <c r="H419" s="227">
        <v>0.86019999999999996</v>
      </c>
      <c r="I419" s="227">
        <v>1.6238999999999999</v>
      </c>
      <c r="J419" s="227">
        <v>0.44520587141194334</v>
      </c>
      <c r="K419" s="227">
        <v>140</v>
      </c>
      <c r="L419" s="227">
        <v>140</v>
      </c>
      <c r="M419" s="227">
        <v>140</v>
      </c>
      <c r="N419" s="227">
        <v>102.47</v>
      </c>
      <c r="O419" s="227">
        <v>110.51</v>
      </c>
      <c r="P419" s="227">
        <v>126.67</v>
      </c>
      <c r="Q419" s="227">
        <v>116.74</v>
      </c>
      <c r="R419" s="227">
        <v>125.46</v>
      </c>
      <c r="S419" s="227">
        <v>60.459999999999994</v>
      </c>
      <c r="T419" s="227">
        <v>51.503</v>
      </c>
      <c r="U419" s="227">
        <v>64.563000000000002</v>
      </c>
      <c r="V419" s="227">
        <v>59.466999999999999</v>
      </c>
      <c r="W419" s="227">
        <v>79.5</v>
      </c>
      <c r="X419" s="227">
        <v>79.5</v>
      </c>
      <c r="Y419" s="227">
        <v>79.5</v>
      </c>
      <c r="Z419" s="227">
        <v>79.5</v>
      </c>
      <c r="AA419" s="227">
        <v>79.5</v>
      </c>
      <c r="AB419" s="227">
        <v>80.126000000000005</v>
      </c>
      <c r="AC419" s="227">
        <v>697.95</v>
      </c>
      <c r="AD419" s="230">
        <v>9.2738425925925931E-4</v>
      </c>
      <c r="AE419" s="230">
        <v>480.75600000000003</v>
      </c>
      <c r="AF419" s="230">
        <v>3438.1980000000003</v>
      </c>
      <c r="AG419" s="230">
        <v>384657.87289991905</v>
      </c>
      <c r="AH419" s="230">
        <v>1439375.3262056503</v>
      </c>
      <c r="AI419" s="230">
        <v>4187.7000000000007</v>
      </c>
    </row>
    <row r="420" spans="5:35" x14ac:dyDescent="0.35">
      <c r="E420" s="226">
        <v>0.93203999999999987</v>
      </c>
      <c r="F420" s="227">
        <v>6.6615452054794515</v>
      </c>
      <c r="G420" s="227">
        <v>2431.4639999999999</v>
      </c>
      <c r="H420" s="227">
        <v>0.86109999999999998</v>
      </c>
      <c r="I420" s="227">
        <v>1.6279999999999999</v>
      </c>
      <c r="J420" s="227">
        <v>0.4457591839119433</v>
      </c>
      <c r="K420" s="227">
        <v>140</v>
      </c>
      <c r="L420" s="227">
        <v>140</v>
      </c>
      <c r="M420" s="227">
        <v>140</v>
      </c>
      <c r="N420" s="227">
        <v>102.44</v>
      </c>
      <c r="O420" s="227">
        <v>110.45</v>
      </c>
      <c r="P420" s="227">
        <v>126.62</v>
      </c>
      <c r="Q420" s="227">
        <v>116.69</v>
      </c>
      <c r="R420" s="227">
        <v>125.39</v>
      </c>
      <c r="S420" s="227">
        <v>60.39</v>
      </c>
      <c r="T420" s="227">
        <v>51.603999999999999</v>
      </c>
      <c r="U420" s="227">
        <v>64.644999999999996</v>
      </c>
      <c r="V420" s="227">
        <v>59.578000000000003</v>
      </c>
      <c r="W420" s="227">
        <v>79.5</v>
      </c>
      <c r="X420" s="227">
        <v>79.5</v>
      </c>
      <c r="Y420" s="227">
        <v>79.5</v>
      </c>
      <c r="Z420" s="227">
        <v>79.5</v>
      </c>
      <c r="AA420" s="227">
        <v>79.5</v>
      </c>
      <c r="AB420" s="227">
        <v>79.677000000000007</v>
      </c>
      <c r="AC420" s="227">
        <v>698.31</v>
      </c>
      <c r="AD420" s="230">
        <v>9.2218750000000005E-4</v>
      </c>
      <c r="AE420" s="230">
        <v>478.06200000000001</v>
      </c>
      <c r="AF420" s="230">
        <v>3439.962</v>
      </c>
      <c r="AG420" s="230">
        <v>385135.93489991903</v>
      </c>
      <c r="AH420" s="230">
        <v>1442815.2882056504</v>
      </c>
      <c r="AI420" s="230">
        <v>4189.8599999999997</v>
      </c>
    </row>
    <row r="421" spans="5:35" x14ac:dyDescent="0.35">
      <c r="E421" s="226">
        <v>0.93603999999999987</v>
      </c>
      <c r="F421" s="227">
        <v>6.6779835616438357</v>
      </c>
      <c r="G421" s="227">
        <v>2437.4639999999999</v>
      </c>
      <c r="H421" s="227">
        <v>0.8619</v>
      </c>
      <c r="I421" s="227">
        <v>1.6319999999999999</v>
      </c>
      <c r="J421" s="227">
        <v>0.44630940613416553</v>
      </c>
      <c r="K421" s="227">
        <v>140</v>
      </c>
      <c r="L421" s="227">
        <v>140</v>
      </c>
      <c r="M421" s="227">
        <v>140</v>
      </c>
      <c r="N421" s="227">
        <v>102.41</v>
      </c>
      <c r="O421" s="227">
        <v>110.4</v>
      </c>
      <c r="P421" s="227">
        <v>126.58</v>
      </c>
      <c r="Q421" s="227">
        <v>116.65</v>
      </c>
      <c r="R421" s="227">
        <v>125.32</v>
      </c>
      <c r="S421" s="227">
        <v>60.319999999999993</v>
      </c>
      <c r="T421" s="227">
        <v>51.706000000000003</v>
      </c>
      <c r="U421" s="227">
        <v>64.725999999999999</v>
      </c>
      <c r="V421" s="227">
        <v>59.688000000000002</v>
      </c>
      <c r="W421" s="227">
        <v>79.5</v>
      </c>
      <c r="X421" s="227">
        <v>79.5</v>
      </c>
      <c r="Y421" s="227">
        <v>79.5</v>
      </c>
      <c r="Z421" s="227">
        <v>79.5</v>
      </c>
      <c r="AA421" s="227">
        <v>79.5</v>
      </c>
      <c r="AB421" s="227">
        <v>79.231999999999999</v>
      </c>
      <c r="AC421" s="227">
        <v>698.67</v>
      </c>
      <c r="AD421" s="230">
        <v>9.1703703703703706E-4</v>
      </c>
      <c r="AE421" s="230">
        <v>475.39200000000005</v>
      </c>
      <c r="AF421" s="230">
        <v>3441.7200000000003</v>
      </c>
      <c r="AG421" s="230">
        <v>385611.32689991902</v>
      </c>
      <c r="AH421" s="230">
        <v>1446257.0082056504</v>
      </c>
      <c r="AI421" s="230">
        <v>4192.0199999999995</v>
      </c>
    </row>
    <row r="422" spans="5:35" x14ac:dyDescent="0.35">
      <c r="E422" s="226">
        <v>0.94003999999999988</v>
      </c>
      <c r="F422" s="227">
        <v>6.6944219178082189</v>
      </c>
      <c r="G422" s="227">
        <v>2443.4639999999999</v>
      </c>
      <c r="H422" s="227">
        <v>0.86270000000000002</v>
      </c>
      <c r="I422" s="227">
        <v>1.6359999999999999</v>
      </c>
      <c r="J422" s="227">
        <v>0.44685656585638772</v>
      </c>
      <c r="K422" s="227">
        <v>140</v>
      </c>
      <c r="L422" s="227">
        <v>140</v>
      </c>
      <c r="M422" s="227">
        <v>140</v>
      </c>
      <c r="N422" s="227">
        <v>102.38</v>
      </c>
      <c r="O422" s="227">
        <v>110.34</v>
      </c>
      <c r="P422" s="227">
        <v>126.54</v>
      </c>
      <c r="Q422" s="227">
        <v>116.6</v>
      </c>
      <c r="R422" s="227">
        <v>125.25</v>
      </c>
      <c r="S422" s="227">
        <v>60.25</v>
      </c>
      <c r="T422" s="227">
        <v>51.807000000000002</v>
      </c>
      <c r="U422" s="227">
        <v>64.807000000000002</v>
      </c>
      <c r="V422" s="227">
        <v>59.798999999999999</v>
      </c>
      <c r="W422" s="227">
        <v>79.5</v>
      </c>
      <c r="X422" s="227">
        <v>79.5</v>
      </c>
      <c r="Y422" s="227">
        <v>79.5</v>
      </c>
      <c r="Z422" s="227">
        <v>79.5</v>
      </c>
      <c r="AA422" s="227">
        <v>79.5</v>
      </c>
      <c r="AB422" s="227">
        <v>78.790999999999997</v>
      </c>
      <c r="AC422" s="227">
        <v>699.03</v>
      </c>
      <c r="AD422" s="230">
        <v>9.1193287037037035E-4</v>
      </c>
      <c r="AE422" s="230">
        <v>472.74599999999998</v>
      </c>
      <c r="AF422" s="230">
        <v>3443.4780000000001</v>
      </c>
      <c r="AG422" s="230">
        <v>386084.072899919</v>
      </c>
      <c r="AH422" s="230">
        <v>1449700.4862056503</v>
      </c>
      <c r="AI422" s="230">
        <v>4194.18</v>
      </c>
    </row>
    <row r="423" spans="5:35" x14ac:dyDescent="0.35">
      <c r="E423" s="226">
        <v>0.94403999999999988</v>
      </c>
      <c r="F423" s="227">
        <v>6.7108602739726022</v>
      </c>
      <c r="G423" s="227">
        <v>2449.4639999999999</v>
      </c>
      <c r="H423" s="227">
        <v>0.86360000000000003</v>
      </c>
      <c r="I423" s="227">
        <v>1.64</v>
      </c>
      <c r="J423" s="227">
        <v>0.44740068391194332</v>
      </c>
      <c r="K423" s="227">
        <v>140</v>
      </c>
      <c r="L423" s="227">
        <v>140</v>
      </c>
      <c r="M423" s="227">
        <v>140</v>
      </c>
      <c r="N423" s="227">
        <v>102.36</v>
      </c>
      <c r="O423" s="227">
        <v>110.28</v>
      </c>
      <c r="P423" s="227">
        <v>126.5</v>
      </c>
      <c r="Q423" s="227">
        <v>116.55</v>
      </c>
      <c r="R423" s="227">
        <v>125.18</v>
      </c>
      <c r="S423" s="227">
        <v>60.180000000000007</v>
      </c>
      <c r="T423" s="227">
        <v>51.906999999999996</v>
      </c>
      <c r="U423" s="227">
        <v>64.888000000000005</v>
      </c>
      <c r="V423" s="227">
        <v>59.908999999999999</v>
      </c>
      <c r="W423" s="227">
        <v>79.5</v>
      </c>
      <c r="X423" s="227">
        <v>79.5</v>
      </c>
      <c r="Y423" s="227">
        <v>79.5</v>
      </c>
      <c r="Z423" s="227">
        <v>79.5</v>
      </c>
      <c r="AA423" s="227">
        <v>79.5</v>
      </c>
      <c r="AB423" s="227">
        <v>78.352999999999994</v>
      </c>
      <c r="AC423" s="227">
        <v>699.38</v>
      </c>
      <c r="AD423" s="230">
        <v>9.0686342592592587E-4</v>
      </c>
      <c r="AE423" s="230">
        <v>470.11799999999994</v>
      </c>
      <c r="AF423" s="230">
        <v>3445.2239999999997</v>
      </c>
      <c r="AG423" s="230">
        <v>386554.19089991902</v>
      </c>
      <c r="AH423" s="230">
        <v>1453145.7102056502</v>
      </c>
      <c r="AI423" s="230">
        <v>4196.28</v>
      </c>
    </row>
    <row r="424" spans="5:35" x14ac:dyDescent="0.35">
      <c r="E424" s="226">
        <v>0.94803999999999988</v>
      </c>
      <c r="F424" s="227">
        <v>6.7272986301369864</v>
      </c>
      <c r="G424" s="227">
        <v>2455.4639999999999</v>
      </c>
      <c r="H424" s="227">
        <v>0.86439999999999995</v>
      </c>
      <c r="I424" s="227">
        <v>1.6439999999999999</v>
      </c>
      <c r="J424" s="227">
        <v>0.44794175335638775</v>
      </c>
      <c r="K424" s="227">
        <v>140</v>
      </c>
      <c r="L424" s="227">
        <v>140</v>
      </c>
      <c r="M424" s="227">
        <v>140</v>
      </c>
      <c r="N424" s="227">
        <v>102.33</v>
      </c>
      <c r="O424" s="227">
        <v>110.23</v>
      </c>
      <c r="P424" s="227">
        <v>126.46</v>
      </c>
      <c r="Q424" s="227">
        <v>116.5</v>
      </c>
      <c r="R424" s="227">
        <v>125.1</v>
      </c>
      <c r="S424" s="227">
        <v>60.099999999999994</v>
      </c>
      <c r="T424" s="227">
        <v>52.008000000000003</v>
      </c>
      <c r="U424" s="227">
        <v>64.97</v>
      </c>
      <c r="V424" s="227">
        <v>60.02</v>
      </c>
      <c r="W424" s="227">
        <v>79.5</v>
      </c>
      <c r="X424" s="227">
        <v>79.5</v>
      </c>
      <c r="Y424" s="227">
        <v>79.5</v>
      </c>
      <c r="Z424" s="227">
        <v>79.5</v>
      </c>
      <c r="AA424" s="227">
        <v>79.5</v>
      </c>
      <c r="AB424" s="227">
        <v>77.914000000000001</v>
      </c>
      <c r="AC424" s="227">
        <v>699.74</v>
      </c>
      <c r="AD424" s="230">
        <v>9.0178240740740746E-4</v>
      </c>
      <c r="AE424" s="230">
        <v>467.48399999999998</v>
      </c>
      <c r="AF424" s="230">
        <v>3446.9880000000003</v>
      </c>
      <c r="AG424" s="230">
        <v>387021.67489991902</v>
      </c>
      <c r="AH424" s="230">
        <v>1456592.6982056501</v>
      </c>
      <c r="AI424" s="230">
        <v>4198.4400000000005</v>
      </c>
    </row>
    <row r="425" spans="5:35" x14ac:dyDescent="0.35">
      <c r="E425" s="226">
        <v>0.95203999999999989</v>
      </c>
      <c r="F425" s="227">
        <v>6.7437369863013696</v>
      </c>
      <c r="G425" s="227">
        <v>2461.4639999999999</v>
      </c>
      <c r="H425" s="227">
        <v>0.86519999999999997</v>
      </c>
      <c r="I425" s="227">
        <v>1.6479999999999999</v>
      </c>
      <c r="J425" s="227">
        <v>0.44847980196749887</v>
      </c>
      <c r="K425" s="227">
        <v>140</v>
      </c>
      <c r="L425" s="227">
        <v>140</v>
      </c>
      <c r="M425" s="227">
        <v>140</v>
      </c>
      <c r="N425" s="227">
        <v>102.3</v>
      </c>
      <c r="O425" s="227">
        <v>110.17</v>
      </c>
      <c r="P425" s="227">
        <v>126.42</v>
      </c>
      <c r="Q425" s="227">
        <v>116.45</v>
      </c>
      <c r="R425" s="227">
        <v>125.03</v>
      </c>
      <c r="S425" s="227">
        <v>60.03</v>
      </c>
      <c r="T425" s="227">
        <v>52.109000000000002</v>
      </c>
      <c r="U425" s="227">
        <v>65.05</v>
      </c>
      <c r="V425" s="227">
        <v>60.13</v>
      </c>
      <c r="W425" s="227">
        <v>79.5</v>
      </c>
      <c r="X425" s="227">
        <v>79.5</v>
      </c>
      <c r="Y425" s="227">
        <v>79.5</v>
      </c>
      <c r="Z425" s="227">
        <v>79.5</v>
      </c>
      <c r="AA425" s="227">
        <v>79.5</v>
      </c>
      <c r="AB425" s="227">
        <v>77.478999999999999</v>
      </c>
      <c r="AC425" s="227">
        <v>700.09</v>
      </c>
      <c r="AD425" s="230">
        <v>8.9674768518518521E-4</v>
      </c>
      <c r="AE425" s="230">
        <v>464.87400000000002</v>
      </c>
      <c r="AF425" s="230">
        <v>3448.7339999999999</v>
      </c>
      <c r="AG425" s="230">
        <v>387486.54889991903</v>
      </c>
      <c r="AH425" s="230">
        <v>1460041.43220565</v>
      </c>
      <c r="AI425" s="230">
        <v>4200.54</v>
      </c>
    </row>
    <row r="426" spans="5:35" x14ac:dyDescent="0.35">
      <c r="E426" s="226">
        <v>0.95613999999999988</v>
      </c>
      <c r="F426" s="227">
        <v>6.7601753424657529</v>
      </c>
      <c r="G426" s="227">
        <v>2467.4639999999999</v>
      </c>
      <c r="H426" s="227">
        <v>0.86609999999999998</v>
      </c>
      <c r="I426" s="227">
        <v>1.6520999999999999</v>
      </c>
      <c r="J426" s="227">
        <v>0.44901484363416555</v>
      </c>
      <c r="K426" s="227">
        <v>140</v>
      </c>
      <c r="L426" s="227">
        <v>140</v>
      </c>
      <c r="M426" s="227">
        <v>140</v>
      </c>
      <c r="N426" s="227">
        <v>102.27</v>
      </c>
      <c r="O426" s="227">
        <v>110.12</v>
      </c>
      <c r="P426" s="227">
        <v>126.38</v>
      </c>
      <c r="Q426" s="227">
        <v>116.4</v>
      </c>
      <c r="R426" s="227">
        <v>124.96</v>
      </c>
      <c r="S426" s="227">
        <v>59.959999999999994</v>
      </c>
      <c r="T426" s="227">
        <v>52.21</v>
      </c>
      <c r="U426" s="227">
        <v>65.131</v>
      </c>
      <c r="V426" s="227">
        <v>60.241</v>
      </c>
      <c r="W426" s="227">
        <v>79.5</v>
      </c>
      <c r="X426" s="227">
        <v>79.5</v>
      </c>
      <c r="Y426" s="227">
        <v>79.5</v>
      </c>
      <c r="Z426" s="227">
        <v>79.5</v>
      </c>
      <c r="AA426" s="227">
        <v>79.5</v>
      </c>
      <c r="AB426" s="227">
        <v>77.046000000000006</v>
      </c>
      <c r="AC426" s="227">
        <v>700.45</v>
      </c>
      <c r="AD426" s="230">
        <v>8.9173611111111116E-4</v>
      </c>
      <c r="AE426" s="230">
        <v>462.27600000000001</v>
      </c>
      <c r="AF426" s="230">
        <v>3450.4920000000002</v>
      </c>
      <c r="AG426" s="230">
        <v>387948.82489991904</v>
      </c>
      <c r="AH426" s="230">
        <v>1463491.9242056501</v>
      </c>
      <c r="AI426" s="230">
        <v>4202.7000000000007</v>
      </c>
    </row>
    <row r="427" spans="5:35" x14ac:dyDescent="0.35">
      <c r="E427" s="226">
        <v>0.96013999999999988</v>
      </c>
      <c r="F427" s="227">
        <v>6.7766136986301371</v>
      </c>
      <c r="G427" s="227">
        <v>2473.4639999999999</v>
      </c>
      <c r="H427" s="227">
        <v>0.8669</v>
      </c>
      <c r="I427" s="227">
        <v>1.6560999999999999</v>
      </c>
      <c r="J427" s="227">
        <v>0.44954689918972113</v>
      </c>
      <c r="K427" s="227">
        <v>140</v>
      </c>
      <c r="L427" s="227">
        <v>140</v>
      </c>
      <c r="M427" s="227">
        <v>140</v>
      </c>
      <c r="N427" s="227">
        <v>102.24</v>
      </c>
      <c r="O427" s="227">
        <v>110.06</v>
      </c>
      <c r="P427" s="227">
        <v>126.34</v>
      </c>
      <c r="Q427" s="227">
        <v>116.35</v>
      </c>
      <c r="R427" s="227">
        <v>124.89</v>
      </c>
      <c r="S427" s="227">
        <v>59.89</v>
      </c>
      <c r="T427" s="227">
        <v>52.311</v>
      </c>
      <c r="U427" s="227">
        <v>65.210999999999999</v>
      </c>
      <c r="V427" s="227">
        <v>60.351999999999997</v>
      </c>
      <c r="W427" s="227">
        <v>79.5</v>
      </c>
      <c r="X427" s="227">
        <v>79.5</v>
      </c>
      <c r="Y427" s="227">
        <v>79.5</v>
      </c>
      <c r="Z427" s="227">
        <v>79.5</v>
      </c>
      <c r="AA427" s="227">
        <v>79.5</v>
      </c>
      <c r="AB427" s="227">
        <v>76.616</v>
      </c>
      <c r="AC427" s="227">
        <v>700.81</v>
      </c>
      <c r="AD427" s="230">
        <v>8.8675925925925923E-4</v>
      </c>
      <c r="AE427" s="230">
        <v>459.69600000000003</v>
      </c>
      <c r="AF427" s="230">
        <v>3452.2440000000001</v>
      </c>
      <c r="AG427" s="230">
        <v>388408.52089991904</v>
      </c>
      <c r="AH427" s="230">
        <v>1466944.1682056501</v>
      </c>
      <c r="AI427" s="230">
        <v>4204.8599999999997</v>
      </c>
    </row>
    <row r="428" spans="5:35" x14ac:dyDescent="0.35">
      <c r="E428" s="226">
        <v>0.96413999999999989</v>
      </c>
      <c r="F428" s="227">
        <v>6.7930520547945203</v>
      </c>
      <c r="G428" s="227">
        <v>2479.4639999999999</v>
      </c>
      <c r="H428" s="227">
        <v>0.86770000000000003</v>
      </c>
      <c r="I428" s="227">
        <v>1.6600999999999999</v>
      </c>
      <c r="J428" s="227">
        <v>0.45007599641194335</v>
      </c>
      <c r="K428" s="227">
        <v>140</v>
      </c>
      <c r="L428" s="227">
        <v>140</v>
      </c>
      <c r="M428" s="227">
        <v>140</v>
      </c>
      <c r="N428" s="227">
        <v>102.21</v>
      </c>
      <c r="O428" s="227">
        <v>110</v>
      </c>
      <c r="P428" s="227">
        <v>126.3</v>
      </c>
      <c r="Q428" s="227">
        <v>116.31</v>
      </c>
      <c r="R428" s="227">
        <v>124.82</v>
      </c>
      <c r="S428" s="227">
        <v>59.819999999999993</v>
      </c>
      <c r="T428" s="227">
        <v>52.411999999999999</v>
      </c>
      <c r="U428" s="227">
        <v>65.290999999999997</v>
      </c>
      <c r="V428" s="227">
        <v>60.463000000000001</v>
      </c>
      <c r="W428" s="227">
        <v>79.5</v>
      </c>
      <c r="X428" s="227">
        <v>79.5</v>
      </c>
      <c r="Y428" s="227">
        <v>79.5</v>
      </c>
      <c r="Z428" s="227">
        <v>79.5</v>
      </c>
      <c r="AA428" s="227">
        <v>79.5</v>
      </c>
      <c r="AB428" s="227">
        <v>76.19</v>
      </c>
      <c r="AC428" s="227">
        <v>701.16</v>
      </c>
      <c r="AD428" s="230">
        <v>8.8182870370370368E-4</v>
      </c>
      <c r="AE428" s="230">
        <v>457.14</v>
      </c>
      <c r="AF428" s="230">
        <v>3453.9959999999996</v>
      </c>
      <c r="AG428" s="230">
        <v>388865.66089991905</v>
      </c>
      <c r="AH428" s="230">
        <v>1470398.1642056501</v>
      </c>
      <c r="AI428" s="230">
        <v>4206.96</v>
      </c>
    </row>
    <row r="429" spans="5:35" x14ac:dyDescent="0.35">
      <c r="E429" s="226">
        <v>0.96813999999999989</v>
      </c>
      <c r="F429" s="227">
        <v>6.8094904109589036</v>
      </c>
      <c r="G429" s="227">
        <v>2485.4639999999999</v>
      </c>
      <c r="H429" s="227">
        <v>0.86850000000000005</v>
      </c>
      <c r="I429" s="227">
        <v>1.6640999999999999</v>
      </c>
      <c r="J429" s="227">
        <v>0.45060217002305447</v>
      </c>
      <c r="K429" s="227">
        <v>140</v>
      </c>
      <c r="L429" s="227">
        <v>140</v>
      </c>
      <c r="M429" s="227">
        <v>140</v>
      </c>
      <c r="N429" s="227">
        <v>102.18</v>
      </c>
      <c r="O429" s="227">
        <v>109.95</v>
      </c>
      <c r="P429" s="227">
        <v>126.27</v>
      </c>
      <c r="Q429" s="227">
        <v>116.26</v>
      </c>
      <c r="R429" s="227">
        <v>124.75</v>
      </c>
      <c r="S429" s="227">
        <v>59.75</v>
      </c>
      <c r="T429" s="227">
        <v>52.512</v>
      </c>
      <c r="U429" s="227">
        <v>65.370999999999995</v>
      </c>
      <c r="V429" s="227">
        <v>60.573</v>
      </c>
      <c r="W429" s="227">
        <v>79.5</v>
      </c>
      <c r="X429" s="227">
        <v>79.5</v>
      </c>
      <c r="Y429" s="227">
        <v>79.5</v>
      </c>
      <c r="Z429" s="227">
        <v>79.5</v>
      </c>
      <c r="AA429" s="227">
        <v>79.5</v>
      </c>
      <c r="AB429" s="227">
        <v>75.769000000000005</v>
      </c>
      <c r="AC429" s="227">
        <v>701.51</v>
      </c>
      <c r="AD429" s="230">
        <v>8.7695601851851856E-4</v>
      </c>
      <c r="AE429" s="230">
        <v>454.61399999999998</v>
      </c>
      <c r="AF429" s="230">
        <v>3455.7359999999999</v>
      </c>
      <c r="AG429" s="230">
        <v>389320.27489991905</v>
      </c>
      <c r="AH429" s="230">
        <v>1473853.9002056501</v>
      </c>
      <c r="AI429" s="230">
        <v>4209.0599999999995</v>
      </c>
    </row>
    <row r="430" spans="5:35" x14ac:dyDescent="0.35">
      <c r="E430" s="226">
        <v>0.97213999999999989</v>
      </c>
      <c r="F430" s="227">
        <v>6.8259287671232878</v>
      </c>
      <c r="G430" s="227">
        <v>2491.4639999999999</v>
      </c>
      <c r="H430" s="227">
        <v>0.86929999999999996</v>
      </c>
      <c r="I430" s="227">
        <v>1.6680999999999999</v>
      </c>
      <c r="J430" s="227">
        <v>0.45112544085638784</v>
      </c>
      <c r="K430" s="227">
        <v>140</v>
      </c>
      <c r="L430" s="227">
        <v>140</v>
      </c>
      <c r="M430" s="227">
        <v>140</v>
      </c>
      <c r="N430" s="227">
        <v>102.16</v>
      </c>
      <c r="O430" s="227">
        <v>109.89</v>
      </c>
      <c r="P430" s="227">
        <v>126.23</v>
      </c>
      <c r="Q430" s="227">
        <v>116.21</v>
      </c>
      <c r="R430" s="227">
        <v>124.69</v>
      </c>
      <c r="S430" s="227">
        <v>59.69</v>
      </c>
      <c r="T430" s="227">
        <v>52.612000000000002</v>
      </c>
      <c r="U430" s="227">
        <v>65.450999999999993</v>
      </c>
      <c r="V430" s="227">
        <v>60.683</v>
      </c>
      <c r="W430" s="227">
        <v>79.5</v>
      </c>
      <c r="X430" s="227">
        <v>79.5</v>
      </c>
      <c r="Y430" s="227">
        <v>79.5</v>
      </c>
      <c r="Z430" s="227">
        <v>79.5</v>
      </c>
      <c r="AA430" s="227">
        <v>79.5</v>
      </c>
      <c r="AB430" s="227">
        <v>75.350999999999999</v>
      </c>
      <c r="AC430" s="227">
        <v>701.87</v>
      </c>
      <c r="AD430" s="230">
        <v>8.7211805555555556E-4</v>
      </c>
      <c r="AE430" s="230">
        <v>452.10599999999999</v>
      </c>
      <c r="AF430" s="230">
        <v>3457.4759999999997</v>
      </c>
      <c r="AG430" s="230">
        <v>389772.38089991908</v>
      </c>
      <c r="AH430" s="230">
        <v>1477311.3762056502</v>
      </c>
      <c r="AI430" s="230">
        <v>4211.22</v>
      </c>
    </row>
    <row r="431" spans="5:35" x14ac:dyDescent="0.35">
      <c r="E431" s="226">
        <v>0.9761399999999999</v>
      </c>
      <c r="F431" s="227">
        <v>6.842367123287671</v>
      </c>
      <c r="G431" s="227">
        <v>2497.4639999999999</v>
      </c>
      <c r="H431" s="227">
        <v>0.87</v>
      </c>
      <c r="I431" s="227">
        <v>1.6720999999999999</v>
      </c>
      <c r="J431" s="227">
        <v>0.45164584363416566</v>
      </c>
      <c r="K431" s="227">
        <v>140</v>
      </c>
      <c r="L431" s="227">
        <v>140</v>
      </c>
      <c r="M431" s="227">
        <v>140</v>
      </c>
      <c r="N431" s="227">
        <v>102.13</v>
      </c>
      <c r="O431" s="227">
        <v>109.84</v>
      </c>
      <c r="P431" s="227">
        <v>126.19</v>
      </c>
      <c r="Q431" s="227">
        <v>116.17</v>
      </c>
      <c r="R431" s="227">
        <v>124.62</v>
      </c>
      <c r="S431" s="227">
        <v>59.620000000000005</v>
      </c>
      <c r="T431" s="227">
        <v>52.712000000000003</v>
      </c>
      <c r="U431" s="227">
        <v>65.531000000000006</v>
      </c>
      <c r="V431" s="227">
        <v>60.792000000000002</v>
      </c>
      <c r="W431" s="227">
        <v>79.5</v>
      </c>
      <c r="X431" s="227">
        <v>79.5</v>
      </c>
      <c r="Y431" s="227">
        <v>79.5</v>
      </c>
      <c r="Z431" s="227">
        <v>79.5</v>
      </c>
      <c r="AA431" s="227">
        <v>79.5</v>
      </c>
      <c r="AB431" s="227">
        <v>74.938000000000002</v>
      </c>
      <c r="AC431" s="227">
        <v>702.22</v>
      </c>
      <c r="AD431" s="230">
        <v>8.6733796296296298E-4</v>
      </c>
      <c r="AE431" s="230">
        <v>449.62799999999999</v>
      </c>
      <c r="AF431" s="230">
        <v>3459.2100000000005</v>
      </c>
      <c r="AG431" s="230">
        <v>390222.00889991911</v>
      </c>
      <c r="AH431" s="230">
        <v>1480770.5862056501</v>
      </c>
      <c r="AI431" s="230">
        <v>4213.32</v>
      </c>
    </row>
    <row r="432" spans="5:35" x14ac:dyDescent="0.35">
      <c r="E432" s="226">
        <v>0.98023999999999989</v>
      </c>
      <c r="F432" s="227">
        <v>6.8588054794520543</v>
      </c>
      <c r="G432" s="227">
        <v>2503.4639999999999</v>
      </c>
      <c r="H432" s="227">
        <v>0.87080000000000002</v>
      </c>
      <c r="I432" s="227">
        <v>1.6761999999999999</v>
      </c>
      <c r="J432" s="227">
        <v>0.45216340613416561</v>
      </c>
      <c r="K432" s="227">
        <v>140</v>
      </c>
      <c r="L432" s="227">
        <v>140</v>
      </c>
      <c r="M432" s="227">
        <v>140</v>
      </c>
      <c r="N432" s="227">
        <v>102.1</v>
      </c>
      <c r="O432" s="227">
        <v>109.78</v>
      </c>
      <c r="P432" s="227">
        <v>126.15</v>
      </c>
      <c r="Q432" s="227">
        <v>116.12</v>
      </c>
      <c r="R432" s="227">
        <v>124.55</v>
      </c>
      <c r="S432" s="227">
        <v>59.55</v>
      </c>
      <c r="T432" s="227">
        <v>52.811999999999998</v>
      </c>
      <c r="U432" s="227">
        <v>65.61</v>
      </c>
      <c r="V432" s="227">
        <v>60.902000000000001</v>
      </c>
      <c r="W432" s="227">
        <v>79.5</v>
      </c>
      <c r="X432" s="227">
        <v>79.5</v>
      </c>
      <c r="Y432" s="227">
        <v>79.5</v>
      </c>
      <c r="Z432" s="227">
        <v>79.5</v>
      </c>
      <c r="AA432" s="227">
        <v>79.5</v>
      </c>
      <c r="AB432" s="227">
        <v>74.528999999999996</v>
      </c>
      <c r="AC432" s="227">
        <v>702.57</v>
      </c>
      <c r="AD432" s="230">
        <v>8.6260416666666658E-4</v>
      </c>
      <c r="AE432" s="230">
        <v>447.17399999999998</v>
      </c>
      <c r="AF432" s="230">
        <v>3460.9440000000004</v>
      </c>
      <c r="AG432" s="230">
        <v>390669.18289991911</v>
      </c>
      <c r="AH432" s="230">
        <v>1484231.53020565</v>
      </c>
      <c r="AI432" s="230">
        <v>4215.42</v>
      </c>
    </row>
    <row r="433" spans="5:35" x14ac:dyDescent="0.35">
      <c r="E433" s="226">
        <v>0.98423999999999989</v>
      </c>
      <c r="F433" s="227">
        <v>6.8752438356164385</v>
      </c>
      <c r="G433" s="227">
        <v>2509.4639999999999</v>
      </c>
      <c r="H433" s="227">
        <v>0.87160000000000004</v>
      </c>
      <c r="I433" s="227">
        <v>1.6801999999999999</v>
      </c>
      <c r="J433" s="227">
        <v>0.45267815613416562</v>
      </c>
      <c r="K433" s="227">
        <v>140</v>
      </c>
      <c r="L433" s="227">
        <v>140</v>
      </c>
      <c r="M433" s="227">
        <v>140</v>
      </c>
      <c r="N433" s="227">
        <v>102.07</v>
      </c>
      <c r="O433" s="227">
        <v>109.73</v>
      </c>
      <c r="P433" s="227">
        <v>126.11</v>
      </c>
      <c r="Q433" s="227">
        <v>116.07</v>
      </c>
      <c r="R433" s="227">
        <v>124.48</v>
      </c>
      <c r="S433" s="227">
        <v>59.480000000000004</v>
      </c>
      <c r="T433" s="227">
        <v>52.911000000000001</v>
      </c>
      <c r="U433" s="227">
        <v>65.688999999999993</v>
      </c>
      <c r="V433" s="227">
        <v>61.011000000000003</v>
      </c>
      <c r="W433" s="227">
        <v>79.5</v>
      </c>
      <c r="X433" s="227">
        <v>79.5</v>
      </c>
      <c r="Y433" s="227">
        <v>79.5</v>
      </c>
      <c r="Z433" s="227">
        <v>79.5</v>
      </c>
      <c r="AA433" s="227">
        <v>79.5</v>
      </c>
      <c r="AB433" s="227">
        <v>74.123999999999995</v>
      </c>
      <c r="AC433" s="227">
        <v>702.92</v>
      </c>
      <c r="AD433" s="230">
        <v>8.5791666666666666E-4</v>
      </c>
      <c r="AE433" s="230">
        <v>444.74400000000003</v>
      </c>
      <c r="AF433" s="230">
        <v>3462.6660000000002</v>
      </c>
      <c r="AG433" s="230">
        <v>391113.92689991911</v>
      </c>
      <c r="AH433" s="230">
        <v>1487694.19620565</v>
      </c>
      <c r="AI433" s="230">
        <v>4217.5199999999995</v>
      </c>
    </row>
    <row r="434" spans="5:35" x14ac:dyDescent="0.35">
      <c r="E434" s="226">
        <v>0.9882399999999999</v>
      </c>
      <c r="F434" s="227">
        <v>6.8916821917808218</v>
      </c>
      <c r="G434" s="227">
        <v>2515.4639999999999</v>
      </c>
      <c r="H434" s="227">
        <v>0.87229999999999996</v>
      </c>
      <c r="I434" s="227">
        <v>1.6841999999999999</v>
      </c>
      <c r="J434" s="227">
        <v>0.45319012835638783</v>
      </c>
      <c r="K434" s="227">
        <v>140</v>
      </c>
      <c r="L434" s="227">
        <v>140</v>
      </c>
      <c r="M434" s="227">
        <v>140</v>
      </c>
      <c r="N434" s="227">
        <v>102.04</v>
      </c>
      <c r="O434" s="227">
        <v>109.68</v>
      </c>
      <c r="P434" s="227">
        <v>126.07</v>
      </c>
      <c r="Q434" s="227">
        <v>116.03</v>
      </c>
      <c r="R434" s="227">
        <v>124.41</v>
      </c>
      <c r="S434" s="227">
        <v>59.41</v>
      </c>
      <c r="T434" s="227">
        <v>53.011000000000003</v>
      </c>
      <c r="U434" s="227">
        <v>65.766999999999996</v>
      </c>
      <c r="V434" s="227">
        <v>61.12</v>
      </c>
      <c r="W434" s="227">
        <v>79.5</v>
      </c>
      <c r="X434" s="227">
        <v>79.5</v>
      </c>
      <c r="Y434" s="227">
        <v>79.5</v>
      </c>
      <c r="Z434" s="227">
        <v>79.5</v>
      </c>
      <c r="AA434" s="227">
        <v>79.5</v>
      </c>
      <c r="AB434" s="227">
        <v>73.724000000000004</v>
      </c>
      <c r="AC434" s="227">
        <v>703.27</v>
      </c>
      <c r="AD434" s="230">
        <v>8.5328703703703706E-4</v>
      </c>
      <c r="AE434" s="230">
        <v>442.34400000000005</v>
      </c>
      <c r="AF434" s="230">
        <v>3464.3879999999999</v>
      </c>
      <c r="AG434" s="230">
        <v>391556.27089991909</v>
      </c>
      <c r="AH434" s="230">
        <v>1491158.58420565</v>
      </c>
      <c r="AI434" s="230">
        <v>4219.62</v>
      </c>
    </row>
    <row r="435" spans="5:35" x14ac:dyDescent="0.35">
      <c r="E435" s="226">
        <v>0.9922399999999999</v>
      </c>
      <c r="F435" s="227">
        <v>6.908120547945205</v>
      </c>
      <c r="G435" s="227">
        <v>2521.4639999999999</v>
      </c>
      <c r="H435" s="227">
        <v>0.87309999999999999</v>
      </c>
      <c r="I435" s="227">
        <v>1.6881999999999999</v>
      </c>
      <c r="J435" s="227">
        <v>0.45369934363416564</v>
      </c>
      <c r="K435" s="227">
        <v>140</v>
      </c>
      <c r="L435" s="227">
        <v>140</v>
      </c>
      <c r="M435" s="227">
        <v>140</v>
      </c>
      <c r="N435" s="227">
        <v>102.02</v>
      </c>
      <c r="O435" s="227">
        <v>109.62</v>
      </c>
      <c r="P435" s="227">
        <v>126.03</v>
      </c>
      <c r="Q435" s="227">
        <v>115.98</v>
      </c>
      <c r="R435" s="227">
        <v>124.35</v>
      </c>
      <c r="S435" s="227">
        <v>59.349999999999994</v>
      </c>
      <c r="T435" s="227">
        <v>53.11</v>
      </c>
      <c r="U435" s="227">
        <v>65.846000000000004</v>
      </c>
      <c r="V435" s="227">
        <v>61.228000000000002</v>
      </c>
      <c r="W435" s="227">
        <v>79.5</v>
      </c>
      <c r="X435" s="227">
        <v>79.5</v>
      </c>
      <c r="Y435" s="227">
        <v>79.5</v>
      </c>
      <c r="Z435" s="227">
        <v>79.5</v>
      </c>
      <c r="AA435" s="227">
        <v>79.5</v>
      </c>
      <c r="AB435" s="227">
        <v>73.326999999999998</v>
      </c>
      <c r="AC435" s="227">
        <v>703.62</v>
      </c>
      <c r="AD435" s="230">
        <v>8.4869212962962958E-4</v>
      </c>
      <c r="AE435" s="230">
        <v>439.96199999999993</v>
      </c>
      <c r="AF435" s="230">
        <v>3466.1039999999998</v>
      </c>
      <c r="AG435" s="230">
        <v>391996.23289991909</v>
      </c>
      <c r="AH435" s="230">
        <v>1494624.6882056501</v>
      </c>
      <c r="AI435" s="230">
        <v>4221.72</v>
      </c>
    </row>
    <row r="436" spans="5:35" x14ac:dyDescent="0.35">
      <c r="E436" s="226">
        <v>0.9962399999999999</v>
      </c>
      <c r="F436" s="227">
        <v>6.9245589041095892</v>
      </c>
      <c r="G436" s="227">
        <v>2527.4639999999999</v>
      </c>
      <c r="H436" s="227">
        <v>0.87380000000000002</v>
      </c>
      <c r="I436" s="227">
        <v>1.6921999999999999</v>
      </c>
      <c r="J436" s="227">
        <v>0.45420582974527673</v>
      </c>
      <c r="K436" s="227">
        <v>140</v>
      </c>
      <c r="L436" s="227">
        <v>140</v>
      </c>
      <c r="M436" s="227">
        <v>140</v>
      </c>
      <c r="N436" s="227">
        <v>101.99</v>
      </c>
      <c r="O436" s="227">
        <v>109.57</v>
      </c>
      <c r="P436" s="227">
        <v>126</v>
      </c>
      <c r="Q436" s="227">
        <v>115.94</v>
      </c>
      <c r="R436" s="227">
        <v>124.28</v>
      </c>
      <c r="S436" s="227">
        <v>59.28</v>
      </c>
      <c r="T436" s="227">
        <v>53.209000000000003</v>
      </c>
      <c r="U436" s="227">
        <v>65.924000000000007</v>
      </c>
      <c r="V436" s="227">
        <v>61.335999999999999</v>
      </c>
      <c r="W436" s="227">
        <v>79.5</v>
      </c>
      <c r="X436" s="227">
        <v>79.5</v>
      </c>
      <c r="Y436" s="227">
        <v>79.5</v>
      </c>
      <c r="Z436" s="227">
        <v>79.5</v>
      </c>
      <c r="AA436" s="227">
        <v>79.5</v>
      </c>
      <c r="AB436" s="227">
        <v>72.933999999999997</v>
      </c>
      <c r="AC436" s="227">
        <v>703.97</v>
      </c>
      <c r="AD436" s="230">
        <v>8.4414351851851848E-4</v>
      </c>
      <c r="AE436" s="230">
        <v>437.60399999999998</v>
      </c>
      <c r="AF436" s="230">
        <v>3467.8140000000003</v>
      </c>
      <c r="AG436" s="230">
        <v>392433.83689991909</v>
      </c>
      <c r="AH436" s="230">
        <v>1498092.5022056501</v>
      </c>
      <c r="AI436" s="230">
        <v>4223.82</v>
      </c>
    </row>
    <row r="437" spans="5:35" x14ac:dyDescent="0.35">
      <c r="E437" s="226">
        <v>1.0002399999999998</v>
      </c>
      <c r="F437" s="227">
        <v>6.9409972602739725</v>
      </c>
      <c r="G437" s="227">
        <v>2533.4639999999999</v>
      </c>
      <c r="H437" s="227">
        <v>0.87460000000000004</v>
      </c>
      <c r="I437" s="227">
        <v>1.6961999999999999</v>
      </c>
      <c r="J437" s="227">
        <v>0.4547096075230545</v>
      </c>
      <c r="K437" s="227">
        <v>140</v>
      </c>
      <c r="L437" s="227">
        <v>140</v>
      </c>
      <c r="M437" s="227">
        <v>140</v>
      </c>
      <c r="N437" s="227">
        <v>101.96</v>
      </c>
      <c r="O437" s="227">
        <v>109.51</v>
      </c>
      <c r="P437" s="227">
        <v>125.96</v>
      </c>
      <c r="Q437" s="227">
        <v>115.89</v>
      </c>
      <c r="R437" s="227">
        <v>124.21</v>
      </c>
      <c r="S437" s="227">
        <v>59.209999999999994</v>
      </c>
      <c r="T437" s="227">
        <v>53.308</v>
      </c>
      <c r="U437" s="227">
        <v>66.001000000000005</v>
      </c>
      <c r="V437" s="227">
        <v>61.444000000000003</v>
      </c>
      <c r="W437" s="227">
        <v>79.5</v>
      </c>
      <c r="X437" s="227">
        <v>79.5</v>
      </c>
      <c r="Y437" s="227">
        <v>79.5</v>
      </c>
      <c r="Z437" s="227">
        <v>79.5</v>
      </c>
      <c r="AA437" s="227">
        <v>79.5</v>
      </c>
      <c r="AB437" s="227">
        <v>72.543999999999997</v>
      </c>
      <c r="AC437" s="227">
        <v>704.31</v>
      </c>
      <c r="AD437" s="230">
        <v>8.3962962962962962E-4</v>
      </c>
      <c r="AE437" s="230">
        <v>435.26400000000001</v>
      </c>
      <c r="AF437" s="230">
        <v>3469.5179999999996</v>
      </c>
      <c r="AG437" s="230">
        <v>392869.10089991911</v>
      </c>
      <c r="AH437" s="230">
        <v>1501562.02020565</v>
      </c>
      <c r="AI437" s="230">
        <v>4225.8599999999997</v>
      </c>
    </row>
    <row r="438" spans="5:35" x14ac:dyDescent="0.35">
      <c r="E438" s="226">
        <v>1.00434</v>
      </c>
      <c r="F438" s="227">
        <v>6.9574356164383557</v>
      </c>
      <c r="G438" s="227">
        <v>2539.4639999999999</v>
      </c>
      <c r="H438" s="227">
        <v>0.87529999999999997</v>
      </c>
      <c r="I438" s="227">
        <v>1.7002999999999999</v>
      </c>
      <c r="J438" s="227">
        <v>0.45521071168972121</v>
      </c>
      <c r="K438" s="227">
        <v>140</v>
      </c>
      <c r="L438" s="227">
        <v>140</v>
      </c>
      <c r="M438" s="227">
        <v>140</v>
      </c>
      <c r="N438" s="227">
        <v>101.93</v>
      </c>
      <c r="O438" s="227">
        <v>109.46</v>
      </c>
      <c r="P438" s="227">
        <v>125.92</v>
      </c>
      <c r="Q438" s="227">
        <v>115.85</v>
      </c>
      <c r="R438" s="227">
        <v>124.15</v>
      </c>
      <c r="S438" s="227">
        <v>59.150000000000006</v>
      </c>
      <c r="T438" s="227">
        <v>53.405999999999999</v>
      </c>
      <c r="U438" s="227">
        <v>66.078000000000003</v>
      </c>
      <c r="V438" s="227">
        <v>61.552</v>
      </c>
      <c r="W438" s="227">
        <v>79.5</v>
      </c>
      <c r="X438" s="227">
        <v>79.5</v>
      </c>
      <c r="Y438" s="227">
        <v>79.5</v>
      </c>
      <c r="Z438" s="227">
        <v>79.5</v>
      </c>
      <c r="AA438" s="227">
        <v>79.5</v>
      </c>
      <c r="AB438" s="227">
        <v>72.159000000000006</v>
      </c>
      <c r="AC438" s="227">
        <v>704.66</v>
      </c>
      <c r="AD438" s="230">
        <v>8.3517361111111119E-4</v>
      </c>
      <c r="AE438" s="230">
        <v>432.95400000000006</v>
      </c>
      <c r="AF438" s="230">
        <v>3471.2160000000003</v>
      </c>
      <c r="AG438" s="230">
        <v>393302.05489991914</v>
      </c>
      <c r="AH438" s="230">
        <v>1505033.23620565</v>
      </c>
      <c r="AI438" s="230">
        <v>4227.96</v>
      </c>
    </row>
    <row r="439" spans="5:35" x14ac:dyDescent="0.35">
      <c r="E439" s="226">
        <v>1.00834</v>
      </c>
      <c r="F439" s="227">
        <v>6.9738739726027399</v>
      </c>
      <c r="G439" s="227">
        <v>2545.4639999999999</v>
      </c>
      <c r="H439" s="227">
        <v>0.876</v>
      </c>
      <c r="I439" s="227">
        <v>1.7042999999999999</v>
      </c>
      <c r="J439" s="227">
        <v>0.45570917002305456</v>
      </c>
      <c r="K439" s="227">
        <v>140</v>
      </c>
      <c r="L439" s="227">
        <v>140</v>
      </c>
      <c r="M439" s="227">
        <v>140</v>
      </c>
      <c r="N439" s="227">
        <v>101.91</v>
      </c>
      <c r="O439" s="227">
        <v>109.41</v>
      </c>
      <c r="P439" s="227">
        <v>125.89</v>
      </c>
      <c r="Q439" s="227">
        <v>115.8</v>
      </c>
      <c r="R439" s="227">
        <v>124.08</v>
      </c>
      <c r="S439" s="227">
        <v>59.08</v>
      </c>
      <c r="T439" s="227">
        <v>53.503999999999998</v>
      </c>
      <c r="U439" s="227">
        <v>66.155000000000001</v>
      </c>
      <c r="V439" s="227">
        <v>61.658999999999999</v>
      </c>
      <c r="W439" s="227">
        <v>79.5</v>
      </c>
      <c r="X439" s="227">
        <v>79.5</v>
      </c>
      <c r="Y439" s="227">
        <v>79.5</v>
      </c>
      <c r="Z439" s="227">
        <v>79.5</v>
      </c>
      <c r="AA439" s="227">
        <v>79.5</v>
      </c>
      <c r="AB439" s="227">
        <v>71.778000000000006</v>
      </c>
      <c r="AC439" s="227">
        <v>705</v>
      </c>
      <c r="AD439" s="230">
        <v>8.3076388888888891E-4</v>
      </c>
      <c r="AE439" s="230">
        <v>430.66800000000006</v>
      </c>
      <c r="AF439" s="230">
        <v>3472.9079999999999</v>
      </c>
      <c r="AG439" s="230">
        <v>393732.72289991914</v>
      </c>
      <c r="AH439" s="230">
        <v>1508506.1442056501</v>
      </c>
      <c r="AI439" s="230">
        <v>4230</v>
      </c>
    </row>
    <row r="440" spans="5:35" x14ac:dyDescent="0.35">
      <c r="E440" s="226">
        <v>1.01234</v>
      </c>
      <c r="F440" s="227">
        <v>6.9903123287671232</v>
      </c>
      <c r="G440" s="227">
        <v>2551.4639999999999</v>
      </c>
      <c r="H440" s="227">
        <v>0.87670000000000003</v>
      </c>
      <c r="I440" s="227">
        <v>1.7082999999999999</v>
      </c>
      <c r="J440" s="227">
        <v>0.4562049964119434</v>
      </c>
      <c r="K440" s="227">
        <v>140</v>
      </c>
      <c r="L440" s="227">
        <v>140</v>
      </c>
      <c r="M440" s="227">
        <v>140</v>
      </c>
      <c r="N440" s="227">
        <v>101.88</v>
      </c>
      <c r="O440" s="227">
        <v>109.36</v>
      </c>
      <c r="P440" s="227">
        <v>125.85</v>
      </c>
      <c r="Q440" s="227">
        <v>115.76</v>
      </c>
      <c r="R440" s="227">
        <v>124.02</v>
      </c>
      <c r="S440" s="227">
        <v>59.019999999999996</v>
      </c>
      <c r="T440" s="227">
        <v>53.601999999999997</v>
      </c>
      <c r="U440" s="227">
        <v>66.231999999999999</v>
      </c>
      <c r="V440" s="227">
        <v>61.765999999999998</v>
      </c>
      <c r="W440" s="227">
        <v>79.5</v>
      </c>
      <c r="X440" s="227">
        <v>79.5</v>
      </c>
      <c r="Y440" s="227">
        <v>79.5</v>
      </c>
      <c r="Z440" s="227">
        <v>79.5</v>
      </c>
      <c r="AA440" s="227">
        <v>79.5</v>
      </c>
      <c r="AB440" s="227">
        <v>71.399000000000001</v>
      </c>
      <c r="AC440" s="227">
        <v>705.34</v>
      </c>
      <c r="AD440" s="230">
        <v>8.2637731481481483E-4</v>
      </c>
      <c r="AE440" s="230">
        <v>428.39400000000001</v>
      </c>
      <c r="AF440" s="230">
        <v>3474.6000000000004</v>
      </c>
      <c r="AG440" s="230">
        <v>394161.11689991911</v>
      </c>
      <c r="AH440" s="230">
        <v>1511980.7442056502</v>
      </c>
      <c r="AI440" s="230">
        <v>4232.04</v>
      </c>
    </row>
    <row r="441" spans="5:35" x14ac:dyDescent="0.35">
      <c r="E441" s="226">
        <v>1.01634</v>
      </c>
      <c r="F441" s="227">
        <v>7.0067506849315064</v>
      </c>
      <c r="G441" s="227">
        <v>2557.4639999999999</v>
      </c>
      <c r="H441" s="227">
        <v>0.87739999999999996</v>
      </c>
      <c r="I441" s="227">
        <v>1.7122999999999999</v>
      </c>
      <c r="J441" s="227">
        <v>0.45669821168972119</v>
      </c>
      <c r="K441" s="227">
        <v>140</v>
      </c>
      <c r="L441" s="227">
        <v>140</v>
      </c>
      <c r="M441" s="227">
        <v>140</v>
      </c>
      <c r="N441" s="227">
        <v>101.85</v>
      </c>
      <c r="O441" s="227">
        <v>109.3</v>
      </c>
      <c r="P441" s="227">
        <v>125.81</v>
      </c>
      <c r="Q441" s="227">
        <v>115.72</v>
      </c>
      <c r="R441" s="227">
        <v>123.95</v>
      </c>
      <c r="S441" s="227">
        <v>58.95</v>
      </c>
      <c r="T441" s="227">
        <v>53.7</v>
      </c>
      <c r="U441" s="227">
        <v>66.308000000000007</v>
      </c>
      <c r="V441" s="227">
        <v>61.872999999999998</v>
      </c>
      <c r="W441" s="227">
        <v>79.5</v>
      </c>
      <c r="X441" s="227">
        <v>79.5</v>
      </c>
      <c r="Y441" s="227">
        <v>79.5</v>
      </c>
      <c r="Z441" s="227">
        <v>79.5</v>
      </c>
      <c r="AA441" s="227">
        <v>79.5</v>
      </c>
      <c r="AB441" s="227">
        <v>71.022999999999996</v>
      </c>
      <c r="AC441" s="227">
        <v>705.68</v>
      </c>
      <c r="AD441" s="230">
        <v>8.2202546296296288E-4</v>
      </c>
      <c r="AE441" s="230">
        <v>426.13799999999998</v>
      </c>
      <c r="AF441" s="230">
        <v>3476.2860000000001</v>
      </c>
      <c r="AG441" s="230">
        <v>394587.25489991909</v>
      </c>
      <c r="AH441" s="230">
        <v>1515457.0302056503</v>
      </c>
      <c r="AI441" s="230">
        <v>4234.08</v>
      </c>
    </row>
    <row r="442" spans="5:35" x14ac:dyDescent="0.35">
      <c r="E442" s="226">
        <v>1.02034</v>
      </c>
      <c r="F442" s="227">
        <v>7.0231890410958906</v>
      </c>
      <c r="G442" s="227">
        <v>2563.4639999999999</v>
      </c>
      <c r="H442" s="227">
        <v>0.87809999999999999</v>
      </c>
      <c r="I442" s="227">
        <v>1.7162999999999999</v>
      </c>
      <c r="J442" s="227">
        <v>0.45718883668972121</v>
      </c>
      <c r="K442" s="227">
        <v>140</v>
      </c>
      <c r="L442" s="227">
        <v>140</v>
      </c>
      <c r="M442" s="227">
        <v>140</v>
      </c>
      <c r="N442" s="227">
        <v>101.82</v>
      </c>
      <c r="O442" s="227">
        <v>109.25</v>
      </c>
      <c r="P442" s="227">
        <v>125.78</v>
      </c>
      <c r="Q442" s="227">
        <v>115.67</v>
      </c>
      <c r="R442" s="227">
        <v>123.89</v>
      </c>
      <c r="S442" s="227">
        <v>58.89</v>
      </c>
      <c r="T442" s="227">
        <v>53.796999999999997</v>
      </c>
      <c r="U442" s="227">
        <v>66.384</v>
      </c>
      <c r="V442" s="227">
        <v>61.978999999999999</v>
      </c>
      <c r="W442" s="227">
        <v>79.5</v>
      </c>
      <c r="X442" s="227">
        <v>79.5</v>
      </c>
      <c r="Y442" s="227">
        <v>79.5</v>
      </c>
      <c r="Z442" s="227">
        <v>79.5</v>
      </c>
      <c r="AA442" s="227">
        <v>79.5</v>
      </c>
      <c r="AB442" s="227">
        <v>70.650000000000006</v>
      </c>
      <c r="AC442" s="227">
        <v>706.03</v>
      </c>
      <c r="AD442" s="230">
        <v>8.1770833333333337E-4</v>
      </c>
      <c r="AE442" s="230">
        <v>423.9</v>
      </c>
      <c r="AF442" s="230">
        <v>3477.96</v>
      </c>
      <c r="AG442" s="230">
        <v>395011.15489991911</v>
      </c>
      <c r="AH442" s="230">
        <v>1518934.9902056502</v>
      </c>
      <c r="AI442" s="230">
        <v>4236.18</v>
      </c>
    </row>
    <row r="443" spans="5:35" x14ac:dyDescent="0.35">
      <c r="E443" s="226">
        <v>1.0244399999999998</v>
      </c>
      <c r="F443" s="227">
        <v>7.0396273972602739</v>
      </c>
      <c r="G443" s="227">
        <v>2569.4639999999999</v>
      </c>
      <c r="H443" s="227">
        <v>0.87880000000000003</v>
      </c>
      <c r="I443" s="227">
        <v>1.7203999999999999</v>
      </c>
      <c r="J443" s="227">
        <v>0.45767689224527675</v>
      </c>
      <c r="K443" s="227">
        <v>140</v>
      </c>
      <c r="L443" s="227">
        <v>140</v>
      </c>
      <c r="M443" s="227">
        <v>140</v>
      </c>
      <c r="N443" s="227">
        <v>101.8</v>
      </c>
      <c r="O443" s="227">
        <v>109.2</v>
      </c>
      <c r="P443" s="227">
        <v>125.74</v>
      </c>
      <c r="Q443" s="227">
        <v>115.63</v>
      </c>
      <c r="R443" s="227">
        <v>123.82</v>
      </c>
      <c r="S443" s="227">
        <v>58.819999999999993</v>
      </c>
      <c r="T443" s="227">
        <v>53.893999999999998</v>
      </c>
      <c r="U443" s="227">
        <v>66.459999999999994</v>
      </c>
      <c r="V443" s="227">
        <v>62.085000000000001</v>
      </c>
      <c r="W443" s="227">
        <v>79.5</v>
      </c>
      <c r="X443" s="227">
        <v>79.5</v>
      </c>
      <c r="Y443" s="227">
        <v>79.5</v>
      </c>
      <c r="Z443" s="227">
        <v>79.5</v>
      </c>
      <c r="AA443" s="227">
        <v>79.5</v>
      </c>
      <c r="AB443" s="227">
        <v>70.28</v>
      </c>
      <c r="AC443" s="227">
        <v>706.37</v>
      </c>
      <c r="AD443" s="230">
        <v>8.1342592592592599E-4</v>
      </c>
      <c r="AE443" s="230">
        <v>421.68000000000006</v>
      </c>
      <c r="AF443" s="230">
        <v>3479.634</v>
      </c>
      <c r="AG443" s="230">
        <v>395432.83489991911</v>
      </c>
      <c r="AH443" s="230">
        <v>1522414.6242056503</v>
      </c>
      <c r="AI443" s="230">
        <v>4238.22</v>
      </c>
    </row>
    <row r="444" spans="5:35" x14ac:dyDescent="0.35">
      <c r="E444" s="226">
        <v>1.0284399999999998</v>
      </c>
      <c r="F444" s="227">
        <v>7.0560657534246571</v>
      </c>
      <c r="G444" s="227">
        <v>2575.4639999999999</v>
      </c>
      <c r="H444" s="227">
        <v>0.87949999999999995</v>
      </c>
      <c r="I444" s="227">
        <v>1.7243999999999999</v>
      </c>
      <c r="J444" s="227">
        <v>0.45816239918972118</v>
      </c>
      <c r="K444" s="227">
        <v>140</v>
      </c>
      <c r="L444" s="227">
        <v>140</v>
      </c>
      <c r="M444" s="227">
        <v>140</v>
      </c>
      <c r="N444" s="227">
        <v>101.77</v>
      </c>
      <c r="O444" s="227">
        <v>109.15</v>
      </c>
      <c r="P444" s="227">
        <v>125.71</v>
      </c>
      <c r="Q444" s="227">
        <v>115.59</v>
      </c>
      <c r="R444" s="227">
        <v>123.76</v>
      </c>
      <c r="S444" s="227">
        <v>58.760000000000005</v>
      </c>
      <c r="T444" s="227">
        <v>53.991999999999997</v>
      </c>
      <c r="U444" s="227">
        <v>66.534999999999997</v>
      </c>
      <c r="V444" s="227">
        <v>62.191000000000003</v>
      </c>
      <c r="W444" s="227">
        <v>79.5</v>
      </c>
      <c r="X444" s="227">
        <v>79.5</v>
      </c>
      <c r="Y444" s="227">
        <v>79.5</v>
      </c>
      <c r="Z444" s="227">
        <v>79.5</v>
      </c>
      <c r="AA444" s="227">
        <v>79.5</v>
      </c>
      <c r="AB444" s="227">
        <v>69.912999999999997</v>
      </c>
      <c r="AC444" s="227">
        <v>706.71</v>
      </c>
      <c r="AD444" s="230">
        <v>8.0917824074074073E-4</v>
      </c>
      <c r="AE444" s="230">
        <v>419.47800000000001</v>
      </c>
      <c r="AF444" s="230">
        <v>3481.308</v>
      </c>
      <c r="AG444" s="230">
        <v>395852.31289991911</v>
      </c>
      <c r="AH444" s="230">
        <v>1525895.9322056503</v>
      </c>
      <c r="AI444" s="230">
        <v>4240.26</v>
      </c>
    </row>
    <row r="445" spans="5:35" x14ac:dyDescent="0.35">
      <c r="E445" s="226">
        <v>1.0324399999999998</v>
      </c>
      <c r="F445" s="227">
        <v>7.0725041095890413</v>
      </c>
      <c r="G445" s="227">
        <v>2581.4639999999999</v>
      </c>
      <c r="H445" s="227">
        <v>0.88019999999999998</v>
      </c>
      <c r="I445" s="227">
        <v>1.7283999999999999</v>
      </c>
      <c r="J445" s="227">
        <v>0.45864537835638786</v>
      </c>
      <c r="K445" s="227">
        <v>140</v>
      </c>
      <c r="L445" s="227">
        <v>140</v>
      </c>
      <c r="M445" s="227">
        <v>140</v>
      </c>
      <c r="N445" s="227">
        <v>101.74</v>
      </c>
      <c r="O445" s="227">
        <v>109.1</v>
      </c>
      <c r="P445" s="227">
        <v>125.67</v>
      </c>
      <c r="Q445" s="227">
        <v>115.55</v>
      </c>
      <c r="R445" s="227">
        <v>123.7</v>
      </c>
      <c r="S445" s="227">
        <v>58.7</v>
      </c>
      <c r="T445" s="227">
        <v>54.088999999999999</v>
      </c>
      <c r="U445" s="227">
        <v>66.611000000000004</v>
      </c>
      <c r="V445" s="227">
        <v>62.296999999999997</v>
      </c>
      <c r="W445" s="227">
        <v>79.5</v>
      </c>
      <c r="X445" s="227">
        <v>79.5</v>
      </c>
      <c r="Y445" s="227">
        <v>79.5</v>
      </c>
      <c r="Z445" s="227">
        <v>79.5</v>
      </c>
      <c r="AA445" s="227">
        <v>79.5</v>
      </c>
      <c r="AB445" s="227">
        <v>69.549000000000007</v>
      </c>
      <c r="AC445" s="227">
        <v>707.04</v>
      </c>
      <c r="AD445" s="230">
        <v>8.0496527777777782E-4</v>
      </c>
      <c r="AE445" s="230">
        <v>417.29400000000004</v>
      </c>
      <c r="AF445" s="230">
        <v>3482.9820000000004</v>
      </c>
      <c r="AG445" s="230">
        <v>396269.6068999191</v>
      </c>
      <c r="AH445" s="230">
        <v>1529378.9142056503</v>
      </c>
      <c r="AI445" s="230">
        <v>4242.24</v>
      </c>
    </row>
    <row r="446" spans="5:35" x14ac:dyDescent="0.35">
      <c r="E446" s="226">
        <v>1.0364399999999998</v>
      </c>
      <c r="F446" s="227">
        <v>7.0889424657534246</v>
      </c>
      <c r="G446" s="227">
        <v>2587.4639999999999</v>
      </c>
      <c r="H446" s="227">
        <v>0.88090000000000002</v>
      </c>
      <c r="I446" s="227">
        <v>1.7323999999999999</v>
      </c>
      <c r="J446" s="227">
        <v>0.45912585057861011</v>
      </c>
      <c r="K446" s="227">
        <v>140</v>
      </c>
      <c r="L446" s="227">
        <v>140</v>
      </c>
      <c r="M446" s="227">
        <v>140</v>
      </c>
      <c r="N446" s="227">
        <v>101.71</v>
      </c>
      <c r="O446" s="227">
        <v>109.05</v>
      </c>
      <c r="P446" s="227">
        <v>125.63</v>
      </c>
      <c r="Q446" s="227">
        <v>115.5</v>
      </c>
      <c r="R446" s="227">
        <v>123.64</v>
      </c>
      <c r="S446" s="227">
        <v>58.64</v>
      </c>
      <c r="T446" s="227">
        <v>54.186</v>
      </c>
      <c r="U446" s="227">
        <v>66.685000000000002</v>
      </c>
      <c r="V446" s="227">
        <v>62.402999999999999</v>
      </c>
      <c r="W446" s="227">
        <v>79.5</v>
      </c>
      <c r="X446" s="227">
        <v>79.5</v>
      </c>
      <c r="Y446" s="227">
        <v>79.5</v>
      </c>
      <c r="Z446" s="227">
        <v>79.5</v>
      </c>
      <c r="AA446" s="227">
        <v>79.5</v>
      </c>
      <c r="AB446" s="227">
        <v>69.188000000000002</v>
      </c>
      <c r="AC446" s="227">
        <v>707.38</v>
      </c>
      <c r="AD446" s="230">
        <v>8.0078703703703703E-4</v>
      </c>
      <c r="AE446" s="230">
        <v>415.12799999999999</v>
      </c>
      <c r="AF446" s="230">
        <v>3484.6440000000002</v>
      </c>
      <c r="AG446" s="230">
        <v>396684.73489991913</v>
      </c>
      <c r="AH446" s="230">
        <v>1532863.5582056504</v>
      </c>
      <c r="AI446" s="230">
        <v>4244.28</v>
      </c>
    </row>
    <row r="447" spans="5:35" x14ac:dyDescent="0.35">
      <c r="E447" s="226">
        <v>1.0404399999999998</v>
      </c>
      <c r="F447" s="227">
        <v>7.1053808219178078</v>
      </c>
      <c r="G447" s="227">
        <v>2593.4639999999999</v>
      </c>
      <c r="H447" s="227">
        <v>0.88160000000000005</v>
      </c>
      <c r="I447" s="227">
        <v>1.7363999999999999</v>
      </c>
      <c r="J447" s="227">
        <v>0.45960384363416562</v>
      </c>
      <c r="K447" s="227">
        <v>140</v>
      </c>
      <c r="L447" s="227">
        <v>140</v>
      </c>
      <c r="M447" s="227">
        <v>140</v>
      </c>
      <c r="N447" s="227">
        <v>101.69</v>
      </c>
      <c r="O447" s="227">
        <v>109</v>
      </c>
      <c r="P447" s="227">
        <v>125.6</v>
      </c>
      <c r="Q447" s="227">
        <v>115.46</v>
      </c>
      <c r="R447" s="227">
        <v>123.57</v>
      </c>
      <c r="S447" s="227">
        <v>58.569999999999993</v>
      </c>
      <c r="T447" s="227">
        <v>54.281999999999996</v>
      </c>
      <c r="U447" s="227">
        <v>66.760000000000005</v>
      </c>
      <c r="V447" s="227">
        <v>62.508000000000003</v>
      </c>
      <c r="W447" s="227">
        <v>79.5</v>
      </c>
      <c r="X447" s="227">
        <v>79.5</v>
      </c>
      <c r="Y447" s="227">
        <v>79.5</v>
      </c>
      <c r="Z447" s="227">
        <v>79.5</v>
      </c>
      <c r="AA447" s="227">
        <v>79.5</v>
      </c>
      <c r="AB447" s="227">
        <v>68.831000000000003</v>
      </c>
      <c r="AC447" s="227">
        <v>707.72</v>
      </c>
      <c r="AD447" s="230">
        <v>7.9665509259259262E-4</v>
      </c>
      <c r="AE447" s="230">
        <v>412.98599999999999</v>
      </c>
      <c r="AF447" s="230">
        <v>3486.2999999999997</v>
      </c>
      <c r="AG447" s="230">
        <v>397097.72089991911</v>
      </c>
      <c r="AH447" s="230">
        <v>1536349.8582056505</v>
      </c>
      <c r="AI447" s="230">
        <v>4246.32</v>
      </c>
    </row>
    <row r="448" spans="5:35" x14ac:dyDescent="0.35">
      <c r="E448" s="226">
        <v>1.0444399999999998</v>
      </c>
      <c r="F448" s="227">
        <v>7.121819178082192</v>
      </c>
      <c r="G448" s="227">
        <v>2599.4639999999999</v>
      </c>
      <c r="H448" s="227">
        <v>0.88219999999999998</v>
      </c>
      <c r="I448" s="227">
        <v>1.7403999999999999</v>
      </c>
      <c r="J448" s="227">
        <v>0.46007937141194344</v>
      </c>
      <c r="K448" s="227">
        <v>140</v>
      </c>
      <c r="L448" s="227">
        <v>140</v>
      </c>
      <c r="M448" s="227">
        <v>140</v>
      </c>
      <c r="N448" s="227">
        <v>101.66</v>
      </c>
      <c r="O448" s="227">
        <v>108.95</v>
      </c>
      <c r="P448" s="227">
        <v>125.56</v>
      </c>
      <c r="Q448" s="227">
        <v>115.42</v>
      </c>
      <c r="R448" s="227">
        <v>123.51</v>
      </c>
      <c r="S448" s="227">
        <v>58.510000000000005</v>
      </c>
      <c r="T448" s="227">
        <v>54.378999999999998</v>
      </c>
      <c r="U448" s="227">
        <v>66.834999999999994</v>
      </c>
      <c r="V448" s="227">
        <v>62.613999999999997</v>
      </c>
      <c r="W448" s="227">
        <v>79.5</v>
      </c>
      <c r="X448" s="227">
        <v>79.5</v>
      </c>
      <c r="Y448" s="227">
        <v>79.5</v>
      </c>
      <c r="Z448" s="227">
        <v>79.5</v>
      </c>
      <c r="AA448" s="227">
        <v>79.5</v>
      </c>
      <c r="AB448" s="227">
        <v>68.475999999999999</v>
      </c>
      <c r="AC448" s="227">
        <v>708.06</v>
      </c>
      <c r="AD448" s="230">
        <v>7.9254629629629629E-4</v>
      </c>
      <c r="AE448" s="230">
        <v>410.85599999999999</v>
      </c>
      <c r="AF448" s="230">
        <v>3487.9679999999998</v>
      </c>
      <c r="AG448" s="230">
        <v>397508.57689991914</v>
      </c>
      <c r="AH448" s="230">
        <v>1539837.8262056506</v>
      </c>
      <c r="AI448" s="230">
        <v>4248.3599999999997</v>
      </c>
    </row>
    <row r="449" spans="5:35" x14ac:dyDescent="0.35">
      <c r="E449" s="226">
        <v>1.04854</v>
      </c>
      <c r="F449" s="227">
        <v>7.1382575342465753</v>
      </c>
      <c r="G449" s="227">
        <v>2605.4639999999999</v>
      </c>
      <c r="H449" s="227">
        <v>0.88290000000000002</v>
      </c>
      <c r="I449" s="227">
        <v>1.7444999999999999</v>
      </c>
      <c r="J449" s="227">
        <v>0.46055246168972125</v>
      </c>
      <c r="K449" s="227">
        <v>140</v>
      </c>
      <c r="L449" s="227">
        <v>140</v>
      </c>
      <c r="M449" s="227">
        <v>140</v>
      </c>
      <c r="N449" s="227">
        <v>101.63</v>
      </c>
      <c r="O449" s="227">
        <v>108.9</v>
      </c>
      <c r="P449" s="227">
        <v>125.53</v>
      </c>
      <c r="Q449" s="227">
        <v>115.38</v>
      </c>
      <c r="R449" s="227">
        <v>123.45</v>
      </c>
      <c r="S449" s="227">
        <v>58.45</v>
      </c>
      <c r="T449" s="227">
        <v>54.475999999999999</v>
      </c>
      <c r="U449" s="227">
        <v>66.909000000000006</v>
      </c>
      <c r="V449" s="227">
        <v>62.719000000000001</v>
      </c>
      <c r="W449" s="227">
        <v>79.5</v>
      </c>
      <c r="X449" s="227">
        <v>79.5</v>
      </c>
      <c r="Y449" s="227">
        <v>79.5</v>
      </c>
      <c r="Z449" s="227">
        <v>79.5</v>
      </c>
      <c r="AA449" s="227">
        <v>79.5</v>
      </c>
      <c r="AB449" s="227">
        <v>68.125</v>
      </c>
      <c r="AC449" s="227">
        <v>708.39</v>
      </c>
      <c r="AD449" s="230">
        <v>7.8848379629629635E-4</v>
      </c>
      <c r="AE449" s="230">
        <v>408.75000000000006</v>
      </c>
      <c r="AF449" s="230">
        <v>3489.6240000000003</v>
      </c>
      <c r="AG449" s="230">
        <v>397917.32689991914</v>
      </c>
      <c r="AH449" s="230">
        <v>1543327.4502056506</v>
      </c>
      <c r="AI449" s="230">
        <v>4250.34</v>
      </c>
    </row>
    <row r="450" spans="5:35" x14ac:dyDescent="0.35">
      <c r="E450" s="226">
        <v>1.05254</v>
      </c>
      <c r="F450" s="227">
        <v>7.1546958904109585</v>
      </c>
      <c r="G450" s="227">
        <v>2611.4639999999999</v>
      </c>
      <c r="H450" s="227">
        <v>0.88349999999999995</v>
      </c>
      <c r="I450" s="227">
        <v>1.7484999999999999</v>
      </c>
      <c r="J450" s="227">
        <v>0.46102313530083233</v>
      </c>
      <c r="K450" s="227">
        <v>140</v>
      </c>
      <c r="L450" s="227">
        <v>140</v>
      </c>
      <c r="M450" s="227">
        <v>140</v>
      </c>
      <c r="N450" s="227">
        <v>101.61</v>
      </c>
      <c r="O450" s="227">
        <v>108.85</v>
      </c>
      <c r="P450" s="227">
        <v>125.49</v>
      </c>
      <c r="Q450" s="227">
        <v>115.34</v>
      </c>
      <c r="R450" s="227">
        <v>123.39</v>
      </c>
      <c r="S450" s="227">
        <v>58.39</v>
      </c>
      <c r="T450" s="227">
        <v>54.572000000000003</v>
      </c>
      <c r="U450" s="227">
        <v>66.983000000000004</v>
      </c>
      <c r="V450" s="227">
        <v>62.823999999999998</v>
      </c>
      <c r="W450" s="227">
        <v>79.5</v>
      </c>
      <c r="X450" s="227">
        <v>79.5</v>
      </c>
      <c r="Y450" s="227">
        <v>79.5</v>
      </c>
      <c r="Z450" s="227">
        <v>79.5</v>
      </c>
      <c r="AA450" s="227">
        <v>79.5</v>
      </c>
      <c r="AB450" s="227">
        <v>67.777000000000001</v>
      </c>
      <c r="AC450" s="227">
        <v>708.73</v>
      </c>
      <c r="AD450" s="230">
        <v>7.8445601851851853E-4</v>
      </c>
      <c r="AE450" s="230">
        <v>406.66200000000003</v>
      </c>
      <c r="AF450" s="230">
        <v>3491.2740000000003</v>
      </c>
      <c r="AG450" s="230">
        <v>398323.98889991915</v>
      </c>
      <c r="AH450" s="230">
        <v>1546818.7242056506</v>
      </c>
      <c r="AI450" s="230">
        <v>4252.38</v>
      </c>
    </row>
    <row r="451" spans="5:35" x14ac:dyDescent="0.35">
      <c r="E451" s="226">
        <v>1.05654</v>
      </c>
      <c r="F451" s="227">
        <v>7.1711342465753427</v>
      </c>
      <c r="G451" s="227">
        <v>2617.4639999999999</v>
      </c>
      <c r="H451" s="227">
        <v>0.88419999999999999</v>
      </c>
      <c r="I451" s="227">
        <v>1.7524999999999999</v>
      </c>
      <c r="J451" s="227">
        <v>0.46149141307861014</v>
      </c>
      <c r="K451" s="227">
        <v>140</v>
      </c>
      <c r="L451" s="227">
        <v>140</v>
      </c>
      <c r="M451" s="227">
        <v>140</v>
      </c>
      <c r="N451" s="227">
        <v>101.58</v>
      </c>
      <c r="O451" s="227">
        <v>108.8</v>
      </c>
      <c r="P451" s="227">
        <v>125.46</v>
      </c>
      <c r="Q451" s="227">
        <v>115.3</v>
      </c>
      <c r="R451" s="227">
        <v>123.33</v>
      </c>
      <c r="S451" s="227">
        <v>58.33</v>
      </c>
      <c r="T451" s="227">
        <v>54.667999999999999</v>
      </c>
      <c r="U451" s="227">
        <v>67.055999999999997</v>
      </c>
      <c r="V451" s="227">
        <v>62.927999999999997</v>
      </c>
      <c r="W451" s="227">
        <v>79.5</v>
      </c>
      <c r="X451" s="227">
        <v>79.5</v>
      </c>
      <c r="Y451" s="227">
        <v>79.5</v>
      </c>
      <c r="Z451" s="227">
        <v>79.5</v>
      </c>
      <c r="AA451" s="227">
        <v>79.5</v>
      </c>
      <c r="AB451" s="227">
        <v>67.432000000000002</v>
      </c>
      <c r="AC451" s="227">
        <v>709.06</v>
      </c>
      <c r="AD451" s="230">
        <v>7.8046296296296295E-4</v>
      </c>
      <c r="AE451" s="230">
        <v>404.59199999999998</v>
      </c>
      <c r="AF451" s="230">
        <v>3492.9120000000003</v>
      </c>
      <c r="AG451" s="230">
        <v>398728.58089991915</v>
      </c>
      <c r="AH451" s="230">
        <v>1550311.6362056506</v>
      </c>
      <c r="AI451" s="230">
        <v>4254.3599999999997</v>
      </c>
    </row>
    <row r="452" spans="5:35" x14ac:dyDescent="0.35">
      <c r="E452" s="226">
        <v>1.06054</v>
      </c>
      <c r="F452" s="227">
        <v>7.187572602739726</v>
      </c>
      <c r="G452" s="227">
        <v>2623.4639999999999</v>
      </c>
      <c r="H452" s="227">
        <v>0.88480000000000003</v>
      </c>
      <c r="I452" s="227">
        <v>1.7565</v>
      </c>
      <c r="J452" s="227">
        <v>0.46195730196749901</v>
      </c>
      <c r="K452" s="227">
        <v>140</v>
      </c>
      <c r="L452" s="227">
        <v>140</v>
      </c>
      <c r="M452" s="227">
        <v>140</v>
      </c>
      <c r="N452" s="227">
        <v>101.55</v>
      </c>
      <c r="O452" s="227">
        <v>108.75</v>
      </c>
      <c r="P452" s="227">
        <v>125.42</v>
      </c>
      <c r="Q452" s="227">
        <v>115.25</v>
      </c>
      <c r="R452" s="227">
        <v>123.27</v>
      </c>
      <c r="S452" s="227">
        <v>58.269999999999996</v>
      </c>
      <c r="T452" s="227">
        <v>54.764000000000003</v>
      </c>
      <c r="U452" s="227">
        <v>67.13</v>
      </c>
      <c r="V452" s="227">
        <v>63.033000000000001</v>
      </c>
      <c r="W452" s="227">
        <v>79.5</v>
      </c>
      <c r="X452" s="227">
        <v>79.5</v>
      </c>
      <c r="Y452" s="227">
        <v>79.5</v>
      </c>
      <c r="Z452" s="227">
        <v>79.5</v>
      </c>
      <c r="AA452" s="227">
        <v>79.5</v>
      </c>
      <c r="AB452" s="227">
        <v>67.087999999999994</v>
      </c>
      <c r="AC452" s="227">
        <v>709.4</v>
      </c>
      <c r="AD452" s="230">
        <v>7.764814814814814E-4</v>
      </c>
      <c r="AE452" s="230">
        <v>402.52799999999996</v>
      </c>
      <c r="AF452" s="230">
        <v>3494.5619999999999</v>
      </c>
      <c r="AG452" s="230">
        <v>399131.10889991914</v>
      </c>
      <c r="AH452" s="230">
        <v>1553806.1982056506</v>
      </c>
      <c r="AI452" s="230">
        <v>4256.3999999999996</v>
      </c>
    </row>
    <row r="453" spans="5:35" x14ac:dyDescent="0.35">
      <c r="E453" s="226">
        <v>1.06454</v>
      </c>
      <c r="F453" s="227">
        <v>7.2040109589041093</v>
      </c>
      <c r="G453" s="227">
        <v>2629.4639999999999</v>
      </c>
      <c r="H453" s="227">
        <v>0.88549999999999995</v>
      </c>
      <c r="I453" s="227">
        <v>1.7605</v>
      </c>
      <c r="J453" s="227">
        <v>0.46242082974527682</v>
      </c>
      <c r="K453" s="227">
        <v>140</v>
      </c>
      <c r="L453" s="227">
        <v>140</v>
      </c>
      <c r="M453" s="227">
        <v>140</v>
      </c>
      <c r="N453" s="227">
        <v>101.53</v>
      </c>
      <c r="O453" s="227">
        <v>108.7</v>
      </c>
      <c r="P453" s="227">
        <v>125.39</v>
      </c>
      <c r="Q453" s="227">
        <v>115.21</v>
      </c>
      <c r="R453" s="227">
        <v>123.21</v>
      </c>
      <c r="S453" s="227">
        <v>58.209999999999994</v>
      </c>
      <c r="T453" s="227">
        <v>54.86</v>
      </c>
      <c r="U453" s="227">
        <v>67.203000000000003</v>
      </c>
      <c r="V453" s="227">
        <v>63.137</v>
      </c>
      <c r="W453" s="227">
        <v>79.5</v>
      </c>
      <c r="X453" s="227">
        <v>79.5</v>
      </c>
      <c r="Y453" s="227">
        <v>79.5</v>
      </c>
      <c r="Z453" s="227">
        <v>79.5</v>
      </c>
      <c r="AA453" s="227">
        <v>79.5</v>
      </c>
      <c r="AB453" s="227">
        <v>66.748000000000005</v>
      </c>
      <c r="AC453" s="227">
        <v>709.73</v>
      </c>
      <c r="AD453" s="230">
        <v>7.7254629629629635E-4</v>
      </c>
      <c r="AE453" s="230">
        <v>400.488</v>
      </c>
      <c r="AF453" s="230">
        <v>3496.2000000000003</v>
      </c>
      <c r="AG453" s="230">
        <v>399531.59689991915</v>
      </c>
      <c r="AH453" s="230">
        <v>1557302.3982056505</v>
      </c>
      <c r="AI453" s="230">
        <v>4258.38</v>
      </c>
    </row>
    <row r="454" spans="5:35" x14ac:dyDescent="0.35">
      <c r="E454" s="226">
        <v>1.06854</v>
      </c>
      <c r="F454" s="227">
        <v>7.2204493150684934</v>
      </c>
      <c r="G454" s="227">
        <v>2635.4639999999999</v>
      </c>
      <c r="H454" s="227">
        <v>0.8861</v>
      </c>
      <c r="I454" s="227">
        <v>1.7645</v>
      </c>
      <c r="J454" s="227">
        <v>0.46288201030083237</v>
      </c>
      <c r="K454" s="227">
        <v>140</v>
      </c>
      <c r="L454" s="227">
        <v>140</v>
      </c>
      <c r="M454" s="227">
        <v>140</v>
      </c>
      <c r="N454" s="227">
        <v>101.5</v>
      </c>
      <c r="O454" s="227">
        <v>108.65</v>
      </c>
      <c r="P454" s="227">
        <v>125.35</v>
      </c>
      <c r="Q454" s="227">
        <v>115.17</v>
      </c>
      <c r="R454" s="227">
        <v>123.15</v>
      </c>
      <c r="S454" s="227">
        <v>58.150000000000006</v>
      </c>
      <c r="T454" s="227">
        <v>54.956000000000003</v>
      </c>
      <c r="U454" s="227">
        <v>67.275999999999996</v>
      </c>
      <c r="V454" s="227">
        <v>63.241999999999997</v>
      </c>
      <c r="W454" s="227">
        <v>79.5</v>
      </c>
      <c r="X454" s="227">
        <v>79.5</v>
      </c>
      <c r="Y454" s="227">
        <v>79.5</v>
      </c>
      <c r="Z454" s="227">
        <v>79.5</v>
      </c>
      <c r="AA454" s="227">
        <v>79.5</v>
      </c>
      <c r="AB454" s="227">
        <v>66.41</v>
      </c>
      <c r="AC454" s="227">
        <v>710.06</v>
      </c>
      <c r="AD454" s="230">
        <v>7.6863425925925927E-4</v>
      </c>
      <c r="AE454" s="230">
        <v>398.46</v>
      </c>
      <c r="AF454" s="230">
        <v>3497.8439999999996</v>
      </c>
      <c r="AG454" s="230">
        <v>399930.05689991917</v>
      </c>
      <c r="AH454" s="230">
        <v>1560800.2422056505</v>
      </c>
      <c r="AI454" s="230">
        <v>4260.3599999999997</v>
      </c>
    </row>
    <row r="455" spans="5:35" x14ac:dyDescent="0.35">
      <c r="E455" s="226">
        <v>1.0726399999999998</v>
      </c>
      <c r="F455" s="227">
        <v>7.2368876712328767</v>
      </c>
      <c r="G455" s="227">
        <v>2641.4639999999999</v>
      </c>
      <c r="H455" s="227">
        <v>0.88670000000000004</v>
      </c>
      <c r="I455" s="227">
        <v>1.7685999999999999</v>
      </c>
      <c r="J455" s="227">
        <v>0.46334085752305459</v>
      </c>
      <c r="K455" s="227">
        <v>140</v>
      </c>
      <c r="L455" s="227">
        <v>140</v>
      </c>
      <c r="M455" s="227">
        <v>140</v>
      </c>
      <c r="N455" s="227">
        <v>101.47</v>
      </c>
      <c r="O455" s="227">
        <v>108.6</v>
      </c>
      <c r="P455" s="227">
        <v>125.32</v>
      </c>
      <c r="Q455" s="227">
        <v>115.13</v>
      </c>
      <c r="R455" s="227">
        <v>123.09</v>
      </c>
      <c r="S455" s="227">
        <v>58.09</v>
      </c>
      <c r="T455" s="227">
        <v>55.052</v>
      </c>
      <c r="U455" s="227">
        <v>67.349999999999994</v>
      </c>
      <c r="V455" s="227">
        <v>63.347000000000001</v>
      </c>
      <c r="W455" s="227">
        <v>79.5</v>
      </c>
      <c r="X455" s="227">
        <v>79.5</v>
      </c>
      <c r="Y455" s="227">
        <v>79.5</v>
      </c>
      <c r="Z455" s="227">
        <v>79.5</v>
      </c>
      <c r="AA455" s="227">
        <v>79.5</v>
      </c>
      <c r="AB455" s="227">
        <v>66.073999999999998</v>
      </c>
      <c r="AC455" s="227">
        <v>710.4</v>
      </c>
      <c r="AD455" s="230">
        <v>7.6474537037037038E-4</v>
      </c>
      <c r="AE455" s="230">
        <v>396.44399999999996</v>
      </c>
      <c r="AF455" s="230">
        <v>3499.4940000000001</v>
      </c>
      <c r="AG455" s="230">
        <v>400326.50089991919</v>
      </c>
      <c r="AH455" s="230">
        <v>1564299.7362056505</v>
      </c>
      <c r="AI455" s="230">
        <v>4262.3999999999996</v>
      </c>
    </row>
    <row r="456" spans="5:35" x14ac:dyDescent="0.35">
      <c r="E456" s="226">
        <v>1.0766399999999998</v>
      </c>
      <c r="F456" s="227">
        <v>7.25332602739726</v>
      </c>
      <c r="G456" s="227">
        <v>2647.4639999999999</v>
      </c>
      <c r="H456" s="227">
        <v>0.88739999999999997</v>
      </c>
      <c r="I456" s="227">
        <v>1.7726</v>
      </c>
      <c r="J456" s="227">
        <v>0.46379739918972129</v>
      </c>
      <c r="K456" s="227">
        <v>140</v>
      </c>
      <c r="L456" s="227">
        <v>140</v>
      </c>
      <c r="M456" s="227">
        <v>140</v>
      </c>
      <c r="N456" s="227">
        <v>101.45</v>
      </c>
      <c r="O456" s="227">
        <v>108.56</v>
      </c>
      <c r="P456" s="227">
        <v>125.29</v>
      </c>
      <c r="Q456" s="227">
        <v>115.09</v>
      </c>
      <c r="R456" s="227">
        <v>123.03</v>
      </c>
      <c r="S456" s="227">
        <v>58.03</v>
      </c>
      <c r="T456" s="227">
        <v>55.146999999999998</v>
      </c>
      <c r="U456" s="227">
        <v>67.421999999999997</v>
      </c>
      <c r="V456" s="227">
        <v>63.45</v>
      </c>
      <c r="W456" s="227">
        <v>79.5</v>
      </c>
      <c r="X456" s="227">
        <v>79.5</v>
      </c>
      <c r="Y456" s="227">
        <v>79.5</v>
      </c>
      <c r="Z456" s="227">
        <v>79.5</v>
      </c>
      <c r="AA456" s="227">
        <v>79.5</v>
      </c>
      <c r="AB456" s="227">
        <v>65.742000000000004</v>
      </c>
      <c r="AC456" s="227">
        <v>710.73</v>
      </c>
      <c r="AD456" s="230">
        <v>7.6090277777777788E-4</v>
      </c>
      <c r="AE456" s="230">
        <v>394.45200000000006</v>
      </c>
      <c r="AF456" s="230">
        <v>3501.114</v>
      </c>
      <c r="AG456" s="230">
        <v>400720.95289991918</v>
      </c>
      <c r="AH456" s="230">
        <v>1567800.8502056506</v>
      </c>
      <c r="AI456" s="230">
        <v>4264.38</v>
      </c>
    </row>
    <row r="457" spans="5:35" x14ac:dyDescent="0.35">
      <c r="E457" s="226">
        <v>1.0806399999999998</v>
      </c>
      <c r="F457" s="227">
        <v>7.2697643835616441</v>
      </c>
      <c r="G457" s="227">
        <v>2653.4639999999999</v>
      </c>
      <c r="H457" s="227">
        <v>0.88800000000000001</v>
      </c>
      <c r="I457" s="227">
        <v>1.7766</v>
      </c>
      <c r="J457" s="227">
        <v>0.46425164224527687</v>
      </c>
      <c r="K457" s="227">
        <v>140</v>
      </c>
      <c r="L457" s="227">
        <v>140</v>
      </c>
      <c r="M457" s="227">
        <v>140</v>
      </c>
      <c r="N457" s="227">
        <v>101.42</v>
      </c>
      <c r="O457" s="227">
        <v>108.51</v>
      </c>
      <c r="P457" s="227">
        <v>125.25</v>
      </c>
      <c r="Q457" s="227">
        <v>115.05</v>
      </c>
      <c r="R457" s="227">
        <v>122.97</v>
      </c>
      <c r="S457" s="227">
        <v>57.97</v>
      </c>
      <c r="T457" s="227">
        <v>55.243000000000002</v>
      </c>
      <c r="U457" s="227">
        <v>67.495000000000005</v>
      </c>
      <c r="V457" s="227">
        <v>63.554000000000002</v>
      </c>
      <c r="W457" s="227">
        <v>79.5</v>
      </c>
      <c r="X457" s="227">
        <v>79.5</v>
      </c>
      <c r="Y457" s="227">
        <v>79.5</v>
      </c>
      <c r="Z457" s="227">
        <v>79.5</v>
      </c>
      <c r="AA457" s="227">
        <v>79.5</v>
      </c>
      <c r="AB457" s="227">
        <v>65.411000000000001</v>
      </c>
      <c r="AC457" s="227">
        <v>711.06</v>
      </c>
      <c r="AD457" s="230">
        <v>7.5707175925925931E-4</v>
      </c>
      <c r="AE457" s="230">
        <v>392.46600000000001</v>
      </c>
      <c r="AF457" s="230">
        <v>3502.7520000000004</v>
      </c>
      <c r="AG457" s="230">
        <v>401113.4188999192</v>
      </c>
      <c r="AH457" s="230">
        <v>1571303.6022056506</v>
      </c>
      <c r="AI457" s="230">
        <v>4266.3599999999997</v>
      </c>
    </row>
    <row r="458" spans="5:35" x14ac:dyDescent="0.35">
      <c r="E458" s="226">
        <v>1.0846399999999998</v>
      </c>
      <c r="F458" s="227">
        <v>7.2862027397260274</v>
      </c>
      <c r="G458" s="227">
        <v>2659.4639999999999</v>
      </c>
      <c r="H458" s="227">
        <v>0.88859999999999995</v>
      </c>
      <c r="I458" s="227">
        <v>1.7806</v>
      </c>
      <c r="J458" s="227">
        <v>0.46470361446749908</v>
      </c>
      <c r="K458" s="227">
        <v>140</v>
      </c>
      <c r="L458" s="227">
        <v>140</v>
      </c>
      <c r="M458" s="227">
        <v>140</v>
      </c>
      <c r="N458" s="227">
        <v>101.39</v>
      </c>
      <c r="O458" s="227">
        <v>108.46</v>
      </c>
      <c r="P458" s="227">
        <v>125.22</v>
      </c>
      <c r="Q458" s="227">
        <v>115.02</v>
      </c>
      <c r="R458" s="227">
        <v>122.91</v>
      </c>
      <c r="S458" s="227">
        <v>57.91</v>
      </c>
      <c r="T458" s="227">
        <v>55.337000000000003</v>
      </c>
      <c r="U458" s="227">
        <v>67.566000000000003</v>
      </c>
      <c r="V458" s="227">
        <v>63.655999999999999</v>
      </c>
      <c r="W458" s="227">
        <v>79.5</v>
      </c>
      <c r="X458" s="227">
        <v>79.5</v>
      </c>
      <c r="Y458" s="227">
        <v>79.5</v>
      </c>
      <c r="Z458" s="227">
        <v>79.5</v>
      </c>
      <c r="AA458" s="227">
        <v>79.5</v>
      </c>
      <c r="AB458" s="227">
        <v>65.084000000000003</v>
      </c>
      <c r="AC458" s="227">
        <v>711.38</v>
      </c>
      <c r="AD458" s="230">
        <v>7.5328703703703712E-4</v>
      </c>
      <c r="AE458" s="230">
        <v>390.50400000000002</v>
      </c>
      <c r="AF458" s="230">
        <v>3504.3539999999998</v>
      </c>
      <c r="AG458" s="230">
        <v>401503.92289991921</v>
      </c>
      <c r="AH458" s="230">
        <v>1574807.9562056507</v>
      </c>
      <c r="AI458" s="230">
        <v>4268.28</v>
      </c>
    </row>
    <row r="459" spans="5:35" x14ac:dyDescent="0.35">
      <c r="E459" s="226">
        <v>1.0886399999999998</v>
      </c>
      <c r="F459" s="227">
        <v>7.3026410958904107</v>
      </c>
      <c r="G459" s="227">
        <v>2665.4639999999999</v>
      </c>
      <c r="H459" s="227">
        <v>0.88919999999999999</v>
      </c>
      <c r="I459" s="227">
        <v>1.7846</v>
      </c>
      <c r="J459" s="227">
        <v>0.46515333668972131</v>
      </c>
      <c r="K459" s="227">
        <v>140</v>
      </c>
      <c r="L459" s="227">
        <v>140</v>
      </c>
      <c r="M459" s="227">
        <v>140</v>
      </c>
      <c r="N459" s="227">
        <v>101.37</v>
      </c>
      <c r="O459" s="227">
        <v>108.41</v>
      </c>
      <c r="P459" s="227">
        <v>125.19</v>
      </c>
      <c r="Q459" s="227">
        <v>114.98</v>
      </c>
      <c r="R459" s="227">
        <v>122.86</v>
      </c>
      <c r="S459" s="227">
        <v>57.86</v>
      </c>
      <c r="T459" s="227">
        <v>55.432000000000002</v>
      </c>
      <c r="U459" s="227">
        <v>67.638000000000005</v>
      </c>
      <c r="V459" s="227">
        <v>63.759</v>
      </c>
      <c r="W459" s="227">
        <v>79.5</v>
      </c>
      <c r="X459" s="227">
        <v>79.5</v>
      </c>
      <c r="Y459" s="227">
        <v>79.5</v>
      </c>
      <c r="Z459" s="227">
        <v>79.5</v>
      </c>
      <c r="AA459" s="227">
        <v>79.5</v>
      </c>
      <c r="AB459" s="227">
        <v>64.760000000000005</v>
      </c>
      <c r="AC459" s="227">
        <v>711.71</v>
      </c>
      <c r="AD459" s="230">
        <v>7.4953703703703706E-4</v>
      </c>
      <c r="AE459" s="230">
        <v>388.55999999999995</v>
      </c>
      <c r="AF459" s="230">
        <v>3505.9739999999997</v>
      </c>
      <c r="AG459" s="230">
        <v>401892.48289991921</v>
      </c>
      <c r="AH459" s="230">
        <v>1578313.9302056506</v>
      </c>
      <c r="AI459" s="230">
        <v>4270.26</v>
      </c>
    </row>
    <row r="460" spans="5:35" x14ac:dyDescent="0.35">
      <c r="E460" s="226">
        <v>1.0926399999999998</v>
      </c>
      <c r="F460" s="227">
        <v>7.3190794520547939</v>
      </c>
      <c r="G460" s="227">
        <v>2671.4639999999999</v>
      </c>
      <c r="H460" s="227">
        <v>0.88980000000000004</v>
      </c>
      <c r="I460" s="227">
        <v>1.7886</v>
      </c>
      <c r="J460" s="227">
        <v>0.46560082280083243</v>
      </c>
      <c r="K460" s="227">
        <v>140</v>
      </c>
      <c r="L460" s="227">
        <v>140</v>
      </c>
      <c r="M460" s="227">
        <v>140</v>
      </c>
      <c r="N460" s="227">
        <v>101.34</v>
      </c>
      <c r="O460" s="227">
        <v>108.37</v>
      </c>
      <c r="P460" s="227">
        <v>125.15</v>
      </c>
      <c r="Q460" s="227">
        <v>114.94</v>
      </c>
      <c r="R460" s="227">
        <v>122.8</v>
      </c>
      <c r="S460" s="227">
        <v>57.8</v>
      </c>
      <c r="T460" s="227">
        <v>55.526000000000003</v>
      </c>
      <c r="U460" s="227">
        <v>67.709999999999994</v>
      </c>
      <c r="V460" s="227">
        <v>63.862000000000002</v>
      </c>
      <c r="W460" s="227">
        <v>79.5</v>
      </c>
      <c r="X460" s="227">
        <v>79.5</v>
      </c>
      <c r="Y460" s="227">
        <v>79.5</v>
      </c>
      <c r="Z460" s="227">
        <v>79.5</v>
      </c>
      <c r="AA460" s="227">
        <v>79.5</v>
      </c>
      <c r="AB460" s="227">
        <v>64.438000000000002</v>
      </c>
      <c r="AC460" s="227">
        <v>712.04</v>
      </c>
      <c r="AD460" s="230">
        <v>7.4581018518518518E-4</v>
      </c>
      <c r="AE460" s="230">
        <v>386.62799999999999</v>
      </c>
      <c r="AF460" s="230">
        <v>3507.5879999999997</v>
      </c>
      <c r="AG460" s="230">
        <v>402279.11089991924</v>
      </c>
      <c r="AH460" s="230">
        <v>1581821.5182056506</v>
      </c>
      <c r="AI460" s="230">
        <v>4272.24</v>
      </c>
    </row>
    <row r="461" spans="5:35" x14ac:dyDescent="0.35">
      <c r="E461" s="226">
        <v>1.09674</v>
      </c>
      <c r="F461" s="227">
        <v>7.3355178082191781</v>
      </c>
      <c r="G461" s="227">
        <v>2677.4639999999999</v>
      </c>
      <c r="H461" s="227">
        <v>0.89039999999999997</v>
      </c>
      <c r="I461" s="227">
        <v>1.7927</v>
      </c>
      <c r="J461" s="227">
        <v>0.46604609363416577</v>
      </c>
      <c r="K461" s="227">
        <v>140</v>
      </c>
      <c r="L461" s="227">
        <v>140</v>
      </c>
      <c r="M461" s="227">
        <v>140</v>
      </c>
      <c r="N461" s="227">
        <v>101.32</v>
      </c>
      <c r="O461" s="227">
        <v>108.32</v>
      </c>
      <c r="P461" s="227">
        <v>125.12</v>
      </c>
      <c r="Q461" s="227">
        <v>114.9</v>
      </c>
      <c r="R461" s="227">
        <v>122.74</v>
      </c>
      <c r="S461" s="227">
        <v>57.739999999999995</v>
      </c>
      <c r="T461" s="227">
        <v>55.62</v>
      </c>
      <c r="U461" s="227">
        <v>67.781000000000006</v>
      </c>
      <c r="V461" s="227">
        <v>63.963999999999999</v>
      </c>
      <c r="W461" s="227">
        <v>79.5</v>
      </c>
      <c r="X461" s="227">
        <v>79.5</v>
      </c>
      <c r="Y461" s="227">
        <v>79.5</v>
      </c>
      <c r="Z461" s="227">
        <v>79.5</v>
      </c>
      <c r="AA461" s="227">
        <v>79.5</v>
      </c>
      <c r="AB461" s="227">
        <v>64.119</v>
      </c>
      <c r="AC461" s="227">
        <v>712.37</v>
      </c>
      <c r="AD461" s="230">
        <v>7.4211805555555554E-4</v>
      </c>
      <c r="AE461" s="230">
        <v>384.71399999999994</v>
      </c>
      <c r="AF461" s="230">
        <v>3509.19</v>
      </c>
      <c r="AG461" s="230">
        <v>402663.82489991921</v>
      </c>
      <c r="AH461" s="230">
        <v>1585330.7082056506</v>
      </c>
      <c r="AI461" s="230">
        <v>4274.22</v>
      </c>
    </row>
    <row r="462" spans="5:35" x14ac:dyDescent="0.35">
      <c r="E462" s="226">
        <v>1.1007400000000001</v>
      </c>
      <c r="F462" s="227">
        <v>7.3519561643835614</v>
      </c>
      <c r="G462" s="227">
        <v>2683.4639999999999</v>
      </c>
      <c r="H462" s="227">
        <v>0.89100000000000001</v>
      </c>
      <c r="I462" s="227">
        <v>1.7967</v>
      </c>
      <c r="J462" s="227">
        <v>0.46648916307861016</v>
      </c>
      <c r="K462" s="227">
        <v>140</v>
      </c>
      <c r="L462" s="227">
        <v>140</v>
      </c>
      <c r="M462" s="227">
        <v>140</v>
      </c>
      <c r="N462" s="227">
        <v>101.29</v>
      </c>
      <c r="O462" s="227">
        <v>108.28</v>
      </c>
      <c r="P462" s="227">
        <v>125.09</v>
      </c>
      <c r="Q462" s="227">
        <v>114.86</v>
      </c>
      <c r="R462" s="227">
        <v>122.69</v>
      </c>
      <c r="S462" s="227">
        <v>57.69</v>
      </c>
      <c r="T462" s="227">
        <v>55.713999999999999</v>
      </c>
      <c r="U462" s="227">
        <v>67.850999999999999</v>
      </c>
      <c r="V462" s="227">
        <v>64.066000000000003</v>
      </c>
      <c r="W462" s="227">
        <v>79.5</v>
      </c>
      <c r="X462" s="227">
        <v>79.5</v>
      </c>
      <c r="Y462" s="227">
        <v>79.5</v>
      </c>
      <c r="Z462" s="227">
        <v>79.5</v>
      </c>
      <c r="AA462" s="227">
        <v>79.5</v>
      </c>
      <c r="AB462" s="227">
        <v>63.802</v>
      </c>
      <c r="AC462" s="227">
        <v>712.69</v>
      </c>
      <c r="AD462" s="230">
        <v>7.3844907407407409E-4</v>
      </c>
      <c r="AE462" s="230">
        <v>382.81200000000001</v>
      </c>
      <c r="AF462" s="230">
        <v>3510.7860000000001</v>
      </c>
      <c r="AG462" s="230">
        <v>403046.63689991919</v>
      </c>
      <c r="AH462" s="230">
        <v>1588841.4942056506</v>
      </c>
      <c r="AI462" s="230">
        <v>4276.1400000000003</v>
      </c>
    </row>
    <row r="463" spans="5:35" x14ac:dyDescent="0.35">
      <c r="E463" s="226">
        <v>1.1047400000000001</v>
      </c>
      <c r="F463" s="227">
        <v>7.3683945205479446</v>
      </c>
      <c r="G463" s="227">
        <v>2689.4639999999999</v>
      </c>
      <c r="H463" s="227">
        <v>0.89159999999999995</v>
      </c>
      <c r="I463" s="227">
        <v>1.8007</v>
      </c>
      <c r="J463" s="227">
        <v>0.46693006585638797</v>
      </c>
      <c r="K463" s="227">
        <v>140</v>
      </c>
      <c r="L463" s="227">
        <v>140</v>
      </c>
      <c r="M463" s="227">
        <v>140</v>
      </c>
      <c r="N463" s="227">
        <v>101.26</v>
      </c>
      <c r="O463" s="227">
        <v>108.23</v>
      </c>
      <c r="P463" s="227">
        <v>125.05</v>
      </c>
      <c r="Q463" s="227">
        <v>114.82</v>
      </c>
      <c r="R463" s="227">
        <v>122.63</v>
      </c>
      <c r="S463" s="227">
        <v>57.629999999999995</v>
      </c>
      <c r="T463" s="227">
        <v>55.808</v>
      </c>
      <c r="U463" s="227">
        <v>67.921999999999997</v>
      </c>
      <c r="V463" s="227">
        <v>64.168000000000006</v>
      </c>
      <c r="W463" s="227">
        <v>79.5</v>
      </c>
      <c r="X463" s="227">
        <v>79.5</v>
      </c>
      <c r="Y463" s="227">
        <v>79.5</v>
      </c>
      <c r="Z463" s="227">
        <v>79.5</v>
      </c>
      <c r="AA463" s="227">
        <v>79.5</v>
      </c>
      <c r="AB463" s="227">
        <v>63.49</v>
      </c>
      <c r="AC463" s="227">
        <v>713.01</v>
      </c>
      <c r="AD463" s="230">
        <v>7.3483796296296296E-4</v>
      </c>
      <c r="AE463" s="230">
        <v>380.93999999999994</v>
      </c>
      <c r="AF463" s="230">
        <v>3512.3879999999999</v>
      </c>
      <c r="AG463" s="230">
        <v>403427.57689991919</v>
      </c>
      <c r="AH463" s="230">
        <v>1592353.8822056507</v>
      </c>
      <c r="AI463" s="230">
        <v>4278.0599999999995</v>
      </c>
    </row>
    <row r="464" spans="5:35" x14ac:dyDescent="0.35">
      <c r="E464" s="226">
        <v>1.1087400000000001</v>
      </c>
      <c r="F464" s="227">
        <v>7.3848328767123288</v>
      </c>
      <c r="G464" s="227">
        <v>2695.4639999999999</v>
      </c>
      <c r="H464" s="227">
        <v>0.8921</v>
      </c>
      <c r="I464" s="227">
        <v>1.8047</v>
      </c>
      <c r="J464" s="227">
        <v>0.46736881585638795</v>
      </c>
      <c r="K464" s="227">
        <v>140</v>
      </c>
      <c r="L464" s="227">
        <v>140</v>
      </c>
      <c r="M464" s="227">
        <v>140</v>
      </c>
      <c r="N464" s="227">
        <v>101.24</v>
      </c>
      <c r="O464" s="227">
        <v>108.19</v>
      </c>
      <c r="P464" s="227">
        <v>125.02</v>
      </c>
      <c r="Q464" s="227">
        <v>114.79</v>
      </c>
      <c r="R464" s="227">
        <v>122.57</v>
      </c>
      <c r="S464" s="227">
        <v>57.569999999999993</v>
      </c>
      <c r="T464" s="227">
        <v>55.901000000000003</v>
      </c>
      <c r="U464" s="227">
        <v>67.991</v>
      </c>
      <c r="V464" s="227">
        <v>64.269000000000005</v>
      </c>
      <c r="W464" s="227">
        <v>79.5</v>
      </c>
      <c r="X464" s="227">
        <v>79.5</v>
      </c>
      <c r="Y464" s="227">
        <v>79.5</v>
      </c>
      <c r="Z464" s="227">
        <v>79.5</v>
      </c>
      <c r="AA464" s="227">
        <v>79.5</v>
      </c>
      <c r="AB464" s="227">
        <v>63.18</v>
      </c>
      <c r="AC464" s="227">
        <v>713.34</v>
      </c>
      <c r="AD464" s="230">
        <v>7.3125000000000002E-4</v>
      </c>
      <c r="AE464" s="230">
        <v>379.08</v>
      </c>
      <c r="AF464" s="230">
        <v>3513.9660000000003</v>
      </c>
      <c r="AG464" s="230">
        <v>403806.65689991921</v>
      </c>
      <c r="AH464" s="230">
        <v>1595867.8482056507</v>
      </c>
      <c r="AI464" s="230">
        <v>4280.04</v>
      </c>
    </row>
    <row r="465" spans="5:35" x14ac:dyDescent="0.35">
      <c r="E465" s="226">
        <v>1.1127400000000001</v>
      </c>
      <c r="F465" s="227">
        <v>7.4012712328767121</v>
      </c>
      <c r="G465" s="227">
        <v>2701.4639999999999</v>
      </c>
      <c r="H465" s="227">
        <v>0.89270000000000005</v>
      </c>
      <c r="I465" s="227">
        <v>1.8087</v>
      </c>
      <c r="J465" s="227">
        <v>0.46780542002305464</v>
      </c>
      <c r="K465" s="227">
        <v>140</v>
      </c>
      <c r="L465" s="227">
        <v>140</v>
      </c>
      <c r="M465" s="227">
        <v>140</v>
      </c>
      <c r="N465" s="227">
        <v>101.21</v>
      </c>
      <c r="O465" s="227">
        <v>108.14</v>
      </c>
      <c r="P465" s="227">
        <v>124.99</v>
      </c>
      <c r="Q465" s="227">
        <v>114.75</v>
      </c>
      <c r="R465" s="227">
        <v>122.52</v>
      </c>
      <c r="S465" s="227">
        <v>57.519999999999996</v>
      </c>
      <c r="T465" s="227">
        <v>55.994</v>
      </c>
      <c r="U465" s="227">
        <v>68.061000000000007</v>
      </c>
      <c r="V465" s="227">
        <v>64.37</v>
      </c>
      <c r="W465" s="227">
        <v>79.5</v>
      </c>
      <c r="X465" s="227">
        <v>79.5</v>
      </c>
      <c r="Y465" s="227">
        <v>79.5</v>
      </c>
      <c r="Z465" s="227">
        <v>79.5</v>
      </c>
      <c r="AA465" s="227">
        <v>79.5</v>
      </c>
      <c r="AB465" s="227">
        <v>62.871000000000002</v>
      </c>
      <c r="AC465" s="227">
        <v>713.66</v>
      </c>
      <c r="AD465" s="230">
        <v>7.2767361111111112E-4</v>
      </c>
      <c r="AE465" s="230">
        <v>377.226</v>
      </c>
      <c r="AF465" s="230">
        <v>3515.5499999999997</v>
      </c>
      <c r="AG465" s="230">
        <v>404183.88289991923</v>
      </c>
      <c r="AH465" s="230">
        <v>1599383.3982056507</v>
      </c>
      <c r="AI465" s="230">
        <v>4281.96</v>
      </c>
    </row>
    <row r="466" spans="5:35" x14ac:dyDescent="0.35">
      <c r="E466" s="226">
        <v>1.1167400000000001</v>
      </c>
      <c r="F466" s="227">
        <v>7.4177095890410953</v>
      </c>
      <c r="G466" s="227">
        <v>2707.4639999999999</v>
      </c>
      <c r="H466" s="227">
        <v>0.89329999999999998</v>
      </c>
      <c r="I466" s="227">
        <v>1.8127</v>
      </c>
      <c r="J466" s="227">
        <v>0.46823989918972136</v>
      </c>
      <c r="K466" s="227">
        <v>140</v>
      </c>
      <c r="L466" s="227">
        <v>140</v>
      </c>
      <c r="M466" s="227">
        <v>140</v>
      </c>
      <c r="N466" s="227">
        <v>101.19</v>
      </c>
      <c r="O466" s="227">
        <v>108.1</v>
      </c>
      <c r="P466" s="227">
        <v>124.96</v>
      </c>
      <c r="Q466" s="227">
        <v>114.71</v>
      </c>
      <c r="R466" s="227">
        <v>122.46</v>
      </c>
      <c r="S466" s="227"/>
      <c r="T466" s="227">
        <v>56.087000000000003</v>
      </c>
      <c r="U466" s="227">
        <v>68.13</v>
      </c>
      <c r="V466" s="227">
        <v>64.47</v>
      </c>
      <c r="W466" s="227">
        <v>79.5</v>
      </c>
      <c r="X466" s="227">
        <v>79.5</v>
      </c>
      <c r="Y466" s="227">
        <v>79.5</v>
      </c>
      <c r="Z466" s="227">
        <v>79.5</v>
      </c>
      <c r="AA466" s="227">
        <v>79.5</v>
      </c>
      <c r="AB466" s="227">
        <v>62.564999999999998</v>
      </c>
      <c r="AC466" s="227">
        <v>713.98</v>
      </c>
      <c r="AD466" s="230">
        <v>7.2413194444444445E-4</v>
      </c>
      <c r="AE466" s="230">
        <v>375.39000000000004</v>
      </c>
      <c r="AF466" s="230">
        <v>3517.1220000000003</v>
      </c>
      <c r="AG466" s="230">
        <v>404559.27289991925</v>
      </c>
      <c r="AH466" s="230">
        <v>1602900.5202056507</v>
      </c>
      <c r="AI466" s="230">
        <v>4283.88</v>
      </c>
    </row>
    <row r="467" spans="5:35" x14ac:dyDescent="0.35">
      <c r="E467" s="226">
        <v>1.1208399999999998</v>
      </c>
      <c r="F467" s="227">
        <v>7.4341479452054795</v>
      </c>
      <c r="G467" s="227">
        <v>2713.4639999999999</v>
      </c>
      <c r="H467" s="227">
        <v>0.89380000000000004</v>
      </c>
      <c r="I467" s="227">
        <v>1.8168</v>
      </c>
      <c r="J467" s="227">
        <v>0.46867227418972135</v>
      </c>
      <c r="K467" s="227">
        <v>140</v>
      </c>
      <c r="L467" s="227">
        <v>140</v>
      </c>
      <c r="M467" s="227">
        <v>140</v>
      </c>
      <c r="N467" s="227">
        <v>101.16</v>
      </c>
      <c r="O467" s="227">
        <v>108.05</v>
      </c>
      <c r="P467" s="227">
        <v>124.92</v>
      </c>
      <c r="Q467" s="227">
        <v>114.67</v>
      </c>
      <c r="R467" s="227">
        <v>122.41</v>
      </c>
      <c r="S467" s="227"/>
      <c r="T467" s="227">
        <v>56.179000000000002</v>
      </c>
      <c r="U467" s="227">
        <v>68.198999999999998</v>
      </c>
      <c r="V467" s="227">
        <v>64.570999999999998</v>
      </c>
      <c r="W467" s="227">
        <v>79.5</v>
      </c>
      <c r="X467" s="227">
        <v>79.5</v>
      </c>
      <c r="Y467" s="227">
        <v>79.5</v>
      </c>
      <c r="Z467" s="227">
        <v>79.5</v>
      </c>
      <c r="AA467" s="227">
        <v>79.5</v>
      </c>
      <c r="AB467" s="227">
        <v>62.262</v>
      </c>
      <c r="AC467" s="227">
        <v>714.3</v>
      </c>
      <c r="AD467" s="230">
        <v>7.2062500000000002E-4</v>
      </c>
      <c r="AE467" s="230">
        <v>373.572</v>
      </c>
      <c r="AF467" s="230">
        <v>3518.6940000000004</v>
      </c>
      <c r="AG467" s="230">
        <v>404932.84489991923</v>
      </c>
      <c r="AH467" s="230">
        <v>1606419.2142056506</v>
      </c>
      <c r="AI467" s="230">
        <v>4285.7999999999993</v>
      </c>
    </row>
    <row r="468" spans="5:35" x14ac:dyDescent="0.35">
      <c r="E468" s="226">
        <v>1.1248399999999998</v>
      </c>
      <c r="F468" s="227">
        <v>7.4505863013698628</v>
      </c>
      <c r="G468" s="227">
        <v>2719.4639999999999</v>
      </c>
      <c r="H468" s="227">
        <v>0.89439999999999997</v>
      </c>
      <c r="I468" s="227">
        <v>1.8208</v>
      </c>
      <c r="J468" s="227">
        <v>0.46910255891194358</v>
      </c>
      <c r="K468" s="227">
        <v>140</v>
      </c>
      <c r="L468" s="227">
        <v>140</v>
      </c>
      <c r="M468" s="227">
        <v>140</v>
      </c>
      <c r="N468" s="227">
        <v>101.14</v>
      </c>
      <c r="O468" s="227">
        <v>108.01</v>
      </c>
      <c r="P468" s="227">
        <v>124.89</v>
      </c>
      <c r="Q468" s="227">
        <v>114.64</v>
      </c>
      <c r="R468" s="227">
        <v>122.36</v>
      </c>
      <c r="S468" s="227"/>
      <c r="T468" s="227">
        <v>56.271000000000001</v>
      </c>
      <c r="U468" s="227">
        <v>68.268000000000001</v>
      </c>
      <c r="V468" s="227">
        <v>64.671000000000006</v>
      </c>
      <c r="W468" s="227">
        <v>79.5</v>
      </c>
      <c r="X468" s="227">
        <v>79.5</v>
      </c>
      <c r="Y468" s="227">
        <v>79.5</v>
      </c>
      <c r="Z468" s="227">
        <v>79.5</v>
      </c>
      <c r="AA468" s="227">
        <v>79.5</v>
      </c>
      <c r="AB468" s="227">
        <v>61.960999999999999</v>
      </c>
      <c r="AC468" s="227">
        <v>714.61</v>
      </c>
      <c r="AD468" s="230">
        <v>7.1714120370370367E-4</v>
      </c>
      <c r="AE468" s="230">
        <v>371.76599999999996</v>
      </c>
      <c r="AF468" s="230">
        <v>3520.26</v>
      </c>
      <c r="AG468" s="230">
        <v>405304.61089991924</v>
      </c>
      <c r="AH468" s="230">
        <v>1609939.4742056506</v>
      </c>
      <c r="AI468" s="230">
        <v>4287.66</v>
      </c>
    </row>
    <row r="469" spans="5:35" x14ac:dyDescent="0.35">
      <c r="E469" s="226">
        <v>1.1288399999999998</v>
      </c>
      <c r="F469" s="227">
        <v>7.467024657534246</v>
      </c>
      <c r="G469" s="227">
        <v>2725.4639999999999</v>
      </c>
      <c r="H469" s="227">
        <v>0.89500000000000002</v>
      </c>
      <c r="I469" s="227">
        <v>1.8248</v>
      </c>
      <c r="J469" s="227">
        <v>0.46953076724527693</v>
      </c>
      <c r="K469" s="227">
        <v>140</v>
      </c>
      <c r="L469" s="227">
        <v>140</v>
      </c>
      <c r="M469" s="227">
        <v>140</v>
      </c>
      <c r="N469" s="227">
        <v>101.11</v>
      </c>
      <c r="O469" s="227">
        <v>107.96</v>
      </c>
      <c r="P469" s="227">
        <v>124.86</v>
      </c>
      <c r="Q469" s="227">
        <v>114.6</v>
      </c>
      <c r="R469" s="227">
        <v>122.3</v>
      </c>
      <c r="S469" s="227"/>
      <c r="T469" s="227">
        <v>56.363</v>
      </c>
      <c r="U469" s="227">
        <v>68.335999999999999</v>
      </c>
      <c r="V469" s="227">
        <v>64.771000000000001</v>
      </c>
      <c r="W469" s="227">
        <v>79.5</v>
      </c>
      <c r="X469" s="227">
        <v>79.5</v>
      </c>
      <c r="Y469" s="227">
        <v>79.5</v>
      </c>
      <c r="Z469" s="227">
        <v>79.5</v>
      </c>
      <c r="AA469" s="227">
        <v>79.5</v>
      </c>
      <c r="AB469" s="227">
        <v>61.661999999999999</v>
      </c>
      <c r="AC469" s="227">
        <v>714.93</v>
      </c>
      <c r="AD469" s="230">
        <v>7.1368055555555551E-4</v>
      </c>
      <c r="AE469" s="230">
        <v>369.97199999999998</v>
      </c>
      <c r="AF469" s="230">
        <v>3521.82</v>
      </c>
      <c r="AG469" s="230">
        <v>405674.58289991925</v>
      </c>
      <c r="AH469" s="230">
        <v>1613461.2942056507</v>
      </c>
      <c r="AI469" s="230">
        <v>4289.58</v>
      </c>
    </row>
    <row r="470" spans="5:35" x14ac:dyDescent="0.35">
      <c r="E470" s="226">
        <v>1.1328399999999998</v>
      </c>
      <c r="F470" s="227">
        <v>7.4834630136986302</v>
      </c>
      <c r="G470" s="227">
        <v>2731.4639999999999</v>
      </c>
      <c r="H470" s="227">
        <v>0.89549999999999996</v>
      </c>
      <c r="I470" s="227">
        <v>1.8288</v>
      </c>
      <c r="J470" s="227">
        <v>0.46995691307861026</v>
      </c>
      <c r="K470" s="227">
        <v>140</v>
      </c>
      <c r="L470" s="227">
        <v>140</v>
      </c>
      <c r="M470" s="227">
        <v>140</v>
      </c>
      <c r="N470" s="227">
        <v>101.09</v>
      </c>
      <c r="O470" s="227">
        <v>107.92</v>
      </c>
      <c r="P470" s="227">
        <v>124.83</v>
      </c>
      <c r="Q470" s="227">
        <v>114.57</v>
      </c>
      <c r="R470" s="227">
        <v>122.25</v>
      </c>
      <c r="S470" s="227"/>
      <c r="T470" s="227">
        <v>56.454999999999998</v>
      </c>
      <c r="U470" s="227">
        <v>68.405000000000001</v>
      </c>
      <c r="V470" s="227">
        <v>64.870999999999995</v>
      </c>
      <c r="W470" s="227">
        <v>79.5</v>
      </c>
      <c r="X470" s="227">
        <v>79.5</v>
      </c>
      <c r="Y470" s="227">
        <v>79.5</v>
      </c>
      <c r="Z470" s="227">
        <v>79.5</v>
      </c>
      <c r="AA470" s="227">
        <v>79.5</v>
      </c>
      <c r="AB470" s="227">
        <v>61.365000000000002</v>
      </c>
      <c r="AC470" s="227">
        <v>715.25</v>
      </c>
      <c r="AD470" s="230">
        <v>7.1024305555555554E-4</v>
      </c>
      <c r="AE470" s="230">
        <v>368.19</v>
      </c>
      <c r="AF470" s="230">
        <v>3523.386</v>
      </c>
      <c r="AG470" s="230">
        <v>406042.77289991925</v>
      </c>
      <c r="AH470" s="230">
        <v>1616984.6802056506</v>
      </c>
      <c r="AI470" s="230">
        <v>4291.5</v>
      </c>
    </row>
    <row r="471" spans="5:35" x14ac:dyDescent="0.35">
      <c r="E471" s="226">
        <v>1.1368399999999999</v>
      </c>
      <c r="F471" s="227">
        <v>7.4999013698630135</v>
      </c>
      <c r="G471" s="227">
        <v>2737.4639999999999</v>
      </c>
      <c r="H471" s="227">
        <v>0.89610000000000001</v>
      </c>
      <c r="I471" s="227">
        <v>1.8328</v>
      </c>
      <c r="J471" s="227">
        <v>0.47038101724527687</v>
      </c>
      <c r="K471" s="227">
        <v>140</v>
      </c>
      <c r="L471" s="227">
        <v>140</v>
      </c>
      <c r="M471" s="227">
        <v>140</v>
      </c>
      <c r="N471" s="227">
        <v>101.06</v>
      </c>
      <c r="O471" s="227">
        <v>107.88</v>
      </c>
      <c r="P471" s="227">
        <v>124.8</v>
      </c>
      <c r="Q471" s="227">
        <v>114.53</v>
      </c>
      <c r="R471" s="227">
        <v>122.19</v>
      </c>
      <c r="S471" s="227"/>
      <c r="T471" s="227">
        <v>56.546999999999997</v>
      </c>
      <c r="U471" s="227">
        <v>68.472999999999999</v>
      </c>
      <c r="V471" s="227">
        <v>64.971000000000004</v>
      </c>
      <c r="W471" s="227">
        <v>79.5</v>
      </c>
      <c r="X471" s="227">
        <v>79.5</v>
      </c>
      <c r="Y471" s="227">
        <v>79.5</v>
      </c>
      <c r="Z471" s="227">
        <v>79.5</v>
      </c>
      <c r="AA471" s="227">
        <v>79.5</v>
      </c>
      <c r="AB471" s="227">
        <v>61.070999999999998</v>
      </c>
      <c r="AC471" s="227">
        <v>715.56</v>
      </c>
      <c r="AD471" s="230">
        <v>7.0684027777777781E-4</v>
      </c>
      <c r="AE471" s="230">
        <v>366.42600000000004</v>
      </c>
      <c r="AF471" s="230">
        <v>3524.9459999999999</v>
      </c>
      <c r="AG471" s="230">
        <v>406409.19889991923</v>
      </c>
      <c r="AH471" s="230">
        <v>1620509.6262056506</v>
      </c>
      <c r="AI471" s="230">
        <v>4293.3599999999997</v>
      </c>
    </row>
    <row r="472" spans="5:35" x14ac:dyDescent="0.35">
      <c r="E472" s="226">
        <v>1.1409400000000001</v>
      </c>
      <c r="F472" s="227">
        <v>7.5163397260273968</v>
      </c>
      <c r="G472" s="227">
        <v>2743.4639999999999</v>
      </c>
      <c r="H472" s="227">
        <v>0.89659999999999995</v>
      </c>
      <c r="I472" s="227">
        <v>1.8369</v>
      </c>
      <c r="J472" s="227">
        <v>0.47080308668972132</v>
      </c>
      <c r="K472" s="227">
        <v>140</v>
      </c>
      <c r="L472" s="227">
        <v>140</v>
      </c>
      <c r="M472" s="227">
        <v>140</v>
      </c>
      <c r="N472" s="227">
        <v>101.04</v>
      </c>
      <c r="O472" s="227">
        <v>107.83</v>
      </c>
      <c r="P472" s="227">
        <v>124.76</v>
      </c>
      <c r="Q472" s="227">
        <v>114.49</v>
      </c>
      <c r="R472" s="227">
        <v>122.14</v>
      </c>
      <c r="S472" s="227"/>
      <c r="T472" s="227">
        <v>56.639000000000003</v>
      </c>
      <c r="U472" s="227">
        <v>68.540999999999997</v>
      </c>
      <c r="V472" s="227">
        <v>65.069999999999993</v>
      </c>
      <c r="W472" s="227">
        <v>79.5</v>
      </c>
      <c r="X472" s="227">
        <v>79.5</v>
      </c>
      <c r="Y472" s="227">
        <v>79.5</v>
      </c>
      <c r="Z472" s="227">
        <v>79.5</v>
      </c>
      <c r="AA472" s="227">
        <v>79.5</v>
      </c>
      <c r="AB472" s="227">
        <v>60.777999999999999</v>
      </c>
      <c r="AC472" s="227">
        <v>715.88</v>
      </c>
      <c r="AD472" s="230">
        <v>7.0344907407407411E-4</v>
      </c>
      <c r="AE472" s="230">
        <v>364.66800000000001</v>
      </c>
      <c r="AF472" s="230">
        <v>3526.5</v>
      </c>
      <c r="AG472" s="230">
        <v>406773.86689991923</v>
      </c>
      <c r="AH472" s="230">
        <v>1624036.1262056506</v>
      </c>
      <c r="AI472" s="230">
        <v>4295.28</v>
      </c>
    </row>
    <row r="473" spans="5:35" x14ac:dyDescent="0.35">
      <c r="E473" s="226">
        <v>1.1449400000000001</v>
      </c>
      <c r="F473" s="227">
        <v>7.5327780821917809</v>
      </c>
      <c r="G473" s="227">
        <v>2749.4639999999999</v>
      </c>
      <c r="H473" s="227">
        <v>0.89710000000000001</v>
      </c>
      <c r="I473" s="227">
        <v>1.8409</v>
      </c>
      <c r="J473" s="227">
        <v>0.47122313530083249</v>
      </c>
      <c r="K473" s="227">
        <v>140</v>
      </c>
      <c r="L473" s="227">
        <v>140</v>
      </c>
      <c r="M473" s="227">
        <v>140</v>
      </c>
      <c r="N473" s="227">
        <v>101.01</v>
      </c>
      <c r="O473" s="227">
        <v>107.79</v>
      </c>
      <c r="P473" s="227">
        <v>124.73</v>
      </c>
      <c r="Q473" s="227">
        <v>114.46</v>
      </c>
      <c r="R473" s="227">
        <v>122.09</v>
      </c>
      <c r="S473" s="227"/>
      <c r="T473" s="227">
        <v>56.73</v>
      </c>
      <c r="U473" s="227">
        <v>68.608999999999995</v>
      </c>
      <c r="V473" s="227">
        <v>65.168999999999997</v>
      </c>
      <c r="W473" s="227">
        <v>79.5</v>
      </c>
      <c r="X473" s="227">
        <v>79.5</v>
      </c>
      <c r="Y473" s="227">
        <v>79.5</v>
      </c>
      <c r="Z473" s="227">
        <v>79.5</v>
      </c>
      <c r="AA473" s="227">
        <v>79.5</v>
      </c>
      <c r="AB473" s="227">
        <v>60.487000000000002</v>
      </c>
      <c r="AC473" s="227">
        <v>716.19</v>
      </c>
      <c r="AD473" s="230">
        <v>7.000810185185185E-4</v>
      </c>
      <c r="AE473" s="230">
        <v>362.92200000000003</v>
      </c>
      <c r="AF473" s="230">
        <v>3528.0480000000002</v>
      </c>
      <c r="AG473" s="230">
        <v>407136.78889991925</v>
      </c>
      <c r="AH473" s="230">
        <v>1627564.1742056506</v>
      </c>
      <c r="AI473" s="230">
        <v>4297.1400000000003</v>
      </c>
    </row>
    <row r="474" spans="5:35" x14ac:dyDescent="0.35">
      <c r="E474" s="226">
        <v>1.1489400000000001</v>
      </c>
      <c r="F474" s="227">
        <v>7.5492164383561642</v>
      </c>
      <c r="G474" s="227">
        <v>2755.4639999999999</v>
      </c>
      <c r="H474" s="227">
        <v>0.89770000000000005</v>
      </c>
      <c r="I474" s="227">
        <v>1.8449</v>
      </c>
      <c r="J474" s="227">
        <v>0.4716411839119436</v>
      </c>
      <c r="K474" s="227">
        <v>140</v>
      </c>
      <c r="L474" s="227">
        <v>140</v>
      </c>
      <c r="M474" s="227">
        <v>140</v>
      </c>
      <c r="N474" s="227">
        <v>100.99</v>
      </c>
      <c r="O474" s="227">
        <v>107.75</v>
      </c>
      <c r="P474" s="227">
        <v>124.7</v>
      </c>
      <c r="Q474" s="227">
        <v>114.42</v>
      </c>
      <c r="R474" s="227">
        <v>122.04</v>
      </c>
      <c r="S474" s="227"/>
      <c r="T474" s="227">
        <v>56.820999999999998</v>
      </c>
      <c r="U474" s="227">
        <v>68.676000000000002</v>
      </c>
      <c r="V474" s="227">
        <v>65.268000000000001</v>
      </c>
      <c r="W474" s="227">
        <v>79.5</v>
      </c>
      <c r="X474" s="227">
        <v>79.5</v>
      </c>
      <c r="Y474" s="227">
        <v>79.5</v>
      </c>
      <c r="Z474" s="227">
        <v>79.5</v>
      </c>
      <c r="AA474" s="227">
        <v>79.5</v>
      </c>
      <c r="AB474" s="227">
        <v>60.198999999999998</v>
      </c>
      <c r="AC474" s="227">
        <v>716.51</v>
      </c>
      <c r="AD474" s="230">
        <v>6.9674768518518512E-4</v>
      </c>
      <c r="AE474" s="230">
        <v>361.19399999999996</v>
      </c>
      <c r="AF474" s="230">
        <v>3529.59</v>
      </c>
      <c r="AG474" s="230">
        <v>407497.98289991927</v>
      </c>
      <c r="AH474" s="230">
        <v>1631093.7642056507</v>
      </c>
      <c r="AI474" s="230">
        <v>4299.0599999999995</v>
      </c>
    </row>
    <row r="475" spans="5:35" x14ac:dyDescent="0.35">
      <c r="E475" s="226">
        <v>1.1529400000000001</v>
      </c>
      <c r="F475" s="227">
        <v>7.5656547945205475</v>
      </c>
      <c r="G475" s="227">
        <v>2761.4639999999999</v>
      </c>
      <c r="H475" s="227">
        <v>0.8982</v>
      </c>
      <c r="I475" s="227">
        <v>1.8489</v>
      </c>
      <c r="J475" s="227">
        <v>0.47205725335638804</v>
      </c>
      <c r="K475" s="227">
        <v>140</v>
      </c>
      <c r="L475" s="227">
        <v>140</v>
      </c>
      <c r="M475" s="227">
        <v>140</v>
      </c>
      <c r="N475" s="227">
        <v>100.96</v>
      </c>
      <c r="O475" s="227">
        <v>107.71</v>
      </c>
      <c r="P475" s="227">
        <v>124.67</v>
      </c>
      <c r="Q475" s="227">
        <v>114.39</v>
      </c>
      <c r="R475" s="227">
        <v>121.99</v>
      </c>
      <c r="S475" s="227"/>
      <c r="T475" s="227">
        <v>56.911999999999999</v>
      </c>
      <c r="U475" s="227">
        <v>68.742999999999995</v>
      </c>
      <c r="V475" s="227">
        <v>65.367000000000004</v>
      </c>
      <c r="W475" s="227">
        <v>79.5</v>
      </c>
      <c r="X475" s="227">
        <v>79.5</v>
      </c>
      <c r="Y475" s="227">
        <v>79.5</v>
      </c>
      <c r="Z475" s="227">
        <v>79.5</v>
      </c>
      <c r="AA475" s="227">
        <v>79.5</v>
      </c>
      <c r="AB475" s="227">
        <v>59.914000000000001</v>
      </c>
      <c r="AC475" s="227">
        <v>716.82</v>
      </c>
      <c r="AD475" s="230">
        <v>6.9344907407407408E-4</v>
      </c>
      <c r="AE475" s="230">
        <v>359.48399999999998</v>
      </c>
      <c r="AF475" s="230">
        <v>3531.1319999999996</v>
      </c>
      <c r="AG475" s="230">
        <v>407857.46689991927</v>
      </c>
      <c r="AH475" s="230">
        <v>1634624.8962056506</v>
      </c>
      <c r="AI475" s="230">
        <v>4300.92</v>
      </c>
    </row>
    <row r="476" spans="5:35" x14ac:dyDescent="0.35">
      <c r="E476" s="226">
        <v>1.1569400000000001</v>
      </c>
      <c r="F476" s="227">
        <v>7.5820931506849316</v>
      </c>
      <c r="G476" s="227">
        <v>2767.4639999999999</v>
      </c>
      <c r="H476" s="227">
        <v>0.89870000000000005</v>
      </c>
      <c r="I476" s="227">
        <v>1.8529</v>
      </c>
      <c r="J476" s="227">
        <v>0.47247135752305475</v>
      </c>
      <c r="K476" s="227">
        <v>140</v>
      </c>
      <c r="L476" s="227">
        <v>140</v>
      </c>
      <c r="M476" s="227">
        <v>140</v>
      </c>
      <c r="N476" s="227">
        <v>100.94</v>
      </c>
      <c r="O476" s="227">
        <v>107.67</v>
      </c>
      <c r="P476" s="227">
        <v>124.64</v>
      </c>
      <c r="Q476" s="227">
        <v>114.35</v>
      </c>
      <c r="R476" s="227">
        <v>121.94</v>
      </c>
      <c r="S476" s="227"/>
      <c r="T476" s="227">
        <v>57.003</v>
      </c>
      <c r="U476" s="227">
        <v>68.81</v>
      </c>
      <c r="V476" s="227">
        <v>65.465000000000003</v>
      </c>
      <c r="W476" s="227">
        <v>79.5</v>
      </c>
      <c r="X476" s="227">
        <v>79.5</v>
      </c>
      <c r="Y476" s="227">
        <v>79.5</v>
      </c>
      <c r="Z476" s="227">
        <v>79.5</v>
      </c>
      <c r="AA476" s="227">
        <v>79.5</v>
      </c>
      <c r="AB476" s="227">
        <v>59.631</v>
      </c>
      <c r="AC476" s="227">
        <v>717.13</v>
      </c>
      <c r="AD476" s="230">
        <v>6.9017361111111113E-4</v>
      </c>
      <c r="AE476" s="230">
        <v>357.786</v>
      </c>
      <c r="AF476" s="230">
        <v>3532.6680000000001</v>
      </c>
      <c r="AG476" s="230">
        <v>408215.25289991929</v>
      </c>
      <c r="AH476" s="230">
        <v>1638157.5642056507</v>
      </c>
      <c r="AI476" s="230">
        <v>4302.78</v>
      </c>
    </row>
    <row r="477" spans="5:35" x14ac:dyDescent="0.35">
      <c r="E477" s="226">
        <v>1.1609400000000001</v>
      </c>
      <c r="F477" s="227">
        <v>7.5985315068493149</v>
      </c>
      <c r="G477" s="227">
        <v>2773.4639999999999</v>
      </c>
      <c r="H477" s="227">
        <v>0.89929999999999999</v>
      </c>
      <c r="I477" s="227">
        <v>1.8569</v>
      </c>
      <c r="J477" s="227">
        <v>0.47288351030083248</v>
      </c>
      <c r="K477" s="227">
        <v>140</v>
      </c>
      <c r="L477" s="227">
        <v>140</v>
      </c>
      <c r="M477" s="227">
        <v>140</v>
      </c>
      <c r="N477" s="227">
        <v>100.91</v>
      </c>
      <c r="O477" s="227">
        <v>107.62</v>
      </c>
      <c r="P477" s="227">
        <v>124.61</v>
      </c>
      <c r="Q477" s="227">
        <v>114.32</v>
      </c>
      <c r="R477" s="227">
        <v>121.88</v>
      </c>
      <c r="S477" s="227"/>
      <c r="T477" s="227">
        <v>57.093000000000004</v>
      </c>
      <c r="U477" s="227">
        <v>68.876999999999995</v>
      </c>
      <c r="V477" s="227">
        <v>65.563000000000002</v>
      </c>
      <c r="W477" s="227">
        <v>79.5</v>
      </c>
      <c r="X477" s="227">
        <v>79.5</v>
      </c>
      <c r="Y477" s="227">
        <v>79.5</v>
      </c>
      <c r="Z477" s="227">
        <v>79.5</v>
      </c>
      <c r="AA477" s="227">
        <v>79.5</v>
      </c>
      <c r="AB477" s="227">
        <v>59.35</v>
      </c>
      <c r="AC477" s="227">
        <v>717.44</v>
      </c>
      <c r="AD477" s="230">
        <v>6.8692129629629626E-4</v>
      </c>
      <c r="AE477" s="230">
        <v>356.1</v>
      </c>
      <c r="AF477" s="230">
        <v>3534.1980000000003</v>
      </c>
      <c r="AG477" s="230">
        <v>408571.35289991926</v>
      </c>
      <c r="AH477" s="230">
        <v>1641691.7622056508</v>
      </c>
      <c r="AI477" s="230">
        <v>4304.6400000000003</v>
      </c>
    </row>
    <row r="478" spans="5:35" x14ac:dyDescent="0.35">
      <c r="E478" s="226">
        <v>1.1650399999999999</v>
      </c>
      <c r="F478" s="227">
        <v>7.6149698630136982</v>
      </c>
      <c r="G478" s="227">
        <v>2779.4639999999999</v>
      </c>
      <c r="H478" s="227">
        <v>0.89980000000000004</v>
      </c>
      <c r="I478" s="227">
        <v>1.861</v>
      </c>
      <c r="J478" s="227">
        <v>0.47329373252305468</v>
      </c>
      <c r="K478" s="227">
        <v>140</v>
      </c>
      <c r="L478" s="227">
        <v>140</v>
      </c>
      <c r="M478" s="227">
        <v>140</v>
      </c>
      <c r="N478" s="227">
        <v>100.89</v>
      </c>
      <c r="O478" s="227">
        <v>107.58</v>
      </c>
      <c r="P478" s="227">
        <v>124.58</v>
      </c>
      <c r="Q478" s="227">
        <v>114.28</v>
      </c>
      <c r="R478" s="227">
        <v>121.83</v>
      </c>
      <c r="S478" s="227"/>
      <c r="T478" s="227">
        <v>57.183999999999997</v>
      </c>
      <c r="U478" s="227">
        <v>68.942999999999998</v>
      </c>
      <c r="V478" s="227">
        <v>65.661000000000001</v>
      </c>
      <c r="W478" s="227">
        <v>79.5</v>
      </c>
      <c r="X478" s="227">
        <v>79.5</v>
      </c>
      <c r="Y478" s="227">
        <v>79.5</v>
      </c>
      <c r="Z478" s="227">
        <v>79.5</v>
      </c>
      <c r="AA478" s="227">
        <v>79.5</v>
      </c>
      <c r="AB478" s="227">
        <v>59.072000000000003</v>
      </c>
      <c r="AC478" s="227">
        <v>717.75</v>
      </c>
      <c r="AD478" s="230">
        <v>6.8370370370370373E-4</v>
      </c>
      <c r="AE478" s="230">
        <v>354.43200000000002</v>
      </c>
      <c r="AF478" s="230">
        <v>3535.7280000000001</v>
      </c>
      <c r="AG478" s="230">
        <v>408925.78489991924</v>
      </c>
      <c r="AH478" s="230">
        <v>1645227.4902056507</v>
      </c>
      <c r="AI478" s="230">
        <v>4306.5</v>
      </c>
    </row>
    <row r="479" spans="5:35" x14ac:dyDescent="0.35">
      <c r="E479" s="226">
        <v>1.1690399999999999</v>
      </c>
      <c r="F479" s="227">
        <v>7.6314082191780823</v>
      </c>
      <c r="G479" s="227">
        <v>2785.4639999999999</v>
      </c>
      <c r="H479" s="227">
        <v>0.90029999999999999</v>
      </c>
      <c r="I479" s="227">
        <v>1.865</v>
      </c>
      <c r="J479" s="227">
        <v>0.47370203807861022</v>
      </c>
      <c r="K479" s="227">
        <v>140</v>
      </c>
      <c r="L479" s="227">
        <v>140</v>
      </c>
      <c r="M479" s="227">
        <v>140</v>
      </c>
      <c r="N479" s="227">
        <v>100.86</v>
      </c>
      <c r="O479" s="227">
        <v>107.54</v>
      </c>
      <c r="P479" s="227">
        <v>124.55</v>
      </c>
      <c r="Q479" s="227">
        <v>114.25</v>
      </c>
      <c r="R479" s="227">
        <v>121.78</v>
      </c>
      <c r="S479" s="227"/>
      <c r="T479" s="227">
        <v>57.273000000000003</v>
      </c>
      <c r="U479" s="227">
        <v>69.009</v>
      </c>
      <c r="V479" s="227">
        <v>65.757999999999996</v>
      </c>
      <c r="W479" s="227">
        <v>79.5</v>
      </c>
      <c r="X479" s="227">
        <v>79.5</v>
      </c>
      <c r="Y479" s="227">
        <v>79.5</v>
      </c>
      <c r="Z479" s="227">
        <v>79.5</v>
      </c>
      <c r="AA479" s="227">
        <v>79.5</v>
      </c>
      <c r="AB479" s="227">
        <v>58.795999999999999</v>
      </c>
      <c r="AC479" s="227">
        <v>718.06</v>
      </c>
      <c r="AD479" s="230">
        <v>6.8050925925925928E-4</v>
      </c>
      <c r="AE479" s="230">
        <v>352.77600000000001</v>
      </c>
      <c r="AF479" s="230">
        <v>3537.24</v>
      </c>
      <c r="AG479" s="230">
        <v>409278.56089991925</v>
      </c>
      <c r="AH479" s="230">
        <v>1648764.7302056507</v>
      </c>
      <c r="AI479" s="230">
        <v>4308.3599999999997</v>
      </c>
    </row>
    <row r="480" spans="5:35" x14ac:dyDescent="0.35">
      <c r="E480" s="226">
        <v>1.1730399999999999</v>
      </c>
      <c r="F480" s="227">
        <v>7.6478465753424656</v>
      </c>
      <c r="G480" s="227">
        <v>2791.4639999999999</v>
      </c>
      <c r="H480" s="227">
        <v>0.90080000000000005</v>
      </c>
      <c r="I480" s="227">
        <v>1.869</v>
      </c>
      <c r="J480" s="227">
        <v>0.47410844085638798</v>
      </c>
      <c r="K480" s="227">
        <v>140</v>
      </c>
      <c r="L480" s="227">
        <v>140</v>
      </c>
      <c r="M480" s="227">
        <v>140</v>
      </c>
      <c r="N480" s="227">
        <v>100.84</v>
      </c>
      <c r="O480" s="227">
        <v>107.5</v>
      </c>
      <c r="P480" s="227">
        <v>124.52</v>
      </c>
      <c r="Q480" s="227">
        <v>114.22</v>
      </c>
      <c r="R480" s="227">
        <v>121.73</v>
      </c>
      <c r="S480" s="227"/>
      <c r="T480" s="227">
        <v>57.363</v>
      </c>
      <c r="U480" s="227">
        <v>69.075000000000003</v>
      </c>
      <c r="V480" s="227">
        <v>65.855000000000004</v>
      </c>
      <c r="W480" s="227">
        <v>79.5</v>
      </c>
      <c r="X480" s="227">
        <v>79.5</v>
      </c>
      <c r="Y480" s="227">
        <v>79.5</v>
      </c>
      <c r="Z480" s="227">
        <v>79.5</v>
      </c>
      <c r="AA480" s="227">
        <v>79.5</v>
      </c>
      <c r="AB480" s="227">
        <v>58.521999999999998</v>
      </c>
      <c r="AC480" s="227">
        <v>718.37</v>
      </c>
      <c r="AD480" s="230">
        <v>6.7733796296296292E-4</v>
      </c>
      <c r="AE480" s="230">
        <v>351.13200000000001</v>
      </c>
      <c r="AF480" s="230">
        <v>3538.7579999999998</v>
      </c>
      <c r="AG480" s="230">
        <v>409629.69289991923</v>
      </c>
      <c r="AH480" s="230">
        <v>1652303.4882056506</v>
      </c>
      <c r="AI480" s="230">
        <v>4310.22</v>
      </c>
    </row>
    <row r="481" spans="5:35" x14ac:dyDescent="0.35">
      <c r="E481" s="226">
        <v>1.1770399999999999</v>
      </c>
      <c r="F481" s="227">
        <v>7.6642849315068489</v>
      </c>
      <c r="G481" s="227">
        <v>2797.4639999999999</v>
      </c>
      <c r="H481" s="227">
        <v>0.90129999999999999</v>
      </c>
      <c r="I481" s="227">
        <v>1.873</v>
      </c>
      <c r="J481" s="227">
        <v>0.47451296168972135</v>
      </c>
      <c r="K481" s="227">
        <v>140</v>
      </c>
      <c r="L481" s="227">
        <v>140</v>
      </c>
      <c r="M481" s="227">
        <v>140</v>
      </c>
      <c r="N481" s="227">
        <v>100.82</v>
      </c>
      <c r="O481" s="227">
        <v>107.46</v>
      </c>
      <c r="P481" s="227">
        <v>124.49</v>
      </c>
      <c r="Q481" s="227">
        <v>114.18</v>
      </c>
      <c r="R481" s="227">
        <v>121.68</v>
      </c>
      <c r="S481" s="227"/>
      <c r="T481" s="227">
        <v>57.451999999999998</v>
      </c>
      <c r="U481" s="227">
        <v>69.141000000000005</v>
      </c>
      <c r="V481" s="227">
        <v>65.951999999999998</v>
      </c>
      <c r="W481" s="227">
        <v>79.5</v>
      </c>
      <c r="X481" s="227">
        <v>79.5</v>
      </c>
      <c r="Y481" s="227">
        <v>79.5</v>
      </c>
      <c r="Z481" s="227">
        <v>79.5</v>
      </c>
      <c r="AA481" s="227">
        <v>79.5</v>
      </c>
      <c r="AB481" s="227">
        <v>58.250999999999998</v>
      </c>
      <c r="AC481" s="227">
        <v>718.67</v>
      </c>
      <c r="AD481" s="230">
        <v>6.742013888888889E-4</v>
      </c>
      <c r="AE481" s="230">
        <v>349.50599999999997</v>
      </c>
      <c r="AF481" s="230">
        <v>3540.2700000000004</v>
      </c>
      <c r="AG481" s="230">
        <v>409979.19889991923</v>
      </c>
      <c r="AH481" s="230">
        <v>1655843.7582056506</v>
      </c>
      <c r="AI481" s="230">
        <v>4312.0199999999995</v>
      </c>
    </row>
    <row r="482" spans="5:35" x14ac:dyDescent="0.35">
      <c r="E482" s="226">
        <v>1.1810399999999999</v>
      </c>
      <c r="F482" s="227">
        <v>7.680723287671233</v>
      </c>
      <c r="G482" s="227">
        <v>2803.4639999999999</v>
      </c>
      <c r="H482" s="227">
        <v>0.90180000000000005</v>
      </c>
      <c r="I482" s="227">
        <v>1.877</v>
      </c>
      <c r="J482" s="227">
        <v>0.47491561446749908</v>
      </c>
      <c r="K482" s="227">
        <v>140</v>
      </c>
      <c r="L482" s="227">
        <v>140</v>
      </c>
      <c r="M482" s="227">
        <v>140</v>
      </c>
      <c r="N482" s="227">
        <v>100.79</v>
      </c>
      <c r="O482" s="227">
        <v>107.42</v>
      </c>
      <c r="P482" s="227">
        <v>124.46</v>
      </c>
      <c r="Q482" s="227">
        <v>114.15</v>
      </c>
      <c r="R482" s="227">
        <v>121.64</v>
      </c>
      <c r="S482" s="227"/>
      <c r="T482" s="227">
        <v>57.542000000000002</v>
      </c>
      <c r="U482" s="227">
        <v>69.206000000000003</v>
      </c>
      <c r="V482" s="227">
        <v>66.049000000000007</v>
      </c>
      <c r="W482" s="227">
        <v>79.5</v>
      </c>
      <c r="X482" s="227">
        <v>79.5</v>
      </c>
      <c r="Y482" s="227">
        <v>79.5</v>
      </c>
      <c r="Z482" s="227">
        <v>79.5</v>
      </c>
      <c r="AA482" s="227">
        <v>79.5</v>
      </c>
      <c r="AB482" s="227">
        <v>57.981999999999999</v>
      </c>
      <c r="AC482" s="227">
        <v>718.98</v>
      </c>
      <c r="AD482" s="230">
        <v>6.7108796296296296E-4</v>
      </c>
      <c r="AE482" s="230">
        <v>347.89200000000005</v>
      </c>
      <c r="AF482" s="230">
        <v>3541.7820000000002</v>
      </c>
      <c r="AG482" s="230">
        <v>410327.09089991922</v>
      </c>
      <c r="AH482" s="230">
        <v>1659385.5402056505</v>
      </c>
      <c r="AI482" s="230">
        <v>4313.88</v>
      </c>
    </row>
    <row r="483" spans="5:35" x14ac:dyDescent="0.35">
      <c r="E483" s="226">
        <v>1.1850399999999999</v>
      </c>
      <c r="F483" s="227">
        <v>7.6971616438356163</v>
      </c>
      <c r="G483" s="227">
        <v>2809.4639999999999</v>
      </c>
      <c r="H483" s="227">
        <v>0.90229999999999999</v>
      </c>
      <c r="I483" s="227">
        <v>1.881</v>
      </c>
      <c r="J483" s="227">
        <v>0.47531641307861017</v>
      </c>
      <c r="K483" s="227">
        <v>140</v>
      </c>
      <c r="L483" s="227">
        <v>140</v>
      </c>
      <c r="M483" s="227">
        <v>140</v>
      </c>
      <c r="N483" s="227">
        <v>100.77</v>
      </c>
      <c r="O483" s="227">
        <v>107.38</v>
      </c>
      <c r="P483" s="227">
        <v>124.43</v>
      </c>
      <c r="Q483" s="227">
        <v>114.12</v>
      </c>
      <c r="R483" s="227">
        <v>121.59</v>
      </c>
      <c r="S483" s="227"/>
      <c r="T483" s="227">
        <v>57.631</v>
      </c>
      <c r="U483" s="227">
        <v>69.27</v>
      </c>
      <c r="V483" s="227">
        <v>66.144999999999996</v>
      </c>
      <c r="W483" s="227">
        <v>79.5</v>
      </c>
      <c r="X483" s="227">
        <v>79.5</v>
      </c>
      <c r="Y483" s="227">
        <v>79.5</v>
      </c>
      <c r="Z483" s="227">
        <v>79.5</v>
      </c>
      <c r="AA483" s="227">
        <v>79.5</v>
      </c>
      <c r="AB483" s="227">
        <v>57.715000000000003</v>
      </c>
      <c r="AC483" s="227">
        <v>719.29</v>
      </c>
      <c r="AD483" s="230">
        <v>6.6799768518518521E-4</v>
      </c>
      <c r="AE483" s="230">
        <v>346.29</v>
      </c>
      <c r="AF483" s="230">
        <v>3543.2760000000003</v>
      </c>
      <c r="AG483" s="230">
        <v>410673.3808999192</v>
      </c>
      <c r="AH483" s="230">
        <v>1662928.8162056506</v>
      </c>
      <c r="AI483" s="230">
        <v>4315.74</v>
      </c>
    </row>
    <row r="484" spans="5:35" x14ac:dyDescent="0.35">
      <c r="E484" s="226">
        <v>1.1891400000000001</v>
      </c>
      <c r="F484" s="227">
        <v>7.7135999999999996</v>
      </c>
      <c r="G484" s="227">
        <v>2815.4639999999999</v>
      </c>
      <c r="H484" s="227">
        <v>0.90280000000000005</v>
      </c>
      <c r="I484" s="227">
        <v>1.8851</v>
      </c>
      <c r="J484" s="227">
        <v>0.47571537141194353</v>
      </c>
      <c r="K484" s="227">
        <v>140</v>
      </c>
      <c r="L484" s="227">
        <v>140</v>
      </c>
      <c r="M484" s="227">
        <v>140</v>
      </c>
      <c r="N484" s="227">
        <v>100.74</v>
      </c>
      <c r="O484" s="227">
        <v>107.34</v>
      </c>
      <c r="P484" s="227">
        <v>124.39</v>
      </c>
      <c r="Q484" s="227">
        <v>114.08</v>
      </c>
      <c r="R484" s="227">
        <v>121.54</v>
      </c>
      <c r="S484" s="227"/>
      <c r="T484" s="227">
        <v>57.72</v>
      </c>
      <c r="U484" s="227">
        <v>69.334999999999994</v>
      </c>
      <c r="V484" s="227">
        <v>66.242000000000004</v>
      </c>
      <c r="W484" s="227">
        <v>79.5</v>
      </c>
      <c r="X484" s="227">
        <v>79.5</v>
      </c>
      <c r="Y484" s="227">
        <v>79.5</v>
      </c>
      <c r="Z484" s="227">
        <v>79.5</v>
      </c>
      <c r="AA484" s="227">
        <v>79.5</v>
      </c>
      <c r="AB484" s="227">
        <v>57.45</v>
      </c>
      <c r="AC484" s="227">
        <v>719.59</v>
      </c>
      <c r="AD484" s="230">
        <v>6.6493055555555554E-4</v>
      </c>
      <c r="AE484" s="230">
        <v>344.69999999999993</v>
      </c>
      <c r="AF484" s="230">
        <v>3544.7820000000002</v>
      </c>
      <c r="AG484" s="230">
        <v>411018.08089991921</v>
      </c>
      <c r="AH484" s="230">
        <v>1666473.5982056505</v>
      </c>
      <c r="AI484" s="230">
        <v>4317.54</v>
      </c>
    </row>
    <row r="485" spans="5:35" x14ac:dyDescent="0.35">
      <c r="E485" s="226">
        <v>1.1931400000000001</v>
      </c>
      <c r="F485" s="227">
        <v>7.7300383561643837</v>
      </c>
      <c r="G485" s="227">
        <v>2821.4639999999999</v>
      </c>
      <c r="H485" s="227">
        <v>0.90329999999999999</v>
      </c>
      <c r="I485" s="227">
        <v>1.8891</v>
      </c>
      <c r="J485" s="227">
        <v>0.47611250335638794</v>
      </c>
      <c r="K485" s="227">
        <v>140</v>
      </c>
      <c r="L485" s="227">
        <v>140</v>
      </c>
      <c r="M485" s="227">
        <v>140</v>
      </c>
      <c r="N485" s="227">
        <v>100.72</v>
      </c>
      <c r="O485" s="227">
        <v>107.31</v>
      </c>
      <c r="P485" s="227">
        <v>124.36</v>
      </c>
      <c r="Q485" s="227">
        <v>114.05</v>
      </c>
      <c r="R485" s="227">
        <v>121.49</v>
      </c>
      <c r="S485" s="227"/>
      <c r="T485" s="227">
        <v>57.808999999999997</v>
      </c>
      <c r="U485" s="227">
        <v>69.399000000000001</v>
      </c>
      <c r="V485" s="227">
        <v>66.337999999999994</v>
      </c>
      <c r="W485" s="227">
        <v>79.5</v>
      </c>
      <c r="X485" s="227">
        <v>79.5</v>
      </c>
      <c r="Y485" s="227">
        <v>79.5</v>
      </c>
      <c r="Z485" s="227">
        <v>79.5</v>
      </c>
      <c r="AA485" s="227">
        <v>79.5</v>
      </c>
      <c r="AB485" s="227">
        <v>57.186999999999998</v>
      </c>
      <c r="AC485" s="227">
        <v>719.89</v>
      </c>
      <c r="AD485" s="230">
        <v>6.6188657407407407E-4</v>
      </c>
      <c r="AE485" s="230">
        <v>343.12199999999996</v>
      </c>
      <c r="AF485" s="230">
        <v>3546.2760000000003</v>
      </c>
      <c r="AG485" s="230">
        <v>411361.20289991918</v>
      </c>
      <c r="AH485" s="230">
        <v>1670019.8742056505</v>
      </c>
      <c r="AI485" s="230">
        <v>4319.34</v>
      </c>
    </row>
    <row r="486" spans="5:35" x14ac:dyDescent="0.35">
      <c r="E486" s="226">
        <v>1.1971400000000001</v>
      </c>
      <c r="F486" s="227">
        <v>7.746476712328767</v>
      </c>
      <c r="G486" s="227">
        <v>2827.4639999999999</v>
      </c>
      <c r="H486" s="227">
        <v>0.90369999999999995</v>
      </c>
      <c r="I486" s="227">
        <v>1.8931</v>
      </c>
      <c r="J486" s="227">
        <v>0.47650782280083237</v>
      </c>
      <c r="K486" s="227">
        <v>140</v>
      </c>
      <c r="L486" s="227">
        <v>140</v>
      </c>
      <c r="M486" s="227">
        <v>140</v>
      </c>
      <c r="N486" s="227">
        <v>100.7</v>
      </c>
      <c r="O486" s="227">
        <v>107.27</v>
      </c>
      <c r="P486" s="227">
        <v>124.33</v>
      </c>
      <c r="Q486" s="227">
        <v>114.02</v>
      </c>
      <c r="R486" s="227">
        <v>121.44</v>
      </c>
      <c r="S486" s="227"/>
      <c r="T486" s="227">
        <v>57.896999999999998</v>
      </c>
      <c r="U486" s="227">
        <v>69.462999999999994</v>
      </c>
      <c r="V486" s="227">
        <v>66.433999999999997</v>
      </c>
      <c r="W486" s="227">
        <v>79.5</v>
      </c>
      <c r="X486" s="227">
        <v>79.5</v>
      </c>
      <c r="Y486" s="227">
        <v>79.5</v>
      </c>
      <c r="Z486" s="227">
        <v>79.5</v>
      </c>
      <c r="AA486" s="227">
        <v>79.5</v>
      </c>
      <c r="AB486" s="227">
        <v>56.926000000000002</v>
      </c>
      <c r="AC486" s="227">
        <v>720.2</v>
      </c>
      <c r="AD486" s="230">
        <v>6.5886574074074079E-4</v>
      </c>
      <c r="AE486" s="230">
        <v>341.55600000000004</v>
      </c>
      <c r="AF486" s="230">
        <v>3547.7640000000001</v>
      </c>
      <c r="AG486" s="230">
        <v>411702.75889991916</v>
      </c>
      <c r="AH486" s="230">
        <v>1673567.6382056505</v>
      </c>
      <c r="AI486" s="230">
        <v>4321.2000000000007</v>
      </c>
    </row>
    <row r="487" spans="5:35" x14ac:dyDescent="0.35">
      <c r="E487" s="226">
        <v>1.2011400000000001</v>
      </c>
      <c r="F487" s="227">
        <v>7.7629150684931503</v>
      </c>
      <c r="G487" s="227">
        <v>2833.4639999999999</v>
      </c>
      <c r="H487" s="227">
        <v>0.9042</v>
      </c>
      <c r="I487" s="227">
        <v>1.8971</v>
      </c>
      <c r="J487" s="227">
        <v>0.47690133668972123</v>
      </c>
      <c r="K487" s="227">
        <v>140</v>
      </c>
      <c r="L487" s="227">
        <v>140</v>
      </c>
      <c r="M487" s="227">
        <v>140</v>
      </c>
      <c r="N487" s="227">
        <v>100.67</v>
      </c>
      <c r="O487" s="227">
        <v>107.23</v>
      </c>
      <c r="P487" s="227">
        <v>124.3</v>
      </c>
      <c r="Q487" s="227">
        <v>113.99</v>
      </c>
      <c r="R487" s="227">
        <v>121.39</v>
      </c>
      <c r="S487" s="227"/>
      <c r="T487" s="227">
        <v>57.985999999999997</v>
      </c>
      <c r="U487" s="227">
        <v>69.527000000000001</v>
      </c>
      <c r="V487" s="227">
        <v>66.53</v>
      </c>
      <c r="W487" s="227">
        <v>79.5</v>
      </c>
      <c r="X487" s="227">
        <v>79.5</v>
      </c>
      <c r="Y487" s="227">
        <v>79.5</v>
      </c>
      <c r="Z487" s="227">
        <v>79.5</v>
      </c>
      <c r="AA487" s="227">
        <v>79.5</v>
      </c>
      <c r="AB487" s="227">
        <v>56.665999999999997</v>
      </c>
      <c r="AC487" s="227">
        <v>720.5</v>
      </c>
      <c r="AD487" s="230">
        <v>6.5585648148148144E-4</v>
      </c>
      <c r="AE487" s="230">
        <v>339.99600000000004</v>
      </c>
      <c r="AF487" s="230">
        <v>3549.2579999999998</v>
      </c>
      <c r="AG487" s="230">
        <v>412042.75489991915</v>
      </c>
      <c r="AH487" s="230">
        <v>1677116.8962056504</v>
      </c>
      <c r="AI487" s="230">
        <v>4323</v>
      </c>
    </row>
    <row r="488" spans="5:35" x14ac:dyDescent="0.35">
      <c r="E488" s="226">
        <v>1.2051400000000001</v>
      </c>
      <c r="F488" s="227">
        <v>7.7793534246575344</v>
      </c>
      <c r="G488" s="227">
        <v>2839.4639999999999</v>
      </c>
      <c r="H488" s="227">
        <v>0.90469999999999995</v>
      </c>
      <c r="I488" s="227">
        <v>1.9011</v>
      </c>
      <c r="J488" s="227">
        <v>0.47729306585638792</v>
      </c>
      <c r="K488" s="227">
        <v>140</v>
      </c>
      <c r="L488" s="227">
        <v>140</v>
      </c>
      <c r="M488" s="227">
        <v>140</v>
      </c>
      <c r="N488" s="227">
        <v>100.65</v>
      </c>
      <c r="O488" s="227">
        <v>107.19</v>
      </c>
      <c r="P488" s="227">
        <v>124.27</v>
      </c>
      <c r="Q488" s="227">
        <v>113.95</v>
      </c>
      <c r="R488" s="227">
        <v>121.35</v>
      </c>
      <c r="S488" s="227"/>
      <c r="T488" s="227">
        <v>58.073999999999998</v>
      </c>
      <c r="U488" s="227">
        <v>69.590999999999994</v>
      </c>
      <c r="V488" s="227">
        <v>66.626000000000005</v>
      </c>
      <c r="W488" s="227">
        <v>79.5</v>
      </c>
      <c r="X488" s="227">
        <v>79.5</v>
      </c>
      <c r="Y488" s="227">
        <v>79.5</v>
      </c>
      <c r="Z488" s="227">
        <v>79.5</v>
      </c>
      <c r="AA488" s="227">
        <v>79.5</v>
      </c>
      <c r="AB488" s="227">
        <v>56.408999999999999</v>
      </c>
      <c r="AC488" s="227">
        <v>720.8</v>
      </c>
      <c r="AD488" s="230">
        <v>6.5288194444444443E-4</v>
      </c>
      <c r="AE488" s="230">
        <v>338.45399999999995</v>
      </c>
      <c r="AF488" s="230">
        <v>3550.7459999999996</v>
      </c>
      <c r="AG488" s="230">
        <v>412381.20889991918</v>
      </c>
      <c r="AH488" s="230">
        <v>1680667.6422056505</v>
      </c>
      <c r="AI488" s="230">
        <v>4324.7999999999993</v>
      </c>
    </row>
    <row r="489" spans="5:35" x14ac:dyDescent="0.35">
      <c r="E489" s="226">
        <v>1.2091400000000001</v>
      </c>
      <c r="F489" s="227">
        <v>7.7957917808219177</v>
      </c>
      <c r="G489" s="227">
        <v>2845.4639999999999</v>
      </c>
      <c r="H489" s="227">
        <v>0.9052</v>
      </c>
      <c r="I489" s="227">
        <v>1.9051</v>
      </c>
      <c r="J489" s="227">
        <v>0.47768303113416571</v>
      </c>
      <c r="K489" s="227">
        <v>140</v>
      </c>
      <c r="L489" s="227">
        <v>140</v>
      </c>
      <c r="M489" s="227">
        <v>140</v>
      </c>
      <c r="N489" s="227">
        <v>100.62</v>
      </c>
      <c r="O489" s="227">
        <v>107.15</v>
      </c>
      <c r="P489" s="227">
        <v>124.24</v>
      </c>
      <c r="Q489" s="227">
        <v>113.92</v>
      </c>
      <c r="R489" s="227">
        <v>121.3</v>
      </c>
      <c r="S489" s="227"/>
      <c r="T489" s="227">
        <v>58.161999999999999</v>
      </c>
      <c r="U489" s="227">
        <v>69.653999999999996</v>
      </c>
      <c r="V489" s="227">
        <v>66.721000000000004</v>
      </c>
      <c r="W489" s="227">
        <v>79.5</v>
      </c>
      <c r="X489" s="227">
        <v>79.5</v>
      </c>
      <c r="Y489" s="227">
        <v>79.5</v>
      </c>
      <c r="Z489" s="227">
        <v>79.5</v>
      </c>
      <c r="AA489" s="227">
        <v>79.5</v>
      </c>
      <c r="AB489" s="227">
        <v>56.155000000000001</v>
      </c>
      <c r="AC489" s="227">
        <v>721.1</v>
      </c>
      <c r="AD489" s="230">
        <v>6.4994212962962965E-4</v>
      </c>
      <c r="AE489" s="230">
        <v>336.93</v>
      </c>
      <c r="AF489" s="230">
        <v>3552.2220000000002</v>
      </c>
      <c r="AG489" s="230">
        <v>412718.13889991917</v>
      </c>
      <c r="AH489" s="230">
        <v>1684219.8642056505</v>
      </c>
      <c r="AI489" s="230">
        <v>4326.6000000000004</v>
      </c>
    </row>
    <row r="490" spans="5:35" x14ac:dyDescent="0.35">
      <c r="E490" s="226">
        <v>1.2132399999999999</v>
      </c>
      <c r="F490" s="227">
        <v>7.812230136986301</v>
      </c>
      <c r="G490" s="227">
        <v>2851.4639999999999</v>
      </c>
      <c r="H490" s="227">
        <v>0.90559999999999996</v>
      </c>
      <c r="I490" s="227">
        <v>1.9092</v>
      </c>
      <c r="J490" s="227">
        <v>0.47807124641194348</v>
      </c>
      <c r="K490" s="227">
        <v>140</v>
      </c>
      <c r="L490" s="227">
        <v>140</v>
      </c>
      <c r="M490" s="227">
        <v>140</v>
      </c>
      <c r="N490" s="227">
        <v>100.6</v>
      </c>
      <c r="O490" s="227">
        <v>107.12</v>
      </c>
      <c r="P490" s="227">
        <v>124.21</v>
      </c>
      <c r="Q490" s="227">
        <v>113.89</v>
      </c>
      <c r="R490" s="227">
        <v>121.25</v>
      </c>
      <c r="S490" s="227"/>
      <c r="T490" s="227">
        <v>58.249000000000002</v>
      </c>
      <c r="U490" s="227">
        <v>69.716999999999999</v>
      </c>
      <c r="V490" s="227">
        <v>66.816000000000003</v>
      </c>
      <c r="W490" s="227">
        <v>79.5</v>
      </c>
      <c r="X490" s="227">
        <v>79.5</v>
      </c>
      <c r="Y490" s="227">
        <v>79.5</v>
      </c>
      <c r="Z490" s="227">
        <v>79.5</v>
      </c>
      <c r="AA490" s="227">
        <v>79.5</v>
      </c>
      <c r="AB490" s="227">
        <v>55.902999999999999</v>
      </c>
      <c r="AC490" s="227">
        <v>721.4</v>
      </c>
      <c r="AD490" s="230">
        <v>6.4702546296296296E-4</v>
      </c>
      <c r="AE490" s="230">
        <v>335.41800000000001</v>
      </c>
      <c r="AF490" s="230">
        <v>3553.692</v>
      </c>
      <c r="AG490" s="230">
        <v>413053.55689991917</v>
      </c>
      <c r="AH490" s="230">
        <v>1687773.5562056506</v>
      </c>
      <c r="AI490" s="230">
        <v>4328.3999999999996</v>
      </c>
    </row>
    <row r="491" spans="5:35" x14ac:dyDescent="0.35">
      <c r="E491" s="226">
        <v>1.2172399999999999</v>
      </c>
      <c r="F491" s="227">
        <v>7.8286684931506851</v>
      </c>
      <c r="G491" s="227">
        <v>2857.4639999999999</v>
      </c>
      <c r="H491" s="227">
        <v>0.90610000000000002</v>
      </c>
      <c r="I491" s="227">
        <v>1.9132</v>
      </c>
      <c r="J491" s="227">
        <v>0.47845772557861016</v>
      </c>
      <c r="K491" s="227">
        <v>140</v>
      </c>
      <c r="L491" s="227">
        <v>140</v>
      </c>
      <c r="M491" s="227">
        <v>140</v>
      </c>
      <c r="N491" s="227">
        <v>100.58</v>
      </c>
      <c r="O491" s="227">
        <v>107.08</v>
      </c>
      <c r="P491" s="227">
        <v>124.18</v>
      </c>
      <c r="Q491" s="227">
        <v>113.86</v>
      </c>
      <c r="R491" s="227">
        <v>121.21</v>
      </c>
      <c r="S491" s="227"/>
      <c r="T491" s="227">
        <v>58.337000000000003</v>
      </c>
      <c r="U491" s="227">
        <v>69.778999999999996</v>
      </c>
      <c r="V491" s="227">
        <v>66.911000000000001</v>
      </c>
      <c r="W491" s="227">
        <v>79.5</v>
      </c>
      <c r="X491" s="227">
        <v>79.5</v>
      </c>
      <c r="Y491" s="227">
        <v>79.5</v>
      </c>
      <c r="Z491" s="227">
        <v>79.5</v>
      </c>
      <c r="AA491" s="227">
        <v>79.5</v>
      </c>
      <c r="AB491" s="227">
        <v>55.652999999999999</v>
      </c>
      <c r="AC491" s="227">
        <v>721.7</v>
      </c>
      <c r="AD491" s="230">
        <v>6.4413194444444446E-4</v>
      </c>
      <c r="AE491" s="230">
        <v>333.91800000000001</v>
      </c>
      <c r="AF491" s="230">
        <v>3555.1620000000003</v>
      </c>
      <c r="AG491" s="230">
        <v>413387.47489991918</v>
      </c>
      <c r="AH491" s="230">
        <v>1691328.7182056506</v>
      </c>
      <c r="AI491" s="230">
        <v>4330.2000000000007</v>
      </c>
    </row>
    <row r="492" spans="5:35" x14ac:dyDescent="0.35">
      <c r="E492" s="226">
        <v>1.2212399999999999</v>
      </c>
      <c r="F492" s="227">
        <v>7.8451068493150684</v>
      </c>
      <c r="G492" s="227">
        <v>2863.4639999999999</v>
      </c>
      <c r="H492" s="227">
        <v>0.90649999999999997</v>
      </c>
      <c r="I492" s="227">
        <v>1.9172</v>
      </c>
      <c r="J492" s="227">
        <v>0.47884248252305461</v>
      </c>
      <c r="K492" s="227">
        <v>140</v>
      </c>
      <c r="L492" s="227">
        <v>140</v>
      </c>
      <c r="M492" s="227">
        <v>140</v>
      </c>
      <c r="N492" s="227">
        <v>100.55</v>
      </c>
      <c r="O492" s="227">
        <v>107.04</v>
      </c>
      <c r="P492" s="227">
        <v>124.15</v>
      </c>
      <c r="Q492" s="227">
        <v>113.83</v>
      </c>
      <c r="R492" s="227">
        <v>121.16</v>
      </c>
      <c r="S492" s="227"/>
      <c r="T492" s="227">
        <v>58.423999999999999</v>
      </c>
      <c r="U492" s="227">
        <v>69.841999999999999</v>
      </c>
      <c r="V492" s="227">
        <v>67.004999999999995</v>
      </c>
      <c r="W492" s="227">
        <v>79.5</v>
      </c>
      <c r="X492" s="227">
        <v>79.5</v>
      </c>
      <c r="Y492" s="227">
        <v>79.5</v>
      </c>
      <c r="Z492" s="227">
        <v>79.5</v>
      </c>
      <c r="AA492" s="227">
        <v>79.5</v>
      </c>
      <c r="AB492" s="227">
        <v>55.405000000000001</v>
      </c>
      <c r="AC492" s="227">
        <v>721.99</v>
      </c>
      <c r="AD492" s="230">
        <v>6.4126157407407404E-4</v>
      </c>
      <c r="AE492" s="230">
        <v>332.43</v>
      </c>
      <c r="AF492" s="230">
        <v>3556.6259999999997</v>
      </c>
      <c r="AG492" s="230">
        <v>413719.90489991917</v>
      </c>
      <c r="AH492" s="230">
        <v>1694885.3442056505</v>
      </c>
      <c r="AI492" s="230">
        <v>4331.9400000000005</v>
      </c>
    </row>
    <row r="493" spans="5:35" x14ac:dyDescent="0.35">
      <c r="E493" s="226">
        <v>1.2252399999999999</v>
      </c>
      <c r="F493" s="227">
        <v>7.8615452054794517</v>
      </c>
      <c r="G493" s="227">
        <v>2869.4639999999999</v>
      </c>
      <c r="H493" s="227">
        <v>0.90700000000000003</v>
      </c>
      <c r="I493" s="227">
        <v>1.9212</v>
      </c>
      <c r="J493" s="227">
        <v>0.47922553113416572</v>
      </c>
      <c r="K493" s="227">
        <v>140</v>
      </c>
      <c r="L493" s="227">
        <v>140</v>
      </c>
      <c r="M493" s="227">
        <v>140</v>
      </c>
      <c r="N493" s="227">
        <v>100.53</v>
      </c>
      <c r="O493" s="227">
        <v>107</v>
      </c>
      <c r="P493" s="227">
        <v>124.13</v>
      </c>
      <c r="Q493" s="227">
        <v>113.79</v>
      </c>
      <c r="R493" s="227">
        <v>121.12</v>
      </c>
      <c r="S493" s="227"/>
      <c r="T493" s="227">
        <v>58.511000000000003</v>
      </c>
      <c r="U493" s="227">
        <v>69.903999999999996</v>
      </c>
      <c r="V493" s="227">
        <v>67.099999999999994</v>
      </c>
      <c r="W493" s="227">
        <v>79.5</v>
      </c>
      <c r="X493" s="227">
        <v>79.5</v>
      </c>
      <c r="Y493" s="227">
        <v>79.5</v>
      </c>
      <c r="Z493" s="227">
        <v>79.5</v>
      </c>
      <c r="AA493" s="227">
        <v>79.5</v>
      </c>
      <c r="AB493" s="227">
        <v>55.158999999999999</v>
      </c>
      <c r="AC493" s="227">
        <v>722.29</v>
      </c>
      <c r="AD493" s="230">
        <v>6.3841435185185182E-4</v>
      </c>
      <c r="AE493" s="230">
        <v>330.95400000000001</v>
      </c>
      <c r="AF493" s="230">
        <v>3558.09</v>
      </c>
      <c r="AG493" s="230">
        <v>414050.8588999192</v>
      </c>
      <c r="AH493" s="230">
        <v>1698443.4342056506</v>
      </c>
      <c r="AI493" s="230">
        <v>4333.74</v>
      </c>
    </row>
    <row r="494" spans="5:35" x14ac:dyDescent="0.35">
      <c r="E494" s="226">
        <v>1.2292399999999999</v>
      </c>
      <c r="F494" s="227">
        <v>7.8779835616438358</v>
      </c>
      <c r="G494" s="227">
        <v>2875.4639999999999</v>
      </c>
      <c r="H494" s="227">
        <v>0.90739999999999998</v>
      </c>
      <c r="I494" s="227">
        <v>1.9252</v>
      </c>
      <c r="J494" s="227">
        <v>0.47960689224527686</v>
      </c>
      <c r="K494" s="227">
        <v>140</v>
      </c>
      <c r="L494" s="227">
        <v>140</v>
      </c>
      <c r="M494" s="227">
        <v>140</v>
      </c>
      <c r="N494" s="227">
        <v>100.51</v>
      </c>
      <c r="O494" s="227">
        <v>106.97</v>
      </c>
      <c r="P494" s="227">
        <v>124.1</v>
      </c>
      <c r="Q494" s="227">
        <v>113.76</v>
      </c>
      <c r="R494" s="227">
        <v>121.07</v>
      </c>
      <c r="S494" s="227"/>
      <c r="T494" s="227">
        <v>58.597000000000001</v>
      </c>
      <c r="U494" s="227">
        <v>69.965999999999994</v>
      </c>
      <c r="V494" s="227">
        <v>67.194000000000003</v>
      </c>
      <c r="W494" s="227">
        <v>79.5</v>
      </c>
      <c r="X494" s="227">
        <v>79.5</v>
      </c>
      <c r="Y494" s="227">
        <v>79.5</v>
      </c>
      <c r="Z494" s="227">
        <v>79.5</v>
      </c>
      <c r="AA494" s="227">
        <v>79.5</v>
      </c>
      <c r="AB494" s="227">
        <v>54.915999999999997</v>
      </c>
      <c r="AC494" s="227">
        <v>722.59</v>
      </c>
      <c r="AD494" s="230">
        <v>6.3560185185185182E-4</v>
      </c>
      <c r="AE494" s="230">
        <v>329.49599999999998</v>
      </c>
      <c r="AF494" s="230">
        <v>3559.5420000000004</v>
      </c>
      <c r="AG494" s="230">
        <v>414380.35489991918</v>
      </c>
      <c r="AH494" s="230">
        <v>1702002.9762056505</v>
      </c>
      <c r="AI494" s="230">
        <v>4335.54</v>
      </c>
    </row>
    <row r="495" spans="5:35" x14ac:dyDescent="0.35">
      <c r="E495" s="226">
        <v>1.2332399999999999</v>
      </c>
      <c r="F495" s="227">
        <v>7.8944219178082191</v>
      </c>
      <c r="G495" s="227">
        <v>2881.4639999999999</v>
      </c>
      <c r="H495" s="227">
        <v>0.90790000000000004</v>
      </c>
      <c r="I495" s="227">
        <v>1.9292</v>
      </c>
      <c r="J495" s="227">
        <v>0.47998657974527681</v>
      </c>
      <c r="K495" s="227">
        <v>140</v>
      </c>
      <c r="L495" s="227">
        <v>140</v>
      </c>
      <c r="M495" s="227">
        <v>140</v>
      </c>
      <c r="N495" s="227">
        <v>100.48</v>
      </c>
      <c r="O495" s="227">
        <v>106.93</v>
      </c>
      <c r="P495" s="227">
        <v>124.07</v>
      </c>
      <c r="Q495" s="227">
        <v>113.73</v>
      </c>
      <c r="R495" s="227">
        <v>121.03</v>
      </c>
      <c r="S495" s="227"/>
      <c r="T495" s="227">
        <v>58.683999999999997</v>
      </c>
      <c r="U495" s="227">
        <v>70.027000000000001</v>
      </c>
      <c r="V495" s="227">
        <v>67.287999999999997</v>
      </c>
      <c r="W495" s="227">
        <v>79.5</v>
      </c>
      <c r="X495" s="227">
        <v>79.5</v>
      </c>
      <c r="Y495" s="227">
        <v>79.5</v>
      </c>
      <c r="Z495" s="227">
        <v>79.5</v>
      </c>
      <c r="AA495" s="227">
        <v>79.5</v>
      </c>
      <c r="AB495" s="227">
        <v>54.674999999999997</v>
      </c>
      <c r="AC495" s="227">
        <v>722.88</v>
      </c>
      <c r="AD495" s="230">
        <v>6.3281250000000002E-4</v>
      </c>
      <c r="AE495" s="230">
        <v>328.05</v>
      </c>
      <c r="AF495" s="230">
        <v>3560.9940000000001</v>
      </c>
      <c r="AG495" s="230">
        <v>414708.40489991917</v>
      </c>
      <c r="AH495" s="230">
        <v>1705563.9702056504</v>
      </c>
      <c r="AI495" s="230">
        <v>4337.28</v>
      </c>
    </row>
    <row r="496" spans="5:35" x14ac:dyDescent="0.35">
      <c r="E496" s="226">
        <v>1.2373400000000001</v>
      </c>
      <c r="F496" s="227">
        <v>7.9108602739726024</v>
      </c>
      <c r="G496" s="227">
        <v>2887.4639999999999</v>
      </c>
      <c r="H496" s="227">
        <v>0.9083</v>
      </c>
      <c r="I496" s="227">
        <v>1.9333</v>
      </c>
      <c r="J496" s="227">
        <v>0.48036460057861013</v>
      </c>
      <c r="K496" s="227">
        <v>140</v>
      </c>
      <c r="L496" s="227">
        <v>140</v>
      </c>
      <c r="M496" s="227">
        <v>140</v>
      </c>
      <c r="N496" s="227">
        <v>100.46</v>
      </c>
      <c r="O496" s="227">
        <v>106.9</v>
      </c>
      <c r="P496" s="227">
        <v>124.04</v>
      </c>
      <c r="Q496" s="227">
        <v>113.7</v>
      </c>
      <c r="R496" s="227">
        <v>120.98</v>
      </c>
      <c r="S496" s="227"/>
      <c r="T496" s="227">
        <v>58.771000000000001</v>
      </c>
      <c r="U496" s="227">
        <v>70.088999999999999</v>
      </c>
      <c r="V496" s="227">
        <v>67.382000000000005</v>
      </c>
      <c r="W496" s="227">
        <v>79.5</v>
      </c>
      <c r="X496" s="227">
        <v>79.5</v>
      </c>
      <c r="Y496" s="227">
        <v>79.5</v>
      </c>
      <c r="Z496" s="227">
        <v>79.5</v>
      </c>
      <c r="AA496" s="227">
        <v>79.5</v>
      </c>
      <c r="AB496" s="227">
        <v>54.435000000000002</v>
      </c>
      <c r="AC496" s="227">
        <v>723.18</v>
      </c>
      <c r="AD496" s="230">
        <v>6.3003472222222226E-4</v>
      </c>
      <c r="AE496" s="230">
        <v>326.61</v>
      </c>
      <c r="AF496" s="230">
        <v>3562.4519999999998</v>
      </c>
      <c r="AG496" s="230">
        <v>415035.01489991916</v>
      </c>
      <c r="AH496" s="230">
        <v>1709126.4222056505</v>
      </c>
      <c r="AI496" s="230">
        <v>4339.08</v>
      </c>
    </row>
    <row r="497" spans="5:35" x14ac:dyDescent="0.35">
      <c r="E497" s="226">
        <v>1.2413400000000001</v>
      </c>
      <c r="F497" s="227">
        <v>7.9272986301369865</v>
      </c>
      <c r="G497" s="227">
        <v>2893.4639999999999</v>
      </c>
      <c r="H497" s="227">
        <v>0.90880000000000005</v>
      </c>
      <c r="I497" s="227">
        <v>1.9373</v>
      </c>
      <c r="J497" s="227">
        <v>0.48074097557861017</v>
      </c>
      <c r="K497" s="227">
        <v>140</v>
      </c>
      <c r="L497" s="227">
        <v>140</v>
      </c>
      <c r="M497" s="227">
        <v>140</v>
      </c>
      <c r="N497" s="227">
        <v>100.44</v>
      </c>
      <c r="O497" s="227">
        <v>106.86</v>
      </c>
      <c r="P497" s="227">
        <v>124.01</v>
      </c>
      <c r="Q497" s="227">
        <v>113.67</v>
      </c>
      <c r="R497" s="227">
        <v>120.94</v>
      </c>
      <c r="S497" s="227"/>
      <c r="T497" s="227">
        <v>58.856999999999999</v>
      </c>
      <c r="U497" s="227">
        <v>70.150000000000006</v>
      </c>
      <c r="V497" s="227">
        <v>67.474999999999994</v>
      </c>
      <c r="W497" s="227">
        <v>79.5</v>
      </c>
      <c r="X497" s="227">
        <v>79.5</v>
      </c>
      <c r="Y497" s="227">
        <v>79.5</v>
      </c>
      <c r="Z497" s="227">
        <v>79.5</v>
      </c>
      <c r="AA497" s="227">
        <v>79.5</v>
      </c>
      <c r="AB497" s="227">
        <v>54.198</v>
      </c>
      <c r="AC497" s="227">
        <v>723.47</v>
      </c>
      <c r="AD497" s="230">
        <v>6.2729166666666662E-4</v>
      </c>
      <c r="AE497" s="230">
        <v>325.18799999999999</v>
      </c>
      <c r="AF497" s="230">
        <v>3563.8919999999998</v>
      </c>
      <c r="AG497" s="230">
        <v>415360.20289991918</v>
      </c>
      <c r="AH497" s="230">
        <v>1712690.3142056505</v>
      </c>
      <c r="AI497" s="230">
        <v>4340.82</v>
      </c>
    </row>
    <row r="498" spans="5:35" x14ac:dyDescent="0.35">
      <c r="E498" s="226">
        <v>1.2453400000000001</v>
      </c>
      <c r="F498" s="227">
        <v>7.9437369863013698</v>
      </c>
      <c r="G498" s="227">
        <v>2899.4639999999999</v>
      </c>
      <c r="H498" s="227">
        <v>0.90920000000000001</v>
      </c>
      <c r="I498" s="227">
        <v>1.9413</v>
      </c>
      <c r="J498" s="227">
        <v>0.48111571863416569</v>
      </c>
      <c r="K498" s="227">
        <v>140</v>
      </c>
      <c r="L498" s="227">
        <v>140</v>
      </c>
      <c r="M498" s="227">
        <v>140</v>
      </c>
      <c r="N498" s="227">
        <v>100.42</v>
      </c>
      <c r="O498" s="227">
        <v>106.83</v>
      </c>
      <c r="P498" s="227">
        <v>123.98</v>
      </c>
      <c r="Q498" s="227">
        <v>113.64</v>
      </c>
      <c r="R498" s="227">
        <v>120.89</v>
      </c>
      <c r="S498" s="227"/>
      <c r="T498" s="227">
        <v>58.942999999999998</v>
      </c>
      <c r="U498" s="227">
        <v>70.210999999999999</v>
      </c>
      <c r="V498" s="227">
        <v>67.567999999999998</v>
      </c>
      <c r="W498" s="227">
        <v>79.5</v>
      </c>
      <c r="X498" s="227">
        <v>79.5</v>
      </c>
      <c r="Y498" s="227">
        <v>79.5</v>
      </c>
      <c r="Z498" s="227">
        <v>79.5</v>
      </c>
      <c r="AA498" s="227">
        <v>79.5</v>
      </c>
      <c r="AB498" s="227">
        <v>53.963000000000001</v>
      </c>
      <c r="AC498" s="227">
        <v>723.76</v>
      </c>
      <c r="AD498" s="230">
        <v>6.2457175925925929E-4</v>
      </c>
      <c r="AE498" s="230">
        <v>323.77800000000002</v>
      </c>
      <c r="AF498" s="230">
        <v>3565.3319999999999</v>
      </c>
      <c r="AG498" s="230">
        <v>415683.98089991917</v>
      </c>
      <c r="AH498" s="230">
        <v>1716255.6462056504</v>
      </c>
      <c r="AI498" s="230">
        <v>4342.5599999999995</v>
      </c>
    </row>
    <row r="499" spans="5:35" x14ac:dyDescent="0.35">
      <c r="E499" s="226">
        <v>1.2493400000000001</v>
      </c>
      <c r="F499" s="227">
        <v>7.9601753424657531</v>
      </c>
      <c r="G499" s="227">
        <v>2905.4639999999999</v>
      </c>
      <c r="H499" s="227">
        <v>0.90959999999999996</v>
      </c>
      <c r="I499" s="227">
        <v>1.9453</v>
      </c>
      <c r="J499" s="227">
        <v>0.48148884363416572</v>
      </c>
      <c r="K499" s="227">
        <v>140</v>
      </c>
      <c r="L499" s="227">
        <v>140</v>
      </c>
      <c r="M499" s="227">
        <v>140</v>
      </c>
      <c r="N499" s="227">
        <v>100.39</v>
      </c>
      <c r="O499" s="227">
        <v>106.79</v>
      </c>
      <c r="P499" s="227">
        <v>123.95</v>
      </c>
      <c r="Q499" s="227">
        <v>113.61</v>
      </c>
      <c r="R499" s="227">
        <v>120.85</v>
      </c>
      <c r="S499" s="227"/>
      <c r="T499" s="227">
        <v>59.029000000000003</v>
      </c>
      <c r="U499" s="227">
        <v>70.271000000000001</v>
      </c>
      <c r="V499" s="227">
        <v>67.661000000000001</v>
      </c>
      <c r="W499" s="227">
        <v>79.5</v>
      </c>
      <c r="X499" s="227">
        <v>79.5</v>
      </c>
      <c r="Y499" s="227">
        <v>79.5</v>
      </c>
      <c r="Z499" s="227">
        <v>79.5</v>
      </c>
      <c r="AA499" s="227">
        <v>79.5</v>
      </c>
      <c r="AB499" s="227">
        <v>53.73</v>
      </c>
      <c r="AC499" s="227">
        <v>724.05</v>
      </c>
      <c r="AD499" s="230">
        <v>6.2187499999999992E-4</v>
      </c>
      <c r="AE499" s="230">
        <v>322.37999999999994</v>
      </c>
      <c r="AF499" s="230">
        <v>3566.7660000000001</v>
      </c>
      <c r="AG499" s="230">
        <v>416006.36089991918</v>
      </c>
      <c r="AH499" s="230">
        <v>1719822.4122056505</v>
      </c>
      <c r="AI499" s="230">
        <v>4344.2999999999993</v>
      </c>
    </row>
    <row r="500" spans="5:35" x14ac:dyDescent="0.35">
      <c r="E500" s="226">
        <v>1.2533400000000001</v>
      </c>
      <c r="F500" s="227">
        <v>7.9766136986301373</v>
      </c>
      <c r="G500" s="227">
        <v>2911.4639999999999</v>
      </c>
      <c r="H500" s="227">
        <v>0.91010000000000002</v>
      </c>
      <c r="I500" s="227">
        <v>1.9493</v>
      </c>
      <c r="J500" s="227">
        <v>0.48186036446749908</v>
      </c>
      <c r="K500" s="227">
        <v>140</v>
      </c>
      <c r="L500" s="227">
        <v>140</v>
      </c>
      <c r="M500" s="227">
        <v>140</v>
      </c>
      <c r="N500" s="227">
        <v>100.37</v>
      </c>
      <c r="O500" s="227">
        <v>106.76</v>
      </c>
      <c r="P500" s="227">
        <v>123.92</v>
      </c>
      <c r="Q500" s="227">
        <v>113.58</v>
      </c>
      <c r="R500" s="227">
        <v>120.81</v>
      </c>
      <c r="S500" s="227"/>
      <c r="T500" s="227">
        <v>59.115000000000002</v>
      </c>
      <c r="U500" s="227">
        <v>70.331999999999994</v>
      </c>
      <c r="V500" s="227">
        <v>67.754000000000005</v>
      </c>
      <c r="W500" s="227">
        <v>79.5</v>
      </c>
      <c r="X500" s="227">
        <v>79.5</v>
      </c>
      <c r="Y500" s="227">
        <v>79.5</v>
      </c>
      <c r="Z500" s="227">
        <v>79.5</v>
      </c>
      <c r="AA500" s="227">
        <v>79.5</v>
      </c>
      <c r="AB500" s="227">
        <v>53.499000000000002</v>
      </c>
      <c r="AC500" s="227">
        <v>724.35</v>
      </c>
      <c r="AD500" s="230">
        <v>6.1920138888888897E-4</v>
      </c>
      <c r="AE500" s="230">
        <v>320.99400000000003</v>
      </c>
      <c r="AF500" s="230">
        <v>3568.2060000000001</v>
      </c>
      <c r="AG500" s="230">
        <v>416327.35489991918</v>
      </c>
      <c r="AH500" s="230">
        <v>1723390.6182056505</v>
      </c>
      <c r="AI500" s="230">
        <v>4346.1000000000004</v>
      </c>
    </row>
    <row r="501" spans="5:35" x14ac:dyDescent="0.35">
      <c r="E501" s="226">
        <v>1.2574399999999999</v>
      </c>
      <c r="F501" s="227">
        <v>7.9930520547945205</v>
      </c>
      <c r="G501" s="227">
        <v>2917.4639999999999</v>
      </c>
      <c r="H501" s="227">
        <v>0.91049999999999998</v>
      </c>
      <c r="I501" s="227">
        <v>1.9534</v>
      </c>
      <c r="J501" s="227">
        <v>0.48223028807861018</v>
      </c>
      <c r="K501" s="227">
        <v>140</v>
      </c>
      <c r="L501" s="227">
        <v>140</v>
      </c>
      <c r="M501" s="227">
        <v>140</v>
      </c>
      <c r="N501" s="227">
        <v>100.35</v>
      </c>
      <c r="O501" s="227">
        <v>106.72</v>
      </c>
      <c r="P501" s="227">
        <v>123.89</v>
      </c>
      <c r="Q501" s="227">
        <v>113.55</v>
      </c>
      <c r="R501" s="227">
        <v>120.76</v>
      </c>
      <c r="S501" s="227"/>
      <c r="T501" s="227">
        <v>59.201000000000001</v>
      </c>
      <c r="U501" s="227">
        <v>70.391999999999996</v>
      </c>
      <c r="V501" s="227">
        <v>67.846999999999994</v>
      </c>
      <c r="W501" s="227">
        <v>79.5</v>
      </c>
      <c r="X501" s="227">
        <v>79.5</v>
      </c>
      <c r="Y501" s="227">
        <v>79.5</v>
      </c>
      <c r="Z501" s="227">
        <v>79.5</v>
      </c>
      <c r="AA501" s="227">
        <v>79.5</v>
      </c>
      <c r="AB501" s="227">
        <v>53.268999999999998</v>
      </c>
      <c r="AC501" s="227">
        <v>724.64</v>
      </c>
      <c r="AD501" s="230">
        <v>6.1653935185185184E-4</v>
      </c>
      <c r="AE501" s="230">
        <v>319.61399999999998</v>
      </c>
      <c r="AF501" s="230">
        <v>3569.6400000000003</v>
      </c>
      <c r="AG501" s="230">
        <v>416646.96889991919</v>
      </c>
      <c r="AH501" s="230">
        <v>1726960.2582056504</v>
      </c>
      <c r="AI501" s="230">
        <v>4347.84</v>
      </c>
    </row>
    <row r="502" spans="5:35" x14ac:dyDescent="0.35">
      <c r="E502" s="226">
        <v>1.2614399999999999</v>
      </c>
      <c r="F502" s="227">
        <v>8.0094904109589038</v>
      </c>
      <c r="G502" s="227">
        <v>2923.4639999999999</v>
      </c>
      <c r="H502" s="227">
        <v>0.91090000000000004</v>
      </c>
      <c r="I502" s="227">
        <v>1.9574</v>
      </c>
      <c r="J502" s="227">
        <v>0.48259863530083236</v>
      </c>
      <c r="K502" s="227">
        <v>140</v>
      </c>
      <c r="L502" s="227">
        <v>140</v>
      </c>
      <c r="M502" s="227">
        <v>140</v>
      </c>
      <c r="N502" s="227">
        <v>100.32</v>
      </c>
      <c r="O502" s="227">
        <v>106.69</v>
      </c>
      <c r="P502" s="227">
        <v>123.86</v>
      </c>
      <c r="Q502" s="227">
        <v>113.52</v>
      </c>
      <c r="R502" s="227">
        <v>120.72</v>
      </c>
      <c r="S502" s="227"/>
      <c r="T502" s="227">
        <v>59.286000000000001</v>
      </c>
      <c r="U502" s="227">
        <v>70.451999999999998</v>
      </c>
      <c r="V502" s="227">
        <v>67.94</v>
      </c>
      <c r="W502" s="227">
        <v>79.5</v>
      </c>
      <c r="X502" s="227">
        <v>79.5</v>
      </c>
      <c r="Y502" s="227">
        <v>79.5</v>
      </c>
      <c r="Z502" s="227">
        <v>79.5</v>
      </c>
      <c r="AA502" s="227">
        <v>79.5</v>
      </c>
      <c r="AB502" s="227">
        <v>53.042000000000002</v>
      </c>
      <c r="AC502" s="227">
        <v>724.93</v>
      </c>
      <c r="AD502" s="230">
        <v>6.1391203703703705E-4</v>
      </c>
      <c r="AE502" s="230">
        <v>318.25200000000001</v>
      </c>
      <c r="AF502" s="230">
        <v>3571.0680000000002</v>
      </c>
      <c r="AG502" s="230">
        <v>416965.22089991916</v>
      </c>
      <c r="AH502" s="230">
        <v>1730531.3262056503</v>
      </c>
      <c r="AI502" s="230">
        <v>4349.58</v>
      </c>
    </row>
    <row r="503" spans="5:35" x14ac:dyDescent="0.35">
      <c r="E503" s="226">
        <v>1.2654399999999999</v>
      </c>
      <c r="F503" s="227">
        <v>8.025928767123288</v>
      </c>
      <c r="G503" s="227">
        <v>2929.4639999999999</v>
      </c>
      <c r="H503" s="227">
        <v>0.9113</v>
      </c>
      <c r="I503" s="227">
        <v>1.9614</v>
      </c>
      <c r="J503" s="227">
        <v>0.48296541307861013</v>
      </c>
      <c r="K503" s="227">
        <v>140</v>
      </c>
      <c r="L503" s="227">
        <v>140</v>
      </c>
      <c r="M503" s="227">
        <v>140</v>
      </c>
      <c r="N503" s="227">
        <v>100.3</v>
      </c>
      <c r="O503" s="227">
        <v>106.65</v>
      </c>
      <c r="P503" s="227">
        <v>123.84</v>
      </c>
      <c r="Q503" s="227">
        <v>113.49</v>
      </c>
      <c r="R503" s="227">
        <v>120.68</v>
      </c>
      <c r="S503" s="227"/>
      <c r="T503" s="227">
        <v>59.372</v>
      </c>
      <c r="U503" s="227">
        <v>70.512</v>
      </c>
      <c r="V503" s="227">
        <v>68.031999999999996</v>
      </c>
      <c r="W503" s="227">
        <v>79.5</v>
      </c>
      <c r="X503" s="227">
        <v>79.5</v>
      </c>
      <c r="Y503" s="227">
        <v>79.5</v>
      </c>
      <c r="Z503" s="227">
        <v>79.5</v>
      </c>
      <c r="AA503" s="227">
        <v>79.5</v>
      </c>
      <c r="AB503" s="227">
        <v>52.816000000000003</v>
      </c>
      <c r="AC503" s="227">
        <v>725.22</v>
      </c>
      <c r="AD503" s="230">
        <v>6.1129629629629631E-4</v>
      </c>
      <c r="AE503" s="230">
        <v>316.89599999999996</v>
      </c>
      <c r="AF503" s="230">
        <v>3572.4959999999996</v>
      </c>
      <c r="AG503" s="230">
        <v>417282.11689991917</v>
      </c>
      <c r="AH503" s="230">
        <v>1734103.8222056504</v>
      </c>
      <c r="AI503" s="230">
        <v>4351.32</v>
      </c>
    </row>
    <row r="504" spans="5:35" x14ac:dyDescent="0.35">
      <c r="E504" s="226">
        <v>1.2694399999999999</v>
      </c>
      <c r="F504" s="227">
        <v>8.0423671232876703</v>
      </c>
      <c r="G504" s="227">
        <v>2935.4639999999999</v>
      </c>
      <c r="H504" s="227">
        <v>0.91169999999999995</v>
      </c>
      <c r="I504" s="227">
        <v>1.9654</v>
      </c>
      <c r="J504" s="227">
        <v>0.48333064224527683</v>
      </c>
      <c r="K504" s="227">
        <v>140</v>
      </c>
      <c r="L504" s="227">
        <v>140</v>
      </c>
      <c r="M504" s="227">
        <v>140</v>
      </c>
      <c r="N504" s="227">
        <v>100.28</v>
      </c>
      <c r="O504" s="227">
        <v>106.62</v>
      </c>
      <c r="P504" s="227">
        <v>123.81</v>
      </c>
      <c r="Q504" s="227">
        <v>113.46</v>
      </c>
      <c r="R504" s="227">
        <v>120.64</v>
      </c>
      <c r="S504" s="227"/>
      <c r="T504" s="227">
        <v>59.457000000000001</v>
      </c>
      <c r="U504" s="227">
        <v>70.572000000000003</v>
      </c>
      <c r="V504" s="227">
        <v>68.125</v>
      </c>
      <c r="W504" s="227">
        <v>79.5</v>
      </c>
      <c r="X504" s="227">
        <v>79.5</v>
      </c>
      <c r="Y504" s="227">
        <v>79.5</v>
      </c>
      <c r="Z504" s="227">
        <v>79.5</v>
      </c>
      <c r="AA504" s="227">
        <v>79.5</v>
      </c>
      <c r="AB504" s="227">
        <v>52.593000000000004</v>
      </c>
      <c r="AC504" s="227">
        <v>725.51</v>
      </c>
      <c r="AD504" s="230">
        <v>6.0871527777777779E-4</v>
      </c>
      <c r="AE504" s="230">
        <v>315.55799999999999</v>
      </c>
      <c r="AF504" s="230">
        <v>3573.924</v>
      </c>
      <c r="AG504" s="230">
        <v>417597.67489991919</v>
      </c>
      <c r="AH504" s="230">
        <v>1737677.7462056505</v>
      </c>
      <c r="AI504" s="230">
        <v>4353.0599999999995</v>
      </c>
    </row>
    <row r="505" spans="5:35" x14ac:dyDescent="0.35">
      <c r="E505" s="226">
        <v>1.2734399999999999</v>
      </c>
      <c r="F505" s="227">
        <v>8.0588054794520545</v>
      </c>
      <c r="G505" s="227">
        <v>2941.4639999999999</v>
      </c>
      <c r="H505" s="227">
        <v>0.91210000000000002</v>
      </c>
      <c r="I505" s="227">
        <v>1.9694</v>
      </c>
      <c r="J505" s="227">
        <v>0.48369433668972128</v>
      </c>
      <c r="K505" s="227">
        <v>140</v>
      </c>
      <c r="L505" s="227">
        <v>140</v>
      </c>
      <c r="M505" s="227">
        <v>140</v>
      </c>
      <c r="N505" s="227">
        <v>100.26</v>
      </c>
      <c r="O505" s="227">
        <v>106.59</v>
      </c>
      <c r="P505" s="227">
        <v>123.78</v>
      </c>
      <c r="Q505" s="227">
        <v>113.43</v>
      </c>
      <c r="R505" s="227">
        <v>120.6</v>
      </c>
      <c r="S505" s="227"/>
      <c r="T505" s="227">
        <v>59.542000000000002</v>
      </c>
      <c r="U505" s="227">
        <v>70.631</v>
      </c>
      <c r="V505" s="227">
        <v>68.215999999999994</v>
      </c>
      <c r="W505" s="227">
        <v>79.5</v>
      </c>
      <c r="X505" s="227">
        <v>79.5</v>
      </c>
      <c r="Y505" s="227">
        <v>79.5</v>
      </c>
      <c r="Z505" s="227">
        <v>79.5</v>
      </c>
      <c r="AA505" s="227">
        <v>79.5</v>
      </c>
      <c r="AB505" s="227">
        <v>52.372</v>
      </c>
      <c r="AC505" s="227">
        <v>725.79</v>
      </c>
      <c r="AD505" s="230">
        <v>6.0615740740740736E-4</v>
      </c>
      <c r="AE505" s="230">
        <v>314.23199999999997</v>
      </c>
      <c r="AF505" s="230">
        <v>3575.3339999999998</v>
      </c>
      <c r="AG505" s="230">
        <v>417911.90689991921</v>
      </c>
      <c r="AH505" s="230">
        <v>1741253.0802056505</v>
      </c>
      <c r="AI505" s="230">
        <v>4354.74</v>
      </c>
    </row>
    <row r="506" spans="5:35" x14ac:dyDescent="0.35">
      <c r="E506" s="226">
        <v>1.2774399999999999</v>
      </c>
      <c r="F506" s="227">
        <v>8.0752438356164387</v>
      </c>
      <c r="G506" s="227">
        <v>2947.4639999999999</v>
      </c>
      <c r="H506" s="227">
        <v>0.91249999999999998</v>
      </c>
      <c r="I506" s="227">
        <v>1.9734</v>
      </c>
      <c r="J506" s="227">
        <v>0.484056503356388</v>
      </c>
      <c r="K506" s="227">
        <v>140</v>
      </c>
      <c r="L506" s="227">
        <v>140</v>
      </c>
      <c r="M506" s="227">
        <v>140</v>
      </c>
      <c r="N506" s="227">
        <v>100.24</v>
      </c>
      <c r="O506" s="227">
        <v>106.55</v>
      </c>
      <c r="P506" s="227">
        <v>123.75</v>
      </c>
      <c r="Q506" s="227">
        <v>113.4</v>
      </c>
      <c r="R506" s="227">
        <v>120.55</v>
      </c>
      <c r="S506" s="227"/>
      <c r="T506" s="227">
        <v>59.625999999999998</v>
      </c>
      <c r="U506" s="227">
        <v>70.69</v>
      </c>
      <c r="V506" s="227">
        <v>68.307000000000002</v>
      </c>
      <c r="W506" s="227">
        <v>79.5</v>
      </c>
      <c r="X506" s="227">
        <v>79.5</v>
      </c>
      <c r="Y506" s="227">
        <v>79.5</v>
      </c>
      <c r="Z506" s="227">
        <v>79.5</v>
      </c>
      <c r="AA506" s="227">
        <v>79.5</v>
      </c>
      <c r="AB506" s="227">
        <v>52.152000000000001</v>
      </c>
      <c r="AC506" s="227">
        <v>726.08</v>
      </c>
      <c r="AD506" s="230">
        <v>6.0361111111111108E-4</v>
      </c>
      <c r="AE506" s="230">
        <v>312.91199999999998</v>
      </c>
      <c r="AF506" s="230">
        <v>3576.7380000000003</v>
      </c>
      <c r="AG506" s="230">
        <v>418224.81889991922</v>
      </c>
      <c r="AH506" s="230">
        <v>1744829.8182056504</v>
      </c>
      <c r="AI506" s="230">
        <v>4356.4800000000005</v>
      </c>
    </row>
    <row r="507" spans="5:35" x14ac:dyDescent="0.35">
      <c r="E507" s="226">
        <v>1.2815400000000001</v>
      </c>
      <c r="F507" s="227">
        <v>8.091682191780821</v>
      </c>
      <c r="G507" s="227">
        <v>2953.4639999999999</v>
      </c>
      <c r="H507" s="227">
        <v>0.91290000000000004</v>
      </c>
      <c r="I507" s="227">
        <v>1.9775</v>
      </c>
      <c r="J507" s="227">
        <v>0.48441716307861021</v>
      </c>
      <c r="K507" s="227">
        <v>140</v>
      </c>
      <c r="L507" s="227">
        <v>140</v>
      </c>
      <c r="M507" s="227">
        <v>140</v>
      </c>
      <c r="N507" s="227">
        <v>100.21</v>
      </c>
      <c r="O507" s="227">
        <v>106.52</v>
      </c>
      <c r="P507" s="227">
        <v>123.72</v>
      </c>
      <c r="Q507" s="227">
        <v>113.37</v>
      </c>
      <c r="R507" s="227">
        <v>120.51</v>
      </c>
      <c r="S507" s="227"/>
      <c r="T507" s="227">
        <v>59.710999999999999</v>
      </c>
      <c r="U507" s="227">
        <v>70.748999999999995</v>
      </c>
      <c r="V507" s="227">
        <v>68.399000000000001</v>
      </c>
      <c r="W507" s="227">
        <v>79.5</v>
      </c>
      <c r="X507" s="227">
        <v>79.5</v>
      </c>
      <c r="Y507" s="227">
        <v>79.5</v>
      </c>
      <c r="Z507" s="227">
        <v>79.5</v>
      </c>
      <c r="AA507" s="227">
        <v>79.5</v>
      </c>
      <c r="AB507" s="227">
        <v>51.935000000000002</v>
      </c>
      <c r="AC507" s="227">
        <v>726.36</v>
      </c>
      <c r="AD507" s="230">
        <v>6.0109953703703703E-4</v>
      </c>
      <c r="AE507" s="230">
        <v>311.60999999999996</v>
      </c>
      <c r="AF507" s="230">
        <v>3578.1539999999995</v>
      </c>
      <c r="AG507" s="230">
        <v>418536.42889991921</v>
      </c>
      <c r="AH507" s="230">
        <v>1748407.9722056505</v>
      </c>
      <c r="AI507" s="230">
        <v>4358.16</v>
      </c>
    </row>
    <row r="508" spans="5:35" x14ac:dyDescent="0.35">
      <c r="E508" s="226">
        <v>1.2855400000000001</v>
      </c>
      <c r="F508" s="227">
        <v>8.1081205479452052</v>
      </c>
      <c r="G508" s="227">
        <v>2959.4639999999999</v>
      </c>
      <c r="H508" s="227">
        <v>0.9133</v>
      </c>
      <c r="I508" s="227">
        <v>1.9815</v>
      </c>
      <c r="J508" s="227">
        <v>0.48477632974527685</v>
      </c>
      <c r="K508" s="227">
        <v>140</v>
      </c>
      <c r="L508" s="227">
        <v>140</v>
      </c>
      <c r="M508" s="227">
        <v>140</v>
      </c>
      <c r="N508" s="227">
        <v>100.19</v>
      </c>
      <c r="O508" s="227">
        <v>106.49</v>
      </c>
      <c r="P508" s="227">
        <v>123.69</v>
      </c>
      <c r="Q508" s="227">
        <v>113.34</v>
      </c>
      <c r="R508" s="227">
        <v>120.47</v>
      </c>
      <c r="S508" s="227"/>
      <c r="T508" s="227">
        <v>59.795000000000002</v>
      </c>
      <c r="U508" s="227">
        <v>70.808000000000007</v>
      </c>
      <c r="V508" s="227">
        <v>68.489999999999995</v>
      </c>
      <c r="W508" s="227">
        <v>79.5</v>
      </c>
      <c r="X508" s="227">
        <v>79.5</v>
      </c>
      <c r="Y508" s="227">
        <v>79.5</v>
      </c>
      <c r="Z508" s="227">
        <v>79.5</v>
      </c>
      <c r="AA508" s="227">
        <v>79.5</v>
      </c>
      <c r="AB508" s="227">
        <v>51.72</v>
      </c>
      <c r="AC508" s="227">
        <v>726.65</v>
      </c>
      <c r="AD508" s="230">
        <v>5.9861111111111107E-4</v>
      </c>
      <c r="AE508" s="230">
        <v>310.32</v>
      </c>
      <c r="AF508" s="230">
        <v>3579.5580000000004</v>
      </c>
      <c r="AG508" s="230">
        <v>418846.74889991921</v>
      </c>
      <c r="AH508" s="230">
        <v>1751987.5302056505</v>
      </c>
      <c r="AI508" s="230">
        <v>4359.8999999999996</v>
      </c>
    </row>
    <row r="509" spans="5:35" x14ac:dyDescent="0.35">
      <c r="E509" s="226">
        <v>1.2895400000000001</v>
      </c>
      <c r="F509" s="227">
        <v>8.1245589041095894</v>
      </c>
      <c r="G509" s="227">
        <v>2965.4639999999999</v>
      </c>
      <c r="H509" s="227">
        <v>0.91369999999999996</v>
      </c>
      <c r="I509" s="227">
        <v>1.9855</v>
      </c>
      <c r="J509" s="227">
        <v>0.48513401030083247</v>
      </c>
      <c r="K509" s="227">
        <v>140</v>
      </c>
      <c r="L509" s="227">
        <v>140</v>
      </c>
      <c r="M509" s="227">
        <v>140</v>
      </c>
      <c r="N509" s="227">
        <v>100.17</v>
      </c>
      <c r="O509" s="227">
        <v>106.45</v>
      </c>
      <c r="P509" s="227">
        <v>123.67</v>
      </c>
      <c r="Q509" s="227">
        <v>113.32</v>
      </c>
      <c r="R509" s="227">
        <v>120.43</v>
      </c>
      <c r="S509" s="227"/>
      <c r="T509" s="227">
        <v>59.878999999999998</v>
      </c>
      <c r="U509" s="227">
        <v>70.866</v>
      </c>
      <c r="V509" s="227">
        <v>68.58</v>
      </c>
      <c r="W509" s="227">
        <v>79.5</v>
      </c>
      <c r="X509" s="227">
        <v>79.5</v>
      </c>
      <c r="Y509" s="227">
        <v>79.5</v>
      </c>
      <c r="Z509" s="227">
        <v>79.5</v>
      </c>
      <c r="AA509" s="227">
        <v>79.5</v>
      </c>
      <c r="AB509" s="227">
        <v>51.506</v>
      </c>
      <c r="AC509" s="227">
        <v>726.93</v>
      </c>
      <c r="AD509" s="230">
        <v>5.9613425925925925E-4</v>
      </c>
      <c r="AE509" s="230">
        <v>309.036</v>
      </c>
      <c r="AF509" s="230">
        <v>3580.9500000000003</v>
      </c>
      <c r="AG509" s="230">
        <v>419155.78489991924</v>
      </c>
      <c r="AH509" s="230">
        <v>1755568.4802056504</v>
      </c>
      <c r="AI509" s="230">
        <v>4361.58</v>
      </c>
    </row>
    <row r="510" spans="5:35" x14ac:dyDescent="0.35">
      <c r="E510" s="226">
        <v>1.2935400000000001</v>
      </c>
      <c r="F510" s="227">
        <v>8.1409972602739717</v>
      </c>
      <c r="G510" s="227">
        <v>2971.4639999999999</v>
      </c>
      <c r="H510" s="227">
        <v>0.91410000000000002</v>
      </c>
      <c r="I510" s="227">
        <v>1.9895</v>
      </c>
      <c r="J510" s="227">
        <v>0.4854902186341658</v>
      </c>
      <c r="K510" s="227">
        <v>140</v>
      </c>
      <c r="L510" s="227">
        <v>140</v>
      </c>
      <c r="M510" s="227">
        <v>140</v>
      </c>
      <c r="N510" s="227">
        <v>100.15</v>
      </c>
      <c r="O510" s="227">
        <v>106.42</v>
      </c>
      <c r="P510" s="227">
        <v>123.64</v>
      </c>
      <c r="Q510" s="227">
        <v>113.29</v>
      </c>
      <c r="R510" s="227">
        <v>120.39</v>
      </c>
      <c r="S510" s="227"/>
      <c r="T510" s="227">
        <v>59.963000000000001</v>
      </c>
      <c r="U510" s="227">
        <v>70.924000000000007</v>
      </c>
      <c r="V510" s="227">
        <v>68.671000000000006</v>
      </c>
      <c r="W510" s="227">
        <v>79.5</v>
      </c>
      <c r="X510" s="227">
        <v>79.5</v>
      </c>
      <c r="Y510" s="227">
        <v>79.5</v>
      </c>
      <c r="Z510" s="227">
        <v>79.5</v>
      </c>
      <c r="AA510" s="227">
        <v>79.5</v>
      </c>
      <c r="AB510" s="227">
        <v>51.293999999999997</v>
      </c>
      <c r="AC510" s="227">
        <v>727.22</v>
      </c>
      <c r="AD510" s="230">
        <v>5.9368055555555552E-4</v>
      </c>
      <c r="AE510" s="230">
        <v>307.76399999999995</v>
      </c>
      <c r="AF510" s="230">
        <v>3582.348</v>
      </c>
      <c r="AG510" s="230">
        <v>419463.54889991926</v>
      </c>
      <c r="AH510" s="230">
        <v>1759150.8282056504</v>
      </c>
      <c r="AI510" s="230">
        <v>4363.32</v>
      </c>
    </row>
    <row r="511" spans="5:35" x14ac:dyDescent="0.35">
      <c r="E511" s="226">
        <v>1.2975400000000001</v>
      </c>
      <c r="F511" s="227">
        <v>8.1574356164383559</v>
      </c>
      <c r="G511" s="227">
        <v>2977.4639999999999</v>
      </c>
      <c r="H511" s="227">
        <v>0.91449999999999998</v>
      </c>
      <c r="I511" s="227">
        <v>1.9935</v>
      </c>
      <c r="J511" s="227">
        <v>0.48584496863416582</v>
      </c>
      <c r="K511" s="227">
        <v>140</v>
      </c>
      <c r="L511" s="227">
        <v>140</v>
      </c>
      <c r="M511" s="227">
        <v>140</v>
      </c>
      <c r="N511" s="227">
        <v>100.13</v>
      </c>
      <c r="O511" s="227">
        <v>106.39</v>
      </c>
      <c r="P511" s="227">
        <v>123.61</v>
      </c>
      <c r="Q511" s="227">
        <v>113.26</v>
      </c>
      <c r="R511" s="227">
        <v>120.35</v>
      </c>
      <c r="S511" s="227"/>
      <c r="T511" s="227">
        <v>60.045999999999999</v>
      </c>
      <c r="U511" s="227">
        <v>70.983000000000004</v>
      </c>
      <c r="V511" s="227">
        <v>68.760999999999996</v>
      </c>
      <c r="W511" s="227">
        <v>79.5</v>
      </c>
      <c r="X511" s="227">
        <v>79.5</v>
      </c>
      <c r="Y511" s="227">
        <v>79.5</v>
      </c>
      <c r="Z511" s="227">
        <v>79.5</v>
      </c>
      <c r="AA511" s="227">
        <v>79.5</v>
      </c>
      <c r="AB511" s="227">
        <v>51.084000000000003</v>
      </c>
      <c r="AC511" s="227">
        <v>727.5</v>
      </c>
      <c r="AD511" s="230">
        <v>5.9125000000000009E-4</v>
      </c>
      <c r="AE511" s="230">
        <v>306.50400000000002</v>
      </c>
      <c r="AF511" s="230">
        <v>3583.74</v>
      </c>
      <c r="AG511" s="230">
        <v>419770.05289991928</v>
      </c>
      <c r="AH511" s="230">
        <v>1762734.5682056504</v>
      </c>
      <c r="AI511" s="230">
        <v>4365</v>
      </c>
    </row>
    <row r="512" spans="5:35" x14ac:dyDescent="0.35">
      <c r="E512" s="226">
        <v>1.3015400000000001</v>
      </c>
      <c r="F512" s="227">
        <v>8.1738739726027401</v>
      </c>
      <c r="G512" s="227">
        <v>2983.4639999999999</v>
      </c>
      <c r="H512" s="227">
        <v>0.91490000000000005</v>
      </c>
      <c r="I512" s="227">
        <v>1.9975000000000001</v>
      </c>
      <c r="J512" s="227">
        <v>0.48619827418972139</v>
      </c>
      <c r="K512" s="227">
        <v>140</v>
      </c>
      <c r="L512" s="227">
        <v>140</v>
      </c>
      <c r="M512" s="227">
        <v>140</v>
      </c>
      <c r="N512" s="227">
        <v>100.11</v>
      </c>
      <c r="O512" s="227">
        <v>106.36</v>
      </c>
      <c r="P512" s="227">
        <v>123.58</v>
      </c>
      <c r="Q512" s="227">
        <v>113.23</v>
      </c>
      <c r="R512" s="227">
        <v>120.31</v>
      </c>
      <c r="S512" s="227"/>
      <c r="T512" s="227">
        <v>60.13</v>
      </c>
      <c r="U512" s="227">
        <v>71.040000000000006</v>
      </c>
      <c r="V512" s="227">
        <v>68.850999999999999</v>
      </c>
      <c r="W512" s="227">
        <v>79.5</v>
      </c>
      <c r="X512" s="227">
        <v>79.5</v>
      </c>
      <c r="Y512" s="227">
        <v>79.5</v>
      </c>
      <c r="Z512" s="227">
        <v>79.5</v>
      </c>
      <c r="AA512" s="227">
        <v>79.5</v>
      </c>
      <c r="AB512" s="227">
        <v>50.875999999999998</v>
      </c>
      <c r="AC512" s="227">
        <v>727.78</v>
      </c>
      <c r="AD512" s="230">
        <v>5.8884259259259252E-4</v>
      </c>
      <c r="AE512" s="230">
        <v>305.25599999999997</v>
      </c>
      <c r="AF512" s="230">
        <v>3585.1259999999997</v>
      </c>
      <c r="AG512" s="230">
        <v>420075.30889991927</v>
      </c>
      <c r="AH512" s="230">
        <v>1766319.6942056504</v>
      </c>
      <c r="AI512" s="230">
        <v>4366.68</v>
      </c>
    </row>
    <row r="513" spans="5:35" x14ac:dyDescent="0.35">
      <c r="E513" s="226">
        <v>1.3056399999999999</v>
      </c>
      <c r="F513" s="227">
        <v>8.1903123287671225</v>
      </c>
      <c r="G513" s="227">
        <v>2989.4639999999999</v>
      </c>
      <c r="H513" s="227">
        <v>0.91520000000000001</v>
      </c>
      <c r="I513" s="227">
        <v>2.0015999999999998</v>
      </c>
      <c r="J513" s="227">
        <v>0.48655014224527698</v>
      </c>
      <c r="K513" s="227">
        <v>140</v>
      </c>
      <c r="L513" s="227">
        <v>140</v>
      </c>
      <c r="M513" s="227">
        <v>140</v>
      </c>
      <c r="N513" s="227">
        <v>100.08</v>
      </c>
      <c r="O513" s="227">
        <v>106.33</v>
      </c>
      <c r="P513" s="227">
        <v>123.56</v>
      </c>
      <c r="Q513" s="227">
        <v>113.2</v>
      </c>
      <c r="R513" s="227">
        <v>120.27</v>
      </c>
      <c r="S513" s="227"/>
      <c r="T513" s="227">
        <v>60.213000000000001</v>
      </c>
      <c r="U513" s="227">
        <v>71.097999999999999</v>
      </c>
      <c r="V513" s="227">
        <v>68.94</v>
      </c>
      <c r="W513" s="227">
        <v>79.5</v>
      </c>
      <c r="X513" s="227">
        <v>79.5</v>
      </c>
      <c r="Y513" s="227">
        <v>79.5</v>
      </c>
      <c r="Z513" s="227">
        <v>79.5</v>
      </c>
      <c r="AA513" s="227">
        <v>79.5</v>
      </c>
      <c r="AB513" s="227">
        <v>50.668999999999997</v>
      </c>
      <c r="AC513" s="227">
        <v>728.06</v>
      </c>
      <c r="AD513" s="230">
        <v>5.8644675925925921E-4</v>
      </c>
      <c r="AE513" s="230">
        <v>304.01399999999995</v>
      </c>
      <c r="AF513" s="230">
        <v>3586.5059999999999</v>
      </c>
      <c r="AG513" s="230">
        <v>420379.32289991929</v>
      </c>
      <c r="AH513" s="230">
        <v>1769906.2002056504</v>
      </c>
      <c r="AI513" s="230">
        <v>4368.3599999999997</v>
      </c>
    </row>
    <row r="514" spans="5:35" x14ac:dyDescent="0.35">
      <c r="E514" s="226">
        <v>1.3096399999999999</v>
      </c>
      <c r="F514" s="227">
        <v>8.2067506849315066</v>
      </c>
      <c r="G514" s="227">
        <v>2995.4639999999999</v>
      </c>
      <c r="H514" s="227">
        <v>0.91559999999999997</v>
      </c>
      <c r="I514" s="227">
        <v>2.0055999999999998</v>
      </c>
      <c r="J514" s="227">
        <v>0.48690059363416582</v>
      </c>
      <c r="K514" s="227">
        <v>140</v>
      </c>
      <c r="L514" s="227">
        <v>140</v>
      </c>
      <c r="M514" s="227">
        <v>140</v>
      </c>
      <c r="N514" s="227">
        <v>100.06</v>
      </c>
      <c r="O514" s="227">
        <v>106.29</v>
      </c>
      <c r="P514" s="227">
        <v>123.53</v>
      </c>
      <c r="Q514" s="227">
        <v>113.17</v>
      </c>
      <c r="R514" s="227">
        <v>120.23</v>
      </c>
      <c r="S514" s="227"/>
      <c r="T514" s="227">
        <v>60.295999999999999</v>
      </c>
      <c r="U514" s="227">
        <v>71.156000000000006</v>
      </c>
      <c r="V514" s="227">
        <v>69.03</v>
      </c>
      <c r="W514" s="227">
        <v>79.5</v>
      </c>
      <c r="X514" s="227">
        <v>79.5</v>
      </c>
      <c r="Y514" s="227">
        <v>79.5</v>
      </c>
      <c r="Z514" s="227">
        <v>79.5</v>
      </c>
      <c r="AA514" s="227">
        <v>79.5</v>
      </c>
      <c r="AB514" s="227">
        <v>50.465000000000003</v>
      </c>
      <c r="AC514" s="227">
        <v>728.34</v>
      </c>
      <c r="AD514" s="230">
        <v>5.8408564814814814E-4</v>
      </c>
      <c r="AE514" s="230">
        <v>302.78999999999996</v>
      </c>
      <c r="AF514" s="230">
        <v>3587.8919999999998</v>
      </c>
      <c r="AG514" s="230">
        <v>420682.11289991927</v>
      </c>
      <c r="AH514" s="230">
        <v>1773494.0922056504</v>
      </c>
      <c r="AI514" s="230">
        <v>4370.04</v>
      </c>
    </row>
    <row r="515" spans="5:35" x14ac:dyDescent="0.35">
      <c r="E515" s="226">
        <v>1.3136399999999999</v>
      </c>
      <c r="F515" s="227">
        <v>8.2231890410958908</v>
      </c>
      <c r="G515" s="227">
        <v>3001.4639999999999</v>
      </c>
      <c r="H515" s="227">
        <v>0.91600000000000004</v>
      </c>
      <c r="I515" s="227">
        <v>2.0095999999999998</v>
      </c>
      <c r="J515" s="227">
        <v>0.48724963530083248</v>
      </c>
      <c r="K515" s="227">
        <v>140</v>
      </c>
      <c r="L515" s="227">
        <v>140</v>
      </c>
      <c r="M515" s="227">
        <v>140</v>
      </c>
      <c r="N515" s="227">
        <v>100.04</v>
      </c>
      <c r="O515" s="227">
        <v>106.26</v>
      </c>
      <c r="P515" s="227">
        <v>123.5</v>
      </c>
      <c r="Q515" s="227">
        <v>113.15</v>
      </c>
      <c r="R515" s="227">
        <v>120.19</v>
      </c>
      <c r="S515" s="227"/>
      <c r="T515" s="227">
        <v>60.378999999999998</v>
      </c>
      <c r="U515" s="227">
        <v>71.212999999999994</v>
      </c>
      <c r="V515" s="227">
        <v>69.119</v>
      </c>
      <c r="W515" s="227">
        <v>79.5</v>
      </c>
      <c r="X515" s="227">
        <v>79.5</v>
      </c>
      <c r="Y515" s="227">
        <v>79.5</v>
      </c>
      <c r="Z515" s="227">
        <v>79.5</v>
      </c>
      <c r="AA515" s="227">
        <v>79.5</v>
      </c>
      <c r="AB515" s="227">
        <v>50.262</v>
      </c>
      <c r="AC515" s="227">
        <v>728.62</v>
      </c>
      <c r="AD515" s="230">
        <v>5.817361111111111E-4</v>
      </c>
      <c r="AE515" s="230">
        <v>301.572</v>
      </c>
      <c r="AF515" s="230">
        <v>3589.2660000000001</v>
      </c>
      <c r="AG515" s="230">
        <v>420983.68489991926</v>
      </c>
      <c r="AH515" s="230">
        <v>1777083.3582056505</v>
      </c>
      <c r="AI515" s="230">
        <v>4371.72</v>
      </c>
    </row>
    <row r="516" spans="5:35" x14ac:dyDescent="0.35">
      <c r="E516" s="226">
        <v>1.3176399999999999</v>
      </c>
      <c r="F516" s="227">
        <v>8.2396273972602732</v>
      </c>
      <c r="G516" s="227">
        <v>3007.4639999999999</v>
      </c>
      <c r="H516" s="227">
        <v>0.91639999999999999</v>
      </c>
      <c r="I516" s="227">
        <v>2.0135999999999998</v>
      </c>
      <c r="J516" s="227">
        <v>0.48759728113416578</v>
      </c>
      <c r="K516" s="227">
        <v>140</v>
      </c>
      <c r="L516" s="227">
        <v>140</v>
      </c>
      <c r="M516" s="227">
        <v>140</v>
      </c>
      <c r="N516" s="227">
        <v>100.02</v>
      </c>
      <c r="O516" s="227">
        <v>106.23</v>
      </c>
      <c r="P516" s="227">
        <v>123.47</v>
      </c>
      <c r="Q516" s="227">
        <v>113.12</v>
      </c>
      <c r="R516" s="227">
        <v>120.15</v>
      </c>
      <c r="S516" s="227"/>
      <c r="T516" s="227">
        <v>60.462000000000003</v>
      </c>
      <c r="U516" s="227">
        <v>71.27</v>
      </c>
      <c r="V516" s="227">
        <v>69.207999999999998</v>
      </c>
      <c r="W516" s="227">
        <v>79.5</v>
      </c>
      <c r="X516" s="227">
        <v>79.5</v>
      </c>
      <c r="Y516" s="227">
        <v>79.5</v>
      </c>
      <c r="Z516" s="227">
        <v>79.5</v>
      </c>
      <c r="AA516" s="227">
        <v>79.5</v>
      </c>
      <c r="AB516" s="227">
        <v>50.061</v>
      </c>
      <c r="AC516" s="227">
        <v>728.9</v>
      </c>
      <c r="AD516" s="230">
        <v>5.7940972222222226E-4</v>
      </c>
      <c r="AE516" s="230">
        <v>300.36600000000004</v>
      </c>
      <c r="AF516" s="230">
        <v>3590.6400000000003</v>
      </c>
      <c r="AG516" s="230">
        <v>421284.05089991924</v>
      </c>
      <c r="AH516" s="230">
        <v>1780673.9982056504</v>
      </c>
      <c r="AI516" s="230">
        <v>4373.3999999999996</v>
      </c>
    </row>
    <row r="517" spans="5:35" x14ac:dyDescent="0.35">
      <c r="E517" s="226">
        <v>1.3216399999999999</v>
      </c>
      <c r="F517" s="227">
        <v>8.2560657534246573</v>
      </c>
      <c r="G517" s="227">
        <v>3013.4639999999999</v>
      </c>
      <c r="H517" s="227">
        <v>0.91669999999999996</v>
      </c>
      <c r="I517" s="227">
        <v>2.0175999999999998</v>
      </c>
      <c r="J517" s="227">
        <v>0.4879435450230547</v>
      </c>
      <c r="K517" s="227">
        <v>140</v>
      </c>
      <c r="L517" s="227">
        <v>140</v>
      </c>
      <c r="M517" s="227">
        <v>140</v>
      </c>
      <c r="N517" s="227">
        <v>99.998999999999995</v>
      </c>
      <c r="O517" s="227">
        <v>106.2</v>
      </c>
      <c r="P517" s="227">
        <v>123.45</v>
      </c>
      <c r="Q517" s="227">
        <v>113.09</v>
      </c>
      <c r="R517" s="227">
        <v>120.11</v>
      </c>
      <c r="S517" s="227"/>
      <c r="T517" s="227">
        <v>60.545000000000002</v>
      </c>
      <c r="U517" s="227">
        <v>71.326999999999998</v>
      </c>
      <c r="V517" s="227">
        <v>69.296999999999997</v>
      </c>
      <c r="W517" s="227">
        <v>79.5</v>
      </c>
      <c r="X517" s="227">
        <v>79.5</v>
      </c>
      <c r="Y517" s="227">
        <v>79.5</v>
      </c>
      <c r="Z517" s="227">
        <v>79.5</v>
      </c>
      <c r="AA517" s="227">
        <v>79.5</v>
      </c>
      <c r="AB517" s="227">
        <v>49.862000000000002</v>
      </c>
      <c r="AC517" s="227">
        <v>729.18</v>
      </c>
      <c r="AD517" s="230">
        <v>5.771064814814815E-4</v>
      </c>
      <c r="AE517" s="230">
        <v>299.17200000000003</v>
      </c>
      <c r="AF517" s="230">
        <v>3592.0140000000001</v>
      </c>
      <c r="AG517" s="230">
        <v>421583.22289991926</v>
      </c>
      <c r="AH517" s="230">
        <v>1784266.0122056503</v>
      </c>
      <c r="AI517" s="230">
        <v>4375.08</v>
      </c>
    </row>
    <row r="518" spans="5:35" x14ac:dyDescent="0.35">
      <c r="E518" s="226">
        <v>1.3256399999999999</v>
      </c>
      <c r="F518" s="227">
        <v>8.2725041095890415</v>
      </c>
      <c r="G518" s="227">
        <v>3019.4639999999999</v>
      </c>
      <c r="H518" s="227">
        <v>0.91710000000000003</v>
      </c>
      <c r="I518" s="227">
        <v>2.0215999999999998</v>
      </c>
      <c r="J518" s="227">
        <v>0.4882884339119436</v>
      </c>
      <c r="K518" s="227">
        <v>140</v>
      </c>
      <c r="L518" s="227">
        <v>140</v>
      </c>
      <c r="M518" s="227">
        <v>140</v>
      </c>
      <c r="N518" s="227">
        <v>99.977999999999994</v>
      </c>
      <c r="O518" s="227">
        <v>106.17</v>
      </c>
      <c r="P518" s="227">
        <v>123.42</v>
      </c>
      <c r="Q518" s="227">
        <v>113.07</v>
      </c>
      <c r="R518" s="227">
        <v>120.08</v>
      </c>
      <c r="S518" s="227"/>
      <c r="T518" s="227">
        <v>60.627000000000002</v>
      </c>
      <c r="U518" s="227">
        <v>71.382999999999996</v>
      </c>
      <c r="V518" s="227">
        <v>69.385999999999996</v>
      </c>
      <c r="W518" s="227">
        <v>79.5</v>
      </c>
      <c r="X518" s="227">
        <v>79.5</v>
      </c>
      <c r="Y518" s="227">
        <v>79.5</v>
      </c>
      <c r="Z518" s="227">
        <v>79.5</v>
      </c>
      <c r="AA518" s="227">
        <v>79.5</v>
      </c>
      <c r="AB518" s="227">
        <v>49.664000000000001</v>
      </c>
      <c r="AC518" s="227">
        <v>729.46</v>
      </c>
      <c r="AD518" s="230">
        <v>5.7481481481481478E-4</v>
      </c>
      <c r="AE518" s="230">
        <v>297.98399999999998</v>
      </c>
      <c r="AF518" s="230">
        <v>3593.3759999999997</v>
      </c>
      <c r="AG518" s="230">
        <v>421881.20689991926</v>
      </c>
      <c r="AH518" s="230">
        <v>1787859.3882056503</v>
      </c>
      <c r="AI518" s="230">
        <v>4376.76</v>
      </c>
    </row>
    <row r="519" spans="5:35" x14ac:dyDescent="0.35">
      <c r="E519" s="226">
        <v>1.3297400000000001</v>
      </c>
      <c r="F519" s="227">
        <v>8.2889424657534239</v>
      </c>
      <c r="G519" s="227">
        <v>3025.4639999999999</v>
      </c>
      <c r="H519" s="227">
        <v>0.91739999999999999</v>
      </c>
      <c r="I519" s="227">
        <v>2.0257000000000001</v>
      </c>
      <c r="J519" s="227">
        <v>0.4886319686341658</v>
      </c>
      <c r="K519" s="227">
        <v>140</v>
      </c>
      <c r="L519" s="227">
        <v>140</v>
      </c>
      <c r="M519" s="227">
        <v>140</v>
      </c>
      <c r="N519" s="227">
        <v>99.957999999999998</v>
      </c>
      <c r="O519" s="227">
        <v>106.14</v>
      </c>
      <c r="P519" s="227">
        <v>123.39</v>
      </c>
      <c r="Q519" s="227">
        <v>113.04</v>
      </c>
      <c r="R519" s="227">
        <v>120.04</v>
      </c>
      <c r="S519" s="227"/>
      <c r="T519" s="227">
        <v>60.709000000000003</v>
      </c>
      <c r="U519" s="227">
        <v>71.438999999999993</v>
      </c>
      <c r="V519" s="227">
        <v>69.474000000000004</v>
      </c>
      <c r="W519" s="227">
        <v>79.5</v>
      </c>
      <c r="X519" s="227">
        <v>79.5</v>
      </c>
      <c r="Y519" s="227">
        <v>79.5</v>
      </c>
      <c r="Z519" s="227">
        <v>79.5</v>
      </c>
      <c r="AA519" s="227">
        <v>79.5</v>
      </c>
      <c r="AB519" s="227">
        <v>49.469000000000001</v>
      </c>
      <c r="AC519" s="227">
        <v>729.73</v>
      </c>
      <c r="AD519" s="230">
        <v>5.7255787037037041E-4</v>
      </c>
      <c r="AE519" s="230">
        <v>296.81400000000002</v>
      </c>
      <c r="AF519" s="230">
        <v>3594.7320000000004</v>
      </c>
      <c r="AG519" s="230">
        <v>422178.02089991927</v>
      </c>
      <c r="AH519" s="230">
        <v>1791454.1202056503</v>
      </c>
      <c r="AI519" s="230">
        <v>4378.38</v>
      </c>
    </row>
    <row r="520" spans="5:35" x14ac:dyDescent="0.35">
      <c r="E520" s="226">
        <v>1.3337400000000001</v>
      </c>
      <c r="F520" s="227">
        <v>8.305380821917808</v>
      </c>
      <c r="G520" s="227">
        <v>3031.4639999999999</v>
      </c>
      <c r="H520" s="227">
        <v>0.91779999999999995</v>
      </c>
      <c r="I520" s="227">
        <v>2.0297000000000001</v>
      </c>
      <c r="J520" s="227">
        <v>0.48897415613416584</v>
      </c>
      <c r="K520" s="227">
        <v>140</v>
      </c>
      <c r="L520" s="227">
        <v>140</v>
      </c>
      <c r="M520" s="227">
        <v>140</v>
      </c>
      <c r="N520" s="227">
        <v>99.936999999999998</v>
      </c>
      <c r="O520" s="227">
        <v>106.11</v>
      </c>
      <c r="P520" s="227">
        <v>123.37</v>
      </c>
      <c r="Q520" s="227">
        <v>113.01</v>
      </c>
      <c r="R520" s="227">
        <v>120</v>
      </c>
      <c r="S520" s="227"/>
      <c r="T520" s="227">
        <v>60.792000000000002</v>
      </c>
      <c r="U520" s="227">
        <v>71.495999999999995</v>
      </c>
      <c r="V520" s="227">
        <v>69.563000000000002</v>
      </c>
      <c r="W520" s="227">
        <v>79.5</v>
      </c>
      <c r="X520" s="227">
        <v>79.5</v>
      </c>
      <c r="Y520" s="227">
        <v>79.5</v>
      </c>
      <c r="Z520" s="227">
        <v>79.5</v>
      </c>
      <c r="AA520" s="227">
        <v>79.5</v>
      </c>
      <c r="AB520" s="227">
        <v>49.274999999999999</v>
      </c>
      <c r="AC520" s="227">
        <v>730.01</v>
      </c>
      <c r="AD520" s="230">
        <v>5.7031249999999996E-4</v>
      </c>
      <c r="AE520" s="230">
        <v>295.64999999999998</v>
      </c>
      <c r="AF520" s="230">
        <v>3596.1059999999998</v>
      </c>
      <c r="AG520" s="230">
        <v>422473.67089991929</v>
      </c>
      <c r="AH520" s="230">
        <v>1795050.2262056503</v>
      </c>
      <c r="AI520" s="230">
        <v>4380.0599999999995</v>
      </c>
    </row>
    <row r="521" spans="5:35" x14ac:dyDescent="0.35">
      <c r="E521" s="226">
        <v>1.3377400000000002</v>
      </c>
      <c r="F521" s="227">
        <v>8.3218191780821922</v>
      </c>
      <c r="G521" s="227">
        <v>3037.4639999999999</v>
      </c>
      <c r="H521" s="227">
        <v>0.91810000000000003</v>
      </c>
      <c r="I521" s="227">
        <v>2.0337000000000001</v>
      </c>
      <c r="J521" s="227">
        <v>0.48931500335638811</v>
      </c>
      <c r="K521" s="227">
        <v>140</v>
      </c>
      <c r="L521" s="227">
        <v>140</v>
      </c>
      <c r="M521" s="227">
        <v>140</v>
      </c>
      <c r="N521" s="227">
        <v>99.915999999999997</v>
      </c>
      <c r="O521" s="227">
        <v>106.08</v>
      </c>
      <c r="P521" s="227">
        <v>123.34</v>
      </c>
      <c r="Q521" s="227">
        <v>112.98</v>
      </c>
      <c r="R521" s="227">
        <v>119.96</v>
      </c>
      <c r="S521" s="227"/>
      <c r="T521" s="227">
        <v>60.874000000000002</v>
      </c>
      <c r="U521" s="227">
        <v>71.552000000000007</v>
      </c>
      <c r="V521" s="227">
        <v>69.650999999999996</v>
      </c>
      <c r="W521" s="227">
        <v>79.5</v>
      </c>
      <c r="X521" s="227">
        <v>79.5</v>
      </c>
      <c r="Y521" s="227">
        <v>79.5</v>
      </c>
      <c r="Z521" s="227">
        <v>79.5</v>
      </c>
      <c r="AA521" s="227">
        <v>79.5</v>
      </c>
      <c r="AB521" s="227">
        <v>49.082000000000001</v>
      </c>
      <c r="AC521" s="227">
        <v>730.28</v>
      </c>
      <c r="AD521" s="230">
        <v>5.6807870370370367E-4</v>
      </c>
      <c r="AE521" s="230">
        <v>294.49199999999996</v>
      </c>
      <c r="AF521" s="230">
        <v>3597.462</v>
      </c>
      <c r="AG521" s="230">
        <v>422768.16289991932</v>
      </c>
      <c r="AH521" s="230">
        <v>1798647.6882056503</v>
      </c>
      <c r="AI521" s="230">
        <v>4381.68</v>
      </c>
    </row>
    <row r="522" spans="5:35" x14ac:dyDescent="0.35">
      <c r="E522" s="226">
        <v>1.3417400000000002</v>
      </c>
      <c r="F522" s="227">
        <v>8.3382575342465746</v>
      </c>
      <c r="G522" s="227">
        <v>3043.4639999999999</v>
      </c>
      <c r="H522" s="227">
        <v>0.91849999999999998</v>
      </c>
      <c r="I522" s="227">
        <v>2.0377000000000001</v>
      </c>
      <c r="J522" s="227">
        <v>0.4896545311341659</v>
      </c>
      <c r="K522" s="227">
        <v>140</v>
      </c>
      <c r="L522" s="227">
        <v>140</v>
      </c>
      <c r="M522" s="227">
        <v>140</v>
      </c>
      <c r="N522" s="227">
        <v>99.896000000000001</v>
      </c>
      <c r="O522" s="227">
        <v>106.05</v>
      </c>
      <c r="P522" s="227">
        <v>123.31</v>
      </c>
      <c r="Q522" s="227">
        <v>112.96</v>
      </c>
      <c r="R522" s="227">
        <v>119.93</v>
      </c>
      <c r="S522" s="227"/>
      <c r="T522" s="227">
        <v>60.956000000000003</v>
      </c>
      <c r="U522" s="227">
        <v>71.606999999999999</v>
      </c>
      <c r="V522" s="227">
        <v>69.738</v>
      </c>
      <c r="W522" s="227">
        <v>79.5</v>
      </c>
      <c r="X522" s="227">
        <v>79.5</v>
      </c>
      <c r="Y522" s="227">
        <v>79.5</v>
      </c>
      <c r="Z522" s="227">
        <v>79.5</v>
      </c>
      <c r="AA522" s="227">
        <v>79.5</v>
      </c>
      <c r="AB522" s="227">
        <v>48.892000000000003</v>
      </c>
      <c r="AC522" s="227">
        <v>730.56</v>
      </c>
      <c r="AD522" s="230">
        <v>5.6587962962962972E-4</v>
      </c>
      <c r="AE522" s="230">
        <v>293.35200000000003</v>
      </c>
      <c r="AF522" s="230">
        <v>3598.8059999999996</v>
      </c>
      <c r="AG522" s="230">
        <v>423061.51489991933</v>
      </c>
      <c r="AH522" s="230">
        <v>1802246.4942056504</v>
      </c>
      <c r="AI522" s="230">
        <v>4383.3599999999997</v>
      </c>
    </row>
    <row r="523" spans="5:35" x14ac:dyDescent="0.35">
      <c r="E523" s="226">
        <v>1.3457400000000002</v>
      </c>
      <c r="F523" s="227">
        <v>8.3546958904109587</v>
      </c>
      <c r="G523" s="227">
        <v>3049.4639999999999</v>
      </c>
      <c r="H523" s="227">
        <v>0.91879999999999995</v>
      </c>
      <c r="I523" s="227">
        <v>2.0417000000000001</v>
      </c>
      <c r="J523" s="227">
        <v>0.48999275335638809</v>
      </c>
      <c r="K523" s="227">
        <v>140</v>
      </c>
      <c r="L523" s="227">
        <v>140</v>
      </c>
      <c r="M523" s="227">
        <v>140</v>
      </c>
      <c r="N523" s="227">
        <v>99.875</v>
      </c>
      <c r="O523" s="227">
        <v>106.02</v>
      </c>
      <c r="P523" s="227">
        <v>123.29</v>
      </c>
      <c r="Q523" s="227">
        <v>112.93</v>
      </c>
      <c r="R523" s="227">
        <v>119.89</v>
      </c>
      <c r="S523" s="227"/>
      <c r="T523" s="227">
        <v>61.036999999999999</v>
      </c>
      <c r="U523" s="227">
        <v>71.662999999999997</v>
      </c>
      <c r="V523" s="227">
        <v>69.825999999999993</v>
      </c>
      <c r="W523" s="227">
        <v>79.5</v>
      </c>
      <c r="X523" s="227">
        <v>79.5</v>
      </c>
      <c r="Y523" s="227">
        <v>79.5</v>
      </c>
      <c r="Z523" s="227">
        <v>79.5</v>
      </c>
      <c r="AA523" s="227">
        <v>79.5</v>
      </c>
      <c r="AB523" s="227">
        <v>48.704000000000001</v>
      </c>
      <c r="AC523" s="227">
        <v>730.83</v>
      </c>
      <c r="AD523" s="230">
        <v>5.6370370370370374E-4</v>
      </c>
      <c r="AE523" s="230">
        <v>292.22399999999999</v>
      </c>
      <c r="AF523" s="230">
        <v>3600.1559999999999</v>
      </c>
      <c r="AG523" s="230">
        <v>423353.73889991932</v>
      </c>
      <c r="AH523" s="230">
        <v>1805846.6502056504</v>
      </c>
      <c r="AI523" s="230">
        <v>4384.9800000000005</v>
      </c>
    </row>
    <row r="524" spans="5:35" x14ac:dyDescent="0.35">
      <c r="E524" s="226">
        <v>1.3497400000000002</v>
      </c>
      <c r="F524" s="227">
        <v>8.3711342465753429</v>
      </c>
      <c r="G524" s="227">
        <v>3055.4639999999999</v>
      </c>
      <c r="H524" s="227">
        <v>0.91920000000000002</v>
      </c>
      <c r="I524" s="227">
        <v>2.0457000000000001</v>
      </c>
      <c r="J524" s="227">
        <v>0.49032967696749924</v>
      </c>
      <c r="K524" s="227">
        <v>140</v>
      </c>
      <c r="L524" s="227">
        <v>140</v>
      </c>
      <c r="M524" s="227">
        <v>140</v>
      </c>
      <c r="N524" s="227">
        <v>99.855000000000004</v>
      </c>
      <c r="O524" s="227">
        <v>105.99</v>
      </c>
      <c r="P524" s="227">
        <v>123.26</v>
      </c>
      <c r="Q524" s="227">
        <v>112.91</v>
      </c>
      <c r="R524" s="227">
        <v>119.85</v>
      </c>
      <c r="S524" s="227"/>
      <c r="T524" s="227">
        <v>61.119</v>
      </c>
      <c r="U524" s="227">
        <v>71.718000000000004</v>
      </c>
      <c r="V524" s="227">
        <v>69.912999999999997</v>
      </c>
      <c r="W524" s="227">
        <v>79.5</v>
      </c>
      <c r="X524" s="227">
        <v>79.5</v>
      </c>
      <c r="Y524" s="227">
        <v>79.5</v>
      </c>
      <c r="Z524" s="227">
        <v>79.5</v>
      </c>
      <c r="AA524" s="227">
        <v>79.5</v>
      </c>
      <c r="AB524" s="227">
        <v>48.517000000000003</v>
      </c>
      <c r="AC524" s="227">
        <v>731.11</v>
      </c>
      <c r="AD524" s="230">
        <v>5.6153935185185191E-4</v>
      </c>
      <c r="AE524" s="230">
        <v>291.10200000000003</v>
      </c>
      <c r="AF524" s="230">
        <v>3601.5</v>
      </c>
      <c r="AG524" s="230">
        <v>423644.84089991933</v>
      </c>
      <c r="AH524" s="230">
        <v>1809448.1502056504</v>
      </c>
      <c r="AI524" s="230">
        <v>4386.66</v>
      </c>
    </row>
    <row r="525" spans="5:35" x14ac:dyDescent="0.35">
      <c r="E525" s="226">
        <v>1.3538399999999999</v>
      </c>
      <c r="F525" s="227">
        <v>8.3875726027397253</v>
      </c>
      <c r="G525" s="227">
        <v>3061.4639999999999</v>
      </c>
      <c r="H525" s="227">
        <v>0.91949999999999998</v>
      </c>
      <c r="I525" s="227">
        <v>2.0497999999999998</v>
      </c>
      <c r="J525" s="227">
        <v>0.49066531585638817</v>
      </c>
      <c r="K525" s="227">
        <v>140</v>
      </c>
      <c r="L525" s="227">
        <v>140</v>
      </c>
      <c r="M525" s="227">
        <v>140</v>
      </c>
      <c r="N525" s="227">
        <v>99.834000000000003</v>
      </c>
      <c r="O525" s="227">
        <v>105.96</v>
      </c>
      <c r="P525" s="227">
        <v>123.23</v>
      </c>
      <c r="Q525" s="227">
        <v>112.88</v>
      </c>
      <c r="R525" s="227">
        <v>119.81</v>
      </c>
      <c r="S525" s="227"/>
      <c r="T525" s="227">
        <v>61.2</v>
      </c>
      <c r="U525" s="227">
        <v>71.772999999999996</v>
      </c>
      <c r="V525" s="227">
        <v>70</v>
      </c>
      <c r="W525" s="227">
        <v>79.5</v>
      </c>
      <c r="X525" s="227">
        <v>79.5</v>
      </c>
      <c r="Y525" s="227">
        <v>79.5</v>
      </c>
      <c r="Z525" s="227">
        <v>79.5</v>
      </c>
      <c r="AA525" s="227">
        <v>79.5</v>
      </c>
      <c r="AB525" s="227">
        <v>48.332000000000001</v>
      </c>
      <c r="AC525" s="227">
        <v>731.38</v>
      </c>
      <c r="AD525" s="230">
        <v>5.5939814814814817E-4</v>
      </c>
      <c r="AE525" s="230">
        <v>289.99200000000002</v>
      </c>
      <c r="AF525" s="230">
        <v>3602.8379999999997</v>
      </c>
      <c r="AG525" s="230">
        <v>423934.83289991936</v>
      </c>
      <c r="AH525" s="230">
        <v>1813050.9882056504</v>
      </c>
      <c r="AI525" s="230">
        <v>4388.28</v>
      </c>
    </row>
    <row r="526" spans="5:35" x14ac:dyDescent="0.35">
      <c r="E526" s="226">
        <v>1.3578399999999999</v>
      </c>
      <c r="F526" s="227">
        <v>8.4040109589041094</v>
      </c>
      <c r="G526" s="227">
        <v>3067.4639999999999</v>
      </c>
      <c r="H526" s="227">
        <v>0.91990000000000005</v>
      </c>
      <c r="I526" s="227">
        <v>2.0537999999999998</v>
      </c>
      <c r="J526" s="227">
        <v>0.49099968391194365</v>
      </c>
      <c r="K526" s="227">
        <v>140</v>
      </c>
      <c r="L526" s="227">
        <v>140</v>
      </c>
      <c r="M526" s="227">
        <v>140</v>
      </c>
      <c r="N526" s="227">
        <v>99.813999999999993</v>
      </c>
      <c r="O526" s="227">
        <v>105.93</v>
      </c>
      <c r="P526" s="227">
        <v>123.21</v>
      </c>
      <c r="Q526" s="227">
        <v>112.85</v>
      </c>
      <c r="R526" s="227">
        <v>119.78</v>
      </c>
      <c r="S526" s="227"/>
      <c r="T526" s="227">
        <v>61.280999999999999</v>
      </c>
      <c r="U526" s="227">
        <v>71.828000000000003</v>
      </c>
      <c r="V526" s="227">
        <v>70.087000000000003</v>
      </c>
      <c r="W526" s="227">
        <v>79.5</v>
      </c>
      <c r="X526" s="227">
        <v>79.5</v>
      </c>
      <c r="Y526" s="227">
        <v>79.5</v>
      </c>
      <c r="Z526" s="227">
        <v>79.5</v>
      </c>
      <c r="AA526" s="227">
        <v>79.5</v>
      </c>
      <c r="AB526" s="227">
        <v>48.149000000000001</v>
      </c>
      <c r="AC526" s="227">
        <v>731.65</v>
      </c>
      <c r="AD526" s="230">
        <v>5.5728009259259261E-4</v>
      </c>
      <c r="AE526" s="230">
        <v>288.89400000000001</v>
      </c>
      <c r="AF526" s="230">
        <v>3604.1760000000004</v>
      </c>
      <c r="AG526" s="230">
        <v>424223.72689991933</v>
      </c>
      <c r="AH526" s="230">
        <v>1816655.1642056503</v>
      </c>
      <c r="AI526" s="230">
        <v>4389.8999999999996</v>
      </c>
    </row>
    <row r="527" spans="5:35" x14ac:dyDescent="0.35">
      <c r="E527" s="226">
        <v>1.3618399999999999</v>
      </c>
      <c r="F527" s="227">
        <v>8.4204493150684936</v>
      </c>
      <c r="G527" s="227">
        <v>3073.4639999999999</v>
      </c>
      <c r="H527" s="227">
        <v>0.92020000000000002</v>
      </c>
      <c r="I527" s="227">
        <v>2.0577999999999999</v>
      </c>
      <c r="J527" s="227">
        <v>0.49133278807861036</v>
      </c>
      <c r="K527" s="227">
        <v>140</v>
      </c>
      <c r="L527" s="227">
        <v>140</v>
      </c>
      <c r="M527" s="227">
        <v>140</v>
      </c>
      <c r="N527" s="227">
        <v>99.793999999999997</v>
      </c>
      <c r="O527" s="227">
        <v>105.9</v>
      </c>
      <c r="P527" s="227">
        <v>123.18</v>
      </c>
      <c r="Q527" s="227">
        <v>112.83</v>
      </c>
      <c r="R527" s="227">
        <v>119.74</v>
      </c>
      <c r="S527" s="227"/>
      <c r="T527" s="227">
        <v>61.362000000000002</v>
      </c>
      <c r="U527" s="227">
        <v>71.882999999999996</v>
      </c>
      <c r="V527" s="227">
        <v>70.173000000000002</v>
      </c>
      <c r="W527" s="227">
        <v>79.5</v>
      </c>
      <c r="X527" s="227">
        <v>79.5</v>
      </c>
      <c r="Y527" s="227">
        <v>79.5</v>
      </c>
      <c r="Z527" s="227">
        <v>79.5</v>
      </c>
      <c r="AA527" s="227">
        <v>79.5</v>
      </c>
      <c r="AB527" s="227">
        <v>47.966999999999999</v>
      </c>
      <c r="AC527" s="227">
        <v>731.92</v>
      </c>
      <c r="AD527" s="230">
        <v>5.551736111111111E-4</v>
      </c>
      <c r="AE527" s="230">
        <v>287.80200000000002</v>
      </c>
      <c r="AF527" s="230">
        <v>3605.5079999999998</v>
      </c>
      <c r="AG527" s="230">
        <v>424511.52889991936</v>
      </c>
      <c r="AH527" s="230">
        <v>1820260.6722056502</v>
      </c>
      <c r="AI527" s="230">
        <v>4391.5199999999995</v>
      </c>
    </row>
    <row r="528" spans="5:35" x14ac:dyDescent="0.35">
      <c r="E528" s="226">
        <v>1.3658399999999999</v>
      </c>
      <c r="F528" s="227">
        <v>8.436887671232876</v>
      </c>
      <c r="G528" s="227">
        <v>3079.4639999999999</v>
      </c>
      <c r="H528" s="227">
        <v>0.92049999999999998</v>
      </c>
      <c r="I528" s="227">
        <v>2.0617999999999999</v>
      </c>
      <c r="J528" s="227">
        <v>0.4916646353008326</v>
      </c>
      <c r="K528" s="227">
        <v>140</v>
      </c>
      <c r="L528" s="227">
        <v>140</v>
      </c>
      <c r="M528" s="227">
        <v>140</v>
      </c>
      <c r="N528" s="227">
        <v>99.774000000000001</v>
      </c>
      <c r="O528" s="227">
        <v>105.87</v>
      </c>
      <c r="P528" s="227">
        <v>123.16</v>
      </c>
      <c r="Q528" s="227">
        <v>112.8</v>
      </c>
      <c r="R528" s="227">
        <v>119.71</v>
      </c>
      <c r="S528" s="227"/>
      <c r="T528" s="227">
        <v>61.442</v>
      </c>
      <c r="U528" s="227">
        <v>71.936999999999998</v>
      </c>
      <c r="V528" s="227">
        <v>70.259</v>
      </c>
      <c r="W528" s="227">
        <v>79.5</v>
      </c>
      <c r="X528" s="227">
        <v>79.5</v>
      </c>
      <c r="Y528" s="227">
        <v>79.5</v>
      </c>
      <c r="Z528" s="227">
        <v>79.5</v>
      </c>
      <c r="AA528" s="227">
        <v>79.5</v>
      </c>
      <c r="AB528" s="227">
        <v>47.786000000000001</v>
      </c>
      <c r="AC528" s="227">
        <v>732.19</v>
      </c>
      <c r="AD528" s="230">
        <v>5.5307870370370374E-4</v>
      </c>
      <c r="AE528" s="230">
        <v>286.71600000000007</v>
      </c>
      <c r="AF528" s="230">
        <v>3606.8279999999995</v>
      </c>
      <c r="AG528" s="230">
        <v>424798.24489991937</v>
      </c>
      <c r="AH528" s="230">
        <v>1823867.5002056502</v>
      </c>
      <c r="AI528" s="230">
        <v>4393.1400000000003</v>
      </c>
    </row>
    <row r="529" spans="5:35" x14ac:dyDescent="0.35">
      <c r="E529" s="226">
        <v>1.3698399999999999</v>
      </c>
      <c r="F529" s="227">
        <v>8.4533260273972601</v>
      </c>
      <c r="G529" s="227">
        <v>3085.4639999999999</v>
      </c>
      <c r="H529" s="227">
        <v>0.92079999999999995</v>
      </c>
      <c r="I529" s="227">
        <v>2.0657999999999999</v>
      </c>
      <c r="J529" s="227">
        <v>0.4919952464119437</v>
      </c>
      <c r="K529" s="227">
        <v>140</v>
      </c>
      <c r="L529" s="227">
        <v>140</v>
      </c>
      <c r="M529" s="227">
        <v>140</v>
      </c>
      <c r="N529" s="227">
        <v>99.753</v>
      </c>
      <c r="O529" s="227">
        <v>105.85</v>
      </c>
      <c r="P529" s="227">
        <v>123.13</v>
      </c>
      <c r="Q529" s="227">
        <v>112.78</v>
      </c>
      <c r="R529" s="227">
        <v>119.67</v>
      </c>
      <c r="S529" s="227"/>
      <c r="T529" s="227">
        <v>61.523000000000003</v>
      </c>
      <c r="U529" s="227">
        <v>71.992000000000004</v>
      </c>
      <c r="V529" s="227">
        <v>70.344999999999999</v>
      </c>
      <c r="W529" s="227">
        <v>79.5</v>
      </c>
      <c r="X529" s="227">
        <v>79.5</v>
      </c>
      <c r="Y529" s="227">
        <v>79.5</v>
      </c>
      <c r="Z529" s="227">
        <v>79.5</v>
      </c>
      <c r="AA529" s="227">
        <v>79.5</v>
      </c>
      <c r="AB529" s="227">
        <v>47.607999999999997</v>
      </c>
      <c r="AC529" s="227">
        <v>732.46</v>
      </c>
      <c r="AD529" s="230">
        <v>5.510185185185185E-4</v>
      </c>
      <c r="AE529" s="230">
        <v>285.64800000000002</v>
      </c>
      <c r="AF529" s="230">
        <v>3608.16</v>
      </c>
      <c r="AG529" s="230">
        <v>425083.89289991936</v>
      </c>
      <c r="AH529" s="230">
        <v>1827475.6602056501</v>
      </c>
      <c r="AI529" s="230">
        <v>4394.76</v>
      </c>
    </row>
    <row r="530" spans="5:35" x14ac:dyDescent="0.35">
      <c r="E530" s="226">
        <v>1.37384</v>
      </c>
      <c r="F530" s="227">
        <v>8.4697643835616443</v>
      </c>
      <c r="G530" s="227">
        <v>3091.4639999999999</v>
      </c>
      <c r="H530" s="227">
        <v>0.92120000000000002</v>
      </c>
      <c r="I530" s="227">
        <v>2.0697999999999999</v>
      </c>
      <c r="J530" s="227">
        <v>0.49232462141194372</v>
      </c>
      <c r="K530" s="227">
        <v>140</v>
      </c>
      <c r="L530" s="227">
        <v>140</v>
      </c>
      <c r="M530" s="227">
        <v>140</v>
      </c>
      <c r="N530" s="227">
        <v>99.733000000000004</v>
      </c>
      <c r="O530" s="227">
        <v>105.82</v>
      </c>
      <c r="P530" s="227">
        <v>123.1</v>
      </c>
      <c r="Q530" s="227">
        <v>112.75</v>
      </c>
      <c r="R530" s="227">
        <v>119.64</v>
      </c>
      <c r="S530" s="227"/>
      <c r="T530" s="227">
        <v>61.603000000000002</v>
      </c>
      <c r="U530" s="227">
        <v>72.045000000000002</v>
      </c>
      <c r="V530" s="227">
        <v>70.430999999999997</v>
      </c>
      <c r="W530" s="227">
        <v>79.5</v>
      </c>
      <c r="X530" s="227">
        <v>79.5</v>
      </c>
      <c r="Y530" s="227">
        <v>79.5</v>
      </c>
      <c r="Z530" s="227">
        <v>79.5</v>
      </c>
      <c r="AA530" s="227">
        <v>79.5</v>
      </c>
      <c r="AB530" s="227">
        <v>47.43</v>
      </c>
      <c r="AC530" s="227">
        <v>732.72</v>
      </c>
      <c r="AD530" s="230">
        <v>5.4895833333333337E-4</v>
      </c>
      <c r="AE530" s="230">
        <v>284.58000000000004</v>
      </c>
      <c r="AF530" s="230">
        <v>3609.4739999999997</v>
      </c>
      <c r="AG530" s="230">
        <v>425368.47289991938</v>
      </c>
      <c r="AH530" s="230">
        <v>1831085.1342056501</v>
      </c>
      <c r="AI530" s="230">
        <v>4396.32</v>
      </c>
    </row>
    <row r="531" spans="5:35" x14ac:dyDescent="0.35">
      <c r="E531" s="226">
        <v>1.3779400000000002</v>
      </c>
      <c r="F531" s="227">
        <v>8.4862027397260267</v>
      </c>
      <c r="G531" s="227">
        <v>3097.4639999999999</v>
      </c>
      <c r="H531" s="227">
        <v>0.92149999999999999</v>
      </c>
      <c r="I531" s="227">
        <v>2.0739000000000001</v>
      </c>
      <c r="J531" s="227">
        <v>0.492652781134166</v>
      </c>
      <c r="K531" s="227">
        <v>140</v>
      </c>
      <c r="L531" s="227">
        <v>140</v>
      </c>
      <c r="M531" s="227">
        <v>140</v>
      </c>
      <c r="N531" s="227">
        <v>99.712999999999994</v>
      </c>
      <c r="O531" s="227">
        <v>105.79</v>
      </c>
      <c r="P531" s="227">
        <v>123.08</v>
      </c>
      <c r="Q531" s="227">
        <v>112.73</v>
      </c>
      <c r="R531" s="227">
        <v>119.6</v>
      </c>
      <c r="S531" s="227"/>
      <c r="T531" s="227">
        <v>61.683</v>
      </c>
      <c r="U531" s="227">
        <v>72.099000000000004</v>
      </c>
      <c r="V531" s="227">
        <v>70.516000000000005</v>
      </c>
      <c r="W531" s="227">
        <v>79.5</v>
      </c>
      <c r="X531" s="227">
        <v>79.5</v>
      </c>
      <c r="Y531" s="227">
        <v>79.5</v>
      </c>
      <c r="Z531" s="227">
        <v>79.5</v>
      </c>
      <c r="AA531" s="227">
        <v>79.5</v>
      </c>
      <c r="AB531" s="227">
        <v>47.255000000000003</v>
      </c>
      <c r="AC531" s="227">
        <v>732.99</v>
      </c>
      <c r="AD531" s="230">
        <v>5.4693287037037037E-4</v>
      </c>
      <c r="AE531" s="230">
        <v>283.52999999999997</v>
      </c>
      <c r="AF531" s="230">
        <v>3610.788</v>
      </c>
      <c r="AG531" s="230">
        <v>425652.0028999194</v>
      </c>
      <c r="AH531" s="230">
        <v>1834695.92220565</v>
      </c>
      <c r="AI531" s="230">
        <v>4397.9400000000005</v>
      </c>
    </row>
    <row r="532" spans="5:35" x14ac:dyDescent="0.35">
      <c r="E532" s="226">
        <v>1.3819400000000002</v>
      </c>
      <c r="F532" s="227">
        <v>8.5026410958904108</v>
      </c>
      <c r="G532" s="227">
        <v>3103.4639999999999</v>
      </c>
      <c r="H532" s="227">
        <v>0.92179999999999995</v>
      </c>
      <c r="I532" s="227">
        <v>2.0779000000000001</v>
      </c>
      <c r="J532" s="227">
        <v>0.49297973252305483</v>
      </c>
      <c r="K532" s="227">
        <v>140</v>
      </c>
      <c r="L532" s="227">
        <v>140</v>
      </c>
      <c r="M532" s="227">
        <v>140</v>
      </c>
      <c r="N532" s="227">
        <v>99.692999999999998</v>
      </c>
      <c r="O532" s="227">
        <v>105.76</v>
      </c>
      <c r="P532" s="227">
        <v>123.05</v>
      </c>
      <c r="Q532" s="227">
        <v>112.7</v>
      </c>
      <c r="R532" s="227">
        <v>119.57</v>
      </c>
      <c r="S532" s="227"/>
      <c r="T532" s="227">
        <v>61.762</v>
      </c>
      <c r="U532" s="227">
        <v>72.153000000000006</v>
      </c>
      <c r="V532" s="227">
        <v>70.600999999999999</v>
      </c>
      <c r="W532" s="227">
        <v>79.5</v>
      </c>
      <c r="X532" s="227">
        <v>79.5</v>
      </c>
      <c r="Y532" s="227">
        <v>79.5</v>
      </c>
      <c r="Z532" s="227">
        <v>79.5</v>
      </c>
      <c r="AA532" s="227">
        <v>79.5</v>
      </c>
      <c r="AB532" s="227">
        <v>47.081000000000003</v>
      </c>
      <c r="AC532" s="227">
        <v>733.26</v>
      </c>
      <c r="AD532" s="230">
        <v>5.4491898148148151E-4</v>
      </c>
      <c r="AE532" s="230">
        <v>282.48599999999999</v>
      </c>
      <c r="AF532" s="230">
        <v>3612.0960000000005</v>
      </c>
      <c r="AG532" s="230">
        <v>425934.48889991938</v>
      </c>
      <c r="AH532" s="230">
        <v>1838308.0182056499</v>
      </c>
      <c r="AI532" s="230">
        <v>4399.5599999999995</v>
      </c>
    </row>
    <row r="533" spans="5:35" x14ac:dyDescent="0.35">
      <c r="E533" s="226">
        <v>1.3859400000000002</v>
      </c>
      <c r="F533" s="227">
        <v>8.519079452054795</v>
      </c>
      <c r="G533" s="227">
        <v>3109.4639999999999</v>
      </c>
      <c r="H533" s="227">
        <v>0.92210000000000003</v>
      </c>
      <c r="I533" s="227">
        <v>2.0819000000000001</v>
      </c>
      <c r="J533" s="227">
        <v>0.49330548252305478</v>
      </c>
      <c r="K533" s="227">
        <v>140</v>
      </c>
      <c r="L533" s="227">
        <v>140</v>
      </c>
      <c r="M533" s="227">
        <v>140</v>
      </c>
      <c r="N533" s="227">
        <v>99.673000000000002</v>
      </c>
      <c r="O533" s="227">
        <v>105.73</v>
      </c>
      <c r="P533" s="227">
        <v>123.03</v>
      </c>
      <c r="Q533" s="227">
        <v>112.68</v>
      </c>
      <c r="R533" s="227">
        <v>119.53</v>
      </c>
      <c r="S533" s="227"/>
      <c r="T533" s="227">
        <v>61.841999999999999</v>
      </c>
      <c r="U533" s="227">
        <v>72.206000000000003</v>
      </c>
      <c r="V533" s="227">
        <v>70.686000000000007</v>
      </c>
      <c r="W533" s="227">
        <v>79.5</v>
      </c>
      <c r="X533" s="227">
        <v>79.5</v>
      </c>
      <c r="Y533" s="227">
        <v>79.5</v>
      </c>
      <c r="Z533" s="227">
        <v>79.5</v>
      </c>
      <c r="AA533" s="227">
        <v>79.5</v>
      </c>
      <c r="AB533" s="227">
        <v>46.908000000000001</v>
      </c>
      <c r="AC533" s="227">
        <v>733.52</v>
      </c>
      <c r="AD533" s="230">
        <v>5.429166666666667E-4</v>
      </c>
      <c r="AE533" s="230">
        <v>281.44799999999998</v>
      </c>
      <c r="AF533" s="230">
        <v>3613.4040000000005</v>
      </c>
      <c r="AG533" s="230">
        <v>426215.93689991935</v>
      </c>
      <c r="AH533" s="230">
        <v>1841921.42220565</v>
      </c>
      <c r="AI533" s="230">
        <v>4401.12</v>
      </c>
    </row>
    <row r="534" spans="5:35" x14ac:dyDescent="0.35">
      <c r="E534" s="226">
        <v>1.3899400000000002</v>
      </c>
      <c r="F534" s="227">
        <v>8.5355178082191774</v>
      </c>
      <c r="G534" s="227">
        <v>3115.4639999999999</v>
      </c>
      <c r="H534" s="227">
        <v>0.9224</v>
      </c>
      <c r="I534" s="227">
        <v>2.0859000000000001</v>
      </c>
      <c r="J534" s="227">
        <v>0.49363003807861039</v>
      </c>
      <c r="K534" s="227">
        <v>140</v>
      </c>
      <c r="L534" s="227">
        <v>140</v>
      </c>
      <c r="M534" s="227">
        <v>140</v>
      </c>
      <c r="N534" s="227">
        <v>99.653000000000006</v>
      </c>
      <c r="O534" s="227">
        <v>105.71</v>
      </c>
      <c r="P534" s="227">
        <v>123</v>
      </c>
      <c r="Q534" s="227">
        <v>112.65</v>
      </c>
      <c r="R534" s="227">
        <v>119.5</v>
      </c>
      <c r="S534" s="227"/>
      <c r="T534" s="227">
        <v>61.920999999999999</v>
      </c>
      <c r="U534" s="227">
        <v>72.259</v>
      </c>
      <c r="V534" s="227">
        <v>70.77</v>
      </c>
      <c r="W534" s="227">
        <v>79.5</v>
      </c>
      <c r="X534" s="227">
        <v>79.5</v>
      </c>
      <c r="Y534" s="227">
        <v>79.5</v>
      </c>
      <c r="Z534" s="227">
        <v>79.5</v>
      </c>
      <c r="AA534" s="227">
        <v>79.5</v>
      </c>
      <c r="AB534" s="227">
        <v>46.735999999999997</v>
      </c>
      <c r="AC534" s="227">
        <v>733.79</v>
      </c>
      <c r="AD534" s="230">
        <v>5.4092592592592593E-4</v>
      </c>
      <c r="AE534" s="230">
        <v>280.416</v>
      </c>
      <c r="AF534" s="230">
        <v>3614.7000000000003</v>
      </c>
      <c r="AG534" s="230">
        <v>426496.35289991938</v>
      </c>
      <c r="AH534" s="230">
        <v>1845536.12220565</v>
      </c>
      <c r="AI534" s="230">
        <v>4402.74</v>
      </c>
    </row>
    <row r="535" spans="5:35" x14ac:dyDescent="0.35">
      <c r="E535" s="226">
        <v>1.3939400000000002</v>
      </c>
      <c r="F535" s="227">
        <v>8.5519561643835615</v>
      </c>
      <c r="G535" s="227">
        <v>3121.4639999999999</v>
      </c>
      <c r="H535" s="227">
        <v>0.92269999999999996</v>
      </c>
      <c r="I535" s="227">
        <v>2.0899000000000001</v>
      </c>
      <c r="J535" s="227">
        <v>0.4939534130786104</v>
      </c>
      <c r="K535" s="227">
        <v>140</v>
      </c>
      <c r="L535" s="227">
        <v>140</v>
      </c>
      <c r="M535" s="227">
        <v>140</v>
      </c>
      <c r="N535" s="227">
        <v>99.632999999999996</v>
      </c>
      <c r="O535" s="227">
        <v>105.68</v>
      </c>
      <c r="P535" s="227">
        <v>122.98</v>
      </c>
      <c r="Q535" s="227">
        <v>112.63</v>
      </c>
      <c r="R535" s="227">
        <v>119.46</v>
      </c>
      <c r="S535" s="227"/>
      <c r="T535" s="227">
        <v>62.000999999999998</v>
      </c>
      <c r="U535" s="227">
        <v>72.313000000000002</v>
      </c>
      <c r="V535" s="227">
        <v>70.855000000000004</v>
      </c>
      <c r="W535" s="227">
        <v>79.5</v>
      </c>
      <c r="X535" s="227">
        <v>79.5</v>
      </c>
      <c r="Y535" s="227">
        <v>79.5</v>
      </c>
      <c r="Z535" s="227">
        <v>79.5</v>
      </c>
      <c r="AA535" s="227">
        <v>79.5</v>
      </c>
      <c r="AB535" s="227">
        <v>46.566000000000003</v>
      </c>
      <c r="AC535" s="227">
        <v>734.05</v>
      </c>
      <c r="AD535" s="230">
        <v>5.3895833333333335E-4</v>
      </c>
      <c r="AE535" s="230">
        <v>279.39600000000002</v>
      </c>
      <c r="AF535" s="230">
        <v>3616.0140000000001</v>
      </c>
      <c r="AG535" s="230">
        <v>426775.74889991939</v>
      </c>
      <c r="AH535" s="230">
        <v>1849152.1362056499</v>
      </c>
      <c r="AI535" s="230">
        <v>4404.2999999999993</v>
      </c>
    </row>
    <row r="536" spans="5:35" x14ac:dyDescent="0.35">
      <c r="E536" s="226">
        <v>1.3980399999999999</v>
      </c>
      <c r="F536" s="227">
        <v>8.5683945205479457</v>
      </c>
      <c r="G536" s="227">
        <v>3127.4639999999999</v>
      </c>
      <c r="H536" s="227">
        <v>0.92300000000000004</v>
      </c>
      <c r="I536" s="227">
        <v>2.0939999999999999</v>
      </c>
      <c r="J536" s="227">
        <v>0.4942756214119437</v>
      </c>
      <c r="K536" s="227">
        <v>140</v>
      </c>
      <c r="L536" s="227">
        <v>140</v>
      </c>
      <c r="M536" s="227">
        <v>140</v>
      </c>
      <c r="N536" s="227">
        <v>99.613</v>
      </c>
      <c r="O536" s="227">
        <v>105.65</v>
      </c>
      <c r="P536" s="227">
        <v>122.95</v>
      </c>
      <c r="Q536" s="227">
        <v>112.6</v>
      </c>
      <c r="R536" s="227">
        <v>119.43</v>
      </c>
      <c r="S536" s="227"/>
      <c r="T536" s="227">
        <v>62.08</v>
      </c>
      <c r="U536" s="227">
        <v>72.364999999999995</v>
      </c>
      <c r="V536" s="227">
        <v>70.938999999999993</v>
      </c>
      <c r="W536" s="227">
        <v>79.5</v>
      </c>
      <c r="X536" s="227">
        <v>79.5</v>
      </c>
      <c r="Y536" s="227">
        <v>79.5</v>
      </c>
      <c r="Z536" s="227">
        <v>79.5</v>
      </c>
      <c r="AA536" s="227">
        <v>79.5</v>
      </c>
      <c r="AB536" s="227">
        <v>46.398000000000003</v>
      </c>
      <c r="AC536" s="227">
        <v>734.31</v>
      </c>
      <c r="AD536" s="230">
        <v>5.3701388888888896E-4</v>
      </c>
      <c r="AE536" s="230">
        <v>278.38800000000003</v>
      </c>
      <c r="AF536" s="230">
        <v>3617.3040000000001</v>
      </c>
      <c r="AG536" s="230">
        <v>427054.13689991937</v>
      </c>
      <c r="AH536" s="230">
        <v>1852769.4402056499</v>
      </c>
      <c r="AI536" s="230">
        <v>4405.8599999999997</v>
      </c>
    </row>
    <row r="537" spans="5:35" x14ac:dyDescent="0.35">
      <c r="E537" s="226">
        <v>1.40204</v>
      </c>
      <c r="F537" s="227">
        <v>8.5848328767123281</v>
      </c>
      <c r="G537" s="227">
        <v>3133.4639999999999</v>
      </c>
      <c r="H537" s="227">
        <v>0.9234</v>
      </c>
      <c r="I537" s="227">
        <v>2.0979999999999999</v>
      </c>
      <c r="J537" s="227">
        <v>0.49459666307861039</v>
      </c>
      <c r="K537" s="227">
        <v>140</v>
      </c>
      <c r="L537" s="227">
        <v>140</v>
      </c>
      <c r="M537" s="227">
        <v>140</v>
      </c>
      <c r="N537" s="227">
        <v>99.593000000000004</v>
      </c>
      <c r="O537" s="227">
        <v>105.62</v>
      </c>
      <c r="P537" s="227">
        <v>122.93</v>
      </c>
      <c r="Q537" s="227">
        <v>112.58</v>
      </c>
      <c r="R537" s="227">
        <v>119.39</v>
      </c>
      <c r="S537" s="227"/>
      <c r="T537" s="227">
        <v>62.158999999999999</v>
      </c>
      <c r="U537" s="227">
        <v>72.418000000000006</v>
      </c>
      <c r="V537" s="227">
        <v>71.022000000000006</v>
      </c>
      <c r="W537" s="227">
        <v>79.5</v>
      </c>
      <c r="X537" s="227">
        <v>79.5</v>
      </c>
      <c r="Y537" s="227">
        <v>79.5</v>
      </c>
      <c r="Z537" s="227">
        <v>79.5</v>
      </c>
      <c r="AA537" s="227">
        <v>79.5</v>
      </c>
      <c r="AB537" s="227">
        <v>46.23</v>
      </c>
      <c r="AC537" s="227">
        <v>734.57</v>
      </c>
      <c r="AD537" s="230">
        <v>5.3506944444444446E-4</v>
      </c>
      <c r="AE537" s="230">
        <v>277.38000000000005</v>
      </c>
      <c r="AF537" s="230">
        <v>3618.5939999999996</v>
      </c>
      <c r="AG537" s="230">
        <v>427331.51689991937</v>
      </c>
      <c r="AH537" s="230">
        <v>1856388.03420565</v>
      </c>
      <c r="AI537" s="230">
        <v>4407.42</v>
      </c>
    </row>
    <row r="538" spans="5:35" x14ac:dyDescent="0.35">
      <c r="E538" s="226">
        <v>1.40604</v>
      </c>
      <c r="F538" s="227">
        <v>8.6012712328767122</v>
      </c>
      <c r="G538" s="227">
        <v>3139.4639999999999</v>
      </c>
      <c r="H538" s="227">
        <v>0.92369999999999997</v>
      </c>
      <c r="I538" s="227">
        <v>2.1019999999999999</v>
      </c>
      <c r="J538" s="227">
        <v>0.49491655196749929</v>
      </c>
      <c r="K538" s="227">
        <v>140</v>
      </c>
      <c r="L538" s="227">
        <v>140</v>
      </c>
      <c r="M538" s="227">
        <v>140</v>
      </c>
      <c r="N538" s="227">
        <v>99.573999999999998</v>
      </c>
      <c r="O538" s="227">
        <v>105.6</v>
      </c>
      <c r="P538" s="227">
        <v>122.9</v>
      </c>
      <c r="Q538" s="227">
        <v>112.55</v>
      </c>
      <c r="R538" s="227">
        <v>119.36</v>
      </c>
      <c r="S538" s="227"/>
      <c r="T538" s="227">
        <v>62.237000000000002</v>
      </c>
      <c r="U538" s="227">
        <v>72.471000000000004</v>
      </c>
      <c r="V538" s="227">
        <v>71.105999999999995</v>
      </c>
      <c r="W538" s="227">
        <v>79.5</v>
      </c>
      <c r="X538" s="227">
        <v>79.5</v>
      </c>
      <c r="Y538" s="227">
        <v>79.5</v>
      </c>
      <c r="Z538" s="227">
        <v>79.5</v>
      </c>
      <c r="AA538" s="227">
        <v>79.5</v>
      </c>
      <c r="AB538" s="227">
        <v>46.064</v>
      </c>
      <c r="AC538" s="227">
        <v>734.84</v>
      </c>
      <c r="AD538" s="230">
        <v>5.3314814814814815E-4</v>
      </c>
      <c r="AE538" s="230">
        <v>276.38400000000001</v>
      </c>
      <c r="AF538" s="230">
        <v>3619.884</v>
      </c>
      <c r="AG538" s="230">
        <v>427607.90089991939</v>
      </c>
      <c r="AH538" s="230">
        <v>1860007.9182056501</v>
      </c>
      <c r="AI538" s="230">
        <v>4409.04</v>
      </c>
    </row>
    <row r="539" spans="5:35" x14ac:dyDescent="0.35">
      <c r="E539" s="226">
        <v>1.41004</v>
      </c>
      <c r="F539" s="227">
        <v>8.6177095890410964</v>
      </c>
      <c r="G539" s="227">
        <v>3145.4639999999999</v>
      </c>
      <c r="H539" s="227">
        <v>0.92400000000000004</v>
      </c>
      <c r="I539" s="227">
        <v>2.1059999999999999</v>
      </c>
      <c r="J539" s="227">
        <v>0.49523530196749932</v>
      </c>
      <c r="K539" s="227">
        <v>140</v>
      </c>
      <c r="L539" s="227">
        <v>140</v>
      </c>
      <c r="M539" s="227">
        <v>140</v>
      </c>
      <c r="N539" s="227">
        <v>99.554000000000002</v>
      </c>
      <c r="O539" s="227">
        <v>105.57</v>
      </c>
      <c r="P539" s="227">
        <v>122.88</v>
      </c>
      <c r="Q539" s="227">
        <v>112.53</v>
      </c>
      <c r="R539" s="227">
        <v>119.32</v>
      </c>
      <c r="S539" s="227"/>
      <c r="T539" s="227">
        <v>62.316000000000003</v>
      </c>
      <c r="U539" s="227">
        <v>72.522999999999996</v>
      </c>
      <c r="V539" s="227">
        <v>71.188999999999993</v>
      </c>
      <c r="W539" s="227">
        <v>79.5</v>
      </c>
      <c r="X539" s="227">
        <v>79.5</v>
      </c>
      <c r="Y539" s="227">
        <v>79.5</v>
      </c>
      <c r="Z539" s="227">
        <v>79.5</v>
      </c>
      <c r="AA539" s="227">
        <v>79.5</v>
      </c>
      <c r="AB539" s="227">
        <v>45.9</v>
      </c>
      <c r="AC539" s="227">
        <v>735.1</v>
      </c>
      <c r="AD539" s="230">
        <v>5.3124999999999993E-4</v>
      </c>
      <c r="AE539" s="230">
        <v>275.39999999999992</v>
      </c>
      <c r="AF539" s="230">
        <v>3621.1680000000001</v>
      </c>
      <c r="AG539" s="230">
        <v>427883.30089991941</v>
      </c>
      <c r="AH539" s="230">
        <v>1863629.0862056501</v>
      </c>
      <c r="AI539" s="230">
        <v>4410.6000000000004</v>
      </c>
    </row>
    <row r="540" spans="5:35" x14ac:dyDescent="0.35">
      <c r="E540" s="226">
        <v>1.41404</v>
      </c>
      <c r="F540" s="227">
        <v>8.6341479452054788</v>
      </c>
      <c r="G540" s="227">
        <v>3151.4639999999999</v>
      </c>
      <c r="H540" s="227">
        <v>0.92430000000000001</v>
      </c>
      <c r="I540" s="227">
        <v>2.11</v>
      </c>
      <c r="J540" s="227">
        <v>0.49555291307861044</v>
      </c>
      <c r="K540" s="227">
        <v>140</v>
      </c>
      <c r="L540" s="227">
        <v>140</v>
      </c>
      <c r="M540" s="227">
        <v>140</v>
      </c>
      <c r="N540" s="227">
        <v>99.534000000000006</v>
      </c>
      <c r="O540" s="227">
        <v>105.54</v>
      </c>
      <c r="P540" s="227">
        <v>122.85</v>
      </c>
      <c r="Q540" s="227">
        <v>112.51</v>
      </c>
      <c r="R540" s="227">
        <v>119.29</v>
      </c>
      <c r="S540" s="227"/>
      <c r="T540" s="227">
        <v>62.393999999999998</v>
      </c>
      <c r="U540" s="227">
        <v>72.575000000000003</v>
      </c>
      <c r="V540" s="227">
        <v>71.272999999999996</v>
      </c>
      <c r="W540" s="227">
        <v>79.5</v>
      </c>
      <c r="X540" s="227">
        <v>79.5</v>
      </c>
      <c r="Y540" s="227">
        <v>79.5</v>
      </c>
      <c r="Z540" s="227">
        <v>79.5</v>
      </c>
      <c r="AA540" s="227">
        <v>79.5</v>
      </c>
      <c r="AB540" s="227">
        <v>45.735999999999997</v>
      </c>
      <c r="AC540" s="227">
        <v>735.36</v>
      </c>
      <c r="AD540" s="230">
        <v>5.2935185185185181E-4</v>
      </c>
      <c r="AE540" s="230">
        <v>274.416</v>
      </c>
      <c r="AF540" s="230">
        <v>3622.4519999999998</v>
      </c>
      <c r="AG540" s="230">
        <v>428157.71689991944</v>
      </c>
      <c r="AH540" s="230">
        <v>1867251.5382056502</v>
      </c>
      <c r="AI540" s="230">
        <v>4412.16</v>
      </c>
    </row>
    <row r="541" spans="5:35" x14ac:dyDescent="0.35">
      <c r="E541" s="226">
        <v>1.41804</v>
      </c>
      <c r="F541" s="227">
        <v>8.650586301369863</v>
      </c>
      <c r="G541" s="227">
        <v>3157.4639999999999</v>
      </c>
      <c r="H541" s="227">
        <v>0.92449999999999999</v>
      </c>
      <c r="I541" s="227">
        <v>2.1139999999999999</v>
      </c>
      <c r="J541" s="227">
        <v>0.49586939918972162</v>
      </c>
      <c r="K541" s="227">
        <v>140</v>
      </c>
      <c r="L541" s="227">
        <v>140</v>
      </c>
      <c r="M541" s="227">
        <v>140</v>
      </c>
      <c r="N541" s="227">
        <v>99.513999999999996</v>
      </c>
      <c r="O541" s="227">
        <v>105.52</v>
      </c>
      <c r="P541" s="227">
        <v>122.83</v>
      </c>
      <c r="Q541" s="227">
        <v>112.48</v>
      </c>
      <c r="R541" s="227">
        <v>119.26</v>
      </c>
      <c r="S541" s="227"/>
      <c r="T541" s="227">
        <v>62.472000000000001</v>
      </c>
      <c r="U541" s="227">
        <v>72.626999999999995</v>
      </c>
      <c r="V541" s="227">
        <v>71.355000000000004</v>
      </c>
      <c r="W541" s="227">
        <v>79.5</v>
      </c>
      <c r="X541" s="227">
        <v>79.5</v>
      </c>
      <c r="Y541" s="227">
        <v>79.5</v>
      </c>
      <c r="Z541" s="227">
        <v>79.5</v>
      </c>
      <c r="AA541" s="227">
        <v>79.5</v>
      </c>
      <c r="AB541" s="227">
        <v>45.573999999999998</v>
      </c>
      <c r="AC541" s="227">
        <v>735.62</v>
      </c>
      <c r="AD541" s="230">
        <v>5.2747685185185178E-4</v>
      </c>
      <c r="AE541" s="230">
        <v>273.44399999999996</v>
      </c>
      <c r="AF541" s="230">
        <v>3623.7239999999997</v>
      </c>
      <c r="AG541" s="230">
        <v>428431.16089991946</v>
      </c>
      <c r="AH541" s="230">
        <v>1870875.2622056501</v>
      </c>
      <c r="AI541" s="230">
        <v>4413.72</v>
      </c>
    </row>
    <row r="542" spans="5:35" x14ac:dyDescent="0.35">
      <c r="E542" s="226">
        <v>1.4221400000000002</v>
      </c>
      <c r="F542" s="227">
        <v>8.6670246575342471</v>
      </c>
      <c r="G542" s="227">
        <v>3163.4639999999999</v>
      </c>
      <c r="H542" s="227">
        <v>0.92479999999999996</v>
      </c>
      <c r="I542" s="227">
        <v>2.1181000000000001</v>
      </c>
      <c r="J542" s="227">
        <v>0.49618477418972157</v>
      </c>
      <c r="K542" s="227">
        <v>140</v>
      </c>
      <c r="L542" s="227">
        <v>140</v>
      </c>
      <c r="M542" s="227">
        <v>140</v>
      </c>
      <c r="N542" s="227">
        <v>99.495000000000005</v>
      </c>
      <c r="O542" s="227">
        <v>105.49</v>
      </c>
      <c r="P542" s="227">
        <v>122.8</v>
      </c>
      <c r="Q542" s="227">
        <v>112.46</v>
      </c>
      <c r="R542" s="227">
        <v>119.22</v>
      </c>
      <c r="S542" s="227"/>
      <c r="T542" s="227">
        <v>62.55</v>
      </c>
      <c r="U542" s="227">
        <v>72.679000000000002</v>
      </c>
      <c r="V542" s="227">
        <v>71.438000000000002</v>
      </c>
      <c r="W542" s="227">
        <v>79.5</v>
      </c>
      <c r="X542" s="227">
        <v>79.5</v>
      </c>
      <c r="Y542" s="227">
        <v>79.5</v>
      </c>
      <c r="Z542" s="227">
        <v>79.5</v>
      </c>
      <c r="AA542" s="227">
        <v>79.5</v>
      </c>
      <c r="AB542" s="227">
        <v>45.414000000000001</v>
      </c>
      <c r="AC542" s="227">
        <v>735.88</v>
      </c>
      <c r="AD542" s="230">
        <v>5.2562500000000005E-4</v>
      </c>
      <c r="AE542" s="230">
        <v>272.48400000000004</v>
      </c>
      <c r="AF542" s="230">
        <v>3625.0019999999995</v>
      </c>
      <c r="AG542" s="230">
        <v>428703.64489991945</v>
      </c>
      <c r="AH542" s="230">
        <v>1874500.2642056502</v>
      </c>
      <c r="AI542" s="230">
        <v>4415.28</v>
      </c>
    </row>
    <row r="543" spans="5:35" x14ac:dyDescent="0.35">
      <c r="E543" s="226">
        <v>1.4261400000000002</v>
      </c>
      <c r="F543" s="227">
        <v>8.6834630136986295</v>
      </c>
      <c r="G543" s="227">
        <v>3169.4639999999999</v>
      </c>
      <c r="H543" s="227">
        <v>0.92510000000000003</v>
      </c>
      <c r="I543" s="227">
        <v>2.1221000000000001</v>
      </c>
      <c r="J543" s="227">
        <v>0.49649904502305497</v>
      </c>
      <c r="K543" s="227">
        <v>140</v>
      </c>
      <c r="L543" s="227">
        <v>140</v>
      </c>
      <c r="M543" s="227">
        <v>140</v>
      </c>
      <c r="N543" s="227">
        <v>99.474999999999994</v>
      </c>
      <c r="O543" s="227">
        <v>105.46</v>
      </c>
      <c r="P543" s="227">
        <v>122.78</v>
      </c>
      <c r="Q543" s="227">
        <v>112.43</v>
      </c>
      <c r="R543" s="227">
        <v>119.19</v>
      </c>
      <c r="S543" s="227"/>
      <c r="T543" s="227">
        <v>62.628</v>
      </c>
      <c r="U543" s="227">
        <v>72.73</v>
      </c>
      <c r="V543" s="227">
        <v>71.521000000000001</v>
      </c>
      <c r="W543" s="227">
        <v>79.5</v>
      </c>
      <c r="X543" s="227">
        <v>79.5</v>
      </c>
      <c r="Y543" s="227">
        <v>79.5</v>
      </c>
      <c r="Z543" s="227">
        <v>79.5</v>
      </c>
      <c r="AA543" s="227">
        <v>79.5</v>
      </c>
      <c r="AB543" s="227">
        <v>45.255000000000003</v>
      </c>
      <c r="AC543" s="227">
        <v>736.13</v>
      </c>
      <c r="AD543" s="230">
        <v>5.2378472222222225E-4</v>
      </c>
      <c r="AE543" s="230">
        <v>271.52999999999997</v>
      </c>
      <c r="AF543" s="230">
        <v>3626.2740000000003</v>
      </c>
      <c r="AG543" s="230">
        <v>428975.17489991948</v>
      </c>
      <c r="AH543" s="230">
        <v>1878126.5382056502</v>
      </c>
      <c r="AI543" s="230">
        <v>4416.78</v>
      </c>
    </row>
    <row r="544" spans="5:35" x14ac:dyDescent="0.35">
      <c r="E544" s="226">
        <v>1.4301400000000002</v>
      </c>
      <c r="F544" s="227">
        <v>8.6999013698630137</v>
      </c>
      <c r="G544" s="227">
        <v>3175.4639999999999</v>
      </c>
      <c r="H544" s="227">
        <v>0.9254</v>
      </c>
      <c r="I544" s="227">
        <v>2.1261000000000001</v>
      </c>
      <c r="J544" s="227">
        <v>0.49681221863416608</v>
      </c>
      <c r="K544" s="227">
        <v>140</v>
      </c>
      <c r="L544" s="227">
        <v>140</v>
      </c>
      <c r="M544" s="227">
        <v>140</v>
      </c>
      <c r="N544" s="227">
        <v>99.454999999999998</v>
      </c>
      <c r="O544" s="227">
        <v>105.44</v>
      </c>
      <c r="P544" s="227">
        <v>122.76</v>
      </c>
      <c r="Q544" s="227">
        <v>112.41</v>
      </c>
      <c r="R544" s="227">
        <v>119.16</v>
      </c>
      <c r="S544" s="227"/>
      <c r="T544" s="227">
        <v>62.706000000000003</v>
      </c>
      <c r="U544" s="227">
        <v>72.781000000000006</v>
      </c>
      <c r="V544" s="227">
        <v>71.602999999999994</v>
      </c>
      <c r="W544" s="227">
        <v>79.5</v>
      </c>
      <c r="X544" s="227">
        <v>79.5</v>
      </c>
      <c r="Y544" s="227">
        <v>79.5</v>
      </c>
      <c r="Z544" s="227">
        <v>79.5</v>
      </c>
      <c r="AA544" s="227">
        <v>79.5</v>
      </c>
      <c r="AB544" s="227">
        <v>45.097000000000001</v>
      </c>
      <c r="AC544" s="227">
        <v>736.39</v>
      </c>
      <c r="AD544" s="230">
        <v>5.2195601851851849E-4</v>
      </c>
      <c r="AE544" s="230">
        <v>270.58199999999999</v>
      </c>
      <c r="AF544" s="230">
        <v>3627.54</v>
      </c>
      <c r="AG544" s="230">
        <v>429245.75689991948</v>
      </c>
      <c r="AH544" s="230">
        <v>1881754.0782056502</v>
      </c>
      <c r="AI544" s="230">
        <v>4418.34</v>
      </c>
    </row>
    <row r="545" spans="5:35" x14ac:dyDescent="0.35">
      <c r="E545" s="226">
        <v>1.4341400000000002</v>
      </c>
      <c r="F545" s="227">
        <v>8.7163397260273978</v>
      </c>
      <c r="G545" s="227">
        <v>3181.4639999999999</v>
      </c>
      <c r="H545" s="227">
        <v>0.92569999999999997</v>
      </c>
      <c r="I545" s="227">
        <v>2.1301000000000001</v>
      </c>
      <c r="J545" s="227">
        <v>0.49712430891194387</v>
      </c>
      <c r="K545" s="227">
        <v>140</v>
      </c>
      <c r="L545" s="227">
        <v>140</v>
      </c>
      <c r="M545" s="227">
        <v>140</v>
      </c>
      <c r="N545" s="227">
        <v>99.436000000000007</v>
      </c>
      <c r="O545" s="227">
        <v>105.41</v>
      </c>
      <c r="P545" s="227">
        <v>122.73</v>
      </c>
      <c r="Q545" s="227">
        <v>112.39</v>
      </c>
      <c r="R545" s="227">
        <v>119.13</v>
      </c>
      <c r="S545" s="227"/>
      <c r="T545" s="227">
        <v>62.783000000000001</v>
      </c>
      <c r="U545" s="227">
        <v>72.831999999999994</v>
      </c>
      <c r="V545" s="227">
        <v>71.685000000000002</v>
      </c>
      <c r="W545" s="227">
        <v>79.5</v>
      </c>
      <c r="X545" s="227">
        <v>79.5</v>
      </c>
      <c r="Y545" s="227">
        <v>79.5</v>
      </c>
      <c r="Z545" s="227">
        <v>79.5</v>
      </c>
      <c r="AA545" s="227">
        <v>79.5</v>
      </c>
      <c r="AB545" s="227">
        <v>44.941000000000003</v>
      </c>
      <c r="AC545" s="227">
        <v>736.65</v>
      </c>
      <c r="AD545" s="230">
        <v>5.2015046296296304E-4</v>
      </c>
      <c r="AE545" s="230">
        <v>269.64600000000002</v>
      </c>
      <c r="AF545" s="230">
        <v>3628.7999999999997</v>
      </c>
      <c r="AG545" s="230">
        <v>429515.40289991949</v>
      </c>
      <c r="AH545" s="230">
        <v>1885382.8782056503</v>
      </c>
      <c r="AI545" s="230">
        <v>4419.8999999999996</v>
      </c>
    </row>
    <row r="546" spans="5:35" x14ac:dyDescent="0.35">
      <c r="E546" s="226">
        <v>1.4381400000000002</v>
      </c>
      <c r="F546" s="227">
        <v>8.7327780821917802</v>
      </c>
      <c r="G546" s="227">
        <v>3187.4639999999999</v>
      </c>
      <c r="H546" s="227">
        <v>0.92600000000000005</v>
      </c>
      <c r="I546" s="227">
        <v>2.1341000000000001</v>
      </c>
      <c r="J546" s="227">
        <v>0.49743531585638834</v>
      </c>
      <c r="K546" s="227">
        <v>140</v>
      </c>
      <c r="L546" s="227">
        <v>140</v>
      </c>
      <c r="M546" s="227">
        <v>140</v>
      </c>
      <c r="N546" s="227">
        <v>99.415999999999997</v>
      </c>
      <c r="O546" s="227">
        <v>105.38</v>
      </c>
      <c r="P546" s="227">
        <v>122.71</v>
      </c>
      <c r="Q546" s="227">
        <v>112.36</v>
      </c>
      <c r="R546" s="227">
        <v>119.09</v>
      </c>
      <c r="S546" s="227"/>
      <c r="T546" s="227">
        <v>62.86</v>
      </c>
      <c r="U546" s="227">
        <v>72.882999999999996</v>
      </c>
      <c r="V546" s="227">
        <v>71.766999999999996</v>
      </c>
      <c r="W546" s="227">
        <v>79.5</v>
      </c>
      <c r="X546" s="227">
        <v>79.5</v>
      </c>
      <c r="Y546" s="227">
        <v>79.5</v>
      </c>
      <c r="Z546" s="227">
        <v>79.5</v>
      </c>
      <c r="AA546" s="227">
        <v>79.5</v>
      </c>
      <c r="AB546" s="227">
        <v>44.784999999999997</v>
      </c>
      <c r="AC546" s="227">
        <v>736.9</v>
      </c>
      <c r="AD546" s="230">
        <v>5.1834490740740736E-4</v>
      </c>
      <c r="AE546" s="230">
        <v>268.70999999999998</v>
      </c>
      <c r="AF546" s="230">
        <v>3630.06</v>
      </c>
      <c r="AG546" s="230">
        <v>429784.11289991951</v>
      </c>
      <c r="AH546" s="230">
        <v>1889012.9382056503</v>
      </c>
      <c r="AI546" s="230">
        <v>4421.3999999999996</v>
      </c>
    </row>
    <row r="547" spans="5:35" x14ac:dyDescent="0.35">
      <c r="E547" s="226">
        <v>1.4421400000000002</v>
      </c>
      <c r="F547" s="227">
        <v>8.7492164383561644</v>
      </c>
      <c r="G547" s="227">
        <v>3193.4639999999999</v>
      </c>
      <c r="H547" s="227">
        <v>0.92630000000000001</v>
      </c>
      <c r="I547" s="227">
        <v>2.1381000000000001</v>
      </c>
      <c r="J547" s="227">
        <v>0.49774526030083277</v>
      </c>
      <c r="K547" s="227">
        <v>140</v>
      </c>
      <c r="L547" s="227">
        <v>140</v>
      </c>
      <c r="M547" s="227">
        <v>140</v>
      </c>
      <c r="N547" s="227">
        <v>99.397000000000006</v>
      </c>
      <c r="O547" s="227">
        <v>105.36</v>
      </c>
      <c r="P547" s="227">
        <v>122.68</v>
      </c>
      <c r="Q547" s="227">
        <v>112.34</v>
      </c>
      <c r="R547" s="227">
        <v>119.06</v>
      </c>
      <c r="S547" s="227"/>
      <c r="T547" s="227">
        <v>62.936999999999998</v>
      </c>
      <c r="U547" s="227">
        <v>72.933999999999997</v>
      </c>
      <c r="V547" s="227">
        <v>71.847999999999999</v>
      </c>
      <c r="W547" s="227">
        <v>79.5</v>
      </c>
      <c r="X547" s="227">
        <v>79.5</v>
      </c>
      <c r="Y547" s="227">
        <v>79.5</v>
      </c>
      <c r="Z547" s="227">
        <v>79.5</v>
      </c>
      <c r="AA547" s="227">
        <v>79.5</v>
      </c>
      <c r="AB547" s="227">
        <v>44.631999999999998</v>
      </c>
      <c r="AC547" s="227">
        <v>737.16</v>
      </c>
      <c r="AD547" s="230">
        <v>5.1657407407407403E-4</v>
      </c>
      <c r="AE547" s="230">
        <v>267.79199999999997</v>
      </c>
      <c r="AF547" s="230">
        <v>3631.3140000000003</v>
      </c>
      <c r="AG547" s="230">
        <v>430051.90489991952</v>
      </c>
      <c r="AH547" s="230">
        <v>1892644.2522056503</v>
      </c>
      <c r="AI547" s="230">
        <v>4422.96</v>
      </c>
    </row>
    <row r="548" spans="5:35" x14ac:dyDescent="0.35">
      <c r="E548" s="226">
        <v>1.44624</v>
      </c>
      <c r="F548" s="227">
        <v>8.7656547945205485</v>
      </c>
      <c r="G548" s="227">
        <v>3199.4639999999999</v>
      </c>
      <c r="H548" s="227">
        <v>0.92649999999999999</v>
      </c>
      <c r="I548" s="227">
        <v>2.1421999999999999</v>
      </c>
      <c r="J548" s="227">
        <v>0.49805414224527722</v>
      </c>
      <c r="K548" s="227">
        <v>140</v>
      </c>
      <c r="L548" s="227">
        <v>140</v>
      </c>
      <c r="M548" s="227">
        <v>140</v>
      </c>
      <c r="N548" s="227">
        <v>99.378</v>
      </c>
      <c r="O548" s="227">
        <v>105.33</v>
      </c>
      <c r="P548" s="227">
        <v>122.66</v>
      </c>
      <c r="Q548" s="227">
        <v>112.32</v>
      </c>
      <c r="R548" s="227">
        <v>119.03</v>
      </c>
      <c r="S548" s="227"/>
      <c r="T548" s="227">
        <v>63.014000000000003</v>
      </c>
      <c r="U548" s="227">
        <v>72.984999999999999</v>
      </c>
      <c r="V548" s="227">
        <v>71.929000000000002</v>
      </c>
      <c r="W548" s="227">
        <v>79.5</v>
      </c>
      <c r="X548" s="227">
        <v>79.5</v>
      </c>
      <c r="Y548" s="227">
        <v>79.5</v>
      </c>
      <c r="Z548" s="227">
        <v>79.5</v>
      </c>
      <c r="AA548" s="227">
        <v>79.5</v>
      </c>
      <c r="AB548" s="227">
        <v>44.478999999999999</v>
      </c>
      <c r="AC548" s="227">
        <v>737.41</v>
      </c>
      <c r="AD548" s="230">
        <v>5.1480324074074069E-4</v>
      </c>
      <c r="AE548" s="230">
        <v>266.87399999999997</v>
      </c>
      <c r="AF548" s="230">
        <v>3632.5680000000002</v>
      </c>
      <c r="AG548" s="230">
        <v>430318.77889991953</v>
      </c>
      <c r="AH548" s="230">
        <v>1896276.8202056503</v>
      </c>
      <c r="AI548" s="230">
        <v>4424.46</v>
      </c>
    </row>
    <row r="549" spans="5:35" x14ac:dyDescent="0.35">
      <c r="E549" s="226">
        <v>1.45024</v>
      </c>
      <c r="F549" s="227">
        <v>8.7820931506849309</v>
      </c>
      <c r="G549" s="227">
        <v>3205.4639999999999</v>
      </c>
      <c r="H549" s="227">
        <v>0.92679999999999996</v>
      </c>
      <c r="I549" s="227">
        <v>2.1461999999999999</v>
      </c>
      <c r="J549" s="227">
        <v>0.49836197557861056</v>
      </c>
      <c r="K549" s="227">
        <v>140</v>
      </c>
      <c r="L549" s="227">
        <v>140</v>
      </c>
      <c r="M549" s="227">
        <v>140</v>
      </c>
      <c r="N549" s="227">
        <v>99.358000000000004</v>
      </c>
      <c r="O549" s="227">
        <v>105.31</v>
      </c>
      <c r="P549" s="227">
        <v>122.64</v>
      </c>
      <c r="Q549" s="227">
        <v>112.29</v>
      </c>
      <c r="R549" s="227">
        <v>119</v>
      </c>
      <c r="S549" s="227"/>
      <c r="T549" s="227">
        <v>63.091000000000001</v>
      </c>
      <c r="U549" s="227">
        <v>73.034999999999997</v>
      </c>
      <c r="V549" s="227">
        <v>72.010000000000005</v>
      </c>
      <c r="W549" s="227">
        <v>79.5</v>
      </c>
      <c r="X549" s="227">
        <v>79.5</v>
      </c>
      <c r="Y549" s="227">
        <v>79.5</v>
      </c>
      <c r="Z549" s="227">
        <v>79.5</v>
      </c>
      <c r="AA549" s="227">
        <v>79.5</v>
      </c>
      <c r="AB549" s="227">
        <v>44.328000000000003</v>
      </c>
      <c r="AC549" s="227">
        <v>737.66</v>
      </c>
      <c r="AD549" s="230">
        <v>5.1305555555555555E-4</v>
      </c>
      <c r="AE549" s="230">
        <v>265.96799999999996</v>
      </c>
      <c r="AF549" s="230">
        <v>3633.8159999999998</v>
      </c>
      <c r="AG549" s="230">
        <v>430584.74689991953</v>
      </c>
      <c r="AH549" s="230">
        <v>1899910.6362056504</v>
      </c>
      <c r="AI549" s="230">
        <v>4425.96</v>
      </c>
    </row>
    <row r="550" spans="5:35" x14ac:dyDescent="0.35">
      <c r="E550" s="226">
        <v>1.45424</v>
      </c>
      <c r="F550" s="227">
        <v>8.7985315068493151</v>
      </c>
      <c r="G550" s="227">
        <v>3211.4639999999999</v>
      </c>
      <c r="H550" s="227">
        <v>0.92710000000000004</v>
      </c>
      <c r="I550" s="227">
        <v>2.1501999999999999</v>
      </c>
      <c r="J550" s="227">
        <v>0.49866876724527726</v>
      </c>
      <c r="K550" s="227">
        <v>140</v>
      </c>
      <c r="L550" s="227">
        <v>140</v>
      </c>
      <c r="M550" s="227">
        <v>140</v>
      </c>
      <c r="N550" s="227">
        <v>99.338999999999999</v>
      </c>
      <c r="O550" s="227">
        <v>105.28</v>
      </c>
      <c r="P550" s="227">
        <v>122.61</v>
      </c>
      <c r="Q550" s="227">
        <v>112.27</v>
      </c>
      <c r="R550" s="227">
        <v>118.97</v>
      </c>
      <c r="S550" s="227"/>
      <c r="T550" s="227">
        <v>63.167000000000002</v>
      </c>
      <c r="U550" s="227">
        <v>73.084999999999994</v>
      </c>
      <c r="V550" s="227">
        <v>72.09</v>
      </c>
      <c r="W550" s="227">
        <v>79.5</v>
      </c>
      <c r="X550" s="227">
        <v>79.5</v>
      </c>
      <c r="Y550" s="227">
        <v>79.5</v>
      </c>
      <c r="Z550" s="227">
        <v>79.5</v>
      </c>
      <c r="AA550" s="227">
        <v>79.5</v>
      </c>
      <c r="AB550" s="227">
        <v>44.177999999999997</v>
      </c>
      <c r="AC550" s="227">
        <v>737.92</v>
      </c>
      <c r="AD550" s="230">
        <v>5.1131944444444445E-4</v>
      </c>
      <c r="AE550" s="230">
        <v>265.06799999999998</v>
      </c>
      <c r="AF550" s="230">
        <v>3635.0519999999997</v>
      </c>
      <c r="AG550" s="230">
        <v>430849.81489991955</v>
      </c>
      <c r="AH550" s="230">
        <v>1903545.6882056503</v>
      </c>
      <c r="AI550" s="230">
        <v>4427.5199999999995</v>
      </c>
    </row>
    <row r="551" spans="5:35" x14ac:dyDescent="0.35">
      <c r="E551" s="226">
        <v>1.45824</v>
      </c>
      <c r="F551" s="227">
        <v>8.8149698630136992</v>
      </c>
      <c r="G551" s="227">
        <v>3217.4639999999999</v>
      </c>
      <c r="H551" s="227">
        <v>0.9274</v>
      </c>
      <c r="I551" s="227">
        <v>2.1541999999999999</v>
      </c>
      <c r="J551" s="227">
        <v>0.49897453113416612</v>
      </c>
      <c r="K551" s="227">
        <v>140</v>
      </c>
      <c r="L551" s="227">
        <v>140</v>
      </c>
      <c r="M551" s="227">
        <v>140</v>
      </c>
      <c r="N551" s="227">
        <v>99.32</v>
      </c>
      <c r="O551" s="227">
        <v>105.26</v>
      </c>
      <c r="P551" s="227">
        <v>122.59</v>
      </c>
      <c r="Q551" s="227">
        <v>112.25</v>
      </c>
      <c r="R551" s="227">
        <v>118.94</v>
      </c>
      <c r="S551" s="227"/>
      <c r="T551" s="227">
        <v>63.243000000000002</v>
      </c>
      <c r="U551" s="227">
        <v>73.135000000000005</v>
      </c>
      <c r="V551" s="227">
        <v>72.171000000000006</v>
      </c>
      <c r="W551" s="227">
        <v>79.5</v>
      </c>
      <c r="X551" s="227">
        <v>79.5</v>
      </c>
      <c r="Y551" s="227">
        <v>79.5</v>
      </c>
      <c r="Z551" s="227">
        <v>79.5</v>
      </c>
      <c r="AA551" s="227">
        <v>79.5</v>
      </c>
      <c r="AB551" s="227">
        <v>44.03</v>
      </c>
      <c r="AC551" s="227">
        <v>738.17</v>
      </c>
      <c r="AD551" s="230">
        <v>5.0960648148148154E-4</v>
      </c>
      <c r="AE551" s="230">
        <v>264.18</v>
      </c>
      <c r="AF551" s="230">
        <v>3636.2939999999999</v>
      </c>
      <c r="AG551" s="230">
        <v>431113.99489991955</v>
      </c>
      <c r="AH551" s="230">
        <v>1907181.9822056503</v>
      </c>
      <c r="AI551" s="230">
        <v>4429.0199999999995</v>
      </c>
    </row>
    <row r="552" spans="5:35" x14ac:dyDescent="0.35">
      <c r="E552" s="226">
        <v>1.46224</v>
      </c>
      <c r="F552" s="227">
        <v>8.8314082191780816</v>
      </c>
      <c r="G552" s="227">
        <v>3223.4639999999999</v>
      </c>
      <c r="H552" s="227">
        <v>0.92759999999999998</v>
      </c>
      <c r="I552" s="227">
        <v>2.1581999999999999</v>
      </c>
      <c r="J552" s="227">
        <v>0.49927927418972173</v>
      </c>
      <c r="K552" s="227">
        <v>140</v>
      </c>
      <c r="L552" s="227">
        <v>140</v>
      </c>
      <c r="M552" s="227">
        <v>140</v>
      </c>
      <c r="N552" s="227">
        <v>99.301000000000002</v>
      </c>
      <c r="O552" s="227">
        <v>105.23</v>
      </c>
      <c r="P552" s="227">
        <v>122.57</v>
      </c>
      <c r="Q552" s="227">
        <v>112.23</v>
      </c>
      <c r="R552" s="227">
        <v>118.9</v>
      </c>
      <c r="S552" s="227"/>
      <c r="T552" s="227">
        <v>63.319000000000003</v>
      </c>
      <c r="U552" s="227">
        <v>73.185000000000002</v>
      </c>
      <c r="V552" s="227">
        <v>72.251000000000005</v>
      </c>
      <c r="W552" s="227">
        <v>79.5</v>
      </c>
      <c r="X552" s="227">
        <v>79.5</v>
      </c>
      <c r="Y552" s="227">
        <v>79.5</v>
      </c>
      <c r="Z552" s="227">
        <v>79.5</v>
      </c>
      <c r="AA552" s="227">
        <v>79.5</v>
      </c>
      <c r="AB552" s="227">
        <v>43.883000000000003</v>
      </c>
      <c r="AC552" s="227">
        <v>738.42</v>
      </c>
      <c r="AD552" s="230">
        <v>5.0790509259259267E-4</v>
      </c>
      <c r="AE552" s="230">
        <v>263.298</v>
      </c>
      <c r="AF552" s="230">
        <v>3637.5299999999997</v>
      </c>
      <c r="AG552" s="230">
        <v>431377.29289991956</v>
      </c>
      <c r="AH552" s="230">
        <v>1910819.5122056503</v>
      </c>
      <c r="AI552" s="230">
        <v>4430.5199999999995</v>
      </c>
    </row>
    <row r="553" spans="5:35" x14ac:dyDescent="0.35">
      <c r="E553" s="226">
        <v>1.46624</v>
      </c>
      <c r="F553" s="227">
        <v>8.8478465753424658</v>
      </c>
      <c r="G553" s="227">
        <v>3229.4639999999999</v>
      </c>
      <c r="H553" s="227">
        <v>0.92789999999999995</v>
      </c>
      <c r="I553" s="227">
        <v>2.1621999999999999</v>
      </c>
      <c r="J553" s="227">
        <v>0.49958300335638839</v>
      </c>
      <c r="K553" s="227">
        <v>140</v>
      </c>
      <c r="L553" s="227">
        <v>140</v>
      </c>
      <c r="M553" s="227">
        <v>140</v>
      </c>
      <c r="N553" s="227">
        <v>99.281999999999996</v>
      </c>
      <c r="O553" s="227">
        <v>105.21</v>
      </c>
      <c r="P553" s="227">
        <v>122.54</v>
      </c>
      <c r="Q553" s="227">
        <v>112.2</v>
      </c>
      <c r="R553" s="227">
        <v>118.87</v>
      </c>
      <c r="S553" s="227"/>
      <c r="T553" s="227">
        <v>63.395000000000003</v>
      </c>
      <c r="U553" s="227">
        <v>73.233999999999995</v>
      </c>
      <c r="V553" s="227">
        <v>72.331000000000003</v>
      </c>
      <c r="W553" s="227">
        <v>79.5</v>
      </c>
      <c r="X553" s="227">
        <v>79.5</v>
      </c>
      <c r="Y553" s="227">
        <v>79.5</v>
      </c>
      <c r="Z553" s="227">
        <v>79.5</v>
      </c>
      <c r="AA553" s="227">
        <v>79.5</v>
      </c>
      <c r="AB553" s="227">
        <v>43.737000000000002</v>
      </c>
      <c r="AC553" s="227">
        <v>738.67</v>
      </c>
      <c r="AD553" s="230">
        <v>5.0621527777777785E-4</v>
      </c>
      <c r="AE553" s="230">
        <v>262.42200000000008</v>
      </c>
      <c r="AF553" s="230">
        <v>3638.76</v>
      </c>
      <c r="AG553" s="230">
        <v>431639.71489991958</v>
      </c>
      <c r="AH553" s="230">
        <v>1914458.2722056503</v>
      </c>
      <c r="AI553" s="230">
        <v>4432.0199999999995</v>
      </c>
    </row>
    <row r="554" spans="5:35" x14ac:dyDescent="0.35">
      <c r="E554" s="226">
        <v>1.4703400000000002</v>
      </c>
      <c r="F554" s="227">
        <v>8.8642849315068499</v>
      </c>
      <c r="G554" s="227">
        <v>3235.4639999999999</v>
      </c>
      <c r="H554" s="227">
        <v>0.92820000000000003</v>
      </c>
      <c r="I554" s="227">
        <v>2.1663000000000001</v>
      </c>
      <c r="J554" s="227">
        <v>0.49988572557861066</v>
      </c>
      <c r="K554" s="227">
        <v>140</v>
      </c>
      <c r="L554" s="227">
        <v>140</v>
      </c>
      <c r="M554" s="227">
        <v>140</v>
      </c>
      <c r="N554" s="227">
        <v>99.263000000000005</v>
      </c>
      <c r="O554" s="227">
        <v>105.18</v>
      </c>
      <c r="P554" s="227">
        <v>122.52</v>
      </c>
      <c r="Q554" s="227">
        <v>112.18</v>
      </c>
      <c r="R554" s="227">
        <v>118.84</v>
      </c>
      <c r="S554" s="227"/>
      <c r="T554" s="227">
        <v>63.470999999999997</v>
      </c>
      <c r="U554" s="227">
        <v>73.284000000000006</v>
      </c>
      <c r="V554" s="227">
        <v>72.41</v>
      </c>
      <c r="W554" s="227">
        <v>79.5</v>
      </c>
      <c r="X554" s="227">
        <v>79.5</v>
      </c>
      <c r="Y554" s="227">
        <v>79.5</v>
      </c>
      <c r="Z554" s="227">
        <v>79.5</v>
      </c>
      <c r="AA554" s="227">
        <v>79.5</v>
      </c>
      <c r="AB554" s="227">
        <v>43.591999999999999</v>
      </c>
      <c r="AC554" s="227">
        <v>738.92</v>
      </c>
      <c r="AD554" s="230">
        <v>5.0453703703703706E-4</v>
      </c>
      <c r="AE554" s="230">
        <v>261.55200000000002</v>
      </c>
      <c r="AF554" s="230">
        <v>3639.99</v>
      </c>
      <c r="AG554" s="230">
        <v>431901.2668999196</v>
      </c>
      <c r="AH554" s="230">
        <v>1918098.2622056503</v>
      </c>
      <c r="AI554" s="230">
        <v>4433.5199999999995</v>
      </c>
    </row>
    <row r="555" spans="5:35" x14ac:dyDescent="0.35">
      <c r="E555" s="226">
        <v>1.4743400000000002</v>
      </c>
      <c r="F555" s="227">
        <v>8.8807232876712323</v>
      </c>
      <c r="G555" s="227">
        <v>3241.4639999999999</v>
      </c>
      <c r="H555" s="227">
        <v>0.9284</v>
      </c>
      <c r="I555" s="227">
        <v>2.1703000000000001</v>
      </c>
      <c r="J555" s="227">
        <v>0.50018744780083291</v>
      </c>
      <c r="K555" s="227">
        <v>140</v>
      </c>
      <c r="L555" s="227">
        <v>140</v>
      </c>
      <c r="M555" s="227">
        <v>140</v>
      </c>
      <c r="N555" s="227">
        <v>99.244</v>
      </c>
      <c r="O555" s="227">
        <v>105.16</v>
      </c>
      <c r="P555" s="227">
        <v>122.5</v>
      </c>
      <c r="Q555" s="227">
        <v>112.16</v>
      </c>
      <c r="R555" s="227">
        <v>118.81</v>
      </c>
      <c r="S555" s="227"/>
      <c r="T555" s="227">
        <v>63.546999999999997</v>
      </c>
      <c r="U555" s="227">
        <v>73.332999999999998</v>
      </c>
      <c r="V555" s="227">
        <v>72.489999999999995</v>
      </c>
      <c r="W555" s="227">
        <v>79.5</v>
      </c>
      <c r="X555" s="227">
        <v>79.5</v>
      </c>
      <c r="Y555" s="227">
        <v>79.5</v>
      </c>
      <c r="Z555" s="227">
        <v>79.5</v>
      </c>
      <c r="AA555" s="227">
        <v>79.5</v>
      </c>
      <c r="AB555" s="227">
        <v>43.448</v>
      </c>
      <c r="AC555" s="227">
        <v>739.17</v>
      </c>
      <c r="AD555" s="230">
        <v>5.0287037037037043E-4</v>
      </c>
      <c r="AE555" s="230">
        <v>260.68799999999999</v>
      </c>
      <c r="AF555" s="230">
        <v>3641.2200000000003</v>
      </c>
      <c r="AG555" s="230">
        <v>432161.95489991963</v>
      </c>
      <c r="AH555" s="230">
        <v>1921739.4822056503</v>
      </c>
      <c r="AI555" s="230">
        <v>4435.0199999999995</v>
      </c>
    </row>
    <row r="556" spans="5:35" x14ac:dyDescent="0.35">
      <c r="E556" s="226">
        <v>1.4783400000000002</v>
      </c>
      <c r="F556" s="227">
        <v>8.8971616438356165</v>
      </c>
      <c r="G556" s="227">
        <v>3247.4639999999999</v>
      </c>
      <c r="H556" s="227">
        <v>0.92869999999999997</v>
      </c>
      <c r="I556" s="227">
        <v>2.1743000000000001</v>
      </c>
      <c r="J556" s="227">
        <v>0.50048817002305512</v>
      </c>
      <c r="K556" s="227">
        <v>140</v>
      </c>
      <c r="L556" s="227">
        <v>140</v>
      </c>
      <c r="M556" s="227">
        <v>140</v>
      </c>
      <c r="N556" s="227">
        <v>99.224000000000004</v>
      </c>
      <c r="O556" s="227">
        <v>105.14</v>
      </c>
      <c r="P556" s="227">
        <v>122.48</v>
      </c>
      <c r="Q556" s="227">
        <v>112.14</v>
      </c>
      <c r="R556" s="227">
        <v>118.78</v>
      </c>
      <c r="S556" s="227"/>
      <c r="T556" s="227">
        <v>63.622</v>
      </c>
      <c r="U556" s="227">
        <v>73.382000000000005</v>
      </c>
      <c r="V556" s="227">
        <v>72.569000000000003</v>
      </c>
      <c r="W556" s="227">
        <v>79.5</v>
      </c>
      <c r="X556" s="227">
        <v>79.5</v>
      </c>
      <c r="Y556" s="227">
        <v>79.5</v>
      </c>
      <c r="Z556" s="227">
        <v>79.5</v>
      </c>
      <c r="AA556" s="227">
        <v>79.5</v>
      </c>
      <c r="AB556" s="227">
        <v>43.304000000000002</v>
      </c>
      <c r="AC556" s="227">
        <v>739.42</v>
      </c>
      <c r="AD556" s="230">
        <v>5.0120370370370369E-4</v>
      </c>
      <c r="AE556" s="230">
        <v>259.82399999999996</v>
      </c>
      <c r="AF556" s="230">
        <v>3642.4380000000006</v>
      </c>
      <c r="AG556" s="230">
        <v>432421.77889991965</v>
      </c>
      <c r="AH556" s="230">
        <v>1925381.9202056504</v>
      </c>
      <c r="AI556" s="230">
        <v>4436.5199999999995</v>
      </c>
    </row>
    <row r="557" spans="5:35" x14ac:dyDescent="0.35">
      <c r="E557" s="226">
        <v>1.4823400000000002</v>
      </c>
      <c r="F557" s="227">
        <v>8.9136000000000006</v>
      </c>
      <c r="G557" s="227">
        <v>3253.4639999999999</v>
      </c>
      <c r="H557" s="227">
        <v>0.92889999999999995</v>
      </c>
      <c r="I557" s="227">
        <v>2.1783000000000001</v>
      </c>
      <c r="J557" s="227">
        <v>0.50078790613416624</v>
      </c>
      <c r="K557" s="227">
        <v>140</v>
      </c>
      <c r="L557" s="227">
        <v>140</v>
      </c>
      <c r="M557" s="227">
        <v>140</v>
      </c>
      <c r="N557" s="227">
        <v>99.204999999999998</v>
      </c>
      <c r="O557" s="227">
        <v>105.11</v>
      </c>
      <c r="P557" s="227">
        <v>122.45</v>
      </c>
      <c r="Q557" s="227">
        <v>112.12</v>
      </c>
      <c r="R557" s="227">
        <v>118.75</v>
      </c>
      <c r="S557" s="227"/>
      <c r="T557" s="227">
        <v>63.698</v>
      </c>
      <c r="U557" s="227">
        <v>73.430999999999997</v>
      </c>
      <c r="V557" s="227">
        <v>72.649000000000001</v>
      </c>
      <c r="W557" s="227">
        <v>79.5</v>
      </c>
      <c r="X557" s="227">
        <v>79.5</v>
      </c>
      <c r="Y557" s="227">
        <v>79.5</v>
      </c>
      <c r="Z557" s="227">
        <v>79.5</v>
      </c>
      <c r="AA557" s="227">
        <v>79.5</v>
      </c>
      <c r="AB557" s="227">
        <v>43.161999999999999</v>
      </c>
      <c r="AC557" s="227">
        <v>739.66</v>
      </c>
      <c r="AD557" s="230">
        <v>4.9956018518518513E-4</v>
      </c>
      <c r="AE557" s="230">
        <v>258.97199999999998</v>
      </c>
      <c r="AF557" s="230">
        <v>3643.6680000000001</v>
      </c>
      <c r="AG557" s="230">
        <v>432680.75089991966</v>
      </c>
      <c r="AH557" s="230">
        <v>1929025.5882056504</v>
      </c>
      <c r="AI557" s="230">
        <v>4437.96</v>
      </c>
    </row>
    <row r="558" spans="5:35" x14ac:dyDescent="0.35">
      <c r="E558" s="226">
        <v>1.4863400000000002</v>
      </c>
      <c r="F558" s="227">
        <v>8.930038356164383</v>
      </c>
      <c r="G558" s="227">
        <v>3259.4639999999999</v>
      </c>
      <c r="H558" s="227">
        <v>0.92920000000000003</v>
      </c>
      <c r="I558" s="227">
        <v>2.1823000000000001</v>
      </c>
      <c r="J558" s="227">
        <v>0.50108666307861072</v>
      </c>
      <c r="K558" s="227">
        <v>140</v>
      </c>
      <c r="L558" s="227">
        <v>140</v>
      </c>
      <c r="M558" s="227">
        <v>140</v>
      </c>
      <c r="N558" s="227">
        <v>99.186000000000007</v>
      </c>
      <c r="O558" s="227">
        <v>105.09</v>
      </c>
      <c r="P558" s="227">
        <v>122.43</v>
      </c>
      <c r="Q558" s="227">
        <v>112.09</v>
      </c>
      <c r="R558" s="227">
        <v>118.72</v>
      </c>
      <c r="S558" s="227"/>
      <c r="T558" s="227">
        <v>63.773000000000003</v>
      </c>
      <c r="U558" s="227">
        <v>73.48</v>
      </c>
      <c r="V558" s="227">
        <v>72.727999999999994</v>
      </c>
      <c r="W558" s="227">
        <v>79.5</v>
      </c>
      <c r="X558" s="227">
        <v>79.5</v>
      </c>
      <c r="Y558" s="227">
        <v>79.5</v>
      </c>
      <c r="Z558" s="227">
        <v>79.5</v>
      </c>
      <c r="AA558" s="227">
        <v>79.5</v>
      </c>
      <c r="AB558" s="227">
        <v>43.021000000000001</v>
      </c>
      <c r="AC558" s="227">
        <v>739.91</v>
      </c>
      <c r="AD558" s="230">
        <v>4.9792824074074073E-4</v>
      </c>
      <c r="AE558" s="230">
        <v>258.12600000000003</v>
      </c>
      <c r="AF558" s="230">
        <v>3644.886</v>
      </c>
      <c r="AG558" s="230">
        <v>432938.87689991965</v>
      </c>
      <c r="AH558" s="230">
        <v>1932670.4742056504</v>
      </c>
      <c r="AI558" s="230">
        <v>4439.46</v>
      </c>
    </row>
    <row r="559" spans="5:35" x14ac:dyDescent="0.35">
      <c r="E559" s="226">
        <v>1.4903400000000002</v>
      </c>
      <c r="F559" s="227">
        <v>8.9464767123287672</v>
      </c>
      <c r="G559" s="227">
        <v>3265.4639999999999</v>
      </c>
      <c r="H559" s="227">
        <v>0.9294</v>
      </c>
      <c r="I559" s="227">
        <v>2.1863000000000001</v>
      </c>
      <c r="J559" s="227">
        <v>0.50138444085638856</v>
      </c>
      <c r="K559" s="227">
        <v>140</v>
      </c>
      <c r="L559" s="227">
        <v>140</v>
      </c>
      <c r="M559" s="227">
        <v>140</v>
      </c>
      <c r="N559" s="227">
        <v>99.167000000000002</v>
      </c>
      <c r="O559" s="227">
        <v>105.06</v>
      </c>
      <c r="P559" s="227">
        <v>122.41</v>
      </c>
      <c r="Q559" s="227">
        <v>112.07</v>
      </c>
      <c r="R559" s="227">
        <v>118.69</v>
      </c>
      <c r="S559" s="227"/>
      <c r="T559" s="227">
        <v>63.847999999999999</v>
      </c>
      <c r="U559" s="227">
        <v>73.528999999999996</v>
      </c>
      <c r="V559" s="227">
        <v>72.805999999999997</v>
      </c>
      <c r="W559" s="227">
        <v>79.5</v>
      </c>
      <c r="X559" s="227">
        <v>79.5</v>
      </c>
      <c r="Y559" s="227">
        <v>79.5</v>
      </c>
      <c r="Z559" s="227">
        <v>79.5</v>
      </c>
      <c r="AA559" s="227">
        <v>79.5</v>
      </c>
      <c r="AB559" s="227">
        <v>42.88</v>
      </c>
      <c r="AC559" s="227">
        <v>740.16</v>
      </c>
      <c r="AD559" s="230">
        <v>4.9629629629629633E-4</v>
      </c>
      <c r="AE559" s="230">
        <v>257.28000000000003</v>
      </c>
      <c r="AF559" s="230">
        <v>3646.098</v>
      </c>
      <c r="AG559" s="230">
        <v>433196.15689991968</v>
      </c>
      <c r="AH559" s="230">
        <v>1936316.5722056504</v>
      </c>
      <c r="AI559" s="230">
        <v>4440.96</v>
      </c>
    </row>
    <row r="560" spans="5:35" x14ac:dyDescent="0.35">
      <c r="E560" s="226">
        <v>1.49444</v>
      </c>
      <c r="F560" s="227">
        <v>8.9629150684931513</v>
      </c>
      <c r="G560" s="227">
        <v>3271.4639999999999</v>
      </c>
      <c r="H560" s="227">
        <v>0.92969999999999997</v>
      </c>
      <c r="I560" s="227">
        <v>2.1903999999999999</v>
      </c>
      <c r="J560" s="227">
        <v>0.50168125335638847</v>
      </c>
      <c r="K560" s="227">
        <v>140</v>
      </c>
      <c r="L560" s="227">
        <v>140</v>
      </c>
      <c r="M560" s="227">
        <v>140</v>
      </c>
      <c r="N560" s="227">
        <v>99.147000000000006</v>
      </c>
      <c r="O560" s="227">
        <v>105.04</v>
      </c>
      <c r="P560" s="227">
        <v>122.39</v>
      </c>
      <c r="Q560" s="227">
        <v>112.05</v>
      </c>
      <c r="R560" s="227">
        <v>118.66</v>
      </c>
      <c r="S560" s="227"/>
      <c r="T560" s="227">
        <v>63.923000000000002</v>
      </c>
      <c r="U560" s="227">
        <v>73.576999999999998</v>
      </c>
      <c r="V560" s="227">
        <v>72.885000000000005</v>
      </c>
      <c r="W560" s="227">
        <v>79.5</v>
      </c>
      <c r="X560" s="227">
        <v>79.5</v>
      </c>
      <c r="Y560" s="227">
        <v>79.5</v>
      </c>
      <c r="Z560" s="227">
        <v>79.5</v>
      </c>
      <c r="AA560" s="227">
        <v>79.5</v>
      </c>
      <c r="AB560" s="227">
        <v>42.741</v>
      </c>
      <c r="AC560" s="227">
        <v>740.4</v>
      </c>
      <c r="AD560" s="230">
        <v>4.9468750000000001E-4</v>
      </c>
      <c r="AE560" s="230">
        <v>256.44600000000003</v>
      </c>
      <c r="AF560" s="230">
        <v>3647.31</v>
      </c>
      <c r="AG560" s="230">
        <v>433452.60289991967</v>
      </c>
      <c r="AH560" s="230">
        <v>1939963.8822056504</v>
      </c>
      <c r="AI560" s="230">
        <v>4442.3999999999996</v>
      </c>
    </row>
    <row r="561" spans="5:35" x14ac:dyDescent="0.35">
      <c r="E561" s="226">
        <v>1.49844</v>
      </c>
      <c r="F561" s="227">
        <v>8.9793534246575337</v>
      </c>
      <c r="G561" s="227">
        <v>3277.4639999999999</v>
      </c>
      <c r="H561" s="227">
        <v>0.92989999999999995</v>
      </c>
      <c r="I561" s="227">
        <v>2.1943999999999999</v>
      </c>
      <c r="J561" s="227">
        <v>0.50197710057861078</v>
      </c>
      <c r="K561" s="227">
        <v>140</v>
      </c>
      <c r="L561" s="227">
        <v>140</v>
      </c>
      <c r="M561" s="227">
        <v>140</v>
      </c>
      <c r="N561" s="227">
        <v>99.128</v>
      </c>
      <c r="O561" s="227">
        <v>105.01</v>
      </c>
      <c r="P561" s="227">
        <v>122.36</v>
      </c>
      <c r="Q561" s="227">
        <v>112.03</v>
      </c>
      <c r="R561" s="227">
        <v>118.63</v>
      </c>
      <c r="S561" s="227"/>
      <c r="T561" s="227">
        <v>63.997999999999998</v>
      </c>
      <c r="U561" s="227">
        <v>73.626000000000005</v>
      </c>
      <c r="V561" s="227">
        <v>72.962999999999994</v>
      </c>
      <c r="W561" s="227">
        <v>79.5</v>
      </c>
      <c r="X561" s="227">
        <v>79.5</v>
      </c>
      <c r="Y561" s="227">
        <v>79.5</v>
      </c>
      <c r="Z561" s="227">
        <v>79.5</v>
      </c>
      <c r="AA561" s="227">
        <v>79.5</v>
      </c>
      <c r="AB561" s="227">
        <v>42.601999999999997</v>
      </c>
      <c r="AC561" s="227">
        <v>740.65</v>
      </c>
      <c r="AD561" s="230">
        <v>4.9307870370370369E-4</v>
      </c>
      <c r="AE561" s="230">
        <v>255.61199999999999</v>
      </c>
      <c r="AF561" s="230">
        <v>3648.5219999999999</v>
      </c>
      <c r="AG561" s="230">
        <v>433708.21489991969</v>
      </c>
      <c r="AH561" s="230">
        <v>1943612.4042056506</v>
      </c>
      <c r="AI561" s="230">
        <v>4443.8999999999996</v>
      </c>
    </row>
    <row r="562" spans="5:35" x14ac:dyDescent="0.35">
      <c r="E562" s="226">
        <v>1.50244</v>
      </c>
      <c r="F562" s="227">
        <v>8.9957917808219179</v>
      </c>
      <c r="G562" s="227">
        <v>3283.4639999999999</v>
      </c>
      <c r="H562" s="227">
        <v>0.93020000000000003</v>
      </c>
      <c r="I562" s="227">
        <v>2.1983999999999999</v>
      </c>
      <c r="J562" s="227">
        <v>0.50227198946749962</v>
      </c>
      <c r="K562" s="227">
        <v>140</v>
      </c>
      <c r="L562" s="227">
        <v>140</v>
      </c>
      <c r="M562" s="227">
        <v>140</v>
      </c>
      <c r="N562" s="227">
        <v>99.108999999999995</v>
      </c>
      <c r="O562" s="227">
        <v>104.99</v>
      </c>
      <c r="P562" s="227">
        <v>122.34</v>
      </c>
      <c r="Q562" s="227">
        <v>112.01</v>
      </c>
      <c r="R562" s="227">
        <v>118.6</v>
      </c>
      <c r="S562" s="227"/>
      <c r="T562" s="227">
        <v>64.072999999999993</v>
      </c>
      <c r="U562" s="227">
        <v>73.674000000000007</v>
      </c>
      <c r="V562" s="227">
        <v>73.042000000000002</v>
      </c>
      <c r="W562" s="227">
        <v>79.5</v>
      </c>
      <c r="X562" s="227">
        <v>79.5</v>
      </c>
      <c r="Y562" s="227">
        <v>79.5</v>
      </c>
      <c r="Z562" s="227">
        <v>79.5</v>
      </c>
      <c r="AA562" s="227">
        <v>79.5</v>
      </c>
      <c r="AB562" s="227">
        <v>42.463999999999999</v>
      </c>
      <c r="AC562" s="227">
        <v>740.9</v>
      </c>
      <c r="AD562" s="230">
        <v>4.9148148148148141E-4</v>
      </c>
      <c r="AE562" s="230">
        <v>254.78399999999996</v>
      </c>
      <c r="AF562" s="230">
        <v>3649.7339999999999</v>
      </c>
      <c r="AG562" s="230">
        <v>433962.99889991968</v>
      </c>
      <c r="AH562" s="230">
        <v>1947262.1382056505</v>
      </c>
      <c r="AI562" s="230">
        <v>4445.3999999999996</v>
      </c>
    </row>
    <row r="563" spans="5:35" x14ac:dyDescent="0.35">
      <c r="E563" s="226">
        <v>1.50644</v>
      </c>
      <c r="F563" s="227">
        <v>9.012230136986302</v>
      </c>
      <c r="G563" s="227">
        <v>3289.4639999999999</v>
      </c>
      <c r="H563" s="227">
        <v>0.9304</v>
      </c>
      <c r="I563" s="227">
        <v>2.2023999999999999</v>
      </c>
      <c r="J563" s="227">
        <v>0.50256592696749958</v>
      </c>
      <c r="K563" s="227">
        <v>140</v>
      </c>
      <c r="L563" s="227">
        <v>140</v>
      </c>
      <c r="M563" s="227">
        <v>140</v>
      </c>
      <c r="N563" s="227">
        <v>99.088999999999999</v>
      </c>
      <c r="O563" s="227">
        <v>104.97</v>
      </c>
      <c r="P563" s="227">
        <v>122.32</v>
      </c>
      <c r="Q563" s="227">
        <v>111.99</v>
      </c>
      <c r="R563" s="227">
        <v>118.57</v>
      </c>
      <c r="S563" s="227"/>
      <c r="T563" s="227">
        <v>64.147000000000006</v>
      </c>
      <c r="U563" s="227">
        <v>73.722999999999999</v>
      </c>
      <c r="V563" s="227">
        <v>73.12</v>
      </c>
      <c r="W563" s="227">
        <v>79.5</v>
      </c>
      <c r="X563" s="227">
        <v>79.5</v>
      </c>
      <c r="Y563" s="227">
        <v>79.5</v>
      </c>
      <c r="Z563" s="227">
        <v>79.5</v>
      </c>
      <c r="AA563" s="227">
        <v>79.5</v>
      </c>
      <c r="AB563" s="227">
        <v>42.326999999999998</v>
      </c>
      <c r="AC563" s="227">
        <v>741.14</v>
      </c>
      <c r="AD563" s="230">
        <v>4.8989583333333329E-4</v>
      </c>
      <c r="AE563" s="230">
        <v>253.96199999999999</v>
      </c>
      <c r="AF563" s="230">
        <v>3650.94</v>
      </c>
      <c r="AG563" s="230">
        <v>434216.96089991968</v>
      </c>
      <c r="AH563" s="230">
        <v>1950913.0782056504</v>
      </c>
      <c r="AI563" s="230">
        <v>4446.84</v>
      </c>
    </row>
    <row r="564" spans="5:35" x14ac:dyDescent="0.35">
      <c r="E564" s="226">
        <v>1.51044</v>
      </c>
      <c r="F564" s="227">
        <v>9.0286684931506844</v>
      </c>
      <c r="G564" s="227">
        <v>3295.4639999999999</v>
      </c>
      <c r="H564" s="227">
        <v>0.93069999999999997</v>
      </c>
      <c r="I564" s="227">
        <v>2.2063999999999999</v>
      </c>
      <c r="J564" s="227">
        <v>0.50285892002305521</v>
      </c>
      <c r="K564" s="227">
        <v>140</v>
      </c>
      <c r="L564" s="227">
        <v>140</v>
      </c>
      <c r="M564" s="227">
        <v>140</v>
      </c>
      <c r="N564" s="227">
        <v>99.07</v>
      </c>
      <c r="O564" s="227">
        <v>104.94</v>
      </c>
      <c r="P564" s="227">
        <v>122.3</v>
      </c>
      <c r="Q564" s="227">
        <v>111.96</v>
      </c>
      <c r="R564" s="227">
        <v>118.54</v>
      </c>
      <c r="S564" s="227"/>
      <c r="T564" s="227">
        <v>64.221999999999994</v>
      </c>
      <c r="U564" s="227">
        <v>73.771000000000001</v>
      </c>
      <c r="V564" s="227">
        <v>73.197999999999993</v>
      </c>
      <c r="W564" s="227">
        <v>79.5</v>
      </c>
      <c r="X564" s="227">
        <v>79.5</v>
      </c>
      <c r="Y564" s="227">
        <v>79.5</v>
      </c>
      <c r="Z564" s="227">
        <v>79.5</v>
      </c>
      <c r="AA564" s="227">
        <v>79.5</v>
      </c>
      <c r="AB564" s="227">
        <v>42.191000000000003</v>
      </c>
      <c r="AC564" s="227">
        <v>741.39</v>
      </c>
      <c r="AD564" s="230">
        <v>4.8832175925925931E-4</v>
      </c>
      <c r="AE564" s="230">
        <v>253.14600000000002</v>
      </c>
      <c r="AF564" s="230">
        <v>3652.1460000000002</v>
      </c>
      <c r="AG564" s="230">
        <v>434470.10689991969</v>
      </c>
      <c r="AH564" s="230">
        <v>1954565.2242056504</v>
      </c>
      <c r="AI564" s="230">
        <v>4448.34</v>
      </c>
    </row>
    <row r="565" spans="5:35" x14ac:dyDescent="0.35">
      <c r="E565" s="226">
        <v>1.5145400000000002</v>
      </c>
      <c r="F565" s="227">
        <v>9.0451068493150686</v>
      </c>
      <c r="G565" s="227">
        <v>3301.4639999999999</v>
      </c>
      <c r="H565" s="227">
        <v>0.93089999999999995</v>
      </c>
      <c r="I565" s="227">
        <v>2.2105000000000001</v>
      </c>
      <c r="J565" s="227">
        <v>0.50315097557861077</v>
      </c>
      <c r="K565" s="227">
        <v>140</v>
      </c>
      <c r="L565" s="227">
        <v>140</v>
      </c>
      <c r="M565" s="227">
        <v>140</v>
      </c>
      <c r="N565" s="227">
        <v>99.05</v>
      </c>
      <c r="O565" s="227">
        <v>104.92</v>
      </c>
      <c r="P565" s="227">
        <v>122.27</v>
      </c>
      <c r="Q565" s="227">
        <v>111.94</v>
      </c>
      <c r="R565" s="227">
        <v>118.51</v>
      </c>
      <c r="S565" s="227"/>
      <c r="T565" s="227">
        <v>64.296000000000006</v>
      </c>
      <c r="U565" s="227">
        <v>73.819000000000003</v>
      </c>
      <c r="V565" s="227">
        <v>73.275999999999996</v>
      </c>
      <c r="W565" s="227">
        <v>79.5</v>
      </c>
      <c r="X565" s="227">
        <v>79.5</v>
      </c>
      <c r="Y565" s="227">
        <v>79.5</v>
      </c>
      <c r="Z565" s="227">
        <v>79.5</v>
      </c>
      <c r="AA565" s="227">
        <v>79.5</v>
      </c>
      <c r="AB565" s="227">
        <v>42.055999999999997</v>
      </c>
      <c r="AC565" s="227">
        <v>741.63</v>
      </c>
      <c r="AD565" s="230">
        <v>4.8675925925925921E-4</v>
      </c>
      <c r="AE565" s="230">
        <v>252.33599999999996</v>
      </c>
      <c r="AF565" s="230">
        <v>3653.3460000000005</v>
      </c>
      <c r="AG565" s="230">
        <v>434722.4428999197</v>
      </c>
      <c r="AH565" s="230">
        <v>1958218.5702056503</v>
      </c>
      <c r="AI565" s="230">
        <v>4449.78</v>
      </c>
    </row>
    <row r="566" spans="5:35" x14ac:dyDescent="0.35">
      <c r="E566" s="226">
        <v>1.5185400000000002</v>
      </c>
      <c r="F566" s="227">
        <v>9.0615452054794527</v>
      </c>
      <c r="G566" s="227">
        <v>3307.4639999999999</v>
      </c>
      <c r="H566" s="227">
        <v>0.93120000000000003</v>
      </c>
      <c r="I566" s="227">
        <v>2.2145000000000001</v>
      </c>
      <c r="J566" s="227">
        <v>0.50344210057861072</v>
      </c>
      <c r="K566" s="227">
        <v>140</v>
      </c>
      <c r="L566" s="227">
        <v>140</v>
      </c>
      <c r="M566" s="227">
        <v>140</v>
      </c>
      <c r="N566" s="227">
        <v>99.031000000000006</v>
      </c>
      <c r="O566" s="227">
        <v>104.9</v>
      </c>
      <c r="P566" s="227">
        <v>122.25</v>
      </c>
      <c r="Q566" s="227">
        <v>111.92</v>
      </c>
      <c r="R566" s="227">
        <v>118.48</v>
      </c>
      <c r="S566" s="227"/>
      <c r="T566" s="227">
        <v>64.370999999999995</v>
      </c>
      <c r="U566" s="227">
        <v>73.867000000000004</v>
      </c>
      <c r="V566" s="227">
        <v>73.353999999999999</v>
      </c>
      <c r="W566" s="227">
        <v>79.5</v>
      </c>
      <c r="X566" s="227">
        <v>79.5</v>
      </c>
      <c r="Y566" s="227">
        <v>79.5</v>
      </c>
      <c r="Z566" s="227">
        <v>79.5</v>
      </c>
      <c r="AA566" s="227">
        <v>79.5</v>
      </c>
      <c r="AB566" s="227">
        <v>41.921999999999997</v>
      </c>
      <c r="AC566" s="227">
        <v>741.87</v>
      </c>
      <c r="AD566" s="230">
        <v>4.8520833333333331E-4</v>
      </c>
      <c r="AE566" s="230">
        <v>251.53199999999998</v>
      </c>
      <c r="AF566" s="230">
        <v>3654.5519999999997</v>
      </c>
      <c r="AG566" s="230">
        <v>434973.9748999197</v>
      </c>
      <c r="AH566" s="230">
        <v>1961873.1222056502</v>
      </c>
      <c r="AI566" s="230">
        <v>4451.22</v>
      </c>
    </row>
    <row r="567" spans="5:35" x14ac:dyDescent="0.35">
      <c r="E567" s="226">
        <v>1.5225400000000002</v>
      </c>
      <c r="F567" s="227">
        <v>9.0779835616438351</v>
      </c>
      <c r="G567" s="227">
        <v>3313.4639999999999</v>
      </c>
      <c r="H567" s="227">
        <v>0.93140000000000001</v>
      </c>
      <c r="I567" s="227">
        <v>2.2185000000000001</v>
      </c>
      <c r="J567" s="227">
        <v>0.50373230196749963</v>
      </c>
      <c r="K567" s="227">
        <v>140</v>
      </c>
      <c r="L567" s="227">
        <v>140</v>
      </c>
      <c r="M567" s="227">
        <v>140</v>
      </c>
      <c r="N567" s="227">
        <v>99.010999999999996</v>
      </c>
      <c r="O567" s="227">
        <v>104.87</v>
      </c>
      <c r="P567" s="227">
        <v>122.23</v>
      </c>
      <c r="Q567" s="227">
        <v>111.9</v>
      </c>
      <c r="R567" s="227">
        <v>118.45</v>
      </c>
      <c r="S567" s="227"/>
      <c r="T567" s="227">
        <v>64.444999999999993</v>
      </c>
      <c r="U567" s="227">
        <v>73.915000000000006</v>
      </c>
      <c r="V567" s="227">
        <v>73.432000000000002</v>
      </c>
      <c r="W567" s="227">
        <v>79.5</v>
      </c>
      <c r="X567" s="227">
        <v>79.5</v>
      </c>
      <c r="Y567" s="227">
        <v>79.5</v>
      </c>
      <c r="Z567" s="227">
        <v>79.5</v>
      </c>
      <c r="AA567" s="227">
        <v>79.5</v>
      </c>
      <c r="AB567" s="227">
        <v>41.789000000000001</v>
      </c>
      <c r="AC567" s="227">
        <v>742.12</v>
      </c>
      <c r="AD567" s="230">
        <v>4.8366898148148151E-4</v>
      </c>
      <c r="AE567" s="230">
        <v>250.73400000000001</v>
      </c>
      <c r="AF567" s="230">
        <v>3655.7520000000004</v>
      </c>
      <c r="AG567" s="230">
        <v>435224.7088999197</v>
      </c>
      <c r="AH567" s="230">
        <v>1965528.8742056503</v>
      </c>
      <c r="AI567" s="230">
        <v>4452.72</v>
      </c>
    </row>
    <row r="568" spans="5:35" x14ac:dyDescent="0.35">
      <c r="E568" s="226">
        <v>1.5265400000000002</v>
      </c>
      <c r="F568" s="227">
        <v>9.0944219178082193</v>
      </c>
      <c r="G568" s="227">
        <v>3319.4639999999999</v>
      </c>
      <c r="H568" s="227">
        <v>0.93169999999999997</v>
      </c>
      <c r="I568" s="227">
        <v>2.2225000000000001</v>
      </c>
      <c r="J568" s="227">
        <v>0.50402157974527739</v>
      </c>
      <c r="K568" s="227">
        <v>140</v>
      </c>
      <c r="L568" s="227">
        <v>140</v>
      </c>
      <c r="M568" s="227">
        <v>140</v>
      </c>
      <c r="N568" s="227">
        <v>98.992000000000004</v>
      </c>
      <c r="O568" s="227">
        <v>104.85</v>
      </c>
      <c r="P568" s="227">
        <v>122.21</v>
      </c>
      <c r="Q568" s="227">
        <v>111.88</v>
      </c>
      <c r="R568" s="227">
        <v>118.43</v>
      </c>
      <c r="S568" s="227"/>
      <c r="T568" s="227">
        <v>64.519000000000005</v>
      </c>
      <c r="U568" s="227">
        <v>73.962999999999994</v>
      </c>
      <c r="V568" s="227">
        <v>73.509</v>
      </c>
      <c r="W568" s="227">
        <v>79.5</v>
      </c>
      <c r="X568" s="227">
        <v>79.5</v>
      </c>
      <c r="Y568" s="227">
        <v>79.5</v>
      </c>
      <c r="Z568" s="227">
        <v>79.5</v>
      </c>
      <c r="AA568" s="227">
        <v>79.5</v>
      </c>
      <c r="AB568" s="227">
        <v>41.655999999999999</v>
      </c>
      <c r="AC568" s="227">
        <v>742.36</v>
      </c>
      <c r="AD568" s="230">
        <v>4.8212962962962961E-4</v>
      </c>
      <c r="AE568" s="230">
        <v>249.93599999999998</v>
      </c>
      <c r="AF568" s="230">
        <v>3656.9459999999999</v>
      </c>
      <c r="AG568" s="230">
        <v>435474.64489991969</v>
      </c>
      <c r="AH568" s="230">
        <v>1969185.8202056503</v>
      </c>
      <c r="AI568" s="230">
        <v>4454.16</v>
      </c>
    </row>
    <row r="569" spans="5:35" x14ac:dyDescent="0.35">
      <c r="E569" s="226">
        <v>1.5305400000000002</v>
      </c>
      <c r="F569" s="227">
        <v>9.1108602739726035</v>
      </c>
      <c r="G569" s="227">
        <v>3325.4639999999999</v>
      </c>
      <c r="H569" s="227">
        <v>0.93189999999999995</v>
      </c>
      <c r="I569" s="227">
        <v>2.2265000000000001</v>
      </c>
      <c r="J569" s="227">
        <v>0.50430993391194401</v>
      </c>
      <c r="K569" s="227">
        <v>140</v>
      </c>
      <c r="L569" s="227">
        <v>140</v>
      </c>
      <c r="M569" s="227">
        <v>140</v>
      </c>
      <c r="N569" s="227">
        <v>98.971999999999994</v>
      </c>
      <c r="O569" s="227">
        <v>104.83</v>
      </c>
      <c r="P569" s="227">
        <v>122.19</v>
      </c>
      <c r="Q569" s="227">
        <v>111.86</v>
      </c>
      <c r="R569" s="227">
        <v>118.4</v>
      </c>
      <c r="S569" s="227"/>
      <c r="T569" s="227">
        <v>64.593999999999994</v>
      </c>
      <c r="U569" s="227">
        <v>74.010999999999996</v>
      </c>
      <c r="V569" s="227">
        <v>73.587000000000003</v>
      </c>
      <c r="W569" s="227">
        <v>79.5</v>
      </c>
      <c r="X569" s="227">
        <v>79.5</v>
      </c>
      <c r="Y569" s="227">
        <v>79.5</v>
      </c>
      <c r="Z569" s="227">
        <v>79.5</v>
      </c>
      <c r="AA569" s="227">
        <v>79.5</v>
      </c>
      <c r="AB569" s="227">
        <v>41.523000000000003</v>
      </c>
      <c r="AC569" s="227">
        <v>742.6</v>
      </c>
      <c r="AD569" s="230">
        <v>4.8059027777777781E-4</v>
      </c>
      <c r="AE569" s="230">
        <v>249.13800000000003</v>
      </c>
      <c r="AF569" s="230">
        <v>3658.152</v>
      </c>
      <c r="AG569" s="230">
        <v>435723.78289991966</v>
      </c>
      <c r="AH569" s="230">
        <v>1972843.9722056503</v>
      </c>
      <c r="AI569" s="230">
        <v>4455.6000000000004</v>
      </c>
    </row>
    <row r="570" spans="5:35" x14ac:dyDescent="0.35">
      <c r="E570" s="226">
        <v>1.5345400000000002</v>
      </c>
      <c r="F570" s="227">
        <v>9.1272986301369858</v>
      </c>
      <c r="G570" s="227">
        <v>3331.4639999999999</v>
      </c>
      <c r="H570" s="227">
        <v>0.93210000000000004</v>
      </c>
      <c r="I570" s="227">
        <v>2.2305000000000001</v>
      </c>
      <c r="J570" s="227">
        <v>0.50459737835638852</v>
      </c>
      <c r="K570" s="227">
        <v>140</v>
      </c>
      <c r="L570" s="227">
        <v>140</v>
      </c>
      <c r="M570" s="227">
        <v>140</v>
      </c>
      <c r="N570" s="227">
        <v>98.953000000000003</v>
      </c>
      <c r="O570" s="227">
        <v>104.8</v>
      </c>
      <c r="P570" s="227">
        <v>122.16</v>
      </c>
      <c r="Q570" s="227">
        <v>111.84</v>
      </c>
      <c r="R570" s="227">
        <v>118.37</v>
      </c>
      <c r="S570" s="227"/>
      <c r="T570" s="227">
        <v>64.667000000000002</v>
      </c>
      <c r="U570" s="227">
        <v>74.058000000000007</v>
      </c>
      <c r="V570" s="227">
        <v>73.664000000000001</v>
      </c>
      <c r="W570" s="227">
        <v>79.5</v>
      </c>
      <c r="X570" s="227">
        <v>79.5</v>
      </c>
      <c r="Y570" s="227">
        <v>79.5</v>
      </c>
      <c r="Z570" s="227">
        <v>79.5</v>
      </c>
      <c r="AA570" s="227">
        <v>79.5</v>
      </c>
      <c r="AB570" s="227">
        <v>41.392000000000003</v>
      </c>
      <c r="AC570" s="227">
        <v>742.85</v>
      </c>
      <c r="AD570" s="230">
        <v>4.7907407407407409E-4</v>
      </c>
      <c r="AE570" s="230">
        <v>248.35200000000003</v>
      </c>
      <c r="AF570" s="230">
        <v>3659.3339999999998</v>
      </c>
      <c r="AG570" s="230">
        <v>435972.13489991968</v>
      </c>
      <c r="AH570" s="230">
        <v>1976503.3062056503</v>
      </c>
      <c r="AI570" s="230">
        <v>4457.1000000000004</v>
      </c>
    </row>
    <row r="571" spans="5:35" x14ac:dyDescent="0.35">
      <c r="E571" s="226">
        <v>1.53864</v>
      </c>
      <c r="F571" s="227">
        <v>9.14373698630137</v>
      </c>
      <c r="G571" s="227">
        <v>3337.4639999999999</v>
      </c>
      <c r="H571" s="227">
        <v>0.93240000000000001</v>
      </c>
      <c r="I571" s="227">
        <v>2.2345999999999999</v>
      </c>
      <c r="J571" s="227">
        <v>0.50488392002305515</v>
      </c>
      <c r="K571" s="227">
        <v>140</v>
      </c>
      <c r="L571" s="227">
        <v>140</v>
      </c>
      <c r="M571" s="227">
        <v>140</v>
      </c>
      <c r="N571" s="227">
        <v>98.933000000000007</v>
      </c>
      <c r="O571" s="227">
        <v>104.78</v>
      </c>
      <c r="P571" s="227">
        <v>122.14</v>
      </c>
      <c r="Q571" s="227">
        <v>111.82</v>
      </c>
      <c r="R571" s="227">
        <v>118.34</v>
      </c>
      <c r="S571" s="227"/>
      <c r="T571" s="227">
        <v>64.741</v>
      </c>
      <c r="U571" s="227">
        <v>74.105999999999995</v>
      </c>
      <c r="V571" s="227">
        <v>73.741</v>
      </c>
      <c r="W571" s="227">
        <v>79.5</v>
      </c>
      <c r="X571" s="227">
        <v>79.5</v>
      </c>
      <c r="Y571" s="227">
        <v>79.5</v>
      </c>
      <c r="Z571" s="227">
        <v>79.5</v>
      </c>
      <c r="AA571" s="227">
        <v>79.5</v>
      </c>
      <c r="AB571" s="227">
        <v>41.262</v>
      </c>
      <c r="AC571" s="227">
        <v>743.09</v>
      </c>
      <c r="AD571" s="230">
        <v>4.7756944444444447E-4</v>
      </c>
      <c r="AE571" s="230">
        <v>247.572</v>
      </c>
      <c r="AF571" s="230">
        <v>3660.5279999999998</v>
      </c>
      <c r="AG571" s="230">
        <v>436219.70689991966</v>
      </c>
      <c r="AH571" s="230">
        <v>1980163.8342056503</v>
      </c>
      <c r="AI571" s="230">
        <v>4458.54</v>
      </c>
    </row>
    <row r="572" spans="5:35" x14ac:dyDescent="0.35">
      <c r="E572" s="226">
        <v>1.54264</v>
      </c>
      <c r="F572" s="227">
        <v>9.1601753424657524</v>
      </c>
      <c r="G572" s="227">
        <v>3343.4639999999999</v>
      </c>
      <c r="H572" s="227">
        <v>0.93259999999999998</v>
      </c>
      <c r="I572" s="227">
        <v>2.2385999999999999</v>
      </c>
      <c r="J572" s="227">
        <v>0.5051695658563885</v>
      </c>
      <c r="K572" s="227">
        <v>140</v>
      </c>
      <c r="L572" s="227">
        <v>140</v>
      </c>
      <c r="M572" s="227">
        <v>140</v>
      </c>
      <c r="N572" s="227">
        <v>98.914000000000001</v>
      </c>
      <c r="O572" s="227">
        <v>104.76</v>
      </c>
      <c r="P572" s="227">
        <v>122.12</v>
      </c>
      <c r="Q572" s="227">
        <v>111.8</v>
      </c>
      <c r="R572" s="227">
        <v>118.31</v>
      </c>
      <c r="S572" s="227"/>
      <c r="T572" s="227">
        <v>64.814999999999998</v>
      </c>
      <c r="U572" s="227">
        <v>74.153000000000006</v>
      </c>
      <c r="V572" s="227">
        <v>73.816999999999993</v>
      </c>
      <c r="W572" s="227">
        <v>79.5</v>
      </c>
      <c r="X572" s="227">
        <v>79.5</v>
      </c>
      <c r="Y572" s="227">
        <v>79.5</v>
      </c>
      <c r="Z572" s="227">
        <v>79.5</v>
      </c>
      <c r="AA572" s="227">
        <v>79.5</v>
      </c>
      <c r="AB572" s="227">
        <v>41.133000000000003</v>
      </c>
      <c r="AC572" s="227">
        <v>743.33</v>
      </c>
      <c r="AD572" s="230">
        <v>4.7607638888888895E-4</v>
      </c>
      <c r="AE572" s="230">
        <v>246.79800000000003</v>
      </c>
      <c r="AF572" s="230">
        <v>3661.7100000000005</v>
      </c>
      <c r="AG572" s="230">
        <v>436466.50489991967</v>
      </c>
      <c r="AH572" s="230">
        <v>1983825.5442056502</v>
      </c>
      <c r="AI572" s="230">
        <v>4459.9800000000005</v>
      </c>
    </row>
    <row r="573" spans="5:35" x14ac:dyDescent="0.35">
      <c r="E573" s="226">
        <v>1.54664</v>
      </c>
      <c r="F573" s="227">
        <v>9.1766136986301365</v>
      </c>
      <c r="G573" s="227">
        <v>3349.4639999999999</v>
      </c>
      <c r="H573" s="227">
        <v>0.93279999999999996</v>
      </c>
      <c r="I573" s="227">
        <v>2.2425999999999999</v>
      </c>
      <c r="J573" s="227">
        <v>0.50545431585638845</v>
      </c>
      <c r="K573" s="227">
        <v>140</v>
      </c>
      <c r="L573" s="227">
        <v>140</v>
      </c>
      <c r="M573" s="227">
        <v>140</v>
      </c>
      <c r="N573" s="227">
        <v>98.894000000000005</v>
      </c>
      <c r="O573" s="227">
        <v>104.73</v>
      </c>
      <c r="P573" s="227">
        <v>122.1</v>
      </c>
      <c r="Q573" s="227">
        <v>111.78</v>
      </c>
      <c r="R573" s="227">
        <v>118.28</v>
      </c>
      <c r="S573" s="227"/>
      <c r="T573" s="227">
        <v>64.888999999999996</v>
      </c>
      <c r="U573" s="227">
        <v>74.2</v>
      </c>
      <c r="V573" s="227">
        <v>73.894000000000005</v>
      </c>
      <c r="W573" s="227">
        <v>79.5</v>
      </c>
      <c r="X573" s="227">
        <v>79.5</v>
      </c>
      <c r="Y573" s="227">
        <v>79.5</v>
      </c>
      <c r="Z573" s="227">
        <v>79.5</v>
      </c>
      <c r="AA573" s="227">
        <v>79.5</v>
      </c>
      <c r="AB573" s="227">
        <v>41.003999999999998</v>
      </c>
      <c r="AC573" s="227">
        <v>743.57</v>
      </c>
      <c r="AD573" s="230">
        <v>4.7458333333333331E-4</v>
      </c>
      <c r="AE573" s="230">
        <v>246.02399999999997</v>
      </c>
      <c r="AF573" s="230">
        <v>3662.8979999999997</v>
      </c>
      <c r="AG573" s="230">
        <v>436712.52889991965</v>
      </c>
      <c r="AH573" s="230">
        <v>1987488.4422056503</v>
      </c>
      <c r="AI573" s="230">
        <v>4461.42</v>
      </c>
    </row>
    <row r="574" spans="5:35" x14ac:dyDescent="0.35">
      <c r="E574" s="226">
        <v>1.55064</v>
      </c>
      <c r="F574" s="227">
        <v>9.1930520547945207</v>
      </c>
      <c r="G574" s="227">
        <v>3355.4639999999999</v>
      </c>
      <c r="H574" s="227">
        <v>0.93310000000000004</v>
      </c>
      <c r="I574" s="227">
        <v>2.2465999999999999</v>
      </c>
      <c r="J574" s="227">
        <v>0.50573817696749956</v>
      </c>
      <c r="K574" s="227">
        <v>140</v>
      </c>
      <c r="L574" s="227">
        <v>140</v>
      </c>
      <c r="M574" s="227">
        <v>140</v>
      </c>
      <c r="N574" s="227">
        <v>98.875</v>
      </c>
      <c r="O574" s="227">
        <v>104.71</v>
      </c>
      <c r="P574" s="227">
        <v>122.08</v>
      </c>
      <c r="Q574" s="227">
        <v>111.76</v>
      </c>
      <c r="R574" s="227">
        <v>118.25</v>
      </c>
      <c r="S574" s="227"/>
      <c r="T574" s="227">
        <v>64.962000000000003</v>
      </c>
      <c r="U574" s="227">
        <v>74.247</v>
      </c>
      <c r="V574" s="227">
        <v>73.97</v>
      </c>
      <c r="W574" s="227">
        <v>79.5</v>
      </c>
      <c r="X574" s="227">
        <v>79.5</v>
      </c>
      <c r="Y574" s="227">
        <v>79.5</v>
      </c>
      <c r="Z574" s="227">
        <v>79.5</v>
      </c>
      <c r="AA574" s="227">
        <v>79.5</v>
      </c>
      <c r="AB574" s="227">
        <v>40.875999999999998</v>
      </c>
      <c r="AC574" s="227">
        <v>743.81</v>
      </c>
      <c r="AD574" s="230">
        <v>4.7310185185185183E-4</v>
      </c>
      <c r="AE574" s="230">
        <v>245.256</v>
      </c>
      <c r="AF574" s="230">
        <v>3664.0739999999996</v>
      </c>
      <c r="AG574" s="230">
        <v>436957.78489991964</v>
      </c>
      <c r="AH574" s="230">
        <v>1991152.5162056503</v>
      </c>
      <c r="AI574" s="230">
        <v>4462.8599999999997</v>
      </c>
    </row>
    <row r="575" spans="5:35" x14ac:dyDescent="0.35">
      <c r="E575" s="226">
        <v>1.55464</v>
      </c>
      <c r="F575" s="227">
        <v>9.2094904109589031</v>
      </c>
      <c r="G575" s="227">
        <v>3361.4639999999999</v>
      </c>
      <c r="H575" s="227">
        <v>0.93330000000000002</v>
      </c>
      <c r="I575" s="227">
        <v>2.2505999999999999</v>
      </c>
      <c r="J575" s="227">
        <v>0.50602115613416621</v>
      </c>
      <c r="K575" s="227">
        <v>140</v>
      </c>
      <c r="L575" s="227">
        <v>140</v>
      </c>
      <c r="M575" s="227">
        <v>140</v>
      </c>
      <c r="N575" s="227">
        <v>98.855000000000004</v>
      </c>
      <c r="O575" s="227">
        <v>104.69</v>
      </c>
      <c r="P575" s="227">
        <v>122.06</v>
      </c>
      <c r="Q575" s="227">
        <v>111.74</v>
      </c>
      <c r="R575" s="227">
        <v>118.23</v>
      </c>
      <c r="S575" s="227"/>
      <c r="T575" s="227">
        <v>65.034999999999997</v>
      </c>
      <c r="U575" s="227">
        <v>74.293999999999997</v>
      </c>
      <c r="V575" s="227">
        <v>74.046999999999997</v>
      </c>
      <c r="W575" s="227">
        <v>79.5</v>
      </c>
      <c r="X575" s="227">
        <v>79.5</v>
      </c>
      <c r="Y575" s="227">
        <v>79.5</v>
      </c>
      <c r="Z575" s="227">
        <v>79.5</v>
      </c>
      <c r="AA575" s="227">
        <v>79.5</v>
      </c>
      <c r="AB575" s="227">
        <v>40.749000000000002</v>
      </c>
      <c r="AC575" s="227">
        <v>744.05</v>
      </c>
      <c r="AD575" s="230">
        <v>4.716319444444445E-4</v>
      </c>
      <c r="AE575" s="230">
        <v>244.49400000000003</v>
      </c>
      <c r="AF575" s="230">
        <v>3665.2559999999999</v>
      </c>
      <c r="AG575" s="230">
        <v>437202.27889991965</v>
      </c>
      <c r="AH575" s="230">
        <v>1994817.7722056503</v>
      </c>
      <c r="AI575" s="230">
        <v>4464.2999999999993</v>
      </c>
    </row>
    <row r="576" spans="5:35" x14ac:dyDescent="0.35">
      <c r="E576" s="226">
        <v>1.55864</v>
      </c>
      <c r="F576" s="227">
        <v>9.2259287671232872</v>
      </c>
      <c r="G576" s="227">
        <v>3367.4639999999999</v>
      </c>
      <c r="H576" s="227">
        <v>0.9335</v>
      </c>
      <c r="I576" s="227">
        <v>2.2545999999999999</v>
      </c>
      <c r="J576" s="227">
        <v>0.50630325335638848</v>
      </c>
      <c r="K576" s="227">
        <v>140</v>
      </c>
      <c r="L576" s="227">
        <v>140</v>
      </c>
      <c r="M576" s="227">
        <v>140</v>
      </c>
      <c r="N576" s="227">
        <v>98.834999999999994</v>
      </c>
      <c r="O576" s="227">
        <v>104.67</v>
      </c>
      <c r="P576" s="227">
        <v>122.03</v>
      </c>
      <c r="Q576" s="227">
        <v>111.71</v>
      </c>
      <c r="R576" s="227">
        <v>118.2</v>
      </c>
      <c r="S576" s="227"/>
      <c r="T576" s="227">
        <v>65.108999999999995</v>
      </c>
      <c r="U576" s="227">
        <v>74.340999999999994</v>
      </c>
      <c r="V576" s="227">
        <v>74.123000000000005</v>
      </c>
      <c r="W576" s="227">
        <v>79.5</v>
      </c>
      <c r="X576" s="227">
        <v>79.5</v>
      </c>
      <c r="Y576" s="227">
        <v>79.5</v>
      </c>
      <c r="Z576" s="227">
        <v>79.5</v>
      </c>
      <c r="AA576" s="227">
        <v>79.5</v>
      </c>
      <c r="AB576" s="227">
        <v>40.622</v>
      </c>
      <c r="AC576" s="227">
        <v>744.29</v>
      </c>
      <c r="AD576" s="230">
        <v>4.7016203703703705E-4</v>
      </c>
      <c r="AE576" s="230">
        <v>243.732</v>
      </c>
      <c r="AF576" s="230">
        <v>3666.4380000000001</v>
      </c>
      <c r="AG576" s="230">
        <v>437446.01089991967</v>
      </c>
      <c r="AH576" s="230">
        <v>1998484.2102056504</v>
      </c>
      <c r="AI576" s="230">
        <v>4465.74</v>
      </c>
    </row>
    <row r="577" spans="5:35" x14ac:dyDescent="0.35">
      <c r="E577" s="226">
        <v>1.5627400000000002</v>
      </c>
      <c r="F577" s="227">
        <v>9.2423671232876714</v>
      </c>
      <c r="G577" s="227">
        <v>3373.4639999999999</v>
      </c>
      <c r="H577" s="227">
        <v>0.93379999999999996</v>
      </c>
      <c r="I577" s="227">
        <v>2.2587000000000002</v>
      </c>
      <c r="J577" s="227">
        <v>0.50658448252305521</v>
      </c>
      <c r="K577" s="227">
        <v>140</v>
      </c>
      <c r="L577" s="227">
        <v>140</v>
      </c>
      <c r="M577" s="227">
        <v>140</v>
      </c>
      <c r="N577" s="227">
        <v>98.816000000000003</v>
      </c>
      <c r="O577" s="227">
        <v>104.64</v>
      </c>
      <c r="P577" s="227">
        <v>122.01</v>
      </c>
      <c r="Q577" s="227">
        <v>111.69</v>
      </c>
      <c r="R577" s="227">
        <v>118.17</v>
      </c>
      <c r="S577" s="227"/>
      <c r="T577" s="227">
        <v>65.182000000000002</v>
      </c>
      <c r="U577" s="227">
        <v>74.388000000000005</v>
      </c>
      <c r="V577" s="227">
        <v>74.198999999999998</v>
      </c>
      <c r="W577" s="227">
        <v>79.5</v>
      </c>
      <c r="X577" s="227">
        <v>79.5</v>
      </c>
      <c r="Y577" s="227">
        <v>79.5</v>
      </c>
      <c r="Z577" s="227">
        <v>79.5</v>
      </c>
      <c r="AA577" s="227">
        <v>79.5</v>
      </c>
      <c r="AB577" s="227">
        <v>40.497</v>
      </c>
      <c r="AC577" s="227">
        <v>744.52</v>
      </c>
      <c r="AD577" s="230">
        <v>4.6871527777777775E-4</v>
      </c>
      <c r="AE577" s="230">
        <v>242.982</v>
      </c>
      <c r="AF577" s="230">
        <v>3667.614</v>
      </c>
      <c r="AG577" s="230">
        <v>437688.99289991969</v>
      </c>
      <c r="AH577" s="230">
        <v>2002151.8242056505</v>
      </c>
      <c r="AI577" s="230">
        <v>4467.12</v>
      </c>
    </row>
    <row r="578" spans="5:35" x14ac:dyDescent="0.35">
      <c r="E578" s="226">
        <v>1.5667400000000002</v>
      </c>
      <c r="F578" s="227">
        <v>9.2588054794520538</v>
      </c>
      <c r="G578" s="227">
        <v>3379.4639999999999</v>
      </c>
      <c r="H578" s="227">
        <v>0.93400000000000005</v>
      </c>
      <c r="I578" s="227">
        <v>2.2627000000000002</v>
      </c>
      <c r="J578" s="227">
        <v>0.50686484363416628</v>
      </c>
      <c r="K578" s="227">
        <v>140</v>
      </c>
      <c r="L578" s="227">
        <v>140</v>
      </c>
      <c r="M578" s="227">
        <v>140</v>
      </c>
      <c r="N578" s="227">
        <v>98.796000000000006</v>
      </c>
      <c r="O578" s="227">
        <v>104.62</v>
      </c>
      <c r="P578" s="227">
        <v>121.99</v>
      </c>
      <c r="Q578" s="227">
        <v>111.67</v>
      </c>
      <c r="R578" s="227">
        <v>118.14</v>
      </c>
      <c r="S578" s="227"/>
      <c r="T578" s="227">
        <v>65.254999999999995</v>
      </c>
      <c r="U578" s="227">
        <v>74.433999999999997</v>
      </c>
      <c r="V578" s="227">
        <v>74.275000000000006</v>
      </c>
      <c r="W578" s="227">
        <v>79.5</v>
      </c>
      <c r="X578" s="227">
        <v>79.5</v>
      </c>
      <c r="Y578" s="227">
        <v>79.5</v>
      </c>
      <c r="Z578" s="227">
        <v>79.5</v>
      </c>
      <c r="AA578" s="227">
        <v>79.5</v>
      </c>
      <c r="AB578" s="227">
        <v>40.372</v>
      </c>
      <c r="AC578" s="227">
        <v>744.76</v>
      </c>
      <c r="AD578" s="230">
        <v>4.672685185185185E-4</v>
      </c>
      <c r="AE578" s="230">
        <v>242.23199999999997</v>
      </c>
      <c r="AF578" s="230">
        <v>3668.7839999999997</v>
      </c>
      <c r="AG578" s="230">
        <v>437931.2248999197</v>
      </c>
      <c r="AH578" s="230">
        <v>2005820.6082056505</v>
      </c>
      <c r="AI578" s="230">
        <v>4468.5599999999995</v>
      </c>
    </row>
    <row r="579" spans="5:35" x14ac:dyDescent="0.35">
      <c r="E579" s="226">
        <v>1.5707400000000002</v>
      </c>
      <c r="F579" s="227">
        <v>9.2752438356164379</v>
      </c>
      <c r="G579" s="227">
        <v>3385.4639999999999</v>
      </c>
      <c r="H579" s="227">
        <v>0.93420000000000003</v>
      </c>
      <c r="I579" s="227">
        <v>2.2667000000000002</v>
      </c>
      <c r="J579" s="227">
        <v>0.50714434363416638</v>
      </c>
      <c r="K579" s="227">
        <v>140</v>
      </c>
      <c r="L579" s="227">
        <v>140</v>
      </c>
      <c r="M579" s="227">
        <v>140</v>
      </c>
      <c r="N579" s="227">
        <v>98.777000000000001</v>
      </c>
      <c r="O579" s="227">
        <v>104.6</v>
      </c>
      <c r="P579" s="227">
        <v>121.97</v>
      </c>
      <c r="Q579" s="227">
        <v>111.65</v>
      </c>
      <c r="R579" s="227">
        <v>118.12</v>
      </c>
      <c r="S579" s="227"/>
      <c r="T579" s="227">
        <v>65.326999999999998</v>
      </c>
      <c r="U579" s="227">
        <v>74.48</v>
      </c>
      <c r="V579" s="227">
        <v>74.350999999999999</v>
      </c>
      <c r="W579" s="227">
        <v>79.5</v>
      </c>
      <c r="X579" s="227">
        <v>79.5</v>
      </c>
      <c r="Y579" s="227">
        <v>79.5</v>
      </c>
      <c r="Z579" s="227">
        <v>79.5</v>
      </c>
      <c r="AA579" s="227">
        <v>79.5</v>
      </c>
      <c r="AB579" s="227">
        <v>40.247999999999998</v>
      </c>
      <c r="AC579" s="227">
        <v>745</v>
      </c>
      <c r="AD579" s="230">
        <v>4.6583333333333329E-4</v>
      </c>
      <c r="AE579" s="230">
        <v>241.48799999999997</v>
      </c>
      <c r="AF579" s="230">
        <v>3669.9480000000003</v>
      </c>
      <c r="AG579" s="230">
        <v>438172.71289991972</v>
      </c>
      <c r="AH579" s="230">
        <v>2009490.5562056506</v>
      </c>
      <c r="AI579" s="230">
        <v>4470</v>
      </c>
    </row>
    <row r="580" spans="5:35" x14ac:dyDescent="0.35">
      <c r="E580" s="226">
        <v>1.5747400000000003</v>
      </c>
      <c r="F580" s="227">
        <v>9.2916821917808221</v>
      </c>
      <c r="G580" s="227">
        <v>3391.4639999999999</v>
      </c>
      <c r="H580" s="227">
        <v>0.93440000000000001</v>
      </c>
      <c r="I580" s="227">
        <v>2.2707000000000002</v>
      </c>
      <c r="J580" s="227">
        <v>0.50742298252305529</v>
      </c>
      <c r="K580" s="227">
        <v>140</v>
      </c>
      <c r="L580" s="227">
        <v>140</v>
      </c>
      <c r="M580" s="227">
        <v>140</v>
      </c>
      <c r="N580" s="227">
        <v>98.757000000000005</v>
      </c>
      <c r="O580" s="227">
        <v>104.58</v>
      </c>
      <c r="P580" s="227">
        <v>121.95</v>
      </c>
      <c r="Q580" s="227">
        <v>111.63</v>
      </c>
      <c r="R580" s="227">
        <v>118.09</v>
      </c>
      <c r="S580" s="227"/>
      <c r="T580" s="227">
        <v>65.400000000000006</v>
      </c>
      <c r="U580" s="227">
        <v>74.527000000000001</v>
      </c>
      <c r="V580" s="227">
        <v>74.426000000000002</v>
      </c>
      <c r="W580" s="227">
        <v>79.5</v>
      </c>
      <c r="X580" s="227">
        <v>79.5</v>
      </c>
      <c r="Y580" s="227">
        <v>79.5</v>
      </c>
      <c r="Z580" s="227">
        <v>79.5</v>
      </c>
      <c r="AA580" s="227">
        <v>79.5</v>
      </c>
      <c r="AB580" s="227">
        <v>40.124000000000002</v>
      </c>
      <c r="AC580" s="227">
        <v>745.24</v>
      </c>
      <c r="AD580" s="230">
        <v>4.6439814814814819E-4</v>
      </c>
      <c r="AE580" s="230">
        <v>240.744</v>
      </c>
      <c r="AF580" s="230">
        <v>3671.1180000000004</v>
      </c>
      <c r="AG580" s="230">
        <v>438413.45689991972</v>
      </c>
      <c r="AH580" s="230">
        <v>2013161.6742056506</v>
      </c>
      <c r="AI580" s="230">
        <v>4471.4400000000005</v>
      </c>
    </row>
    <row r="581" spans="5:35" x14ac:dyDescent="0.35">
      <c r="E581" s="226">
        <v>1.5787400000000003</v>
      </c>
      <c r="F581" s="227">
        <v>9.3081205479452045</v>
      </c>
      <c r="G581" s="227">
        <v>3397.4639999999999</v>
      </c>
      <c r="H581" s="227">
        <v>0.93459999999999999</v>
      </c>
      <c r="I581" s="227">
        <v>2.2747000000000002</v>
      </c>
      <c r="J581" s="227">
        <v>0.50770076724527746</v>
      </c>
      <c r="K581" s="227">
        <v>140</v>
      </c>
      <c r="L581" s="227">
        <v>140</v>
      </c>
      <c r="M581" s="227">
        <v>140</v>
      </c>
      <c r="N581" s="227">
        <v>98.738</v>
      </c>
      <c r="O581" s="227">
        <v>104.56</v>
      </c>
      <c r="P581" s="227">
        <v>121.93</v>
      </c>
      <c r="Q581" s="227">
        <v>111.61</v>
      </c>
      <c r="R581" s="227">
        <v>118.06</v>
      </c>
      <c r="S581" s="227"/>
      <c r="T581" s="227">
        <v>65.472999999999999</v>
      </c>
      <c r="U581" s="227">
        <v>74.572999999999993</v>
      </c>
      <c r="V581" s="227">
        <v>74.501000000000005</v>
      </c>
      <c r="W581" s="227">
        <v>79.5</v>
      </c>
      <c r="X581" s="227">
        <v>79.5</v>
      </c>
      <c r="Y581" s="227">
        <v>79.5</v>
      </c>
      <c r="Z581" s="227">
        <v>79.5</v>
      </c>
      <c r="AA581" s="227">
        <v>79.5</v>
      </c>
      <c r="AB581" s="227">
        <v>40.000999999999998</v>
      </c>
      <c r="AC581" s="227">
        <v>745.47</v>
      </c>
      <c r="AD581" s="230">
        <v>4.6297453703703702E-4</v>
      </c>
      <c r="AE581" s="230">
        <v>240.006</v>
      </c>
      <c r="AF581" s="230">
        <v>3672.2820000000002</v>
      </c>
      <c r="AG581" s="230">
        <v>438653.46289991972</v>
      </c>
      <c r="AH581" s="230">
        <v>2016833.9562056505</v>
      </c>
      <c r="AI581" s="230">
        <v>4472.82</v>
      </c>
    </row>
    <row r="582" spans="5:35" x14ac:dyDescent="0.35">
      <c r="E582" s="226">
        <v>1.5827400000000003</v>
      </c>
      <c r="F582" s="227">
        <v>9.3245589041095887</v>
      </c>
      <c r="G582" s="227">
        <v>3403.4639999999999</v>
      </c>
      <c r="H582" s="227">
        <v>0.93489999999999995</v>
      </c>
      <c r="I582" s="227">
        <v>2.2787000000000002</v>
      </c>
      <c r="J582" s="227">
        <v>0.50797770474527737</v>
      </c>
      <c r="K582" s="227">
        <v>140</v>
      </c>
      <c r="L582" s="227">
        <v>140</v>
      </c>
      <c r="M582" s="227">
        <v>140</v>
      </c>
      <c r="N582" s="227">
        <v>98.718999999999994</v>
      </c>
      <c r="O582" s="227">
        <v>104.53</v>
      </c>
      <c r="P582" s="227">
        <v>121.91</v>
      </c>
      <c r="Q582" s="227">
        <v>111.59</v>
      </c>
      <c r="R582" s="227">
        <v>118.03</v>
      </c>
      <c r="S582" s="227"/>
      <c r="T582" s="227">
        <v>65.545000000000002</v>
      </c>
      <c r="U582" s="227">
        <v>74.619</v>
      </c>
      <c r="V582" s="227">
        <v>74.576999999999998</v>
      </c>
      <c r="W582" s="227">
        <v>79.5</v>
      </c>
      <c r="X582" s="227">
        <v>79.5</v>
      </c>
      <c r="Y582" s="227">
        <v>79.5</v>
      </c>
      <c r="Z582" s="227">
        <v>79.5</v>
      </c>
      <c r="AA582" s="227">
        <v>79.5</v>
      </c>
      <c r="AB582" s="227">
        <v>39.878999999999998</v>
      </c>
      <c r="AC582" s="227">
        <v>745.71</v>
      </c>
      <c r="AD582" s="230">
        <v>4.6156249999999995E-4</v>
      </c>
      <c r="AE582" s="230">
        <v>239.27399999999997</v>
      </c>
      <c r="AF582" s="230">
        <v>3673.4459999999999</v>
      </c>
      <c r="AG582" s="230">
        <v>438892.73689991969</v>
      </c>
      <c r="AH582" s="230">
        <v>2020507.4022056505</v>
      </c>
      <c r="AI582" s="230">
        <v>4474.26</v>
      </c>
    </row>
    <row r="583" spans="5:35" x14ac:dyDescent="0.35">
      <c r="E583" s="226">
        <v>1.58684</v>
      </c>
      <c r="F583" s="227">
        <v>9.3409972602739728</v>
      </c>
      <c r="G583" s="227">
        <v>3409.4639999999999</v>
      </c>
      <c r="H583" s="227">
        <v>0.93510000000000004</v>
      </c>
      <c r="I583" s="227">
        <v>2.2827999999999999</v>
      </c>
      <c r="J583" s="227">
        <v>0.50825379502305523</v>
      </c>
      <c r="K583" s="227">
        <v>140</v>
      </c>
      <c r="L583" s="227">
        <v>140</v>
      </c>
      <c r="M583" s="227">
        <v>140</v>
      </c>
      <c r="N583" s="227">
        <v>98.698999999999998</v>
      </c>
      <c r="O583" s="227">
        <v>104.51</v>
      </c>
      <c r="P583" s="227">
        <v>121.89</v>
      </c>
      <c r="Q583" s="227">
        <v>111.57</v>
      </c>
      <c r="R583" s="227">
        <v>118.01</v>
      </c>
      <c r="S583" s="227"/>
      <c r="T583" s="227">
        <v>65.617000000000004</v>
      </c>
      <c r="U583" s="227">
        <v>74.665000000000006</v>
      </c>
      <c r="V583" s="227">
        <v>74.652000000000001</v>
      </c>
      <c r="W583" s="227">
        <v>79.5</v>
      </c>
      <c r="X583" s="227">
        <v>79.5</v>
      </c>
      <c r="Y583" s="227">
        <v>79.5</v>
      </c>
      <c r="Z583" s="227">
        <v>79.5</v>
      </c>
      <c r="AA583" s="227">
        <v>79.5</v>
      </c>
      <c r="AB583" s="227">
        <v>39.756999999999998</v>
      </c>
      <c r="AC583" s="227">
        <v>745.94</v>
      </c>
      <c r="AD583" s="230">
        <v>4.6015046296296293E-4</v>
      </c>
      <c r="AE583" s="230">
        <v>238.54199999999997</v>
      </c>
      <c r="AF583" s="230">
        <v>3674.6039999999998</v>
      </c>
      <c r="AG583" s="230">
        <v>439131.27889991971</v>
      </c>
      <c r="AH583" s="230">
        <v>2024182.0062056505</v>
      </c>
      <c r="AI583" s="230">
        <v>4475.6400000000003</v>
      </c>
    </row>
    <row r="584" spans="5:35" x14ac:dyDescent="0.35">
      <c r="E584" s="226">
        <v>1.59084</v>
      </c>
      <c r="F584" s="227">
        <v>9.3574356164383552</v>
      </c>
      <c r="G584" s="227">
        <v>3415.4639999999999</v>
      </c>
      <c r="H584" s="227">
        <v>0.93530000000000002</v>
      </c>
      <c r="I584" s="227">
        <v>2.2867999999999999</v>
      </c>
      <c r="J584" s="227">
        <v>0.50852904502305518</v>
      </c>
      <c r="K584" s="227">
        <v>140</v>
      </c>
      <c r="L584" s="227">
        <v>140</v>
      </c>
      <c r="M584" s="227">
        <v>140</v>
      </c>
      <c r="N584" s="227">
        <v>98.68</v>
      </c>
      <c r="O584" s="227">
        <v>104.49</v>
      </c>
      <c r="P584" s="227">
        <v>121.87</v>
      </c>
      <c r="Q584" s="227">
        <v>111.55</v>
      </c>
      <c r="R584" s="227">
        <v>117.98</v>
      </c>
      <c r="S584" s="227"/>
      <c r="T584" s="227">
        <v>65.69</v>
      </c>
      <c r="U584" s="227">
        <v>74.710999999999999</v>
      </c>
      <c r="V584" s="227">
        <v>74.727000000000004</v>
      </c>
      <c r="W584" s="227">
        <v>79.5</v>
      </c>
      <c r="X584" s="227">
        <v>79.5</v>
      </c>
      <c r="Y584" s="227">
        <v>79.5</v>
      </c>
      <c r="Z584" s="227">
        <v>79.5</v>
      </c>
      <c r="AA584" s="227">
        <v>79.5</v>
      </c>
      <c r="AB584" s="227">
        <v>39.636000000000003</v>
      </c>
      <c r="AC584" s="227">
        <v>746.18</v>
      </c>
      <c r="AD584" s="230">
        <v>4.5875000000000001E-4</v>
      </c>
      <c r="AE584" s="230">
        <v>237.816</v>
      </c>
      <c r="AF584" s="230">
        <v>3675.768</v>
      </c>
      <c r="AG584" s="230">
        <v>439369.0948999197</v>
      </c>
      <c r="AH584" s="230">
        <v>2027857.7742056504</v>
      </c>
      <c r="AI584" s="230">
        <v>4477.08</v>
      </c>
    </row>
    <row r="585" spans="5:35" x14ac:dyDescent="0.35">
      <c r="E585" s="226">
        <v>1.59484</v>
      </c>
      <c r="F585" s="227">
        <v>9.3738739726027394</v>
      </c>
      <c r="G585" s="227">
        <v>3421.4639999999999</v>
      </c>
      <c r="H585" s="227">
        <v>0.9355</v>
      </c>
      <c r="I585" s="227">
        <v>2.2907999999999999</v>
      </c>
      <c r="J585" s="227">
        <v>0.5088034616897219</v>
      </c>
      <c r="K585" s="227">
        <v>140</v>
      </c>
      <c r="L585" s="227">
        <v>140</v>
      </c>
      <c r="M585" s="227">
        <v>140</v>
      </c>
      <c r="N585" s="227">
        <v>98.661000000000001</v>
      </c>
      <c r="O585" s="227">
        <v>104.47</v>
      </c>
      <c r="P585" s="227">
        <v>121.84</v>
      </c>
      <c r="Q585" s="227">
        <v>111.53</v>
      </c>
      <c r="R585" s="227">
        <v>117.95</v>
      </c>
      <c r="S585" s="227"/>
      <c r="T585" s="227">
        <v>65.762</v>
      </c>
      <c r="U585" s="227">
        <v>74.757000000000005</v>
      </c>
      <c r="V585" s="227">
        <v>74.801000000000002</v>
      </c>
      <c r="W585" s="227">
        <v>79.5</v>
      </c>
      <c r="X585" s="227">
        <v>79.5</v>
      </c>
      <c r="Y585" s="227">
        <v>79.5</v>
      </c>
      <c r="Z585" s="227">
        <v>79.5</v>
      </c>
      <c r="AA585" s="227">
        <v>79.5</v>
      </c>
      <c r="AB585" s="227">
        <v>39.515999999999998</v>
      </c>
      <c r="AC585" s="227">
        <v>746.41</v>
      </c>
      <c r="AD585" s="230">
        <v>4.5736111111111108E-4</v>
      </c>
      <c r="AE585" s="230">
        <v>237.09599999999998</v>
      </c>
      <c r="AF585" s="230">
        <v>3676.9199999999996</v>
      </c>
      <c r="AG585" s="230">
        <v>439606.19089991972</v>
      </c>
      <c r="AH585" s="230">
        <v>2031534.6942056504</v>
      </c>
      <c r="AI585" s="230">
        <v>4478.46</v>
      </c>
    </row>
    <row r="586" spans="5:35" x14ac:dyDescent="0.35">
      <c r="E586" s="226">
        <v>1.59884</v>
      </c>
      <c r="F586" s="227">
        <v>9.3903123287671235</v>
      </c>
      <c r="G586" s="227">
        <v>3427.4639999999999</v>
      </c>
      <c r="H586" s="227">
        <v>0.93569999999999998</v>
      </c>
      <c r="I586" s="227">
        <v>2.2948</v>
      </c>
      <c r="J586" s="227">
        <v>0.50907704502305517</v>
      </c>
      <c r="K586" s="227">
        <v>140</v>
      </c>
      <c r="L586" s="227">
        <v>140</v>
      </c>
      <c r="M586" s="227">
        <v>140</v>
      </c>
      <c r="N586" s="227">
        <v>98.641000000000005</v>
      </c>
      <c r="O586" s="227">
        <v>104.45</v>
      </c>
      <c r="P586" s="227">
        <v>121.82</v>
      </c>
      <c r="Q586" s="227">
        <v>111.51</v>
      </c>
      <c r="R586" s="227">
        <v>117.93</v>
      </c>
      <c r="S586" s="227"/>
      <c r="T586" s="227">
        <v>65.832999999999998</v>
      </c>
      <c r="U586" s="227">
        <v>74.802000000000007</v>
      </c>
      <c r="V586" s="227">
        <v>74.876000000000005</v>
      </c>
      <c r="W586" s="227">
        <v>79.5</v>
      </c>
      <c r="X586" s="227">
        <v>79.5</v>
      </c>
      <c r="Y586" s="227">
        <v>79.5</v>
      </c>
      <c r="Z586" s="227">
        <v>79.5</v>
      </c>
      <c r="AA586" s="227">
        <v>79.5</v>
      </c>
      <c r="AB586" s="227">
        <v>39.396000000000001</v>
      </c>
      <c r="AC586" s="227">
        <v>746.65</v>
      </c>
      <c r="AD586" s="230">
        <v>4.5597222222222225E-4</v>
      </c>
      <c r="AE586" s="230">
        <v>236.37600000000003</v>
      </c>
      <c r="AF586" s="230">
        <v>3678.0659999999998</v>
      </c>
      <c r="AG586" s="230">
        <v>439842.56689991971</v>
      </c>
      <c r="AH586" s="230">
        <v>2035212.7602056505</v>
      </c>
      <c r="AI586" s="230">
        <v>4479.8999999999996</v>
      </c>
    </row>
    <row r="587" spans="5:35" x14ac:dyDescent="0.35">
      <c r="E587" s="226">
        <v>1.60284</v>
      </c>
      <c r="F587" s="227">
        <v>9.4067506849315059</v>
      </c>
      <c r="G587" s="227">
        <v>3433.4639999999999</v>
      </c>
      <c r="H587" s="227">
        <v>0.93600000000000005</v>
      </c>
      <c r="I587" s="227">
        <v>2.2988</v>
      </c>
      <c r="J587" s="227">
        <v>0.50934980196749968</v>
      </c>
      <c r="K587" s="227">
        <v>140</v>
      </c>
      <c r="L587" s="227">
        <v>140</v>
      </c>
      <c r="M587" s="227">
        <v>140</v>
      </c>
      <c r="N587" s="227">
        <v>98.622</v>
      </c>
      <c r="O587" s="227">
        <v>104.43</v>
      </c>
      <c r="P587" s="227">
        <v>121.8</v>
      </c>
      <c r="Q587" s="227">
        <v>111.5</v>
      </c>
      <c r="R587" s="227">
        <v>117.9</v>
      </c>
      <c r="S587" s="227"/>
      <c r="T587" s="227">
        <v>65.905000000000001</v>
      </c>
      <c r="U587" s="227">
        <v>74.847999999999999</v>
      </c>
      <c r="V587" s="227">
        <v>74.95</v>
      </c>
      <c r="W587" s="227">
        <v>79.5</v>
      </c>
      <c r="X587" s="227">
        <v>79.5</v>
      </c>
      <c r="Y587" s="227">
        <v>79.5</v>
      </c>
      <c r="Z587" s="227">
        <v>79.5</v>
      </c>
      <c r="AA587" s="227">
        <v>79.5</v>
      </c>
      <c r="AB587" s="227">
        <v>39.277000000000001</v>
      </c>
      <c r="AC587" s="227">
        <v>746.88</v>
      </c>
      <c r="AD587" s="230">
        <v>4.5459490740740741E-4</v>
      </c>
      <c r="AE587" s="230">
        <v>235.66200000000001</v>
      </c>
      <c r="AF587" s="230">
        <v>3679.2179999999998</v>
      </c>
      <c r="AG587" s="230">
        <v>440078.22889991972</v>
      </c>
      <c r="AH587" s="230">
        <v>2038891.9782056506</v>
      </c>
      <c r="AI587" s="230">
        <v>4481.28</v>
      </c>
    </row>
    <row r="588" spans="5:35" x14ac:dyDescent="0.35">
      <c r="E588" s="226">
        <v>1.60684</v>
      </c>
      <c r="F588" s="227">
        <v>9.4231890410958901</v>
      </c>
      <c r="G588" s="227">
        <v>3439.4639999999999</v>
      </c>
      <c r="H588" s="227">
        <v>0.93620000000000003</v>
      </c>
      <c r="I588" s="227">
        <v>2.3028</v>
      </c>
      <c r="J588" s="227">
        <v>0.5096217325230552</v>
      </c>
      <c r="K588" s="227">
        <v>140</v>
      </c>
      <c r="L588" s="227">
        <v>140</v>
      </c>
      <c r="M588" s="227">
        <v>140</v>
      </c>
      <c r="N588" s="227">
        <v>98.602999999999994</v>
      </c>
      <c r="O588" s="227">
        <v>104.4</v>
      </c>
      <c r="P588" s="227">
        <v>121.78</v>
      </c>
      <c r="Q588" s="227">
        <v>111.48</v>
      </c>
      <c r="R588" s="227">
        <v>117.87</v>
      </c>
      <c r="S588" s="227"/>
      <c r="T588" s="227">
        <v>65.977000000000004</v>
      </c>
      <c r="U588" s="227">
        <v>74.893000000000001</v>
      </c>
      <c r="V588" s="227">
        <v>75.025000000000006</v>
      </c>
      <c r="W588" s="227">
        <v>79.5</v>
      </c>
      <c r="X588" s="227">
        <v>79.5</v>
      </c>
      <c r="Y588" s="227">
        <v>79.5</v>
      </c>
      <c r="Z588" s="227">
        <v>79.5</v>
      </c>
      <c r="AA588" s="227">
        <v>79.5</v>
      </c>
      <c r="AB588" s="227">
        <v>39.158000000000001</v>
      </c>
      <c r="AC588" s="227">
        <v>747.12</v>
      </c>
      <c r="AD588" s="230">
        <v>4.5321759259259263E-4</v>
      </c>
      <c r="AE588" s="230">
        <v>234.94800000000001</v>
      </c>
      <c r="AF588" s="230">
        <v>3680.37</v>
      </c>
      <c r="AG588" s="230">
        <v>440313.17689991969</v>
      </c>
      <c r="AH588" s="230">
        <v>2042572.3482056507</v>
      </c>
      <c r="AI588" s="230">
        <v>4482.72</v>
      </c>
    </row>
    <row r="589" spans="5:35" x14ac:dyDescent="0.35">
      <c r="E589" s="226">
        <v>1.6109400000000003</v>
      </c>
      <c r="F589" s="227">
        <v>9.4396273972602742</v>
      </c>
      <c r="G589" s="227">
        <v>3445.4639999999999</v>
      </c>
      <c r="H589" s="227">
        <v>0.93640000000000001</v>
      </c>
      <c r="I589" s="227">
        <v>2.3069000000000002</v>
      </c>
      <c r="J589" s="227">
        <v>0.50989285057861078</v>
      </c>
      <c r="K589" s="227">
        <v>140</v>
      </c>
      <c r="L589" s="227">
        <v>140</v>
      </c>
      <c r="M589" s="227">
        <v>140</v>
      </c>
      <c r="N589" s="227">
        <v>98.584000000000003</v>
      </c>
      <c r="O589" s="227">
        <v>104.38</v>
      </c>
      <c r="P589" s="227">
        <v>121.76</v>
      </c>
      <c r="Q589" s="227">
        <v>111.46</v>
      </c>
      <c r="R589" s="227">
        <v>117.85</v>
      </c>
      <c r="S589" s="227"/>
      <c r="T589" s="227">
        <v>66.048000000000002</v>
      </c>
      <c r="U589" s="227">
        <v>74.938000000000002</v>
      </c>
      <c r="V589" s="227">
        <v>75.099000000000004</v>
      </c>
      <c r="W589" s="227">
        <v>79.5</v>
      </c>
      <c r="X589" s="227">
        <v>79.5</v>
      </c>
      <c r="Y589" s="227">
        <v>79.5</v>
      </c>
      <c r="Z589" s="227">
        <v>79.5</v>
      </c>
      <c r="AA589" s="227">
        <v>79.5</v>
      </c>
      <c r="AB589" s="227">
        <v>39.040999999999997</v>
      </c>
      <c r="AC589" s="227">
        <v>747.35</v>
      </c>
      <c r="AD589" s="230">
        <v>4.5186342592592587E-4</v>
      </c>
      <c r="AE589" s="230">
        <v>234.24599999999998</v>
      </c>
      <c r="AF589" s="230">
        <v>3681.51</v>
      </c>
      <c r="AG589" s="230">
        <v>440547.42289991968</v>
      </c>
      <c r="AH589" s="230">
        <v>2046253.8582056507</v>
      </c>
      <c r="AI589" s="230">
        <v>4484.1000000000004</v>
      </c>
    </row>
    <row r="590" spans="5:35" x14ac:dyDescent="0.35">
      <c r="E590" s="226">
        <v>1.6149400000000003</v>
      </c>
      <c r="F590" s="227">
        <v>9.4560657534246566</v>
      </c>
      <c r="G590" s="227">
        <v>3451.4639999999999</v>
      </c>
      <c r="H590" s="227">
        <v>0.93659999999999999</v>
      </c>
      <c r="I590" s="227">
        <v>2.3109000000000002</v>
      </c>
      <c r="J590" s="227">
        <v>0.5101631561341663</v>
      </c>
      <c r="K590" s="227">
        <v>140</v>
      </c>
      <c r="L590" s="227">
        <v>140</v>
      </c>
      <c r="M590" s="227">
        <v>140</v>
      </c>
      <c r="N590" s="227">
        <v>98.563999999999993</v>
      </c>
      <c r="O590" s="227">
        <v>104.36</v>
      </c>
      <c r="P590" s="227">
        <v>121.74</v>
      </c>
      <c r="Q590" s="227">
        <v>111.44</v>
      </c>
      <c r="R590" s="227">
        <v>117.82</v>
      </c>
      <c r="S590" s="227"/>
      <c r="T590" s="227">
        <v>66.12</v>
      </c>
      <c r="U590" s="227">
        <v>74.983999999999995</v>
      </c>
      <c r="V590" s="227">
        <v>75.173000000000002</v>
      </c>
      <c r="W590" s="227">
        <v>79.5</v>
      </c>
      <c r="X590" s="227">
        <v>79.5</v>
      </c>
      <c r="Y590" s="227">
        <v>79.5</v>
      </c>
      <c r="Z590" s="227">
        <v>79.5</v>
      </c>
      <c r="AA590" s="227">
        <v>79.5</v>
      </c>
      <c r="AB590" s="227">
        <v>38.923999999999999</v>
      </c>
      <c r="AC590" s="227">
        <v>747.58</v>
      </c>
      <c r="AD590" s="230">
        <v>4.5050925925925928E-4</v>
      </c>
      <c r="AE590" s="230">
        <v>233.54400000000001</v>
      </c>
      <c r="AF590" s="230">
        <v>3682.6620000000003</v>
      </c>
      <c r="AG590" s="230">
        <v>440780.96689991967</v>
      </c>
      <c r="AH590" s="230">
        <v>2049936.5202056507</v>
      </c>
      <c r="AI590" s="230">
        <v>4485.4800000000005</v>
      </c>
    </row>
    <row r="591" spans="5:35" x14ac:dyDescent="0.35">
      <c r="E591" s="226">
        <v>1.6189400000000003</v>
      </c>
      <c r="F591" s="227">
        <v>9.4725041095890408</v>
      </c>
      <c r="G591" s="227">
        <v>3457.4639999999999</v>
      </c>
      <c r="H591" s="227">
        <v>0.93679999999999997</v>
      </c>
      <c r="I591" s="227">
        <v>2.3149000000000002</v>
      </c>
      <c r="J591" s="227">
        <v>0.51043264918972187</v>
      </c>
      <c r="K591" s="227">
        <v>140</v>
      </c>
      <c r="L591" s="227">
        <v>140</v>
      </c>
      <c r="M591" s="227">
        <v>140</v>
      </c>
      <c r="N591" s="227">
        <v>98.545000000000002</v>
      </c>
      <c r="O591" s="227">
        <v>104.34</v>
      </c>
      <c r="P591" s="227">
        <v>121.72</v>
      </c>
      <c r="Q591" s="227">
        <v>111.42</v>
      </c>
      <c r="R591" s="227">
        <v>117.79</v>
      </c>
      <c r="S591" s="227"/>
      <c r="T591" s="227">
        <v>66.191000000000003</v>
      </c>
      <c r="U591" s="227">
        <v>75.028999999999996</v>
      </c>
      <c r="V591" s="227">
        <v>75.247</v>
      </c>
      <c r="W591" s="227">
        <v>79.5</v>
      </c>
      <c r="X591" s="227">
        <v>79.5</v>
      </c>
      <c r="Y591" s="227">
        <v>79.5</v>
      </c>
      <c r="Z591" s="227">
        <v>79.5</v>
      </c>
      <c r="AA591" s="227">
        <v>79.5</v>
      </c>
      <c r="AB591" s="227">
        <v>38.807000000000002</v>
      </c>
      <c r="AC591" s="227">
        <v>747.81</v>
      </c>
      <c r="AD591" s="230">
        <v>4.4915509259259263E-4</v>
      </c>
      <c r="AE591" s="230">
        <v>232.84200000000004</v>
      </c>
      <c r="AF591" s="230">
        <v>3683.8019999999997</v>
      </c>
      <c r="AG591" s="230">
        <v>441013.80889991968</v>
      </c>
      <c r="AH591" s="230">
        <v>2053620.3222056506</v>
      </c>
      <c r="AI591" s="230">
        <v>4486.8599999999997</v>
      </c>
    </row>
    <row r="592" spans="5:35" x14ac:dyDescent="0.35">
      <c r="E592" s="226">
        <v>1.6229400000000003</v>
      </c>
      <c r="F592" s="227">
        <v>9.4889424657534249</v>
      </c>
      <c r="G592" s="227">
        <v>3463.4639999999999</v>
      </c>
      <c r="H592" s="227">
        <v>0.93700000000000006</v>
      </c>
      <c r="I592" s="227">
        <v>2.3189000000000002</v>
      </c>
      <c r="J592" s="227">
        <v>0.51070133668972184</v>
      </c>
      <c r="K592" s="227">
        <v>140</v>
      </c>
      <c r="L592" s="227">
        <v>140</v>
      </c>
      <c r="M592" s="227">
        <v>140</v>
      </c>
      <c r="N592" s="227">
        <v>98.525999999999996</v>
      </c>
      <c r="O592" s="227">
        <v>104.32</v>
      </c>
      <c r="P592" s="227">
        <v>121.7</v>
      </c>
      <c r="Q592" s="227">
        <v>111.4</v>
      </c>
      <c r="R592" s="227">
        <v>117.77</v>
      </c>
      <c r="S592" s="227"/>
      <c r="T592" s="227">
        <v>66.262</v>
      </c>
      <c r="U592" s="227">
        <v>75.073999999999998</v>
      </c>
      <c r="V592" s="227">
        <v>75.319999999999993</v>
      </c>
      <c r="W592" s="227">
        <v>79.5</v>
      </c>
      <c r="X592" s="227">
        <v>79.5</v>
      </c>
      <c r="Y592" s="227">
        <v>79.5</v>
      </c>
      <c r="Z592" s="227">
        <v>79.5</v>
      </c>
      <c r="AA592" s="227">
        <v>79.5</v>
      </c>
      <c r="AB592" s="227">
        <v>38.691000000000003</v>
      </c>
      <c r="AC592" s="227">
        <v>748.04</v>
      </c>
      <c r="AD592" s="230">
        <v>4.4781250000000002E-4</v>
      </c>
      <c r="AE592" s="230">
        <v>232.14600000000002</v>
      </c>
      <c r="AF592" s="230">
        <v>3684.9359999999997</v>
      </c>
      <c r="AG592" s="230">
        <v>441245.95489991968</v>
      </c>
      <c r="AH592" s="230">
        <v>2057305.2582056506</v>
      </c>
      <c r="AI592" s="230">
        <v>4488.24</v>
      </c>
    </row>
    <row r="593" spans="5:35" x14ac:dyDescent="0.35">
      <c r="E593" s="226">
        <v>1.6269400000000003</v>
      </c>
      <c r="F593" s="227">
        <v>9.5053808219178073</v>
      </c>
      <c r="G593" s="227">
        <v>3469.4639999999999</v>
      </c>
      <c r="H593" s="227">
        <v>0.93720000000000003</v>
      </c>
      <c r="I593" s="227">
        <v>2.3229000000000002</v>
      </c>
      <c r="J593" s="227">
        <v>0.5109692255786108</v>
      </c>
      <c r="K593" s="227">
        <v>140</v>
      </c>
      <c r="L593" s="227">
        <v>140</v>
      </c>
      <c r="M593" s="227">
        <v>140</v>
      </c>
      <c r="N593" s="227">
        <v>98.507999999999996</v>
      </c>
      <c r="O593" s="227">
        <v>104.3</v>
      </c>
      <c r="P593" s="227">
        <v>121.68</v>
      </c>
      <c r="Q593" s="227">
        <v>111.38</v>
      </c>
      <c r="R593" s="227">
        <v>117.74</v>
      </c>
      <c r="S593" s="227"/>
      <c r="T593" s="227">
        <v>66.332999999999998</v>
      </c>
      <c r="U593" s="227">
        <v>75.119</v>
      </c>
      <c r="V593" s="227">
        <v>75.393000000000001</v>
      </c>
      <c r="W593" s="227">
        <v>79.5</v>
      </c>
      <c r="X593" s="227">
        <v>79.5</v>
      </c>
      <c r="Y593" s="227">
        <v>79.5</v>
      </c>
      <c r="Z593" s="227">
        <v>79.5</v>
      </c>
      <c r="AA593" s="227">
        <v>79.5</v>
      </c>
      <c r="AB593" s="227">
        <v>38.576000000000001</v>
      </c>
      <c r="AC593" s="227">
        <v>748.27</v>
      </c>
      <c r="AD593" s="230">
        <v>4.4648148148148151E-4</v>
      </c>
      <c r="AE593" s="230">
        <v>231.45600000000002</v>
      </c>
      <c r="AF593" s="230">
        <v>3686.07</v>
      </c>
      <c r="AG593" s="230">
        <v>441477.41089991969</v>
      </c>
      <c r="AH593" s="230">
        <v>2060991.3282056507</v>
      </c>
      <c r="AI593" s="230">
        <v>4489.62</v>
      </c>
    </row>
    <row r="594" spans="5:35" x14ac:dyDescent="0.35">
      <c r="E594" s="226">
        <v>1.63104</v>
      </c>
      <c r="F594" s="227">
        <v>9.5218191780821915</v>
      </c>
      <c r="G594" s="227">
        <v>3475.4639999999999</v>
      </c>
      <c r="H594" s="227">
        <v>0.93740000000000001</v>
      </c>
      <c r="I594" s="227">
        <v>2.327</v>
      </c>
      <c r="J594" s="227">
        <v>0.51123632280083298</v>
      </c>
      <c r="K594" s="227">
        <v>140</v>
      </c>
      <c r="L594" s="227">
        <v>140</v>
      </c>
      <c r="M594" s="227">
        <v>140</v>
      </c>
      <c r="N594" s="227">
        <v>98.489000000000004</v>
      </c>
      <c r="O594" s="227">
        <v>104.28</v>
      </c>
      <c r="P594" s="227">
        <v>121.66</v>
      </c>
      <c r="Q594" s="227">
        <v>111.36</v>
      </c>
      <c r="R594" s="227">
        <v>117.72</v>
      </c>
      <c r="S594" s="227"/>
      <c r="T594" s="227">
        <v>66.403999999999996</v>
      </c>
      <c r="U594" s="227">
        <v>75.162999999999997</v>
      </c>
      <c r="V594" s="227">
        <v>75.466999999999999</v>
      </c>
      <c r="W594" s="227">
        <v>79.5</v>
      </c>
      <c r="X594" s="227">
        <v>79.5</v>
      </c>
      <c r="Y594" s="227">
        <v>79.5</v>
      </c>
      <c r="Z594" s="227">
        <v>79.5</v>
      </c>
      <c r="AA594" s="227">
        <v>79.5</v>
      </c>
      <c r="AB594" s="227">
        <v>38.462000000000003</v>
      </c>
      <c r="AC594" s="227">
        <v>748.5</v>
      </c>
      <c r="AD594" s="230">
        <v>4.451620370370371E-4</v>
      </c>
      <c r="AE594" s="230">
        <v>230.77200000000002</v>
      </c>
      <c r="AF594" s="230">
        <v>3687.2039999999997</v>
      </c>
      <c r="AG594" s="230">
        <v>441708.18289991969</v>
      </c>
      <c r="AH594" s="230">
        <v>2064678.5322056506</v>
      </c>
      <c r="AI594" s="230">
        <v>4491</v>
      </c>
    </row>
    <row r="595" spans="5:35" x14ac:dyDescent="0.35">
      <c r="E595" s="226">
        <v>1.63504</v>
      </c>
      <c r="F595" s="227">
        <v>9.5382575342465756</v>
      </c>
      <c r="G595" s="227">
        <v>3481.4639999999999</v>
      </c>
      <c r="H595" s="227">
        <v>0.93759999999999999</v>
      </c>
      <c r="I595" s="227">
        <v>2.331</v>
      </c>
      <c r="J595" s="227">
        <v>0.51150262835638849</v>
      </c>
      <c r="K595" s="227">
        <v>140</v>
      </c>
      <c r="L595" s="227">
        <v>140</v>
      </c>
      <c r="M595" s="227">
        <v>140</v>
      </c>
      <c r="N595" s="227">
        <v>98.47</v>
      </c>
      <c r="O595" s="227">
        <v>104.26</v>
      </c>
      <c r="P595" s="227">
        <v>121.64</v>
      </c>
      <c r="Q595" s="227">
        <v>111.34</v>
      </c>
      <c r="R595" s="227">
        <v>117.69</v>
      </c>
      <c r="S595" s="227"/>
      <c r="T595" s="227">
        <v>66.474000000000004</v>
      </c>
      <c r="U595" s="227">
        <v>75.207999999999998</v>
      </c>
      <c r="V595" s="227">
        <v>75.540000000000006</v>
      </c>
      <c r="W595" s="227">
        <v>79.5</v>
      </c>
      <c r="X595" s="227">
        <v>79.5</v>
      </c>
      <c r="Y595" s="227">
        <v>79.5</v>
      </c>
      <c r="Z595" s="227">
        <v>79.5</v>
      </c>
      <c r="AA595" s="227">
        <v>79.5</v>
      </c>
      <c r="AB595" s="227">
        <v>38.347999999999999</v>
      </c>
      <c r="AC595" s="227">
        <v>748.73</v>
      </c>
      <c r="AD595" s="230">
        <v>4.4384259259259257E-4</v>
      </c>
      <c r="AE595" s="230">
        <v>230.08800000000002</v>
      </c>
      <c r="AF595" s="230">
        <v>3688.3319999999999</v>
      </c>
      <c r="AG595" s="230">
        <v>441938.27089991968</v>
      </c>
      <c r="AH595" s="230">
        <v>2068366.8642056505</v>
      </c>
      <c r="AI595" s="230">
        <v>4492.38</v>
      </c>
    </row>
    <row r="596" spans="5:35" x14ac:dyDescent="0.35">
      <c r="E596" s="226">
        <v>1.6390400000000001</v>
      </c>
      <c r="F596" s="227">
        <v>9.554695890410958</v>
      </c>
      <c r="G596" s="227">
        <v>3487.4639999999999</v>
      </c>
      <c r="H596" s="227">
        <v>0.93779999999999997</v>
      </c>
      <c r="I596" s="227">
        <v>2.335</v>
      </c>
      <c r="J596" s="227">
        <v>0.51176814224527734</v>
      </c>
      <c r="K596" s="227">
        <v>140</v>
      </c>
      <c r="L596" s="227">
        <v>140</v>
      </c>
      <c r="M596" s="227">
        <v>140</v>
      </c>
      <c r="N596" s="227">
        <v>98.450999999999993</v>
      </c>
      <c r="O596" s="227">
        <v>104.24</v>
      </c>
      <c r="P596" s="227">
        <v>121.62</v>
      </c>
      <c r="Q596" s="227">
        <v>111.32</v>
      </c>
      <c r="R596" s="227">
        <v>117.66</v>
      </c>
      <c r="S596" s="227"/>
      <c r="T596" s="227">
        <v>66.545000000000002</v>
      </c>
      <c r="U596" s="227">
        <v>75.251999999999995</v>
      </c>
      <c r="V596" s="227">
        <v>75.613</v>
      </c>
      <c r="W596" s="227">
        <v>79.5</v>
      </c>
      <c r="X596" s="227">
        <v>79.5</v>
      </c>
      <c r="Y596" s="227">
        <v>79.5</v>
      </c>
      <c r="Z596" s="227">
        <v>79.5</v>
      </c>
      <c r="AA596" s="227">
        <v>79.5</v>
      </c>
      <c r="AB596" s="227">
        <v>38.234000000000002</v>
      </c>
      <c r="AC596" s="227">
        <v>748.96</v>
      </c>
      <c r="AD596" s="230">
        <v>4.4252314814814816E-4</v>
      </c>
      <c r="AE596" s="230">
        <v>229.40400000000002</v>
      </c>
      <c r="AF596" s="230">
        <v>3689.46</v>
      </c>
      <c r="AG596" s="230">
        <v>442167.67489991966</v>
      </c>
      <c r="AH596" s="230">
        <v>2072056.3242056505</v>
      </c>
      <c r="AI596" s="230">
        <v>4493.76</v>
      </c>
    </row>
    <row r="597" spans="5:35" x14ac:dyDescent="0.35">
      <c r="E597" s="226">
        <v>1.6430400000000001</v>
      </c>
      <c r="F597" s="227">
        <v>9.5711342465753422</v>
      </c>
      <c r="G597" s="227">
        <v>3493.4639999999999</v>
      </c>
      <c r="H597" s="227">
        <v>0.93799999999999994</v>
      </c>
      <c r="I597" s="227">
        <v>2.339</v>
      </c>
      <c r="J597" s="227">
        <v>0.51203287835638855</v>
      </c>
      <c r="K597" s="227">
        <v>140</v>
      </c>
      <c r="L597" s="227">
        <v>140</v>
      </c>
      <c r="M597" s="227">
        <v>140</v>
      </c>
      <c r="N597" s="227">
        <v>98.432000000000002</v>
      </c>
      <c r="O597" s="227">
        <v>104.22</v>
      </c>
      <c r="P597" s="227">
        <v>121.6</v>
      </c>
      <c r="Q597" s="227">
        <v>111.3</v>
      </c>
      <c r="R597" s="227">
        <v>117.64</v>
      </c>
      <c r="S597" s="227"/>
      <c r="T597" s="227">
        <v>66.614999999999995</v>
      </c>
      <c r="U597" s="227">
        <v>75.296999999999997</v>
      </c>
      <c r="V597" s="227">
        <v>75.685000000000002</v>
      </c>
      <c r="W597" s="227">
        <v>79.5</v>
      </c>
      <c r="X597" s="227">
        <v>79.5</v>
      </c>
      <c r="Y597" s="227">
        <v>79.5</v>
      </c>
      <c r="Z597" s="227">
        <v>79.5</v>
      </c>
      <c r="AA597" s="227">
        <v>79.5</v>
      </c>
      <c r="AB597" s="227">
        <v>38.122</v>
      </c>
      <c r="AC597" s="227">
        <v>749.19</v>
      </c>
      <c r="AD597" s="230">
        <v>4.4122685185185183E-4</v>
      </c>
      <c r="AE597" s="230">
        <v>228.73199999999997</v>
      </c>
      <c r="AF597" s="230">
        <v>3690.5819999999999</v>
      </c>
      <c r="AG597" s="230">
        <v>442396.40689991968</v>
      </c>
      <c r="AH597" s="230">
        <v>2075746.9062056504</v>
      </c>
      <c r="AI597" s="230">
        <v>4495.1400000000003</v>
      </c>
    </row>
    <row r="598" spans="5:35" x14ac:dyDescent="0.35">
      <c r="E598" s="226">
        <v>1.6470400000000001</v>
      </c>
      <c r="F598" s="227">
        <v>9.5875726027397263</v>
      </c>
      <c r="G598" s="227">
        <v>3499.4639999999999</v>
      </c>
      <c r="H598" s="227">
        <v>0.93820000000000003</v>
      </c>
      <c r="I598" s="227">
        <v>2.343</v>
      </c>
      <c r="J598" s="227">
        <v>0.51229682974527746</v>
      </c>
      <c r="K598" s="227">
        <v>140</v>
      </c>
      <c r="L598" s="227">
        <v>140</v>
      </c>
      <c r="M598" s="227">
        <v>140</v>
      </c>
      <c r="N598" s="227">
        <v>98.414000000000001</v>
      </c>
      <c r="O598" s="227">
        <v>104.19</v>
      </c>
      <c r="P598" s="227">
        <v>121.58</v>
      </c>
      <c r="Q598" s="227">
        <v>111.28</v>
      </c>
      <c r="R598" s="227">
        <v>117.61</v>
      </c>
      <c r="S598" s="227"/>
      <c r="T598" s="227">
        <v>66.686000000000007</v>
      </c>
      <c r="U598" s="227">
        <v>75.340999999999994</v>
      </c>
      <c r="V598" s="227">
        <v>75.757999999999996</v>
      </c>
      <c r="W598" s="227">
        <v>79.5</v>
      </c>
      <c r="X598" s="227">
        <v>79.5</v>
      </c>
      <c r="Y598" s="227">
        <v>79.5</v>
      </c>
      <c r="Z598" s="227">
        <v>79.5</v>
      </c>
      <c r="AA598" s="227">
        <v>79.5</v>
      </c>
      <c r="AB598" s="227">
        <v>38.009</v>
      </c>
      <c r="AC598" s="227">
        <v>749.42</v>
      </c>
      <c r="AD598" s="230">
        <v>4.3991898148148151E-4</v>
      </c>
      <c r="AE598" s="230">
        <v>228.05400000000003</v>
      </c>
      <c r="AF598" s="230">
        <v>3691.71</v>
      </c>
      <c r="AG598" s="230">
        <v>442624.46089991968</v>
      </c>
      <c r="AH598" s="230">
        <v>2079438.6162056504</v>
      </c>
      <c r="AI598" s="230">
        <v>4496.5199999999995</v>
      </c>
    </row>
    <row r="599" spans="5:35" x14ac:dyDescent="0.35">
      <c r="E599" s="226">
        <v>1.6510400000000001</v>
      </c>
      <c r="F599" s="227">
        <v>9.6040109589041087</v>
      </c>
      <c r="G599" s="227">
        <v>3505.4639999999999</v>
      </c>
      <c r="H599" s="227">
        <v>0.93840000000000001</v>
      </c>
      <c r="I599" s="227">
        <v>2.347</v>
      </c>
      <c r="J599" s="227">
        <v>0.51256001030083298</v>
      </c>
      <c r="K599" s="227">
        <v>140</v>
      </c>
      <c r="L599" s="227">
        <v>140</v>
      </c>
      <c r="M599" s="227">
        <v>140</v>
      </c>
      <c r="N599" s="227">
        <v>98.394999999999996</v>
      </c>
      <c r="O599" s="227">
        <v>104.17</v>
      </c>
      <c r="P599" s="227">
        <v>121.56</v>
      </c>
      <c r="Q599" s="227">
        <v>111.27</v>
      </c>
      <c r="R599" s="227">
        <v>117.59</v>
      </c>
      <c r="S599" s="227"/>
      <c r="T599" s="227">
        <v>66.756</v>
      </c>
      <c r="U599" s="227">
        <v>75.385000000000005</v>
      </c>
      <c r="V599" s="227">
        <v>75.83</v>
      </c>
      <c r="W599" s="227">
        <v>79.5</v>
      </c>
      <c r="X599" s="227">
        <v>79.5</v>
      </c>
      <c r="Y599" s="227">
        <v>79.5</v>
      </c>
      <c r="Z599" s="227">
        <v>79.5</v>
      </c>
      <c r="AA599" s="227">
        <v>79.5</v>
      </c>
      <c r="AB599" s="227">
        <v>37.898000000000003</v>
      </c>
      <c r="AC599" s="227">
        <v>749.64</v>
      </c>
      <c r="AD599" s="230">
        <v>4.3863425925925927E-4</v>
      </c>
      <c r="AE599" s="230">
        <v>227.38800000000001</v>
      </c>
      <c r="AF599" s="230">
        <v>3692.826</v>
      </c>
      <c r="AG599" s="230">
        <v>442851.84889991966</v>
      </c>
      <c r="AH599" s="230">
        <v>2083131.4422056503</v>
      </c>
      <c r="AI599" s="230">
        <v>4497.84</v>
      </c>
    </row>
    <row r="600" spans="5:35" x14ac:dyDescent="0.35">
      <c r="E600" s="226">
        <v>1.6551400000000003</v>
      </c>
      <c r="F600" s="227">
        <v>9.6204493150684929</v>
      </c>
      <c r="G600" s="227">
        <v>3511.4639999999999</v>
      </c>
      <c r="H600" s="227">
        <v>0.93859999999999999</v>
      </c>
      <c r="I600" s="227">
        <v>2.3511000000000002</v>
      </c>
      <c r="J600" s="227">
        <v>0.51282242002305511</v>
      </c>
      <c r="K600" s="227">
        <v>140</v>
      </c>
      <c r="L600" s="227">
        <v>140</v>
      </c>
      <c r="M600" s="227">
        <v>140</v>
      </c>
      <c r="N600" s="227">
        <v>98.376999999999995</v>
      </c>
      <c r="O600" s="227">
        <v>104.15</v>
      </c>
      <c r="P600" s="227">
        <v>121.54</v>
      </c>
      <c r="Q600" s="227">
        <v>111.25</v>
      </c>
      <c r="R600" s="227">
        <v>117.56</v>
      </c>
      <c r="S600" s="227"/>
      <c r="T600" s="227">
        <v>66.825999999999993</v>
      </c>
      <c r="U600" s="227">
        <v>75.429000000000002</v>
      </c>
      <c r="V600" s="227">
        <v>75.903000000000006</v>
      </c>
      <c r="W600" s="227">
        <v>79.5</v>
      </c>
      <c r="X600" s="227">
        <v>79.5</v>
      </c>
      <c r="Y600" s="227">
        <v>79.5</v>
      </c>
      <c r="Z600" s="227">
        <v>79.5</v>
      </c>
      <c r="AA600" s="227">
        <v>79.5</v>
      </c>
      <c r="AB600" s="227">
        <v>37.786999999999999</v>
      </c>
      <c r="AC600" s="227">
        <v>749.87</v>
      </c>
      <c r="AD600" s="230">
        <v>4.3734953703703704E-4</v>
      </c>
      <c r="AE600" s="230">
        <v>226.72199999999998</v>
      </c>
      <c r="AF600" s="230">
        <v>3693.9480000000003</v>
      </c>
      <c r="AG600" s="230">
        <v>443078.57089991966</v>
      </c>
      <c r="AH600" s="230">
        <v>2086825.3902056504</v>
      </c>
      <c r="AI600" s="230">
        <v>4499.22</v>
      </c>
    </row>
    <row r="601" spans="5:35" x14ac:dyDescent="0.35">
      <c r="E601" s="226">
        <v>1.6591400000000003</v>
      </c>
      <c r="F601" s="227">
        <v>9.636887671232877</v>
      </c>
      <c r="G601" s="227">
        <v>3517.4639999999999</v>
      </c>
      <c r="H601" s="227">
        <v>0.93879999999999997</v>
      </c>
      <c r="I601" s="227">
        <v>2.3551000000000002</v>
      </c>
      <c r="J601" s="227">
        <v>0.51308406585638844</v>
      </c>
      <c r="K601" s="227">
        <v>140</v>
      </c>
      <c r="L601" s="227">
        <v>140</v>
      </c>
      <c r="M601" s="227">
        <v>140</v>
      </c>
      <c r="N601" s="227">
        <v>98.358000000000004</v>
      </c>
      <c r="O601" s="227">
        <v>104.13</v>
      </c>
      <c r="P601" s="227">
        <v>121.52</v>
      </c>
      <c r="Q601" s="227">
        <v>111.23</v>
      </c>
      <c r="R601" s="227">
        <v>117.54</v>
      </c>
      <c r="S601" s="227"/>
      <c r="T601" s="227">
        <v>66.894999999999996</v>
      </c>
      <c r="U601" s="227">
        <v>75.472999999999999</v>
      </c>
      <c r="V601" s="227">
        <v>75.974999999999994</v>
      </c>
      <c r="W601" s="227">
        <v>79.5</v>
      </c>
      <c r="X601" s="227">
        <v>79.5</v>
      </c>
      <c r="Y601" s="227">
        <v>79.5</v>
      </c>
      <c r="Z601" s="227">
        <v>79.5</v>
      </c>
      <c r="AA601" s="227">
        <v>79.5</v>
      </c>
      <c r="AB601" s="227">
        <v>37.677</v>
      </c>
      <c r="AC601" s="227">
        <v>750.1</v>
      </c>
      <c r="AD601" s="230">
        <v>4.360763888888889E-4</v>
      </c>
      <c r="AE601" s="230">
        <v>226.06200000000001</v>
      </c>
      <c r="AF601" s="230">
        <v>3695.058</v>
      </c>
      <c r="AG601" s="230">
        <v>443304.63289991964</v>
      </c>
      <c r="AH601" s="230">
        <v>2090520.4482056503</v>
      </c>
      <c r="AI601" s="230">
        <v>4500.6000000000004</v>
      </c>
    </row>
    <row r="602" spans="5:35" x14ac:dyDescent="0.35">
      <c r="E602" s="226">
        <v>1.6631400000000003</v>
      </c>
      <c r="F602" s="227">
        <v>9.6533260273972594</v>
      </c>
      <c r="G602" s="227">
        <v>3523.4639999999999</v>
      </c>
      <c r="H602" s="227">
        <v>0.93899999999999995</v>
      </c>
      <c r="I602" s="227">
        <v>2.3591000000000002</v>
      </c>
      <c r="J602" s="227">
        <v>0.51334494780083295</v>
      </c>
      <c r="K602" s="227">
        <v>140</v>
      </c>
      <c r="L602" s="227">
        <v>140</v>
      </c>
      <c r="M602" s="227">
        <v>140</v>
      </c>
      <c r="N602" s="227">
        <v>98.34</v>
      </c>
      <c r="O602" s="227">
        <v>104.11</v>
      </c>
      <c r="P602" s="227">
        <v>121.5</v>
      </c>
      <c r="Q602" s="227">
        <v>111.21</v>
      </c>
      <c r="R602" s="227">
        <v>117.51</v>
      </c>
      <c r="S602" s="227"/>
      <c r="T602" s="227">
        <v>66.965000000000003</v>
      </c>
      <c r="U602" s="227">
        <v>75.516999999999996</v>
      </c>
      <c r="V602" s="227">
        <v>76.046000000000006</v>
      </c>
      <c r="W602" s="227">
        <v>79.5</v>
      </c>
      <c r="X602" s="227">
        <v>79.5</v>
      </c>
      <c r="Y602" s="227">
        <v>79.5</v>
      </c>
      <c r="Z602" s="227">
        <v>79.5</v>
      </c>
      <c r="AA602" s="227">
        <v>79.5</v>
      </c>
      <c r="AB602" s="227">
        <v>37.567</v>
      </c>
      <c r="AC602" s="227">
        <v>750.32</v>
      </c>
      <c r="AD602" s="230">
        <v>4.3480324074074076E-4</v>
      </c>
      <c r="AE602" s="230">
        <v>225.40199999999999</v>
      </c>
      <c r="AF602" s="230">
        <v>3696.1680000000001</v>
      </c>
      <c r="AG602" s="230">
        <v>443530.03489991964</v>
      </c>
      <c r="AH602" s="230">
        <v>2094216.6162056504</v>
      </c>
      <c r="AI602" s="230">
        <v>4501.92</v>
      </c>
    </row>
    <row r="603" spans="5:35" x14ac:dyDescent="0.35">
      <c r="E603" s="226">
        <v>1.6671400000000003</v>
      </c>
      <c r="F603" s="227">
        <v>9.6697643835616436</v>
      </c>
      <c r="G603" s="227">
        <v>3529.4639999999999</v>
      </c>
      <c r="H603" s="227">
        <v>0.93920000000000003</v>
      </c>
      <c r="I603" s="227">
        <v>2.3631000000000002</v>
      </c>
      <c r="J603" s="227">
        <v>0.51360506585638854</v>
      </c>
      <c r="K603" s="227">
        <v>140</v>
      </c>
      <c r="L603" s="227">
        <v>140</v>
      </c>
      <c r="M603" s="227">
        <v>140</v>
      </c>
      <c r="N603" s="227">
        <v>98.320999999999998</v>
      </c>
      <c r="O603" s="227">
        <v>104.09</v>
      </c>
      <c r="P603" s="227">
        <v>121.48</v>
      </c>
      <c r="Q603" s="227">
        <v>111.19</v>
      </c>
      <c r="R603" s="227">
        <v>117.49</v>
      </c>
      <c r="S603" s="227"/>
      <c r="T603" s="227">
        <v>67.034999999999997</v>
      </c>
      <c r="U603" s="227">
        <v>75.561000000000007</v>
      </c>
      <c r="V603" s="227">
        <v>76.117999999999995</v>
      </c>
      <c r="W603" s="227">
        <v>79.5</v>
      </c>
      <c r="X603" s="227">
        <v>79.5</v>
      </c>
      <c r="Y603" s="227">
        <v>79.5</v>
      </c>
      <c r="Z603" s="227">
        <v>79.5</v>
      </c>
      <c r="AA603" s="227">
        <v>79.5</v>
      </c>
      <c r="AB603" s="227">
        <v>37.457000000000001</v>
      </c>
      <c r="AC603" s="227">
        <v>750.55</v>
      </c>
      <c r="AD603" s="230">
        <v>4.3353009259259261E-4</v>
      </c>
      <c r="AE603" s="230">
        <v>224.74200000000002</v>
      </c>
      <c r="AF603" s="230">
        <v>3697.2839999999997</v>
      </c>
      <c r="AG603" s="230">
        <v>443754.77689991967</v>
      </c>
      <c r="AH603" s="230">
        <v>2097913.9002056504</v>
      </c>
      <c r="AI603" s="230">
        <v>4503.2999999999993</v>
      </c>
    </row>
    <row r="604" spans="5:35" x14ac:dyDescent="0.35">
      <c r="E604" s="226">
        <v>1.6711400000000003</v>
      </c>
      <c r="F604" s="227">
        <v>9.6862027397260277</v>
      </c>
      <c r="G604" s="227">
        <v>3535.4639999999999</v>
      </c>
      <c r="H604" s="227">
        <v>0.93940000000000001</v>
      </c>
      <c r="I604" s="227">
        <v>2.3671000000000002</v>
      </c>
      <c r="J604" s="227">
        <v>0.51386443391194403</v>
      </c>
      <c r="K604" s="227">
        <v>140</v>
      </c>
      <c r="L604" s="227">
        <v>140</v>
      </c>
      <c r="M604" s="227">
        <v>140</v>
      </c>
      <c r="N604" s="227">
        <v>98.302999999999997</v>
      </c>
      <c r="O604" s="227">
        <v>104.07</v>
      </c>
      <c r="P604" s="227">
        <v>121.46</v>
      </c>
      <c r="Q604" s="227">
        <v>111.17</v>
      </c>
      <c r="R604" s="227">
        <v>117.46</v>
      </c>
      <c r="S604" s="227"/>
      <c r="T604" s="227">
        <v>67.103999999999999</v>
      </c>
      <c r="U604" s="227">
        <v>75.603999999999999</v>
      </c>
      <c r="V604" s="227">
        <v>76.19</v>
      </c>
      <c r="W604" s="227">
        <v>79.5</v>
      </c>
      <c r="X604" s="227">
        <v>79.5</v>
      </c>
      <c r="Y604" s="227">
        <v>79.5</v>
      </c>
      <c r="Z604" s="227">
        <v>79.5</v>
      </c>
      <c r="AA604" s="227">
        <v>79.5</v>
      </c>
      <c r="AB604" s="227">
        <v>37.348999999999997</v>
      </c>
      <c r="AC604" s="227">
        <v>750.77</v>
      </c>
      <c r="AD604" s="230">
        <v>4.3228009259259256E-4</v>
      </c>
      <c r="AE604" s="230">
        <v>224.09399999999997</v>
      </c>
      <c r="AF604" s="230">
        <v>3698.3879999999999</v>
      </c>
      <c r="AG604" s="230">
        <v>443978.87089991965</v>
      </c>
      <c r="AH604" s="230">
        <v>2101612.2882056502</v>
      </c>
      <c r="AI604" s="230">
        <v>4504.62</v>
      </c>
    </row>
    <row r="605" spans="5:35" x14ac:dyDescent="0.35">
      <c r="E605" s="226">
        <v>1.6751400000000003</v>
      </c>
      <c r="F605" s="227">
        <v>9.7026410958904101</v>
      </c>
      <c r="G605" s="227">
        <v>3541.4639999999999</v>
      </c>
      <c r="H605" s="227">
        <v>0.93959999999999999</v>
      </c>
      <c r="I605" s="227">
        <v>2.3711000000000002</v>
      </c>
      <c r="J605" s="227">
        <v>0.51412305196749963</v>
      </c>
      <c r="K605" s="227">
        <v>140</v>
      </c>
      <c r="L605" s="227">
        <v>140</v>
      </c>
      <c r="M605" s="227">
        <v>140</v>
      </c>
      <c r="N605" s="227">
        <v>98.284999999999997</v>
      </c>
      <c r="O605" s="227">
        <v>104.05</v>
      </c>
      <c r="P605" s="227">
        <v>121.44</v>
      </c>
      <c r="Q605" s="227">
        <v>111.16</v>
      </c>
      <c r="R605" s="227">
        <v>117.44</v>
      </c>
      <c r="S605" s="227"/>
      <c r="T605" s="227">
        <v>67.173000000000002</v>
      </c>
      <c r="U605" s="227">
        <v>75.647999999999996</v>
      </c>
      <c r="V605" s="227">
        <v>76.260999999999996</v>
      </c>
      <c r="W605" s="227">
        <v>79.5</v>
      </c>
      <c r="X605" s="227">
        <v>79.5</v>
      </c>
      <c r="Y605" s="227">
        <v>79.5</v>
      </c>
      <c r="Z605" s="227">
        <v>79.5</v>
      </c>
      <c r="AA605" s="227">
        <v>79.5</v>
      </c>
      <c r="AB605" s="227">
        <v>37.241</v>
      </c>
      <c r="AC605" s="227">
        <v>751</v>
      </c>
      <c r="AD605" s="230">
        <v>4.3103009259259261E-4</v>
      </c>
      <c r="AE605" s="230">
        <v>223.446</v>
      </c>
      <c r="AF605" s="230">
        <v>3699.4920000000002</v>
      </c>
      <c r="AG605" s="230">
        <v>444202.31689991965</v>
      </c>
      <c r="AH605" s="230">
        <v>2105311.7802056503</v>
      </c>
      <c r="AI605" s="230">
        <v>4506</v>
      </c>
    </row>
    <row r="606" spans="5:35" x14ac:dyDescent="0.35">
      <c r="E606" s="226">
        <v>1.6792400000000001</v>
      </c>
      <c r="F606" s="227">
        <v>9.7190794520547943</v>
      </c>
      <c r="G606" s="227">
        <v>3547.4639999999999</v>
      </c>
      <c r="H606" s="227">
        <v>0.93979999999999997</v>
      </c>
      <c r="I606" s="227">
        <v>2.3752</v>
      </c>
      <c r="J606" s="227">
        <v>0.51438092002305513</v>
      </c>
      <c r="K606" s="227">
        <v>140</v>
      </c>
      <c r="L606" s="227">
        <v>140</v>
      </c>
      <c r="M606" s="227">
        <v>140</v>
      </c>
      <c r="N606" s="227">
        <v>98.266999999999996</v>
      </c>
      <c r="O606" s="227">
        <v>104.03</v>
      </c>
      <c r="P606" s="227">
        <v>121.42</v>
      </c>
      <c r="Q606" s="227">
        <v>111.14</v>
      </c>
      <c r="R606" s="227">
        <v>117.41</v>
      </c>
      <c r="S606" s="227"/>
      <c r="T606" s="227">
        <v>67.242999999999995</v>
      </c>
      <c r="U606" s="227">
        <v>75.691000000000003</v>
      </c>
      <c r="V606" s="227">
        <v>76.331999999999994</v>
      </c>
      <c r="W606" s="227">
        <v>79.5</v>
      </c>
      <c r="X606" s="227">
        <v>79.5</v>
      </c>
      <c r="Y606" s="227">
        <v>79.5</v>
      </c>
      <c r="Z606" s="227">
        <v>79.5</v>
      </c>
      <c r="AA606" s="227">
        <v>79.5</v>
      </c>
      <c r="AB606" s="227">
        <v>37.133000000000003</v>
      </c>
      <c r="AC606" s="227">
        <v>751.22</v>
      </c>
      <c r="AD606" s="230">
        <v>4.2978009259259261E-4</v>
      </c>
      <c r="AE606" s="230">
        <v>222.798</v>
      </c>
      <c r="AF606" s="230">
        <v>3700.5959999999995</v>
      </c>
      <c r="AG606" s="230">
        <v>444425.11489991966</v>
      </c>
      <c r="AH606" s="230">
        <v>2109012.3762056502</v>
      </c>
      <c r="AI606" s="230">
        <v>4507.32</v>
      </c>
    </row>
    <row r="607" spans="5:35" x14ac:dyDescent="0.35">
      <c r="E607" s="226">
        <v>1.6832400000000001</v>
      </c>
      <c r="F607" s="227">
        <v>9.7355178082191784</v>
      </c>
      <c r="G607" s="227">
        <v>3553.4639999999999</v>
      </c>
      <c r="H607" s="227">
        <v>0.94</v>
      </c>
      <c r="I607" s="227">
        <v>2.3792</v>
      </c>
      <c r="J607" s="227">
        <v>0.51463803807861075</v>
      </c>
      <c r="K607" s="227">
        <v>140</v>
      </c>
      <c r="L607" s="227">
        <v>140</v>
      </c>
      <c r="M607" s="227">
        <v>140</v>
      </c>
      <c r="N607" s="227">
        <v>98.248999999999995</v>
      </c>
      <c r="O607" s="227">
        <v>104.01</v>
      </c>
      <c r="P607" s="227">
        <v>121.4</v>
      </c>
      <c r="Q607" s="227">
        <v>111.12</v>
      </c>
      <c r="R607" s="227">
        <v>117.39</v>
      </c>
      <c r="S607" s="227"/>
      <c r="T607" s="227">
        <v>67.311999999999998</v>
      </c>
      <c r="U607" s="227">
        <v>75.733999999999995</v>
      </c>
      <c r="V607" s="227">
        <v>76.403000000000006</v>
      </c>
      <c r="W607" s="227">
        <v>79.5</v>
      </c>
      <c r="X607" s="227">
        <v>79.5</v>
      </c>
      <c r="Y607" s="227">
        <v>79.5</v>
      </c>
      <c r="Z607" s="227">
        <v>79.5</v>
      </c>
      <c r="AA607" s="227">
        <v>79.5</v>
      </c>
      <c r="AB607" s="227">
        <v>37.024999999999999</v>
      </c>
      <c r="AC607" s="227">
        <v>751.44</v>
      </c>
      <c r="AD607" s="230">
        <v>4.285300925925926E-4</v>
      </c>
      <c r="AE607" s="230">
        <v>222.15</v>
      </c>
      <c r="AF607" s="230">
        <v>3701.6940000000004</v>
      </c>
      <c r="AG607" s="230">
        <v>444647.26489991968</v>
      </c>
      <c r="AH607" s="230">
        <v>2112714.0702056503</v>
      </c>
      <c r="AI607" s="230">
        <v>4508.6400000000003</v>
      </c>
    </row>
    <row r="608" spans="5:35" x14ac:dyDescent="0.35">
      <c r="E608" s="226">
        <v>1.6872400000000001</v>
      </c>
      <c r="F608" s="227">
        <v>9.7519561643835608</v>
      </c>
      <c r="G608" s="227">
        <v>3559.4639999999999</v>
      </c>
      <c r="H608" s="227">
        <v>0.94020000000000004</v>
      </c>
      <c r="I608" s="227">
        <v>2.3832</v>
      </c>
      <c r="J608" s="227">
        <v>0.51489442002305519</v>
      </c>
      <c r="K608" s="227">
        <v>140</v>
      </c>
      <c r="L608" s="227">
        <v>140</v>
      </c>
      <c r="M608" s="227">
        <v>140</v>
      </c>
      <c r="N608" s="227">
        <v>98.23</v>
      </c>
      <c r="O608" s="227">
        <v>103.99</v>
      </c>
      <c r="P608" s="227">
        <v>121.38</v>
      </c>
      <c r="Q608" s="227">
        <v>111.1</v>
      </c>
      <c r="R608" s="227">
        <v>117.37</v>
      </c>
      <c r="S608" s="227"/>
      <c r="T608" s="227">
        <v>67.381</v>
      </c>
      <c r="U608" s="227">
        <v>75.778000000000006</v>
      </c>
      <c r="V608" s="227">
        <v>76.474000000000004</v>
      </c>
      <c r="W608" s="227">
        <v>79.5</v>
      </c>
      <c r="X608" s="227">
        <v>79.5</v>
      </c>
      <c r="Y608" s="227">
        <v>79.5</v>
      </c>
      <c r="Z608" s="227">
        <v>79.5</v>
      </c>
      <c r="AA608" s="227">
        <v>79.5</v>
      </c>
      <c r="AB608" s="227">
        <v>36.918999999999997</v>
      </c>
      <c r="AC608" s="227">
        <v>751.67</v>
      </c>
      <c r="AD608" s="230">
        <v>4.2730324074074068E-4</v>
      </c>
      <c r="AE608" s="230">
        <v>221.51399999999998</v>
      </c>
      <c r="AF608" s="230">
        <v>3702.7980000000002</v>
      </c>
      <c r="AG608" s="230">
        <v>444868.77889991971</v>
      </c>
      <c r="AH608" s="230">
        <v>2116416.8682056502</v>
      </c>
      <c r="AI608" s="230">
        <v>4510.0199999999995</v>
      </c>
    </row>
    <row r="609" spans="5:35" x14ac:dyDescent="0.35">
      <c r="E609" s="226">
        <v>1.6912400000000001</v>
      </c>
      <c r="F609" s="227">
        <v>9.768394520547945</v>
      </c>
      <c r="G609" s="227">
        <v>3565.4639999999999</v>
      </c>
      <c r="H609" s="227">
        <v>0.94040000000000001</v>
      </c>
      <c r="I609" s="227">
        <v>2.3872</v>
      </c>
      <c r="J609" s="227">
        <v>0.5151500589119441</v>
      </c>
      <c r="K609" s="227">
        <v>140</v>
      </c>
      <c r="L609" s="227">
        <v>140</v>
      </c>
      <c r="M609" s="227">
        <v>140</v>
      </c>
      <c r="N609" s="227">
        <v>98.212000000000003</v>
      </c>
      <c r="O609" s="227">
        <v>103.97</v>
      </c>
      <c r="P609" s="227">
        <v>121.36</v>
      </c>
      <c r="Q609" s="227">
        <v>111.08</v>
      </c>
      <c r="R609" s="227">
        <v>117.34</v>
      </c>
      <c r="S609" s="227"/>
      <c r="T609" s="227">
        <v>67.45</v>
      </c>
      <c r="U609" s="227">
        <v>75.820999999999998</v>
      </c>
      <c r="V609" s="227">
        <v>76.545000000000002</v>
      </c>
      <c r="W609" s="227">
        <v>79.5</v>
      </c>
      <c r="X609" s="227">
        <v>79.5</v>
      </c>
      <c r="Y609" s="227">
        <v>79.5</v>
      </c>
      <c r="Z609" s="227">
        <v>79.5</v>
      </c>
      <c r="AA609" s="227">
        <v>79.5</v>
      </c>
      <c r="AB609" s="227">
        <v>36.811999999999998</v>
      </c>
      <c r="AC609" s="227">
        <v>751.89</v>
      </c>
      <c r="AD609" s="230">
        <v>4.2606481481481477E-4</v>
      </c>
      <c r="AE609" s="230">
        <v>220.87199999999996</v>
      </c>
      <c r="AF609" s="230">
        <v>3703.8960000000002</v>
      </c>
      <c r="AG609" s="230">
        <v>445089.65089991968</v>
      </c>
      <c r="AH609" s="230">
        <v>2120120.7642056504</v>
      </c>
      <c r="AI609" s="230">
        <v>4511.34</v>
      </c>
    </row>
    <row r="610" spans="5:35" x14ac:dyDescent="0.35">
      <c r="E610" s="226">
        <v>1.6952400000000001</v>
      </c>
      <c r="F610" s="227">
        <v>9.7848328767123292</v>
      </c>
      <c r="G610" s="227">
        <v>3571.4639999999999</v>
      </c>
      <c r="H610" s="227">
        <v>0.94059999999999999</v>
      </c>
      <c r="I610" s="227">
        <v>2.3912</v>
      </c>
      <c r="J610" s="227">
        <v>0.51540496863416629</v>
      </c>
      <c r="K610" s="227">
        <v>140</v>
      </c>
      <c r="L610" s="227">
        <v>140</v>
      </c>
      <c r="M610" s="227">
        <v>140</v>
      </c>
      <c r="N610" s="227">
        <v>98.194999999999993</v>
      </c>
      <c r="O610" s="227">
        <v>103.95</v>
      </c>
      <c r="P610" s="227">
        <v>121.34</v>
      </c>
      <c r="Q610" s="227">
        <v>111.06</v>
      </c>
      <c r="R610" s="227">
        <v>117.32</v>
      </c>
      <c r="S610" s="227"/>
      <c r="T610" s="227">
        <v>67.518000000000001</v>
      </c>
      <c r="U610" s="227">
        <v>75.864000000000004</v>
      </c>
      <c r="V610" s="227">
        <v>76.614999999999995</v>
      </c>
      <c r="W610" s="227">
        <v>79.5</v>
      </c>
      <c r="X610" s="227">
        <v>79.5</v>
      </c>
      <c r="Y610" s="227">
        <v>79.5</v>
      </c>
      <c r="Z610" s="227">
        <v>79.5</v>
      </c>
      <c r="AA610" s="227">
        <v>79.5</v>
      </c>
      <c r="AB610" s="227">
        <v>36.707000000000001</v>
      </c>
      <c r="AC610" s="227">
        <v>752.11</v>
      </c>
      <c r="AD610" s="230">
        <v>4.2484953703703706E-4</v>
      </c>
      <c r="AE610" s="230">
        <v>220.24200000000002</v>
      </c>
      <c r="AF610" s="230">
        <v>3704.9820000000004</v>
      </c>
      <c r="AG610" s="230">
        <v>445309.89289991971</v>
      </c>
      <c r="AH610" s="230">
        <v>2123825.7462056503</v>
      </c>
      <c r="AI610" s="230">
        <v>4512.66</v>
      </c>
    </row>
    <row r="611" spans="5:35" x14ac:dyDescent="0.35">
      <c r="E611" s="226">
        <v>1.6992400000000001</v>
      </c>
      <c r="F611" s="227">
        <v>9.8012712328767115</v>
      </c>
      <c r="G611" s="227">
        <v>3577.4639999999999</v>
      </c>
      <c r="H611" s="227">
        <v>0.94069999999999998</v>
      </c>
      <c r="I611" s="227">
        <v>2.3952</v>
      </c>
      <c r="J611" s="227">
        <v>0.51565914224527742</v>
      </c>
      <c r="K611" s="227">
        <v>140</v>
      </c>
      <c r="L611" s="227">
        <v>140</v>
      </c>
      <c r="M611" s="227">
        <v>140</v>
      </c>
      <c r="N611" s="227">
        <v>98.177000000000007</v>
      </c>
      <c r="O611" s="227">
        <v>103.93</v>
      </c>
      <c r="P611" s="227">
        <v>121.32</v>
      </c>
      <c r="Q611" s="227">
        <v>111.05</v>
      </c>
      <c r="R611" s="227">
        <v>117.29</v>
      </c>
      <c r="S611" s="227"/>
      <c r="T611" s="227">
        <v>67.587000000000003</v>
      </c>
      <c r="U611" s="227">
        <v>75.906999999999996</v>
      </c>
      <c r="V611" s="227">
        <v>76.686000000000007</v>
      </c>
      <c r="W611" s="227">
        <v>79.5</v>
      </c>
      <c r="X611" s="227">
        <v>79.5</v>
      </c>
      <c r="Y611" s="227">
        <v>79.5</v>
      </c>
      <c r="Z611" s="227">
        <v>79.5</v>
      </c>
      <c r="AA611" s="227">
        <v>79.5</v>
      </c>
      <c r="AB611" s="227">
        <v>36.600999999999999</v>
      </c>
      <c r="AC611" s="227">
        <v>752.33</v>
      </c>
      <c r="AD611" s="230">
        <v>4.2362268518518519E-4</v>
      </c>
      <c r="AE611" s="230">
        <v>219.60599999999999</v>
      </c>
      <c r="AF611" s="230">
        <v>3706.0800000000004</v>
      </c>
      <c r="AG611" s="230">
        <v>445529.49889991974</v>
      </c>
      <c r="AH611" s="230">
        <v>2127531.8262056503</v>
      </c>
      <c r="AI611" s="230">
        <v>4513.9800000000005</v>
      </c>
    </row>
    <row r="612" spans="5:35" x14ac:dyDescent="0.35">
      <c r="E612" s="226">
        <v>1.7033400000000003</v>
      </c>
      <c r="F612" s="227">
        <v>9.8177095890410957</v>
      </c>
      <c r="G612" s="227">
        <v>3583.4639999999999</v>
      </c>
      <c r="H612" s="227">
        <v>0.94089999999999996</v>
      </c>
      <c r="I612" s="227">
        <v>2.3993000000000002</v>
      </c>
      <c r="J612" s="227">
        <v>0.51591259363416642</v>
      </c>
      <c r="K612" s="227">
        <v>140</v>
      </c>
      <c r="L612" s="227">
        <v>140</v>
      </c>
      <c r="M612" s="227">
        <v>140</v>
      </c>
      <c r="N612" s="227">
        <v>98.159000000000006</v>
      </c>
      <c r="O612" s="227">
        <v>103.92</v>
      </c>
      <c r="P612" s="227">
        <v>121.3</v>
      </c>
      <c r="Q612" s="227">
        <v>111.03</v>
      </c>
      <c r="R612" s="227">
        <v>117.27</v>
      </c>
      <c r="S612" s="227"/>
      <c r="T612" s="227">
        <v>67.655000000000001</v>
      </c>
      <c r="U612" s="227">
        <v>75.948999999999998</v>
      </c>
      <c r="V612" s="227">
        <v>76.756</v>
      </c>
      <c r="W612" s="227">
        <v>79.5</v>
      </c>
      <c r="X612" s="227">
        <v>79.5</v>
      </c>
      <c r="Y612" s="227">
        <v>79.5</v>
      </c>
      <c r="Z612" s="227">
        <v>79.5</v>
      </c>
      <c r="AA612" s="227">
        <v>79.5</v>
      </c>
      <c r="AB612" s="227">
        <v>36.497</v>
      </c>
      <c r="AC612" s="227">
        <v>752.55</v>
      </c>
      <c r="AD612" s="230">
        <v>4.2241898148148146E-4</v>
      </c>
      <c r="AE612" s="230">
        <v>218.98199999999997</v>
      </c>
      <c r="AF612" s="230">
        <v>3707.16</v>
      </c>
      <c r="AG612" s="230">
        <v>445748.48089991976</v>
      </c>
      <c r="AH612" s="230">
        <v>2131238.9862056505</v>
      </c>
      <c r="AI612" s="230">
        <v>4515.2999999999993</v>
      </c>
    </row>
    <row r="613" spans="5:35" x14ac:dyDescent="0.35">
      <c r="E613" s="226">
        <v>1.7073400000000003</v>
      </c>
      <c r="F613" s="227">
        <v>9.8341479452054799</v>
      </c>
      <c r="G613" s="227">
        <v>3589.4639999999999</v>
      </c>
      <c r="H613" s="227">
        <v>0.94110000000000005</v>
      </c>
      <c r="I613" s="227">
        <v>2.4033000000000002</v>
      </c>
      <c r="J613" s="227">
        <v>0.51616531585638858</v>
      </c>
      <c r="K613" s="227">
        <v>140</v>
      </c>
      <c r="L613" s="227">
        <v>140</v>
      </c>
      <c r="M613" s="227">
        <v>140</v>
      </c>
      <c r="N613" s="227">
        <v>98.141000000000005</v>
      </c>
      <c r="O613" s="227">
        <v>103.9</v>
      </c>
      <c r="P613" s="227">
        <v>121.28</v>
      </c>
      <c r="Q613" s="227">
        <v>111.01</v>
      </c>
      <c r="R613" s="227">
        <v>117.24</v>
      </c>
      <c r="S613" s="227"/>
      <c r="T613" s="227">
        <v>67.724000000000004</v>
      </c>
      <c r="U613" s="227">
        <v>75.992000000000004</v>
      </c>
      <c r="V613" s="227">
        <v>76.825999999999993</v>
      </c>
      <c r="W613" s="227">
        <v>79.5</v>
      </c>
      <c r="X613" s="227">
        <v>79.5</v>
      </c>
      <c r="Y613" s="227">
        <v>79.5</v>
      </c>
      <c r="Z613" s="227">
        <v>79.5</v>
      </c>
      <c r="AA613" s="227">
        <v>79.5</v>
      </c>
      <c r="AB613" s="227">
        <v>36.392000000000003</v>
      </c>
      <c r="AC613" s="227">
        <v>752.77</v>
      </c>
      <c r="AD613" s="230">
        <v>4.2120370370370375E-4</v>
      </c>
      <c r="AE613" s="230">
        <v>218.352</v>
      </c>
      <c r="AF613" s="230">
        <v>3708.2520000000004</v>
      </c>
      <c r="AG613" s="230">
        <v>445966.83289991977</v>
      </c>
      <c r="AH613" s="230">
        <v>2134947.2382056504</v>
      </c>
      <c r="AI613" s="230">
        <v>4516.62</v>
      </c>
    </row>
    <row r="614" spans="5:35" x14ac:dyDescent="0.35">
      <c r="E614" s="226">
        <v>1.7113400000000003</v>
      </c>
      <c r="F614" s="227">
        <v>9.8505863013698622</v>
      </c>
      <c r="G614" s="227">
        <v>3595.4639999999999</v>
      </c>
      <c r="H614" s="227">
        <v>0.94130000000000003</v>
      </c>
      <c r="I614" s="227">
        <v>2.4073000000000002</v>
      </c>
      <c r="J614" s="227">
        <v>0.51641732280083308</v>
      </c>
      <c r="K614" s="227">
        <v>140</v>
      </c>
      <c r="L614" s="227">
        <v>140</v>
      </c>
      <c r="M614" s="227">
        <v>140</v>
      </c>
      <c r="N614" s="227">
        <v>98.123000000000005</v>
      </c>
      <c r="O614" s="227">
        <v>103.88</v>
      </c>
      <c r="P614" s="227">
        <v>121.26</v>
      </c>
      <c r="Q614" s="227">
        <v>110.99</v>
      </c>
      <c r="R614" s="227">
        <v>117.22</v>
      </c>
      <c r="S614" s="227"/>
      <c r="T614" s="227">
        <v>67.792000000000002</v>
      </c>
      <c r="U614" s="227">
        <v>76.034999999999997</v>
      </c>
      <c r="V614" s="227">
        <v>76.896000000000001</v>
      </c>
      <c r="W614" s="227">
        <v>79.5</v>
      </c>
      <c r="X614" s="227">
        <v>79.5</v>
      </c>
      <c r="Y614" s="227">
        <v>79.5</v>
      </c>
      <c r="Z614" s="227">
        <v>79.5</v>
      </c>
      <c r="AA614" s="227">
        <v>79.5</v>
      </c>
      <c r="AB614" s="227">
        <v>36.289000000000001</v>
      </c>
      <c r="AC614" s="227">
        <v>752.99</v>
      </c>
      <c r="AD614" s="230">
        <v>4.2001157407407411E-4</v>
      </c>
      <c r="AE614" s="230">
        <v>217.73400000000001</v>
      </c>
      <c r="AF614" s="230">
        <v>3709.3379999999997</v>
      </c>
      <c r="AG614" s="230">
        <v>446184.56689991977</v>
      </c>
      <c r="AH614" s="230">
        <v>2138656.5762056503</v>
      </c>
      <c r="AI614" s="230">
        <v>4517.9400000000005</v>
      </c>
    </row>
    <row r="615" spans="5:35" x14ac:dyDescent="0.35">
      <c r="E615" s="226">
        <v>1.7153400000000003</v>
      </c>
      <c r="F615" s="227">
        <v>9.8670246575342464</v>
      </c>
      <c r="G615" s="227">
        <v>3601.4639999999999</v>
      </c>
      <c r="H615" s="227">
        <v>0.9415</v>
      </c>
      <c r="I615" s="227">
        <v>2.4113000000000002</v>
      </c>
      <c r="J615" s="227">
        <v>0.51666860752305532</v>
      </c>
      <c r="K615" s="227">
        <v>140</v>
      </c>
      <c r="L615" s="227">
        <v>140</v>
      </c>
      <c r="M615" s="227">
        <v>140</v>
      </c>
      <c r="N615" s="227">
        <v>98.105999999999995</v>
      </c>
      <c r="O615" s="227">
        <v>103.86</v>
      </c>
      <c r="P615" s="227">
        <v>121.25</v>
      </c>
      <c r="Q615" s="227">
        <v>110.98</v>
      </c>
      <c r="R615" s="227">
        <v>117.2</v>
      </c>
      <c r="S615" s="227"/>
      <c r="T615" s="227">
        <v>67.86</v>
      </c>
      <c r="U615" s="227">
        <v>76.076999999999998</v>
      </c>
      <c r="V615" s="227">
        <v>76.965999999999994</v>
      </c>
      <c r="W615" s="227">
        <v>79.5</v>
      </c>
      <c r="X615" s="227">
        <v>79.5</v>
      </c>
      <c r="Y615" s="227">
        <v>79.5</v>
      </c>
      <c r="Z615" s="227">
        <v>79.5</v>
      </c>
      <c r="AA615" s="227">
        <v>79.5</v>
      </c>
      <c r="AB615" s="227">
        <v>36.185000000000002</v>
      </c>
      <c r="AC615" s="227">
        <v>753.21</v>
      </c>
      <c r="AD615" s="230">
        <v>4.1880787037037038E-4</v>
      </c>
      <c r="AE615" s="230">
        <v>217.11</v>
      </c>
      <c r="AF615" s="230">
        <v>3710.4180000000001</v>
      </c>
      <c r="AG615" s="230">
        <v>446401.67689991975</v>
      </c>
      <c r="AH615" s="230">
        <v>2142366.9942056504</v>
      </c>
      <c r="AI615" s="230">
        <v>4519.26</v>
      </c>
    </row>
    <row r="616" spans="5:35" x14ac:dyDescent="0.35">
      <c r="E616" s="226">
        <v>1.7193399999999999</v>
      </c>
      <c r="F616" s="227">
        <v>9.8834630136986306</v>
      </c>
      <c r="G616" s="227">
        <v>3607.4639999999999</v>
      </c>
      <c r="H616" s="227">
        <v>0.94169999999999998</v>
      </c>
      <c r="I616" s="227">
        <v>2.4152999999999998</v>
      </c>
      <c r="J616" s="227">
        <v>0.51691917696749978</v>
      </c>
      <c r="K616" s="227">
        <v>140</v>
      </c>
      <c r="L616" s="227">
        <v>140</v>
      </c>
      <c r="M616" s="227">
        <v>140</v>
      </c>
      <c r="N616" s="227">
        <v>98.087999999999994</v>
      </c>
      <c r="O616" s="227">
        <v>103.84</v>
      </c>
      <c r="P616" s="227">
        <v>121.23</v>
      </c>
      <c r="Q616" s="227">
        <v>110.96</v>
      </c>
      <c r="R616" s="227">
        <v>117.17</v>
      </c>
      <c r="S616" s="227"/>
      <c r="T616" s="227">
        <v>67.927999999999997</v>
      </c>
      <c r="U616" s="227">
        <v>76.119</v>
      </c>
      <c r="V616" s="227">
        <v>77.034999999999997</v>
      </c>
      <c r="W616" s="227">
        <v>79.5</v>
      </c>
      <c r="X616" s="227">
        <v>79.5</v>
      </c>
      <c r="Y616" s="227">
        <v>79.5</v>
      </c>
      <c r="Z616" s="227">
        <v>79.5</v>
      </c>
      <c r="AA616" s="227">
        <v>79.5</v>
      </c>
      <c r="AB616" s="227">
        <v>36.082000000000001</v>
      </c>
      <c r="AC616" s="227">
        <v>753.43</v>
      </c>
      <c r="AD616" s="230">
        <v>4.1761574074074075E-4</v>
      </c>
      <c r="AE616" s="230">
        <v>216.49200000000002</v>
      </c>
      <c r="AF616" s="230">
        <v>3711.4920000000002</v>
      </c>
      <c r="AG616" s="230">
        <v>446618.16889991978</v>
      </c>
      <c r="AH616" s="230">
        <v>2146078.4862056505</v>
      </c>
      <c r="AI616" s="230">
        <v>4520.58</v>
      </c>
    </row>
    <row r="617" spans="5:35" x14ac:dyDescent="0.35">
      <c r="E617" s="226">
        <v>1.7233399999999999</v>
      </c>
      <c r="F617" s="227">
        <v>9.8999013698630129</v>
      </c>
      <c r="G617" s="227">
        <v>3613.4639999999999</v>
      </c>
      <c r="H617" s="227">
        <v>0.94189999999999996</v>
      </c>
      <c r="I617" s="227">
        <v>2.4192999999999998</v>
      </c>
      <c r="J617" s="227">
        <v>0.51716903807861081</v>
      </c>
      <c r="K617" s="227">
        <v>140</v>
      </c>
      <c r="L617" s="227">
        <v>140</v>
      </c>
      <c r="M617" s="227">
        <v>140</v>
      </c>
      <c r="N617" s="227">
        <v>98.07</v>
      </c>
      <c r="O617" s="227">
        <v>103.82</v>
      </c>
      <c r="P617" s="227">
        <v>121.21</v>
      </c>
      <c r="Q617" s="227">
        <v>110.94</v>
      </c>
      <c r="R617" s="227">
        <v>117.15</v>
      </c>
      <c r="S617" s="227"/>
      <c r="T617" s="227">
        <v>67.995999999999995</v>
      </c>
      <c r="U617" s="227">
        <v>76.162000000000006</v>
      </c>
      <c r="V617" s="227">
        <v>77.105000000000004</v>
      </c>
      <c r="W617" s="227">
        <v>79.5</v>
      </c>
      <c r="X617" s="227">
        <v>79.5</v>
      </c>
      <c r="Y617" s="227">
        <v>79.5</v>
      </c>
      <c r="Z617" s="227">
        <v>79.5</v>
      </c>
      <c r="AA617" s="227">
        <v>79.5</v>
      </c>
      <c r="AB617" s="227">
        <v>35.979999999999997</v>
      </c>
      <c r="AC617" s="227">
        <v>753.65</v>
      </c>
      <c r="AD617" s="230">
        <v>4.1643518518518516E-4</v>
      </c>
      <c r="AE617" s="230">
        <v>215.88</v>
      </c>
      <c r="AF617" s="230">
        <v>3712.5780000000004</v>
      </c>
      <c r="AG617" s="230">
        <v>446834.04889991978</v>
      </c>
      <c r="AH617" s="230">
        <v>2149791.0642056507</v>
      </c>
      <c r="AI617" s="230">
        <v>4521.8999999999996</v>
      </c>
    </row>
    <row r="618" spans="5:35" x14ac:dyDescent="0.35">
      <c r="E618" s="226">
        <v>1.7274400000000001</v>
      </c>
      <c r="F618" s="227">
        <v>9.9163397260273971</v>
      </c>
      <c r="G618" s="227">
        <v>3619.4639999999999</v>
      </c>
      <c r="H618" s="227">
        <v>0.94199999999999995</v>
      </c>
      <c r="I618" s="227">
        <v>2.4234</v>
      </c>
      <c r="J618" s="227">
        <v>0.51741819085638863</v>
      </c>
      <c r="K618" s="227">
        <v>140</v>
      </c>
      <c r="L618" s="227">
        <v>140</v>
      </c>
      <c r="M618" s="227">
        <v>140</v>
      </c>
      <c r="N618" s="227">
        <v>98.052999999999997</v>
      </c>
      <c r="O618" s="227">
        <v>103.8</v>
      </c>
      <c r="P618" s="227">
        <v>121.19</v>
      </c>
      <c r="Q618" s="227">
        <v>110.92</v>
      </c>
      <c r="R618" s="227">
        <v>117.13</v>
      </c>
      <c r="S618" s="227"/>
      <c r="T618" s="227">
        <v>68.063999999999993</v>
      </c>
      <c r="U618" s="227">
        <v>76.203999999999994</v>
      </c>
      <c r="V618" s="227">
        <v>77.174000000000007</v>
      </c>
      <c r="W618" s="227">
        <v>79.5</v>
      </c>
      <c r="X618" s="227">
        <v>79.5</v>
      </c>
      <c r="Y618" s="227">
        <v>79.5</v>
      </c>
      <c r="Z618" s="227">
        <v>79.5</v>
      </c>
      <c r="AA618" s="227">
        <v>79.5</v>
      </c>
      <c r="AB618" s="227">
        <v>35.878</v>
      </c>
      <c r="AC618" s="227">
        <v>753.87</v>
      </c>
      <c r="AD618" s="230">
        <v>4.1525462962962962E-4</v>
      </c>
      <c r="AE618" s="230">
        <v>215.268</v>
      </c>
      <c r="AF618" s="230">
        <v>3713.652</v>
      </c>
      <c r="AG618" s="230">
        <v>447049.31689991977</v>
      </c>
      <c r="AH618" s="230">
        <v>2153504.7162056505</v>
      </c>
      <c r="AI618" s="230">
        <v>4523.22</v>
      </c>
    </row>
    <row r="619" spans="5:35" x14ac:dyDescent="0.35">
      <c r="E619" s="226">
        <v>1.7314400000000001</v>
      </c>
      <c r="F619" s="227">
        <v>9.9327780821917813</v>
      </c>
      <c r="G619" s="227">
        <v>3625.4639999999999</v>
      </c>
      <c r="H619" s="227">
        <v>0.94220000000000004</v>
      </c>
      <c r="I619" s="227">
        <v>2.4274</v>
      </c>
      <c r="J619" s="227">
        <v>0.51766664224527748</v>
      </c>
      <c r="K619" s="227">
        <v>140</v>
      </c>
      <c r="L619" s="227">
        <v>140</v>
      </c>
      <c r="M619" s="227">
        <v>140</v>
      </c>
      <c r="N619" s="227">
        <v>98.036000000000001</v>
      </c>
      <c r="O619" s="227">
        <v>103.78</v>
      </c>
      <c r="P619" s="227">
        <v>121.17</v>
      </c>
      <c r="Q619" s="227">
        <v>110.91</v>
      </c>
      <c r="R619" s="227">
        <v>117.1</v>
      </c>
      <c r="S619" s="227"/>
      <c r="T619" s="227">
        <v>68.131</v>
      </c>
      <c r="U619" s="227">
        <v>76.245999999999995</v>
      </c>
      <c r="V619" s="227">
        <v>77.242999999999995</v>
      </c>
      <c r="W619" s="227">
        <v>79.5</v>
      </c>
      <c r="X619" s="227">
        <v>79.5</v>
      </c>
      <c r="Y619" s="227">
        <v>79.5</v>
      </c>
      <c r="Z619" s="227">
        <v>79.5</v>
      </c>
      <c r="AA619" s="227">
        <v>79.5</v>
      </c>
      <c r="AB619" s="227">
        <v>35.777000000000001</v>
      </c>
      <c r="AC619" s="227">
        <v>754.09</v>
      </c>
      <c r="AD619" s="230">
        <v>4.1408564814814818E-4</v>
      </c>
      <c r="AE619" s="230">
        <v>214.66200000000001</v>
      </c>
      <c r="AF619" s="230">
        <v>3714.7200000000003</v>
      </c>
      <c r="AG619" s="230">
        <v>447263.97889991978</v>
      </c>
      <c r="AH619" s="230">
        <v>2157219.4362056507</v>
      </c>
      <c r="AI619" s="230">
        <v>4524.54</v>
      </c>
    </row>
    <row r="620" spans="5:35" x14ac:dyDescent="0.35">
      <c r="E620" s="226">
        <v>1.7354400000000001</v>
      </c>
      <c r="F620" s="227">
        <v>9.9492164383561636</v>
      </c>
      <c r="G620" s="227">
        <v>3631.4639999999999</v>
      </c>
      <c r="H620" s="227">
        <v>0.94240000000000002</v>
      </c>
      <c r="I620" s="227">
        <v>2.4314</v>
      </c>
      <c r="J620" s="227">
        <v>0.51791439224527747</v>
      </c>
      <c r="K620" s="227">
        <v>140</v>
      </c>
      <c r="L620" s="227">
        <v>140</v>
      </c>
      <c r="M620" s="227">
        <v>140</v>
      </c>
      <c r="N620" s="227">
        <v>98.018000000000001</v>
      </c>
      <c r="O620" s="227">
        <v>103.76</v>
      </c>
      <c r="P620" s="227">
        <v>121.15</v>
      </c>
      <c r="Q620" s="227">
        <v>110.89</v>
      </c>
      <c r="R620" s="227">
        <v>117.08</v>
      </c>
      <c r="S620" s="227"/>
      <c r="T620" s="227">
        <v>68.197999999999993</v>
      </c>
      <c r="U620" s="227">
        <v>76.287999999999997</v>
      </c>
      <c r="V620" s="227">
        <v>77.311999999999998</v>
      </c>
      <c r="W620" s="227">
        <v>79.5</v>
      </c>
      <c r="X620" s="227">
        <v>79.5</v>
      </c>
      <c r="Y620" s="227">
        <v>79.5</v>
      </c>
      <c r="Z620" s="227">
        <v>79.5</v>
      </c>
      <c r="AA620" s="227">
        <v>79.5</v>
      </c>
      <c r="AB620" s="227">
        <v>35.676000000000002</v>
      </c>
      <c r="AC620" s="227">
        <v>754.31</v>
      </c>
      <c r="AD620" s="230">
        <v>4.1291666666666668E-4</v>
      </c>
      <c r="AE620" s="230">
        <v>214.05600000000001</v>
      </c>
      <c r="AF620" s="230">
        <v>3715.788</v>
      </c>
      <c r="AG620" s="230">
        <v>447478.03489991976</v>
      </c>
      <c r="AH620" s="230">
        <v>2160935.2242056509</v>
      </c>
      <c r="AI620" s="230">
        <v>4525.8599999999997</v>
      </c>
    </row>
    <row r="621" spans="5:35" x14ac:dyDescent="0.35">
      <c r="E621" s="226">
        <v>1.7394400000000001</v>
      </c>
      <c r="F621" s="227">
        <v>9.9656547945205478</v>
      </c>
      <c r="G621" s="227">
        <v>3637.4639999999999</v>
      </c>
      <c r="H621" s="227">
        <v>0.94259999999999999</v>
      </c>
      <c r="I621" s="227">
        <v>2.4354</v>
      </c>
      <c r="J621" s="227">
        <v>0.5181614408563886</v>
      </c>
      <c r="K621" s="227">
        <v>140</v>
      </c>
      <c r="L621" s="227">
        <v>140</v>
      </c>
      <c r="M621" s="227">
        <v>140</v>
      </c>
      <c r="N621" s="227">
        <v>98.001000000000005</v>
      </c>
      <c r="O621" s="227">
        <v>103.74</v>
      </c>
      <c r="P621" s="227">
        <v>121.13</v>
      </c>
      <c r="Q621" s="227">
        <v>110.87</v>
      </c>
      <c r="R621" s="227">
        <v>117.06</v>
      </c>
      <c r="S621" s="227"/>
      <c r="T621" s="227">
        <v>68.266000000000005</v>
      </c>
      <c r="U621" s="227">
        <v>76.33</v>
      </c>
      <c r="V621" s="227">
        <v>77.381</v>
      </c>
      <c r="W621" s="227">
        <v>79.5</v>
      </c>
      <c r="X621" s="227">
        <v>79.5</v>
      </c>
      <c r="Y621" s="227">
        <v>79.5</v>
      </c>
      <c r="Z621" s="227">
        <v>79.5</v>
      </c>
      <c r="AA621" s="227">
        <v>79.5</v>
      </c>
      <c r="AB621" s="227">
        <v>35.575000000000003</v>
      </c>
      <c r="AC621" s="227">
        <v>754.52</v>
      </c>
      <c r="AD621" s="230">
        <v>4.1174768518518524E-4</v>
      </c>
      <c r="AE621" s="230">
        <v>213.45000000000005</v>
      </c>
      <c r="AF621" s="230">
        <v>3716.8620000000001</v>
      </c>
      <c r="AG621" s="230">
        <v>447691.48489991977</v>
      </c>
      <c r="AH621" s="230">
        <v>2164652.0862056511</v>
      </c>
      <c r="AI621" s="230">
        <v>4527.12</v>
      </c>
    </row>
    <row r="622" spans="5:35" x14ac:dyDescent="0.35">
      <c r="E622" s="226">
        <v>1.7434400000000001</v>
      </c>
      <c r="F622" s="227">
        <v>9.982093150684932</v>
      </c>
      <c r="G622" s="227">
        <v>3643.4639999999999</v>
      </c>
      <c r="H622" s="227">
        <v>0.94279999999999997</v>
      </c>
      <c r="I622" s="227">
        <v>2.4394</v>
      </c>
      <c r="J622" s="227">
        <v>0.51840779502305523</v>
      </c>
      <c r="K622" s="227">
        <v>140</v>
      </c>
      <c r="L622" s="227">
        <v>140</v>
      </c>
      <c r="M622" s="227">
        <v>140</v>
      </c>
      <c r="N622" s="227">
        <v>97.983000000000004</v>
      </c>
      <c r="O622" s="227">
        <v>103.72</v>
      </c>
      <c r="P622" s="227">
        <v>121.11</v>
      </c>
      <c r="Q622" s="227">
        <v>110.85</v>
      </c>
      <c r="R622" s="227">
        <v>117.03</v>
      </c>
      <c r="S622" s="227"/>
      <c r="T622" s="227">
        <v>68.332999999999998</v>
      </c>
      <c r="U622" s="227">
        <v>76.370999999999995</v>
      </c>
      <c r="V622" s="227">
        <v>77.448999999999998</v>
      </c>
      <c r="W622" s="227">
        <v>79.5</v>
      </c>
      <c r="X622" s="227">
        <v>79.5</v>
      </c>
      <c r="Y622" s="227">
        <v>79.5</v>
      </c>
      <c r="Z622" s="227">
        <v>79.5</v>
      </c>
      <c r="AA622" s="227">
        <v>79.5</v>
      </c>
      <c r="AB622" s="227">
        <v>35.475000000000001</v>
      </c>
      <c r="AC622" s="227">
        <v>754.74</v>
      </c>
      <c r="AD622" s="230">
        <v>4.1059027777777779E-4</v>
      </c>
      <c r="AE622" s="230">
        <v>212.85000000000002</v>
      </c>
      <c r="AF622" s="230">
        <v>3717.9180000000001</v>
      </c>
      <c r="AG622" s="230">
        <v>447904.33489991975</v>
      </c>
      <c r="AH622" s="230">
        <v>2168370.0042056511</v>
      </c>
      <c r="AI622" s="230">
        <v>4528.4400000000005</v>
      </c>
    </row>
    <row r="623" spans="5:35" x14ac:dyDescent="0.35">
      <c r="E623" s="226">
        <v>1.7475399999999999</v>
      </c>
      <c r="F623" s="227">
        <v>9.9985315068493144</v>
      </c>
      <c r="G623" s="227">
        <v>3649.4639999999999</v>
      </c>
      <c r="H623" s="227">
        <v>0.94289999999999996</v>
      </c>
      <c r="I623" s="227">
        <v>2.4434999999999998</v>
      </c>
      <c r="J623" s="227">
        <v>0.51865345474527746</v>
      </c>
      <c r="K623" s="227">
        <v>140</v>
      </c>
      <c r="L623" s="227">
        <v>140</v>
      </c>
      <c r="M623" s="227">
        <v>140</v>
      </c>
      <c r="N623" s="227">
        <v>97.965999999999994</v>
      </c>
      <c r="O623" s="227">
        <v>103.7</v>
      </c>
      <c r="P623" s="227">
        <v>121.09</v>
      </c>
      <c r="Q623" s="227">
        <v>110.84</v>
      </c>
      <c r="R623" s="227">
        <v>117.01</v>
      </c>
      <c r="S623" s="227"/>
      <c r="T623" s="227">
        <v>68.400000000000006</v>
      </c>
      <c r="U623" s="227">
        <v>76.412999999999997</v>
      </c>
      <c r="V623" s="227">
        <v>77.518000000000001</v>
      </c>
      <c r="W623" s="227">
        <v>79.5</v>
      </c>
      <c r="X623" s="227">
        <v>79.5</v>
      </c>
      <c r="Y623" s="227">
        <v>79.5</v>
      </c>
      <c r="Z623" s="227">
        <v>79.5</v>
      </c>
      <c r="AA623" s="227">
        <v>79.5</v>
      </c>
      <c r="AB623" s="227">
        <v>35.375</v>
      </c>
      <c r="AC623" s="227">
        <v>754.95</v>
      </c>
      <c r="AD623" s="230">
        <v>4.0943287037037039E-4</v>
      </c>
      <c r="AE623" s="230">
        <v>212.25000000000003</v>
      </c>
      <c r="AF623" s="230">
        <v>3718.9859999999999</v>
      </c>
      <c r="AG623" s="230">
        <v>448116.58489991975</v>
      </c>
      <c r="AH623" s="230">
        <v>2172088.9902056511</v>
      </c>
      <c r="AI623" s="230">
        <v>4529.7000000000007</v>
      </c>
    </row>
    <row r="624" spans="5:35" x14ac:dyDescent="0.35">
      <c r="E624" s="226">
        <v>1.7515399999999999</v>
      </c>
      <c r="F624" s="227">
        <v>10.014969863013699</v>
      </c>
      <c r="G624" s="227">
        <v>3655.4639999999999</v>
      </c>
      <c r="H624" s="227">
        <v>0.94310000000000005</v>
      </c>
      <c r="I624" s="227">
        <v>2.4474999999999998</v>
      </c>
      <c r="J624" s="227">
        <v>0.51889842002305531</v>
      </c>
      <c r="K624" s="227">
        <v>140</v>
      </c>
      <c r="L624" s="227">
        <v>140</v>
      </c>
      <c r="M624" s="227">
        <v>140</v>
      </c>
      <c r="N624" s="227">
        <v>97.948999999999998</v>
      </c>
      <c r="O624" s="227">
        <v>103.69</v>
      </c>
      <c r="P624" s="227">
        <v>121.08</v>
      </c>
      <c r="Q624" s="227">
        <v>110.82</v>
      </c>
      <c r="R624" s="227">
        <v>116.99</v>
      </c>
      <c r="S624" s="227"/>
      <c r="T624" s="227">
        <v>68.466999999999999</v>
      </c>
      <c r="U624" s="227">
        <v>76.454999999999998</v>
      </c>
      <c r="V624" s="227">
        <v>77.585999999999999</v>
      </c>
      <c r="W624" s="227">
        <v>79.5</v>
      </c>
      <c r="X624" s="227">
        <v>79.5</v>
      </c>
      <c r="Y624" s="227">
        <v>79.5</v>
      </c>
      <c r="Z624" s="227">
        <v>79.5</v>
      </c>
      <c r="AA624" s="227">
        <v>79.5</v>
      </c>
      <c r="AB624" s="227">
        <v>35.274999999999999</v>
      </c>
      <c r="AC624" s="227">
        <v>755.17</v>
      </c>
      <c r="AD624" s="230">
        <v>4.0827546296296293E-4</v>
      </c>
      <c r="AE624" s="230">
        <v>211.64999999999998</v>
      </c>
      <c r="AF624" s="230">
        <v>3720.0480000000002</v>
      </c>
      <c r="AG624" s="230">
        <v>448328.23489991977</v>
      </c>
      <c r="AH624" s="230">
        <v>2175809.0382056511</v>
      </c>
      <c r="AI624" s="230">
        <v>4531.0199999999995</v>
      </c>
    </row>
    <row r="625" spans="5:35" x14ac:dyDescent="0.35">
      <c r="E625" s="226">
        <v>1.7555399999999999</v>
      </c>
      <c r="F625" s="227">
        <v>10.031408219178083</v>
      </c>
      <c r="G625" s="227">
        <v>3661.4639999999999</v>
      </c>
      <c r="H625" s="227">
        <v>0.94330000000000003</v>
      </c>
      <c r="I625" s="227">
        <v>2.4514999999999998</v>
      </c>
      <c r="J625" s="227">
        <v>0.519142697800833</v>
      </c>
      <c r="K625" s="227">
        <v>140</v>
      </c>
      <c r="L625" s="227">
        <v>140</v>
      </c>
      <c r="M625" s="227">
        <v>140</v>
      </c>
      <c r="N625" s="227">
        <v>97.932000000000002</v>
      </c>
      <c r="O625" s="227">
        <v>103.67</v>
      </c>
      <c r="P625" s="227">
        <v>121.06</v>
      </c>
      <c r="Q625" s="227">
        <v>110.8</v>
      </c>
      <c r="R625" s="227">
        <v>116.96</v>
      </c>
      <c r="S625" s="227"/>
      <c r="T625" s="227">
        <v>68.534000000000006</v>
      </c>
      <c r="U625" s="227">
        <v>76.495999999999995</v>
      </c>
      <c r="V625" s="227">
        <v>77.655000000000001</v>
      </c>
      <c r="W625" s="227">
        <v>79.5</v>
      </c>
      <c r="X625" s="227">
        <v>79.5</v>
      </c>
      <c r="Y625" s="227">
        <v>79.5</v>
      </c>
      <c r="Z625" s="227">
        <v>79.5</v>
      </c>
      <c r="AA625" s="227">
        <v>79.5</v>
      </c>
      <c r="AB625" s="227">
        <v>35.176000000000002</v>
      </c>
      <c r="AC625" s="227">
        <v>755.39</v>
      </c>
      <c r="AD625" s="230">
        <v>4.0712962962962963E-4</v>
      </c>
      <c r="AE625" s="230">
        <v>211.05599999999998</v>
      </c>
      <c r="AF625" s="230">
        <v>3721.1099999999997</v>
      </c>
      <c r="AG625" s="230">
        <v>448539.29089991975</v>
      </c>
      <c r="AH625" s="230">
        <v>2179530.148205651</v>
      </c>
      <c r="AI625" s="230">
        <v>4532.34</v>
      </c>
    </row>
    <row r="626" spans="5:35" x14ac:dyDescent="0.35">
      <c r="E626" s="226">
        <v>1.7595399999999999</v>
      </c>
      <c r="F626" s="227">
        <v>10.047846575342465</v>
      </c>
      <c r="G626" s="227">
        <v>3667.4639999999999</v>
      </c>
      <c r="H626" s="227">
        <v>0.94350000000000001</v>
      </c>
      <c r="I626" s="227">
        <v>2.4554999999999998</v>
      </c>
      <c r="J626" s="227">
        <v>0.51938628807861087</v>
      </c>
      <c r="K626" s="227">
        <v>140</v>
      </c>
      <c r="L626" s="227">
        <v>140</v>
      </c>
      <c r="M626" s="227">
        <v>140</v>
      </c>
      <c r="N626" s="227">
        <v>97.915000000000006</v>
      </c>
      <c r="O626" s="227">
        <v>103.65</v>
      </c>
      <c r="P626" s="227">
        <v>121.04</v>
      </c>
      <c r="Q626" s="227">
        <v>110.79</v>
      </c>
      <c r="R626" s="227">
        <v>116.94</v>
      </c>
      <c r="S626" s="227"/>
      <c r="T626" s="227">
        <v>68.600999999999999</v>
      </c>
      <c r="U626" s="227">
        <v>76.537999999999997</v>
      </c>
      <c r="V626" s="227">
        <v>77.722999999999999</v>
      </c>
      <c r="W626" s="227">
        <v>79.5</v>
      </c>
      <c r="X626" s="227">
        <v>79.5</v>
      </c>
      <c r="Y626" s="227">
        <v>79.5</v>
      </c>
      <c r="Z626" s="227">
        <v>79.5</v>
      </c>
      <c r="AA626" s="227">
        <v>79.5</v>
      </c>
      <c r="AB626" s="227">
        <v>35.076999999999998</v>
      </c>
      <c r="AC626" s="227">
        <v>755.6</v>
      </c>
      <c r="AD626" s="230">
        <v>4.0598379629629627E-4</v>
      </c>
      <c r="AE626" s="230">
        <v>210.46199999999999</v>
      </c>
      <c r="AF626" s="230">
        <v>3722.1720000000005</v>
      </c>
      <c r="AG626" s="230">
        <v>448749.75289991975</v>
      </c>
      <c r="AH626" s="230">
        <v>2183252.3202056508</v>
      </c>
      <c r="AI626" s="230">
        <v>4533.6000000000004</v>
      </c>
    </row>
    <row r="627" spans="5:35" x14ac:dyDescent="0.35">
      <c r="E627" s="226">
        <v>1.7635399999999999</v>
      </c>
      <c r="F627" s="227">
        <v>10.064284931506849</v>
      </c>
      <c r="G627" s="227">
        <v>3673.4639999999999</v>
      </c>
      <c r="H627" s="227">
        <v>0.94359999999999999</v>
      </c>
      <c r="I627" s="227">
        <v>2.4594999999999998</v>
      </c>
      <c r="J627" s="227">
        <v>0.51962919780083305</v>
      </c>
      <c r="K627" s="227">
        <v>140</v>
      </c>
      <c r="L627" s="227">
        <v>140</v>
      </c>
      <c r="M627" s="227">
        <v>140</v>
      </c>
      <c r="N627" s="227">
        <v>97.897999999999996</v>
      </c>
      <c r="O627" s="227">
        <v>103.63</v>
      </c>
      <c r="P627" s="227">
        <v>121.02</v>
      </c>
      <c r="Q627" s="227">
        <v>110.77</v>
      </c>
      <c r="R627" s="227">
        <v>116.92</v>
      </c>
      <c r="S627" s="227"/>
      <c r="T627" s="227">
        <v>68.667000000000002</v>
      </c>
      <c r="U627" s="227">
        <v>76.578999999999994</v>
      </c>
      <c r="V627" s="227">
        <v>77.790999999999997</v>
      </c>
      <c r="W627" s="227">
        <v>79.5</v>
      </c>
      <c r="X627" s="227">
        <v>79.5</v>
      </c>
      <c r="Y627" s="227">
        <v>79.5</v>
      </c>
      <c r="Z627" s="227">
        <v>79.5</v>
      </c>
      <c r="AA627" s="227">
        <v>79.5</v>
      </c>
      <c r="AB627" s="227">
        <v>34.978999999999999</v>
      </c>
      <c r="AC627" s="227">
        <v>755.81</v>
      </c>
      <c r="AD627" s="230">
        <v>4.0484953703703701E-4</v>
      </c>
      <c r="AE627" s="230">
        <v>209.874</v>
      </c>
      <c r="AF627" s="230">
        <v>3723.2220000000002</v>
      </c>
      <c r="AG627" s="230">
        <v>448959.62689991976</v>
      </c>
      <c r="AH627" s="230">
        <v>2186975.5422056508</v>
      </c>
      <c r="AI627" s="230">
        <v>4534.8599999999997</v>
      </c>
    </row>
    <row r="628" spans="5:35" x14ac:dyDescent="0.35">
      <c r="E628" s="226">
        <v>1.7675399999999999</v>
      </c>
      <c r="F628" s="227">
        <v>10.080723287671233</v>
      </c>
      <c r="G628" s="227">
        <v>3679.4639999999999</v>
      </c>
      <c r="H628" s="227">
        <v>0.94379999999999997</v>
      </c>
      <c r="I628" s="227">
        <v>2.4634999999999998</v>
      </c>
      <c r="J628" s="227">
        <v>0.51987142696749977</v>
      </c>
      <c r="K628" s="227">
        <v>140</v>
      </c>
      <c r="L628" s="227">
        <v>140</v>
      </c>
      <c r="M628" s="227">
        <v>140</v>
      </c>
      <c r="N628" s="227">
        <v>97.881</v>
      </c>
      <c r="O628" s="227">
        <v>103.61</v>
      </c>
      <c r="P628" s="227">
        <v>121</v>
      </c>
      <c r="Q628" s="227">
        <v>110.75</v>
      </c>
      <c r="R628" s="227">
        <v>116.9</v>
      </c>
      <c r="S628" s="227"/>
      <c r="T628" s="227">
        <v>68.733999999999995</v>
      </c>
      <c r="U628" s="227">
        <v>76.620999999999995</v>
      </c>
      <c r="V628" s="227">
        <v>77.858000000000004</v>
      </c>
      <c r="W628" s="227">
        <v>79.5</v>
      </c>
      <c r="X628" s="227">
        <v>79.5</v>
      </c>
      <c r="Y628" s="227">
        <v>79.5</v>
      </c>
      <c r="Z628" s="227">
        <v>79.5</v>
      </c>
      <c r="AA628" s="227">
        <v>79.5</v>
      </c>
      <c r="AB628" s="227">
        <v>34.881</v>
      </c>
      <c r="AC628" s="227">
        <v>756.03</v>
      </c>
      <c r="AD628" s="230">
        <v>4.037152777777778E-4</v>
      </c>
      <c r="AE628" s="230">
        <v>209.286</v>
      </c>
      <c r="AF628" s="230">
        <v>3724.2779999999998</v>
      </c>
      <c r="AG628" s="230">
        <v>449168.91289991979</v>
      </c>
      <c r="AH628" s="230">
        <v>2190699.8202056508</v>
      </c>
      <c r="AI628" s="230">
        <v>4536.18</v>
      </c>
    </row>
    <row r="629" spans="5:35" x14ac:dyDescent="0.35">
      <c r="E629" s="226">
        <v>1.7716400000000001</v>
      </c>
      <c r="F629" s="227">
        <v>10.097161643835616</v>
      </c>
      <c r="G629" s="227">
        <v>3685.4639999999999</v>
      </c>
      <c r="H629" s="227">
        <v>0.94399999999999995</v>
      </c>
      <c r="I629" s="227">
        <v>2.4676</v>
      </c>
      <c r="J629" s="227">
        <v>0.52011298252305538</v>
      </c>
      <c r="K629" s="227">
        <v>140</v>
      </c>
      <c r="L629" s="227">
        <v>140</v>
      </c>
      <c r="M629" s="227">
        <v>140</v>
      </c>
      <c r="N629" s="227">
        <v>97.864000000000004</v>
      </c>
      <c r="O629" s="227">
        <v>103.59</v>
      </c>
      <c r="P629" s="227">
        <v>120.98</v>
      </c>
      <c r="Q629" s="227">
        <v>110.74</v>
      </c>
      <c r="R629" s="227">
        <v>116.87</v>
      </c>
      <c r="S629" s="227"/>
      <c r="T629" s="227">
        <v>68.8</v>
      </c>
      <c r="U629" s="227">
        <v>76.662000000000006</v>
      </c>
      <c r="V629" s="227">
        <v>77.926000000000002</v>
      </c>
      <c r="W629" s="227">
        <v>79.5</v>
      </c>
      <c r="X629" s="227">
        <v>79.5</v>
      </c>
      <c r="Y629" s="227">
        <v>79.5</v>
      </c>
      <c r="Z629" s="227">
        <v>79.5</v>
      </c>
      <c r="AA629" s="227">
        <v>79.5</v>
      </c>
      <c r="AB629" s="227">
        <v>34.783999999999999</v>
      </c>
      <c r="AC629" s="227">
        <v>756.24</v>
      </c>
      <c r="AD629" s="230">
        <v>4.0259259259259257E-4</v>
      </c>
      <c r="AE629" s="230">
        <v>208.70399999999998</v>
      </c>
      <c r="AF629" s="230">
        <v>3725.3279999999995</v>
      </c>
      <c r="AG629" s="230">
        <v>449377.61689991981</v>
      </c>
      <c r="AH629" s="230">
        <v>2194425.148205651</v>
      </c>
      <c r="AI629" s="230">
        <v>4537.4400000000005</v>
      </c>
    </row>
    <row r="630" spans="5:35" x14ac:dyDescent="0.35">
      <c r="E630" s="226">
        <v>1.7756400000000001</v>
      </c>
      <c r="F630" s="227">
        <v>10.1136</v>
      </c>
      <c r="G630" s="227">
        <v>3691.4639999999999</v>
      </c>
      <c r="H630" s="227">
        <v>0.94420000000000004</v>
      </c>
      <c r="I630" s="227">
        <v>2.4716</v>
      </c>
      <c r="J630" s="227">
        <v>0.52035386446749976</v>
      </c>
      <c r="K630" s="227">
        <v>140</v>
      </c>
      <c r="L630" s="227">
        <v>140</v>
      </c>
      <c r="M630" s="227">
        <v>140</v>
      </c>
      <c r="N630" s="227">
        <v>97.846999999999994</v>
      </c>
      <c r="O630" s="227">
        <v>103.57</v>
      </c>
      <c r="P630" s="227">
        <v>120.96</v>
      </c>
      <c r="Q630" s="227">
        <v>110.72</v>
      </c>
      <c r="R630" s="227">
        <v>116.85</v>
      </c>
      <c r="S630" s="227"/>
      <c r="T630" s="227">
        <v>68.866</v>
      </c>
      <c r="U630" s="227">
        <v>76.703000000000003</v>
      </c>
      <c r="V630" s="227">
        <v>77.992999999999995</v>
      </c>
      <c r="W630" s="227">
        <v>79.5</v>
      </c>
      <c r="X630" s="227">
        <v>79.5</v>
      </c>
      <c r="Y630" s="227">
        <v>79.5</v>
      </c>
      <c r="Z630" s="227">
        <v>79.5</v>
      </c>
      <c r="AA630" s="227">
        <v>79.5</v>
      </c>
      <c r="AB630" s="227">
        <v>34.686999999999998</v>
      </c>
      <c r="AC630" s="227">
        <v>756.45</v>
      </c>
      <c r="AD630" s="230">
        <v>4.0146990740740741E-4</v>
      </c>
      <c r="AE630" s="230">
        <v>208.12199999999999</v>
      </c>
      <c r="AF630" s="230">
        <v>3726.3720000000003</v>
      </c>
      <c r="AG630" s="230">
        <v>449585.73889991979</v>
      </c>
      <c r="AH630" s="230">
        <v>2198151.5202056509</v>
      </c>
      <c r="AI630" s="230">
        <v>4538.7000000000007</v>
      </c>
    </row>
    <row r="631" spans="5:35" x14ac:dyDescent="0.35">
      <c r="E631" s="226">
        <v>1.7796400000000001</v>
      </c>
      <c r="F631" s="227">
        <v>10.130038356164384</v>
      </c>
      <c r="G631" s="227">
        <v>3697.4639999999999</v>
      </c>
      <c r="H631" s="227">
        <v>0.94430000000000003</v>
      </c>
      <c r="I631" s="227">
        <v>2.4756</v>
      </c>
      <c r="J631" s="227">
        <v>0.52059407280083303</v>
      </c>
      <c r="K631" s="227">
        <v>140</v>
      </c>
      <c r="L631" s="227">
        <v>140</v>
      </c>
      <c r="M631" s="227">
        <v>140</v>
      </c>
      <c r="N631" s="227">
        <v>97.83</v>
      </c>
      <c r="O631" s="227">
        <v>103.56</v>
      </c>
      <c r="P631" s="227">
        <v>120.95</v>
      </c>
      <c r="Q631" s="227">
        <v>110.7</v>
      </c>
      <c r="R631" s="227">
        <v>116.83</v>
      </c>
      <c r="S631" s="227"/>
      <c r="T631" s="227">
        <v>68.933000000000007</v>
      </c>
      <c r="U631" s="227">
        <v>76.744</v>
      </c>
      <c r="V631" s="227">
        <v>78.061000000000007</v>
      </c>
      <c r="W631" s="227">
        <v>79.5</v>
      </c>
      <c r="X631" s="227">
        <v>79.5</v>
      </c>
      <c r="Y631" s="227">
        <v>79.5</v>
      </c>
      <c r="Z631" s="227">
        <v>79.5</v>
      </c>
      <c r="AA631" s="227">
        <v>79.5</v>
      </c>
      <c r="AB631" s="227">
        <v>34.590000000000003</v>
      </c>
      <c r="AC631" s="227">
        <v>756.67</v>
      </c>
      <c r="AD631" s="230">
        <v>4.0034722222222224E-4</v>
      </c>
      <c r="AE631" s="230">
        <v>207.54</v>
      </c>
      <c r="AF631" s="230">
        <v>3727.4280000000003</v>
      </c>
      <c r="AG631" s="230">
        <v>449793.27889991977</v>
      </c>
      <c r="AH631" s="230">
        <v>2201878.9482056508</v>
      </c>
      <c r="AI631" s="230">
        <v>4540.0199999999995</v>
      </c>
    </row>
    <row r="632" spans="5:35" x14ac:dyDescent="0.35">
      <c r="E632" s="226">
        <v>1.7836400000000001</v>
      </c>
      <c r="F632" s="227">
        <v>10.146476712328766</v>
      </c>
      <c r="G632" s="227">
        <v>3703.4639999999999</v>
      </c>
      <c r="H632" s="227">
        <v>0.94450000000000001</v>
      </c>
      <c r="I632" s="227">
        <v>2.4796</v>
      </c>
      <c r="J632" s="227">
        <v>0.5208336075230553</v>
      </c>
      <c r="K632" s="227">
        <v>140</v>
      </c>
      <c r="L632" s="227">
        <v>140</v>
      </c>
      <c r="M632" s="227">
        <v>140</v>
      </c>
      <c r="N632" s="227">
        <v>97.813999999999993</v>
      </c>
      <c r="O632" s="227">
        <v>103.54</v>
      </c>
      <c r="P632" s="227">
        <v>120.93</v>
      </c>
      <c r="Q632" s="227">
        <v>110.69</v>
      </c>
      <c r="R632" s="227">
        <v>116.81</v>
      </c>
      <c r="S632" s="227"/>
      <c r="T632" s="227">
        <v>68.998999999999995</v>
      </c>
      <c r="U632" s="227">
        <v>76.784999999999997</v>
      </c>
      <c r="V632" s="227">
        <v>78.128</v>
      </c>
      <c r="W632" s="227">
        <v>79.5</v>
      </c>
      <c r="X632" s="227">
        <v>79.5</v>
      </c>
      <c r="Y632" s="227">
        <v>79.5</v>
      </c>
      <c r="Z632" s="227">
        <v>79.5</v>
      </c>
      <c r="AA632" s="227">
        <v>79.5</v>
      </c>
      <c r="AB632" s="227">
        <v>34.493000000000002</v>
      </c>
      <c r="AC632" s="227">
        <v>756.88</v>
      </c>
      <c r="AD632" s="230">
        <v>3.9922453703703707E-4</v>
      </c>
      <c r="AE632" s="230">
        <v>206.958</v>
      </c>
      <c r="AF632" s="230">
        <v>3728.4720000000002</v>
      </c>
      <c r="AG632" s="230">
        <v>450000.23689991975</v>
      </c>
      <c r="AH632" s="230">
        <v>2205607.4202056509</v>
      </c>
      <c r="AI632" s="230">
        <v>4541.28</v>
      </c>
    </row>
    <row r="633" spans="5:35" x14ac:dyDescent="0.35">
      <c r="E633" s="226">
        <v>1.7876400000000001</v>
      </c>
      <c r="F633" s="227">
        <v>10.162915068493151</v>
      </c>
      <c r="G633" s="227">
        <v>3709.4639999999999</v>
      </c>
      <c r="H633" s="227">
        <v>0.94469999999999998</v>
      </c>
      <c r="I633" s="227">
        <v>2.4836</v>
      </c>
      <c r="J633" s="227">
        <v>0.52107247557861081</v>
      </c>
      <c r="K633" s="227">
        <v>140</v>
      </c>
      <c r="L633" s="227">
        <v>140</v>
      </c>
      <c r="M633" s="227">
        <v>140</v>
      </c>
      <c r="N633" s="227">
        <v>97.796999999999997</v>
      </c>
      <c r="O633" s="227">
        <v>103.52</v>
      </c>
      <c r="P633" s="227">
        <v>120.91</v>
      </c>
      <c r="Q633" s="227">
        <v>110.67</v>
      </c>
      <c r="R633" s="227">
        <v>116.78</v>
      </c>
      <c r="S633" s="227"/>
      <c r="T633" s="227">
        <v>69.064999999999998</v>
      </c>
      <c r="U633" s="227">
        <v>76.825999999999993</v>
      </c>
      <c r="V633" s="227">
        <v>78.194999999999993</v>
      </c>
      <c r="W633" s="227">
        <v>79.5</v>
      </c>
      <c r="X633" s="227">
        <v>79.5</v>
      </c>
      <c r="Y633" s="227">
        <v>79.5</v>
      </c>
      <c r="Z633" s="227">
        <v>79.5</v>
      </c>
      <c r="AA633" s="227">
        <v>79.5</v>
      </c>
      <c r="AB633" s="227">
        <v>34.396999999999998</v>
      </c>
      <c r="AC633" s="227">
        <v>757.09</v>
      </c>
      <c r="AD633" s="230">
        <v>3.9811342592592589E-4</v>
      </c>
      <c r="AE633" s="230">
        <v>206.38199999999998</v>
      </c>
      <c r="AF633" s="230">
        <v>3729.5160000000001</v>
      </c>
      <c r="AG633" s="230">
        <v>450206.61889991973</v>
      </c>
      <c r="AH633" s="230">
        <v>2209336.9362056507</v>
      </c>
      <c r="AI633" s="230">
        <v>4542.54</v>
      </c>
    </row>
    <row r="634" spans="5:35" x14ac:dyDescent="0.35">
      <c r="E634" s="226">
        <v>1.7916400000000001</v>
      </c>
      <c r="F634" s="227">
        <v>10.179353424657535</v>
      </c>
      <c r="G634" s="227">
        <v>3715.4639999999999</v>
      </c>
      <c r="H634" s="227">
        <v>0.94479999999999997</v>
      </c>
      <c r="I634" s="227">
        <v>2.4876</v>
      </c>
      <c r="J634" s="227">
        <v>0.52131067696749966</v>
      </c>
      <c r="K634" s="227">
        <v>140</v>
      </c>
      <c r="L634" s="227">
        <v>140</v>
      </c>
      <c r="M634" s="227">
        <v>140</v>
      </c>
      <c r="N634" s="227">
        <v>97.78</v>
      </c>
      <c r="O634" s="227">
        <v>103.5</v>
      </c>
      <c r="P634" s="227">
        <v>120.89</v>
      </c>
      <c r="Q634" s="227">
        <v>110.65</v>
      </c>
      <c r="R634" s="227">
        <v>116.76</v>
      </c>
      <c r="S634" s="227"/>
      <c r="T634" s="227">
        <v>69.131</v>
      </c>
      <c r="U634" s="227">
        <v>76.866</v>
      </c>
      <c r="V634" s="227">
        <v>78.262</v>
      </c>
      <c r="W634" s="227">
        <v>79.5</v>
      </c>
      <c r="X634" s="227">
        <v>79.5</v>
      </c>
      <c r="Y634" s="227">
        <v>79.5</v>
      </c>
      <c r="Z634" s="227">
        <v>79.5</v>
      </c>
      <c r="AA634" s="227">
        <v>79.5</v>
      </c>
      <c r="AB634" s="227">
        <v>34.301000000000002</v>
      </c>
      <c r="AC634" s="227">
        <v>757.3</v>
      </c>
      <c r="AD634" s="230">
        <v>3.9700231481481482E-4</v>
      </c>
      <c r="AE634" s="230">
        <v>205.80599999999998</v>
      </c>
      <c r="AF634" s="230">
        <v>3730.5540000000001</v>
      </c>
      <c r="AG634" s="230">
        <v>450412.42489991972</v>
      </c>
      <c r="AH634" s="230">
        <v>2213067.4902056507</v>
      </c>
      <c r="AI634" s="230">
        <v>4543.7999999999993</v>
      </c>
    </row>
    <row r="635" spans="5:35" x14ac:dyDescent="0.35">
      <c r="E635" s="226">
        <v>1.7957399999999999</v>
      </c>
      <c r="F635" s="227">
        <v>10.195791780821917</v>
      </c>
      <c r="G635" s="227">
        <v>3721.4639999999999</v>
      </c>
      <c r="H635" s="227">
        <v>0.94499999999999995</v>
      </c>
      <c r="I635" s="227">
        <v>2.4916999999999998</v>
      </c>
      <c r="J635" s="227">
        <v>0.52154821863416634</v>
      </c>
      <c r="K635" s="227">
        <v>140</v>
      </c>
      <c r="L635" s="227">
        <v>140</v>
      </c>
      <c r="M635" s="227">
        <v>140</v>
      </c>
      <c r="N635" s="227">
        <v>97.763999999999996</v>
      </c>
      <c r="O635" s="227">
        <v>103.48</v>
      </c>
      <c r="P635" s="227">
        <v>120.87</v>
      </c>
      <c r="Q635" s="227">
        <v>110.64</v>
      </c>
      <c r="R635" s="227">
        <v>116.74</v>
      </c>
      <c r="S635" s="227"/>
      <c r="T635" s="227">
        <v>69.195999999999998</v>
      </c>
      <c r="U635" s="227">
        <v>76.906999999999996</v>
      </c>
      <c r="V635" s="227">
        <v>78.328999999999994</v>
      </c>
      <c r="W635" s="227">
        <v>79.5</v>
      </c>
      <c r="X635" s="227">
        <v>79.5</v>
      </c>
      <c r="Y635" s="227">
        <v>79.5</v>
      </c>
      <c r="Z635" s="227">
        <v>79.5</v>
      </c>
      <c r="AA635" s="227">
        <v>79.5</v>
      </c>
      <c r="AB635" s="227">
        <v>34.206000000000003</v>
      </c>
      <c r="AC635" s="227">
        <v>757.51</v>
      </c>
      <c r="AD635" s="230">
        <v>3.9590277777777779E-4</v>
      </c>
      <c r="AE635" s="230">
        <v>205.23600000000002</v>
      </c>
      <c r="AF635" s="230">
        <v>3731.5920000000001</v>
      </c>
      <c r="AG635" s="230">
        <v>450617.66089991969</v>
      </c>
      <c r="AH635" s="230">
        <v>2216799.0822056509</v>
      </c>
      <c r="AI635" s="230">
        <v>4545.0599999999995</v>
      </c>
    </row>
    <row r="636" spans="5:35" x14ac:dyDescent="0.35">
      <c r="E636" s="226">
        <v>1.7997399999999999</v>
      </c>
      <c r="F636" s="227">
        <v>10.212230136986301</v>
      </c>
      <c r="G636" s="227">
        <v>3727.4639999999999</v>
      </c>
      <c r="H636" s="227">
        <v>0.94520000000000004</v>
      </c>
      <c r="I636" s="227">
        <v>2.4956999999999998</v>
      </c>
      <c r="J636" s="227">
        <v>0.52178510057861083</v>
      </c>
      <c r="K636" s="227">
        <v>140</v>
      </c>
      <c r="L636" s="227">
        <v>140</v>
      </c>
      <c r="M636" s="227">
        <v>140</v>
      </c>
      <c r="N636" s="227">
        <v>97.747</v>
      </c>
      <c r="O636" s="227">
        <v>103.46</v>
      </c>
      <c r="P636" s="227">
        <v>120.86</v>
      </c>
      <c r="Q636" s="227">
        <v>110.62</v>
      </c>
      <c r="R636" s="227">
        <v>116.72</v>
      </c>
      <c r="S636" s="227"/>
      <c r="T636" s="227">
        <v>69.262</v>
      </c>
      <c r="U636" s="227">
        <v>76.947999999999993</v>
      </c>
      <c r="V636" s="227">
        <v>78.394999999999996</v>
      </c>
      <c r="W636" s="227">
        <v>79.5</v>
      </c>
      <c r="X636" s="227">
        <v>79.5</v>
      </c>
      <c r="Y636" s="227">
        <v>79.5</v>
      </c>
      <c r="Z636" s="227">
        <v>79.5</v>
      </c>
      <c r="AA636" s="227">
        <v>79.5</v>
      </c>
      <c r="AB636" s="227">
        <v>34.110999999999997</v>
      </c>
      <c r="AC636" s="227">
        <v>757.72</v>
      </c>
      <c r="AD636" s="230">
        <v>3.948032407407407E-4</v>
      </c>
      <c r="AE636" s="230">
        <v>204.66599999999997</v>
      </c>
      <c r="AF636" s="230">
        <v>3732.63</v>
      </c>
      <c r="AG636" s="230">
        <v>450822.32689991972</v>
      </c>
      <c r="AH636" s="230">
        <v>2220531.7122056508</v>
      </c>
      <c r="AI636" s="230">
        <v>4546.32</v>
      </c>
    </row>
    <row r="637" spans="5:35" x14ac:dyDescent="0.35">
      <c r="E637" s="226">
        <v>1.8037399999999999</v>
      </c>
      <c r="F637" s="227">
        <v>10.228668493150685</v>
      </c>
      <c r="G637" s="227">
        <v>3733.4639999999999</v>
      </c>
      <c r="H637" s="227">
        <v>0.94530000000000003</v>
      </c>
      <c r="I637" s="227">
        <v>2.4996999999999998</v>
      </c>
      <c r="J637" s="227">
        <v>0.52202131585638856</v>
      </c>
      <c r="K637" s="227">
        <v>140</v>
      </c>
      <c r="L637" s="227">
        <v>140</v>
      </c>
      <c r="M637" s="227">
        <v>140</v>
      </c>
      <c r="N637" s="227">
        <v>97.73</v>
      </c>
      <c r="O637" s="227">
        <v>103.45</v>
      </c>
      <c r="P637" s="227">
        <v>120.84</v>
      </c>
      <c r="Q637" s="227">
        <v>110.6</v>
      </c>
      <c r="R637" s="227">
        <v>116.7</v>
      </c>
      <c r="S637" s="227"/>
      <c r="T637" s="227">
        <v>69.326999999999998</v>
      </c>
      <c r="U637" s="227">
        <v>76.988</v>
      </c>
      <c r="V637" s="227">
        <v>78.462000000000003</v>
      </c>
      <c r="W637" s="227">
        <v>79.5</v>
      </c>
      <c r="X637" s="227">
        <v>79.5</v>
      </c>
      <c r="Y637" s="227">
        <v>79.5</v>
      </c>
      <c r="Z637" s="227">
        <v>79.5</v>
      </c>
      <c r="AA637" s="227">
        <v>79.5</v>
      </c>
      <c r="AB637" s="227">
        <v>34.015000000000001</v>
      </c>
      <c r="AC637" s="227">
        <v>757.93</v>
      </c>
      <c r="AD637" s="230">
        <v>3.9369212962962963E-4</v>
      </c>
      <c r="AE637" s="230">
        <v>204.09</v>
      </c>
      <c r="AF637" s="230">
        <v>3733.6620000000003</v>
      </c>
      <c r="AG637" s="230">
        <v>451026.41689991974</v>
      </c>
      <c r="AH637" s="230">
        <v>2224265.3742056508</v>
      </c>
      <c r="AI637" s="230">
        <v>4547.58</v>
      </c>
    </row>
    <row r="638" spans="5:35" x14ac:dyDescent="0.35">
      <c r="E638" s="226">
        <v>1.8077399999999999</v>
      </c>
      <c r="F638" s="227">
        <v>10.245106849315068</v>
      </c>
      <c r="G638" s="227">
        <v>3739.4639999999999</v>
      </c>
      <c r="H638" s="227">
        <v>0.94550000000000001</v>
      </c>
      <c r="I638" s="227">
        <v>2.5036999999999998</v>
      </c>
      <c r="J638" s="227">
        <v>0.52225688530083303</v>
      </c>
      <c r="K638" s="227">
        <v>140</v>
      </c>
      <c r="L638" s="227">
        <v>140</v>
      </c>
      <c r="M638" s="227">
        <v>140</v>
      </c>
      <c r="N638" s="227">
        <v>97.713999999999999</v>
      </c>
      <c r="O638" s="227">
        <v>103.43</v>
      </c>
      <c r="P638" s="227">
        <v>120.82</v>
      </c>
      <c r="Q638" s="227">
        <v>110.59</v>
      </c>
      <c r="R638" s="227">
        <v>116.67</v>
      </c>
      <c r="S638" s="227"/>
      <c r="T638" s="227">
        <v>69.393000000000001</v>
      </c>
      <c r="U638" s="227">
        <v>77.028999999999996</v>
      </c>
      <c r="V638" s="227">
        <v>78.528000000000006</v>
      </c>
      <c r="W638" s="227">
        <v>79.5</v>
      </c>
      <c r="X638" s="227">
        <v>79.5</v>
      </c>
      <c r="Y638" s="227">
        <v>79.5</v>
      </c>
      <c r="Z638" s="227">
        <v>79.5</v>
      </c>
      <c r="AA638" s="227">
        <v>79.5</v>
      </c>
      <c r="AB638" s="227">
        <v>33.921999999999997</v>
      </c>
      <c r="AC638" s="227">
        <v>758.14</v>
      </c>
      <c r="AD638" s="230">
        <v>3.9261574074074069E-4</v>
      </c>
      <c r="AE638" s="230">
        <v>203.53199999999998</v>
      </c>
      <c r="AF638" s="230">
        <v>3734.7000000000003</v>
      </c>
      <c r="AG638" s="230">
        <v>451229.94889991975</v>
      </c>
      <c r="AH638" s="230">
        <v>2228000.0742056509</v>
      </c>
      <c r="AI638" s="230">
        <v>4548.84</v>
      </c>
    </row>
    <row r="639" spans="5:35" x14ac:dyDescent="0.35">
      <c r="E639" s="226">
        <v>1.8117399999999999</v>
      </c>
      <c r="F639" s="227">
        <v>10.261545205479452</v>
      </c>
      <c r="G639" s="227">
        <v>3745.4639999999999</v>
      </c>
      <c r="H639" s="227">
        <v>0.94569999999999999</v>
      </c>
      <c r="I639" s="227">
        <v>2.5076999999999998</v>
      </c>
      <c r="J639" s="227">
        <v>0.52249179502305532</v>
      </c>
      <c r="K639" s="227">
        <v>140</v>
      </c>
      <c r="L639" s="227">
        <v>140</v>
      </c>
      <c r="M639" s="227">
        <v>140</v>
      </c>
      <c r="N639" s="227">
        <v>97.697000000000003</v>
      </c>
      <c r="O639" s="227">
        <v>103.41</v>
      </c>
      <c r="P639" s="227">
        <v>120.8</v>
      </c>
      <c r="Q639" s="227">
        <v>110.57</v>
      </c>
      <c r="R639" s="227">
        <v>116.65</v>
      </c>
      <c r="S639" s="227"/>
      <c r="T639" s="227">
        <v>69.457999999999998</v>
      </c>
      <c r="U639" s="227">
        <v>77.069000000000003</v>
      </c>
      <c r="V639" s="227">
        <v>78.594999999999999</v>
      </c>
      <c r="W639" s="227">
        <v>79.5</v>
      </c>
      <c r="X639" s="227">
        <v>79.5</v>
      </c>
      <c r="Y639" s="227">
        <v>79.5</v>
      </c>
      <c r="Z639" s="227">
        <v>79.5</v>
      </c>
      <c r="AA639" s="227">
        <v>79.5</v>
      </c>
      <c r="AB639" s="227">
        <v>33.826999999999998</v>
      </c>
      <c r="AC639" s="227">
        <v>758.35</v>
      </c>
      <c r="AD639" s="230">
        <v>3.9151620370370371E-4</v>
      </c>
      <c r="AE639" s="230">
        <v>202.96199999999999</v>
      </c>
      <c r="AF639" s="230">
        <v>3735.732</v>
      </c>
      <c r="AG639" s="230">
        <v>451432.91089991975</v>
      </c>
      <c r="AH639" s="230">
        <v>2231735.8062056508</v>
      </c>
      <c r="AI639" s="230">
        <v>4550.1000000000004</v>
      </c>
    </row>
    <row r="640" spans="5:35" x14ac:dyDescent="0.35">
      <c r="E640" s="226">
        <v>1.8157399999999999</v>
      </c>
      <c r="F640" s="227">
        <v>10.277983561643836</v>
      </c>
      <c r="G640" s="227">
        <v>3751.4639999999999</v>
      </c>
      <c r="H640" s="227">
        <v>0.94579999999999997</v>
      </c>
      <c r="I640" s="227">
        <v>2.5116999999999998</v>
      </c>
      <c r="J640" s="227">
        <v>0.52272605196749966</v>
      </c>
      <c r="K640" s="227">
        <v>140</v>
      </c>
      <c r="L640" s="227">
        <v>140</v>
      </c>
      <c r="M640" s="227">
        <v>140</v>
      </c>
      <c r="N640" s="227">
        <v>97.68</v>
      </c>
      <c r="O640" s="227">
        <v>103.39</v>
      </c>
      <c r="P640" s="227">
        <v>120.78</v>
      </c>
      <c r="Q640" s="227">
        <v>110.55</v>
      </c>
      <c r="R640" s="227">
        <v>116.63</v>
      </c>
      <c r="S640" s="227"/>
      <c r="T640" s="227">
        <v>69.524000000000001</v>
      </c>
      <c r="U640" s="227">
        <v>77.11</v>
      </c>
      <c r="V640" s="227">
        <v>78.661000000000001</v>
      </c>
      <c r="W640" s="227">
        <v>79.5</v>
      </c>
      <c r="X640" s="227">
        <v>79.5</v>
      </c>
      <c r="Y640" s="227">
        <v>79.5</v>
      </c>
      <c r="Z640" s="227">
        <v>79.5</v>
      </c>
      <c r="AA640" s="227">
        <v>79.5</v>
      </c>
      <c r="AB640" s="227">
        <v>33.732999999999997</v>
      </c>
      <c r="AC640" s="227">
        <v>758.56</v>
      </c>
      <c r="AD640" s="230">
        <v>3.9042824074074072E-4</v>
      </c>
      <c r="AE640" s="230">
        <v>202.398</v>
      </c>
      <c r="AF640" s="230">
        <v>3736.7700000000004</v>
      </c>
      <c r="AG640" s="230">
        <v>451635.30889991974</v>
      </c>
      <c r="AH640" s="230">
        <v>2235472.5762056508</v>
      </c>
      <c r="AI640" s="230">
        <v>4551.3599999999997</v>
      </c>
    </row>
    <row r="641" spans="5:35" x14ac:dyDescent="0.35">
      <c r="E641" s="226">
        <v>1.8198400000000001</v>
      </c>
      <c r="F641" s="227">
        <v>10.294421917808219</v>
      </c>
      <c r="G641" s="227">
        <v>3757.4639999999999</v>
      </c>
      <c r="H641" s="227">
        <v>0.94599999999999995</v>
      </c>
      <c r="I641" s="227">
        <v>2.5158</v>
      </c>
      <c r="J641" s="227">
        <v>0.52295965613416628</v>
      </c>
      <c r="K641" s="227">
        <v>140</v>
      </c>
      <c r="L641" s="227">
        <v>140</v>
      </c>
      <c r="M641" s="227">
        <v>140</v>
      </c>
      <c r="N641" s="227">
        <v>97.664000000000001</v>
      </c>
      <c r="O641" s="227">
        <v>103.37</v>
      </c>
      <c r="P641" s="227">
        <v>120.77</v>
      </c>
      <c r="Q641" s="227">
        <v>110.54</v>
      </c>
      <c r="R641" s="227">
        <v>116.61</v>
      </c>
      <c r="S641" s="227"/>
      <c r="T641" s="227">
        <v>69.588999999999999</v>
      </c>
      <c r="U641" s="227">
        <v>77.150000000000006</v>
      </c>
      <c r="V641" s="227">
        <v>78.727000000000004</v>
      </c>
      <c r="W641" s="227">
        <v>79.5</v>
      </c>
      <c r="X641" s="227">
        <v>79.5</v>
      </c>
      <c r="Y641" s="227">
        <v>79.5</v>
      </c>
      <c r="Z641" s="227">
        <v>79.5</v>
      </c>
      <c r="AA641" s="227">
        <v>79.5</v>
      </c>
      <c r="AB641" s="227">
        <v>33.639000000000003</v>
      </c>
      <c r="AC641" s="227">
        <v>758.77</v>
      </c>
      <c r="AD641" s="230">
        <v>3.8934027777777779E-4</v>
      </c>
      <c r="AE641" s="230">
        <v>201.834</v>
      </c>
      <c r="AF641" s="230">
        <v>3737.7960000000003</v>
      </c>
      <c r="AG641" s="230">
        <v>451837.14289991971</v>
      </c>
      <c r="AH641" s="230">
        <v>2239210.3722056509</v>
      </c>
      <c r="AI641" s="230">
        <v>4552.62</v>
      </c>
    </row>
    <row r="642" spans="5:35" x14ac:dyDescent="0.35">
      <c r="E642" s="226">
        <v>1.8238400000000001</v>
      </c>
      <c r="F642" s="227">
        <v>10.310860273972603</v>
      </c>
      <c r="G642" s="227">
        <v>3763.4639999999999</v>
      </c>
      <c r="H642" s="227">
        <v>0.94620000000000004</v>
      </c>
      <c r="I642" s="227">
        <v>2.5198</v>
      </c>
      <c r="J642" s="227">
        <v>0.52319261446749965</v>
      </c>
      <c r="K642" s="227">
        <v>140</v>
      </c>
      <c r="L642" s="227">
        <v>140</v>
      </c>
      <c r="M642" s="227">
        <v>140</v>
      </c>
      <c r="N642" s="227">
        <v>97.647999999999996</v>
      </c>
      <c r="O642" s="227">
        <v>103.36</v>
      </c>
      <c r="P642" s="227">
        <v>120.75</v>
      </c>
      <c r="Q642" s="227">
        <v>110.52</v>
      </c>
      <c r="R642" s="227">
        <v>116.59</v>
      </c>
      <c r="S642" s="227"/>
      <c r="T642" s="227">
        <v>69.653999999999996</v>
      </c>
      <c r="U642" s="227">
        <v>77.191000000000003</v>
      </c>
      <c r="V642" s="227">
        <v>78.793000000000006</v>
      </c>
      <c r="W642" s="227">
        <v>79.5</v>
      </c>
      <c r="X642" s="227">
        <v>79.5</v>
      </c>
      <c r="Y642" s="227">
        <v>79.5</v>
      </c>
      <c r="Z642" s="227">
        <v>79.5</v>
      </c>
      <c r="AA642" s="227">
        <v>79.5</v>
      </c>
      <c r="AB642" s="227">
        <v>33.545999999999999</v>
      </c>
      <c r="AC642" s="227">
        <v>758.98</v>
      </c>
      <c r="AD642" s="230">
        <v>3.8826388888888889E-4</v>
      </c>
      <c r="AE642" s="230">
        <v>201.27599999999998</v>
      </c>
      <c r="AF642" s="230">
        <v>3738.8280000000004</v>
      </c>
      <c r="AG642" s="230">
        <v>452038.41889991972</v>
      </c>
      <c r="AH642" s="230">
        <v>2242949.2002056511</v>
      </c>
      <c r="AI642" s="230">
        <v>4553.88</v>
      </c>
    </row>
    <row r="643" spans="5:35" x14ac:dyDescent="0.35">
      <c r="E643" s="226">
        <v>1.8278400000000001</v>
      </c>
      <c r="F643" s="227">
        <v>10.327298630136987</v>
      </c>
      <c r="G643" s="227">
        <v>3769.4639999999999</v>
      </c>
      <c r="H643" s="227">
        <v>0.94630000000000003</v>
      </c>
      <c r="I643" s="227">
        <v>2.5238</v>
      </c>
      <c r="J643" s="227">
        <v>0.52342492696749965</v>
      </c>
      <c r="K643" s="227">
        <v>140</v>
      </c>
      <c r="L643" s="227">
        <v>140</v>
      </c>
      <c r="M643" s="227">
        <v>140</v>
      </c>
      <c r="N643" s="227">
        <v>97.631</v>
      </c>
      <c r="O643" s="227">
        <v>103.34</v>
      </c>
      <c r="P643" s="227">
        <v>120.73</v>
      </c>
      <c r="Q643" s="227">
        <v>110.5</v>
      </c>
      <c r="R643" s="227">
        <v>116.56</v>
      </c>
      <c r="S643" s="227"/>
      <c r="T643" s="227">
        <v>69.718999999999994</v>
      </c>
      <c r="U643" s="227">
        <v>77.230999999999995</v>
      </c>
      <c r="V643" s="227">
        <v>78.858999999999995</v>
      </c>
      <c r="W643" s="227">
        <v>79.5</v>
      </c>
      <c r="X643" s="227">
        <v>79.5</v>
      </c>
      <c r="Y643" s="227">
        <v>79.5</v>
      </c>
      <c r="Z643" s="227">
        <v>79.5</v>
      </c>
      <c r="AA643" s="227">
        <v>79.5</v>
      </c>
      <c r="AB643" s="227">
        <v>33.453000000000003</v>
      </c>
      <c r="AC643" s="227">
        <v>759.19</v>
      </c>
      <c r="AD643" s="230">
        <v>3.8718750000000005E-4</v>
      </c>
      <c r="AE643" s="230">
        <v>200.71800000000005</v>
      </c>
      <c r="AF643" s="230">
        <v>3739.8539999999998</v>
      </c>
      <c r="AG643" s="230">
        <v>452239.13689991971</v>
      </c>
      <c r="AH643" s="230">
        <v>2246689.0542056509</v>
      </c>
      <c r="AI643" s="230">
        <v>4555.1400000000003</v>
      </c>
    </row>
    <row r="644" spans="5:35" x14ac:dyDescent="0.35">
      <c r="E644" s="226">
        <v>1.8318400000000001</v>
      </c>
      <c r="F644" s="227">
        <v>10.343736986301369</v>
      </c>
      <c r="G644" s="227">
        <v>3775.4639999999999</v>
      </c>
      <c r="H644" s="227">
        <v>0.94650000000000001</v>
      </c>
      <c r="I644" s="227">
        <v>2.5278</v>
      </c>
      <c r="J644" s="227">
        <v>0.52365659363416628</v>
      </c>
      <c r="K644" s="227">
        <v>140</v>
      </c>
      <c r="L644" s="227">
        <v>140</v>
      </c>
      <c r="M644" s="227">
        <v>140</v>
      </c>
      <c r="N644" s="227">
        <v>97.614999999999995</v>
      </c>
      <c r="O644" s="227">
        <v>103.32</v>
      </c>
      <c r="P644" s="227">
        <v>120.71</v>
      </c>
      <c r="Q644" s="227">
        <v>110.49</v>
      </c>
      <c r="R644" s="227">
        <v>116.54</v>
      </c>
      <c r="S644" s="227"/>
      <c r="T644" s="227">
        <v>69.784000000000006</v>
      </c>
      <c r="U644" s="227">
        <v>77.271000000000001</v>
      </c>
      <c r="V644" s="227">
        <v>78.924000000000007</v>
      </c>
      <c r="W644" s="227">
        <v>79.5</v>
      </c>
      <c r="X644" s="227">
        <v>79.5</v>
      </c>
      <c r="Y644" s="227">
        <v>79.5</v>
      </c>
      <c r="Z644" s="227">
        <v>79.5</v>
      </c>
      <c r="AA644" s="227">
        <v>79.5</v>
      </c>
      <c r="AB644" s="227">
        <v>33.36</v>
      </c>
      <c r="AC644" s="227">
        <v>759.4</v>
      </c>
      <c r="AD644" s="230">
        <v>3.8611111111111111E-4</v>
      </c>
      <c r="AE644" s="230">
        <v>200.16</v>
      </c>
      <c r="AF644" s="230">
        <v>3740.8740000000003</v>
      </c>
      <c r="AG644" s="230">
        <v>452439.29689991969</v>
      </c>
      <c r="AH644" s="230">
        <v>2250429.9282056508</v>
      </c>
      <c r="AI644" s="230">
        <v>4556.3999999999996</v>
      </c>
    </row>
    <row r="645" spans="5:35" x14ac:dyDescent="0.35">
      <c r="E645" s="226">
        <v>1.8358400000000001</v>
      </c>
      <c r="F645" s="227">
        <v>10.360175342465753</v>
      </c>
      <c r="G645" s="227">
        <v>3781.4639999999999</v>
      </c>
      <c r="H645" s="227">
        <v>0.94669999999999999</v>
      </c>
      <c r="I645" s="227">
        <v>2.5318000000000001</v>
      </c>
      <c r="J645" s="227">
        <v>0.52388762141194412</v>
      </c>
      <c r="K645" s="227">
        <v>140</v>
      </c>
      <c r="L645" s="227">
        <v>140</v>
      </c>
      <c r="M645" s="227">
        <v>140</v>
      </c>
      <c r="N645" s="227">
        <v>97.597999999999999</v>
      </c>
      <c r="O645" s="227">
        <v>103.3</v>
      </c>
      <c r="P645" s="227">
        <v>120.7</v>
      </c>
      <c r="Q645" s="227">
        <v>110.47</v>
      </c>
      <c r="R645" s="227">
        <v>116.52</v>
      </c>
      <c r="S645" s="227"/>
      <c r="T645" s="227">
        <v>69.849000000000004</v>
      </c>
      <c r="U645" s="227">
        <v>77.311000000000007</v>
      </c>
      <c r="V645" s="227">
        <v>78.989999999999995</v>
      </c>
      <c r="W645" s="227">
        <v>79.5</v>
      </c>
      <c r="X645" s="227">
        <v>79.5</v>
      </c>
      <c r="Y645" s="227">
        <v>79.5</v>
      </c>
      <c r="Z645" s="227">
        <v>79.5</v>
      </c>
      <c r="AA645" s="227">
        <v>79.5</v>
      </c>
      <c r="AB645" s="227">
        <v>33.268000000000001</v>
      </c>
      <c r="AC645" s="227">
        <v>759.61</v>
      </c>
      <c r="AD645" s="230">
        <v>3.8504629629629631E-4</v>
      </c>
      <c r="AE645" s="230">
        <v>199.608</v>
      </c>
      <c r="AF645" s="230">
        <v>3741.9000000000005</v>
      </c>
      <c r="AG645" s="230">
        <v>452638.9048999197</v>
      </c>
      <c r="AH645" s="230">
        <v>2254171.8282056507</v>
      </c>
      <c r="AI645" s="230">
        <v>4557.66</v>
      </c>
    </row>
    <row r="646" spans="5:35" x14ac:dyDescent="0.35">
      <c r="E646" s="226">
        <v>1.8398400000000001</v>
      </c>
      <c r="F646" s="227">
        <v>10.376613698630138</v>
      </c>
      <c r="G646" s="227">
        <v>3787.4639999999999</v>
      </c>
      <c r="H646" s="227">
        <v>0.94679999999999997</v>
      </c>
      <c r="I646" s="227">
        <v>2.5358000000000001</v>
      </c>
      <c r="J646" s="227">
        <v>0.52411801030083294</v>
      </c>
      <c r="K646" s="227">
        <v>140</v>
      </c>
      <c r="L646" s="227">
        <v>140</v>
      </c>
      <c r="M646" s="227">
        <v>140</v>
      </c>
      <c r="N646" s="227">
        <v>97.581999999999994</v>
      </c>
      <c r="O646" s="227">
        <v>103.29</v>
      </c>
      <c r="P646" s="227">
        <v>120.68</v>
      </c>
      <c r="Q646" s="227">
        <v>110.46</v>
      </c>
      <c r="R646" s="227">
        <v>116.5</v>
      </c>
      <c r="S646" s="227"/>
      <c r="T646" s="227">
        <v>69.914000000000001</v>
      </c>
      <c r="U646" s="227">
        <v>77.352000000000004</v>
      </c>
      <c r="V646" s="227">
        <v>79.055999999999997</v>
      </c>
      <c r="W646" s="227">
        <v>79.5</v>
      </c>
      <c r="X646" s="227">
        <v>79.5</v>
      </c>
      <c r="Y646" s="227">
        <v>79.5</v>
      </c>
      <c r="Z646" s="227">
        <v>79.5</v>
      </c>
      <c r="AA646" s="227">
        <v>79.5</v>
      </c>
      <c r="AB646" s="227">
        <v>33.176000000000002</v>
      </c>
      <c r="AC646" s="227">
        <v>759.81</v>
      </c>
      <c r="AD646" s="230">
        <v>3.8398148148148151E-4</v>
      </c>
      <c r="AE646" s="230">
        <v>199.05600000000001</v>
      </c>
      <c r="AF646" s="230">
        <v>3742.9319999999998</v>
      </c>
      <c r="AG646" s="230">
        <v>452837.96089991968</v>
      </c>
      <c r="AH646" s="230">
        <v>2257914.7602056507</v>
      </c>
      <c r="AI646" s="230">
        <v>4558.8599999999997</v>
      </c>
    </row>
    <row r="647" spans="5:35" x14ac:dyDescent="0.35">
      <c r="E647" s="226">
        <v>1.8439399999999999</v>
      </c>
      <c r="F647" s="227">
        <v>10.39305205479452</v>
      </c>
      <c r="G647" s="227">
        <v>3793.4639999999999</v>
      </c>
      <c r="H647" s="227">
        <v>0.94699999999999995</v>
      </c>
      <c r="I647" s="227">
        <v>2.5398999999999998</v>
      </c>
      <c r="J647" s="227">
        <v>0.52434776030083297</v>
      </c>
      <c r="K647" s="227">
        <v>140</v>
      </c>
      <c r="L647" s="227">
        <v>140</v>
      </c>
      <c r="M647" s="227">
        <v>140</v>
      </c>
      <c r="N647" s="227">
        <v>97.566000000000003</v>
      </c>
      <c r="O647" s="227">
        <v>103.27</v>
      </c>
      <c r="P647" s="227">
        <v>120.66</v>
      </c>
      <c r="Q647" s="227">
        <v>110.44</v>
      </c>
      <c r="R647" s="227">
        <v>116.48</v>
      </c>
      <c r="S647" s="227"/>
      <c r="T647" s="227">
        <v>69.977999999999994</v>
      </c>
      <c r="U647" s="227">
        <v>77.391999999999996</v>
      </c>
      <c r="V647" s="227">
        <v>79.120999999999995</v>
      </c>
      <c r="W647" s="227">
        <v>79.5</v>
      </c>
      <c r="X647" s="227">
        <v>79.5</v>
      </c>
      <c r="Y647" s="227">
        <v>79.5</v>
      </c>
      <c r="Z647" s="227">
        <v>79.5</v>
      </c>
      <c r="AA647" s="227">
        <v>79.5</v>
      </c>
      <c r="AB647" s="227">
        <v>33.084000000000003</v>
      </c>
      <c r="AC647" s="227">
        <v>760.02</v>
      </c>
      <c r="AD647" s="230">
        <v>3.8291666666666671E-4</v>
      </c>
      <c r="AE647" s="230">
        <v>198.50400000000002</v>
      </c>
      <c r="AF647" s="230">
        <v>3743.9459999999999</v>
      </c>
      <c r="AG647" s="230">
        <v>453036.46489991969</v>
      </c>
      <c r="AH647" s="230">
        <v>2261658.7062056507</v>
      </c>
      <c r="AI647" s="230">
        <v>4560.12</v>
      </c>
    </row>
    <row r="648" spans="5:35" x14ac:dyDescent="0.35">
      <c r="E648" s="226">
        <v>1.8479399999999999</v>
      </c>
      <c r="F648" s="227">
        <v>10.409490410958904</v>
      </c>
      <c r="G648" s="227">
        <v>3799.4639999999999</v>
      </c>
      <c r="H648" s="227">
        <v>0.94710000000000005</v>
      </c>
      <c r="I648" s="227">
        <v>2.5438999999999998</v>
      </c>
      <c r="J648" s="227">
        <v>0.52457687835638855</v>
      </c>
      <c r="K648" s="227">
        <v>140</v>
      </c>
      <c r="L648" s="227">
        <v>140</v>
      </c>
      <c r="M648" s="227">
        <v>140</v>
      </c>
      <c r="N648" s="227">
        <v>97.549000000000007</v>
      </c>
      <c r="O648" s="227">
        <v>103.25</v>
      </c>
      <c r="P648" s="227">
        <v>120.64</v>
      </c>
      <c r="Q648" s="227">
        <v>110.42</v>
      </c>
      <c r="R648" s="227">
        <v>116.46</v>
      </c>
      <c r="S648" s="227"/>
      <c r="T648" s="227">
        <v>70.043000000000006</v>
      </c>
      <c r="U648" s="227">
        <v>77.430999999999997</v>
      </c>
      <c r="V648" s="227">
        <v>79.186000000000007</v>
      </c>
      <c r="W648" s="227">
        <v>79.5</v>
      </c>
      <c r="X648" s="227">
        <v>79.5</v>
      </c>
      <c r="Y648" s="227">
        <v>79.5</v>
      </c>
      <c r="Z648" s="227">
        <v>79.5</v>
      </c>
      <c r="AA648" s="227">
        <v>79.5</v>
      </c>
      <c r="AB648" s="227">
        <v>32.993000000000002</v>
      </c>
      <c r="AC648" s="227">
        <v>760.23</v>
      </c>
      <c r="AD648" s="230">
        <v>3.8186342592592596E-4</v>
      </c>
      <c r="AE648" s="230">
        <v>197.95800000000003</v>
      </c>
      <c r="AF648" s="230">
        <v>3744.96</v>
      </c>
      <c r="AG648" s="230">
        <v>453234.42289991968</v>
      </c>
      <c r="AH648" s="230">
        <v>2265403.6662056507</v>
      </c>
      <c r="AI648" s="230">
        <v>4561.38</v>
      </c>
    </row>
    <row r="649" spans="5:35" x14ac:dyDescent="0.35">
      <c r="E649" s="226">
        <v>1.8519399999999999</v>
      </c>
      <c r="F649" s="227">
        <v>10.425928767123288</v>
      </c>
      <c r="G649" s="227">
        <v>3805.4639999999999</v>
      </c>
      <c r="H649" s="227">
        <v>0.94730000000000003</v>
      </c>
      <c r="I649" s="227">
        <v>2.5478999999999998</v>
      </c>
      <c r="J649" s="227">
        <v>0.52480536446749959</v>
      </c>
      <c r="K649" s="227">
        <v>140</v>
      </c>
      <c r="L649" s="227">
        <v>140</v>
      </c>
      <c r="M649" s="227">
        <v>140</v>
      </c>
      <c r="N649" s="227">
        <v>97.533000000000001</v>
      </c>
      <c r="O649" s="227">
        <v>103.23</v>
      </c>
      <c r="P649" s="227">
        <v>120.63</v>
      </c>
      <c r="Q649" s="227">
        <v>110.41</v>
      </c>
      <c r="R649" s="227">
        <v>116.44</v>
      </c>
      <c r="S649" s="227"/>
      <c r="T649" s="227">
        <v>70.106999999999999</v>
      </c>
      <c r="U649" s="227">
        <v>77.471000000000004</v>
      </c>
      <c r="V649" s="227">
        <v>79.251000000000005</v>
      </c>
      <c r="W649" s="227">
        <v>79.5</v>
      </c>
      <c r="X649" s="227">
        <v>79.5</v>
      </c>
      <c r="Y649" s="227">
        <v>79.5</v>
      </c>
      <c r="Z649" s="227">
        <v>79.5</v>
      </c>
      <c r="AA649" s="227">
        <v>79.5</v>
      </c>
      <c r="AB649" s="227">
        <v>32.902000000000001</v>
      </c>
      <c r="AC649" s="227">
        <v>760.43</v>
      </c>
      <c r="AD649" s="230">
        <v>3.808101851851852E-4</v>
      </c>
      <c r="AE649" s="230">
        <v>197.41200000000001</v>
      </c>
      <c r="AF649" s="230">
        <v>3745.9739999999997</v>
      </c>
      <c r="AG649" s="230">
        <v>453431.83489991969</v>
      </c>
      <c r="AH649" s="230">
        <v>2269149.6402056506</v>
      </c>
      <c r="AI649" s="230">
        <v>4562.58</v>
      </c>
    </row>
    <row r="650" spans="5:35" x14ac:dyDescent="0.35">
      <c r="E650" s="226">
        <v>1.8559399999999999</v>
      </c>
      <c r="F650" s="227">
        <v>10.442367123287671</v>
      </c>
      <c r="G650" s="227">
        <v>3811.4639999999999</v>
      </c>
      <c r="H650" s="227">
        <v>0.94750000000000001</v>
      </c>
      <c r="I650" s="227">
        <v>2.5518999999999998</v>
      </c>
      <c r="J650" s="227">
        <v>0.5250332186341663</v>
      </c>
      <c r="K650" s="227">
        <v>140</v>
      </c>
      <c r="L650" s="227">
        <v>140</v>
      </c>
      <c r="M650" s="227">
        <v>140</v>
      </c>
      <c r="N650" s="227">
        <v>97.516999999999996</v>
      </c>
      <c r="O650" s="227">
        <v>103.21</v>
      </c>
      <c r="P650" s="227">
        <v>120.61</v>
      </c>
      <c r="Q650" s="227">
        <v>110.39</v>
      </c>
      <c r="R650" s="227">
        <v>116.41</v>
      </c>
      <c r="S650" s="227"/>
      <c r="T650" s="227">
        <v>70.171999999999997</v>
      </c>
      <c r="U650" s="227">
        <v>77.510999999999996</v>
      </c>
      <c r="V650" s="227">
        <v>79.316000000000003</v>
      </c>
      <c r="W650" s="227">
        <v>79.5</v>
      </c>
      <c r="X650" s="227">
        <v>79.5</v>
      </c>
      <c r="Y650" s="227">
        <v>79.5</v>
      </c>
      <c r="Z650" s="227">
        <v>79.5</v>
      </c>
      <c r="AA650" s="227">
        <v>79.5</v>
      </c>
      <c r="AB650" s="227">
        <v>32.811</v>
      </c>
      <c r="AC650" s="227">
        <v>760.64</v>
      </c>
      <c r="AD650" s="230">
        <v>3.7975694444444445E-4</v>
      </c>
      <c r="AE650" s="230">
        <v>196.86599999999999</v>
      </c>
      <c r="AF650" s="230">
        <v>3746.9940000000001</v>
      </c>
      <c r="AG650" s="230">
        <v>453628.70089991967</v>
      </c>
      <c r="AH650" s="230">
        <v>2272896.6342056505</v>
      </c>
      <c r="AI650" s="230">
        <v>4563.84</v>
      </c>
    </row>
    <row r="651" spans="5:35" x14ac:dyDescent="0.35">
      <c r="E651" s="226">
        <v>1.8599399999999999</v>
      </c>
      <c r="F651" s="227">
        <v>10.458805479452055</v>
      </c>
      <c r="G651" s="227">
        <v>3817.4639999999999</v>
      </c>
      <c r="H651" s="227">
        <v>0.9476</v>
      </c>
      <c r="I651" s="227">
        <v>2.5558999999999998</v>
      </c>
      <c r="J651" s="227">
        <v>0.52526044085638857</v>
      </c>
      <c r="K651" s="227">
        <v>140</v>
      </c>
      <c r="L651" s="227">
        <v>140</v>
      </c>
      <c r="M651" s="227">
        <v>140</v>
      </c>
      <c r="N651" s="227">
        <v>97.501000000000005</v>
      </c>
      <c r="O651" s="227">
        <v>103.2</v>
      </c>
      <c r="P651" s="227">
        <v>120.59</v>
      </c>
      <c r="Q651" s="227">
        <v>110.38</v>
      </c>
      <c r="R651" s="227">
        <v>116.39</v>
      </c>
      <c r="S651" s="227"/>
      <c r="T651" s="227">
        <v>70.236000000000004</v>
      </c>
      <c r="U651" s="227">
        <v>77.551000000000002</v>
      </c>
      <c r="V651" s="227">
        <v>79.381</v>
      </c>
      <c r="W651" s="227">
        <v>79.5</v>
      </c>
      <c r="X651" s="227">
        <v>79.5</v>
      </c>
      <c r="Y651" s="227">
        <v>79.5</v>
      </c>
      <c r="Z651" s="227">
        <v>79.5</v>
      </c>
      <c r="AA651" s="227">
        <v>79.5</v>
      </c>
      <c r="AB651" s="227">
        <v>32.72</v>
      </c>
      <c r="AC651" s="227">
        <v>760.85</v>
      </c>
      <c r="AD651" s="230">
        <v>3.7870370370370369E-4</v>
      </c>
      <c r="AE651" s="230">
        <v>196.32000000000002</v>
      </c>
      <c r="AF651" s="230">
        <v>3748.0079999999998</v>
      </c>
      <c r="AG651" s="230">
        <v>453825.02089991968</v>
      </c>
      <c r="AH651" s="230">
        <v>2276644.6422056505</v>
      </c>
      <c r="AI651" s="230">
        <v>4565.1000000000004</v>
      </c>
    </row>
    <row r="652" spans="5:35" x14ac:dyDescent="0.35">
      <c r="E652" s="226">
        <v>1.8640400000000001</v>
      </c>
      <c r="F652" s="227">
        <v>10.475243835616439</v>
      </c>
      <c r="G652" s="227">
        <v>3823.4639999999999</v>
      </c>
      <c r="H652" s="227">
        <v>0.94779999999999998</v>
      </c>
      <c r="I652" s="227">
        <v>2.56</v>
      </c>
      <c r="J652" s="227">
        <v>0.52548703807861075</v>
      </c>
      <c r="K652" s="227">
        <v>140</v>
      </c>
      <c r="L652" s="227">
        <v>140</v>
      </c>
      <c r="M652" s="227">
        <v>140</v>
      </c>
      <c r="N652" s="227">
        <v>97.483999999999995</v>
      </c>
      <c r="O652" s="227">
        <v>103.18</v>
      </c>
      <c r="P652" s="227">
        <v>120.57</v>
      </c>
      <c r="Q652" s="227">
        <v>110.36</v>
      </c>
      <c r="R652" s="227">
        <v>116.37</v>
      </c>
      <c r="S652" s="227"/>
      <c r="T652" s="227">
        <v>70.3</v>
      </c>
      <c r="U652" s="227">
        <v>77.590999999999994</v>
      </c>
      <c r="V652" s="227">
        <v>79.445999999999998</v>
      </c>
      <c r="W652" s="227">
        <v>79.5</v>
      </c>
      <c r="X652" s="227">
        <v>79.5</v>
      </c>
      <c r="Y652" s="227">
        <v>79.5</v>
      </c>
      <c r="Z652" s="227">
        <v>79.5</v>
      </c>
      <c r="AA652" s="227">
        <v>79.5</v>
      </c>
      <c r="AB652" s="227">
        <v>32.630000000000003</v>
      </c>
      <c r="AC652" s="227">
        <v>761.05</v>
      </c>
      <c r="AD652" s="230">
        <v>3.7766203703703708E-4</v>
      </c>
      <c r="AE652" s="230">
        <v>195.78000000000003</v>
      </c>
      <c r="AF652" s="230">
        <v>3749.0219999999999</v>
      </c>
      <c r="AG652" s="230">
        <v>454020.8008999197</v>
      </c>
      <c r="AH652" s="230">
        <v>2280393.6642056503</v>
      </c>
      <c r="AI652" s="230">
        <v>4566.2999999999993</v>
      </c>
    </row>
    <row r="653" spans="5:35" x14ac:dyDescent="0.35">
      <c r="E653" s="226">
        <v>1.8680400000000001</v>
      </c>
      <c r="F653" s="227">
        <v>10.491682191780821</v>
      </c>
      <c r="G653" s="227">
        <v>3829.4639999999999</v>
      </c>
      <c r="H653" s="227">
        <v>0.94789999999999996</v>
      </c>
      <c r="I653" s="227">
        <v>2.5640000000000001</v>
      </c>
      <c r="J653" s="227">
        <v>0.52571301030083295</v>
      </c>
      <c r="K653" s="227">
        <v>140</v>
      </c>
      <c r="L653" s="227">
        <v>140</v>
      </c>
      <c r="M653" s="227">
        <v>139.99</v>
      </c>
      <c r="N653" s="227">
        <v>97.468000000000004</v>
      </c>
      <c r="O653" s="227">
        <v>103.16</v>
      </c>
      <c r="P653" s="227">
        <v>120.55</v>
      </c>
      <c r="Q653" s="227">
        <v>110.35</v>
      </c>
      <c r="R653" s="227">
        <v>116.35</v>
      </c>
      <c r="S653" s="227"/>
      <c r="T653" s="227">
        <v>70.367000000000004</v>
      </c>
      <c r="U653" s="227">
        <v>77.631</v>
      </c>
      <c r="V653" s="227">
        <v>79.5</v>
      </c>
      <c r="W653" s="227">
        <v>79.5</v>
      </c>
      <c r="X653" s="227">
        <v>79.5</v>
      </c>
      <c r="Y653" s="227">
        <v>79.5</v>
      </c>
      <c r="Z653" s="227">
        <v>79.5</v>
      </c>
      <c r="AA653" s="227">
        <v>79.5</v>
      </c>
      <c r="AB653" s="227">
        <v>32.54</v>
      </c>
      <c r="AC653" s="227">
        <v>761.25</v>
      </c>
      <c r="AD653" s="230">
        <v>3.7662037037037037E-4</v>
      </c>
      <c r="AE653" s="230">
        <v>195.23999999999998</v>
      </c>
      <c r="AF653" s="230">
        <v>3749.9880000000003</v>
      </c>
      <c r="AG653" s="230">
        <v>454216.0408999197</v>
      </c>
      <c r="AH653" s="230">
        <v>2284143.6522056502</v>
      </c>
      <c r="AI653" s="230">
        <v>4567.5</v>
      </c>
    </row>
    <row r="654" spans="5:35" x14ac:dyDescent="0.35">
      <c r="E654" s="226">
        <v>1.8720400000000001</v>
      </c>
      <c r="F654" s="227">
        <v>10.508120547945206</v>
      </c>
      <c r="G654" s="227">
        <v>3835.4639999999999</v>
      </c>
      <c r="H654" s="227">
        <v>0.94810000000000005</v>
      </c>
      <c r="I654" s="227">
        <v>2.5680000000000001</v>
      </c>
      <c r="J654" s="227">
        <v>0.52593834363416636</v>
      </c>
      <c r="K654" s="227">
        <v>140</v>
      </c>
      <c r="L654" s="227">
        <v>140</v>
      </c>
      <c r="M654" s="227">
        <v>139.96</v>
      </c>
      <c r="N654" s="227">
        <v>97.45</v>
      </c>
      <c r="O654" s="227">
        <v>103.14</v>
      </c>
      <c r="P654" s="227">
        <v>120.53</v>
      </c>
      <c r="Q654" s="227">
        <v>110.33</v>
      </c>
      <c r="R654" s="227">
        <v>116.33</v>
      </c>
      <c r="S654" s="227"/>
      <c r="T654" s="227">
        <v>70.447000000000003</v>
      </c>
      <c r="U654" s="227">
        <v>77.676000000000002</v>
      </c>
      <c r="V654" s="227">
        <v>79.5</v>
      </c>
      <c r="W654" s="227">
        <v>79.5</v>
      </c>
      <c r="X654" s="227">
        <v>79.5</v>
      </c>
      <c r="Y654" s="227">
        <v>79.5</v>
      </c>
      <c r="Z654" s="227">
        <v>79.5</v>
      </c>
      <c r="AA654" s="227">
        <v>79.5</v>
      </c>
      <c r="AB654" s="227">
        <v>32.448</v>
      </c>
      <c r="AC654" s="227">
        <v>761.4</v>
      </c>
      <c r="AD654" s="230">
        <v>3.7555555555555557E-4</v>
      </c>
      <c r="AE654" s="230">
        <v>194.68799999999999</v>
      </c>
      <c r="AF654" s="230">
        <v>3750.7380000000003</v>
      </c>
      <c r="AG654" s="230">
        <v>454410.72889991972</v>
      </c>
      <c r="AH654" s="230">
        <v>2287894.3902056501</v>
      </c>
      <c r="AI654" s="230">
        <v>4568.3999999999996</v>
      </c>
    </row>
    <row r="655" spans="5:35" x14ac:dyDescent="0.35">
      <c r="E655" s="226">
        <v>1.8760400000000002</v>
      </c>
      <c r="F655" s="227">
        <v>10.52455890410959</v>
      </c>
      <c r="G655" s="227">
        <v>3841.4639999999999</v>
      </c>
      <c r="H655" s="227">
        <v>0.94830000000000003</v>
      </c>
      <c r="I655" s="227">
        <v>2.5720000000000001</v>
      </c>
      <c r="J655" s="227">
        <v>0.52616303807861076</v>
      </c>
      <c r="K655" s="227">
        <v>140</v>
      </c>
      <c r="L655" s="227">
        <v>140</v>
      </c>
      <c r="M655" s="227">
        <v>139.94</v>
      </c>
      <c r="N655" s="227">
        <v>97.430999999999997</v>
      </c>
      <c r="O655" s="227">
        <v>103.13</v>
      </c>
      <c r="P655" s="227">
        <v>120.51</v>
      </c>
      <c r="Q655" s="227">
        <v>110.31</v>
      </c>
      <c r="R655" s="227">
        <v>116.31</v>
      </c>
      <c r="S655" s="227"/>
      <c r="T655" s="227">
        <v>70.522000000000006</v>
      </c>
      <c r="U655" s="227">
        <v>77.718999999999994</v>
      </c>
      <c r="V655" s="227">
        <v>79.5</v>
      </c>
      <c r="W655" s="227">
        <v>79.5</v>
      </c>
      <c r="X655" s="227">
        <v>79.5</v>
      </c>
      <c r="Y655" s="227">
        <v>79.5</v>
      </c>
      <c r="Z655" s="227">
        <v>79.5</v>
      </c>
      <c r="AA655" s="227">
        <v>79.5</v>
      </c>
      <c r="AB655" s="227">
        <v>32.356000000000002</v>
      </c>
      <c r="AC655" s="227">
        <v>761.54</v>
      </c>
      <c r="AD655" s="230">
        <v>3.7449074074074077E-4</v>
      </c>
      <c r="AE655" s="230">
        <v>194.13600000000002</v>
      </c>
      <c r="AF655" s="230">
        <v>3751.4459999999999</v>
      </c>
      <c r="AG655" s="230">
        <v>454604.86489991972</v>
      </c>
      <c r="AH655" s="230">
        <v>2291645.8362056501</v>
      </c>
      <c r="AI655" s="230">
        <v>4569.24</v>
      </c>
    </row>
    <row r="656" spans="5:35" x14ac:dyDescent="0.35">
      <c r="E656" s="226">
        <v>1.8800400000000002</v>
      </c>
      <c r="F656" s="227">
        <v>10.540997260273972</v>
      </c>
      <c r="G656" s="227">
        <v>3847.4639999999999</v>
      </c>
      <c r="H656" s="227">
        <v>0.94840000000000002</v>
      </c>
      <c r="I656" s="227">
        <v>2.5760000000000001</v>
      </c>
      <c r="J656" s="227">
        <v>0.52638709363416636</v>
      </c>
      <c r="K656" s="227">
        <v>140</v>
      </c>
      <c r="L656" s="227">
        <v>140</v>
      </c>
      <c r="M656" s="227">
        <v>139.9</v>
      </c>
      <c r="N656" s="227">
        <v>97.412999999999997</v>
      </c>
      <c r="O656" s="227">
        <v>103.11</v>
      </c>
      <c r="P656" s="227">
        <v>120.49</v>
      </c>
      <c r="Q656" s="227">
        <v>110.3</v>
      </c>
      <c r="R656" s="227">
        <v>116.29</v>
      </c>
      <c r="S656" s="227"/>
      <c r="T656" s="227">
        <v>70.608000000000004</v>
      </c>
      <c r="U656" s="227">
        <v>77.765000000000001</v>
      </c>
      <c r="V656" s="227">
        <v>79.5</v>
      </c>
      <c r="W656" s="227">
        <v>79.5</v>
      </c>
      <c r="X656" s="227">
        <v>79.5</v>
      </c>
      <c r="Y656" s="227">
        <v>79.5</v>
      </c>
      <c r="Z656" s="227">
        <v>79.5</v>
      </c>
      <c r="AA656" s="227">
        <v>79.5</v>
      </c>
      <c r="AB656" s="227">
        <v>32.264000000000003</v>
      </c>
      <c r="AC656" s="227">
        <v>761.7</v>
      </c>
      <c r="AD656" s="230">
        <v>3.7342592592592598E-4</v>
      </c>
      <c r="AE656" s="230">
        <v>193.58400000000003</v>
      </c>
      <c r="AF656" s="230">
        <v>3752.2380000000003</v>
      </c>
      <c r="AG656" s="230">
        <v>454798.44889991969</v>
      </c>
      <c r="AH656" s="230">
        <v>2295398.07420565</v>
      </c>
      <c r="AI656" s="230">
        <v>4570.2000000000007</v>
      </c>
    </row>
    <row r="657" spans="5:35" x14ac:dyDescent="0.35">
      <c r="E657" s="226">
        <v>1.8840400000000002</v>
      </c>
      <c r="F657" s="227">
        <v>10.557435616438356</v>
      </c>
      <c r="G657" s="227">
        <v>3853.4639999999999</v>
      </c>
      <c r="H657" s="227">
        <v>0.9486</v>
      </c>
      <c r="I657" s="227">
        <v>2.58</v>
      </c>
      <c r="J657" s="227">
        <v>0.52661051724527741</v>
      </c>
      <c r="K657" s="227">
        <v>140</v>
      </c>
      <c r="L657" s="227">
        <v>140</v>
      </c>
      <c r="M657" s="227">
        <v>139.87</v>
      </c>
      <c r="N657" s="227">
        <v>97.394999999999996</v>
      </c>
      <c r="O657" s="227">
        <v>103.09</v>
      </c>
      <c r="P657" s="227">
        <v>120.47</v>
      </c>
      <c r="Q657" s="227">
        <v>110.28</v>
      </c>
      <c r="R657" s="227">
        <v>116.26</v>
      </c>
      <c r="S657" s="227"/>
      <c r="T657" s="227">
        <v>70.688000000000002</v>
      </c>
      <c r="U657" s="227">
        <v>77.808999999999997</v>
      </c>
      <c r="V657" s="227">
        <v>79.5</v>
      </c>
      <c r="W657" s="227">
        <v>79.5</v>
      </c>
      <c r="X657" s="227">
        <v>79.5</v>
      </c>
      <c r="Y657" s="227">
        <v>79.5</v>
      </c>
      <c r="Z657" s="227">
        <v>79.5</v>
      </c>
      <c r="AA657" s="227">
        <v>79.5</v>
      </c>
      <c r="AB657" s="227">
        <v>32.173000000000002</v>
      </c>
      <c r="AC657" s="227">
        <v>761.85</v>
      </c>
      <c r="AD657" s="230">
        <v>3.7237268518518522E-4</v>
      </c>
      <c r="AE657" s="230">
        <v>193.03800000000001</v>
      </c>
      <c r="AF657" s="230">
        <v>3752.9820000000004</v>
      </c>
      <c r="AG657" s="230">
        <v>454991.48689991969</v>
      </c>
      <c r="AH657" s="230">
        <v>2299151.0562056499</v>
      </c>
      <c r="AI657" s="230">
        <v>4571.1000000000004</v>
      </c>
    </row>
    <row r="658" spans="5:35" x14ac:dyDescent="0.35">
      <c r="E658" s="226">
        <v>1.8881399999999999</v>
      </c>
      <c r="F658" s="227">
        <v>10.57387397260274</v>
      </c>
      <c r="G658" s="227">
        <v>3859.4639999999999</v>
      </c>
      <c r="H658" s="227">
        <v>0.94869999999999999</v>
      </c>
      <c r="I658" s="227">
        <v>2.5840999999999998</v>
      </c>
      <c r="J658" s="227">
        <v>0.52683330196749967</v>
      </c>
      <c r="K658" s="227">
        <v>140</v>
      </c>
      <c r="L658" s="227">
        <v>140</v>
      </c>
      <c r="M658" s="227">
        <v>139.84</v>
      </c>
      <c r="N658" s="227">
        <v>97.376999999999995</v>
      </c>
      <c r="O658" s="227">
        <v>103.07</v>
      </c>
      <c r="P658" s="227">
        <v>120.44</v>
      </c>
      <c r="Q658" s="227">
        <v>110.26</v>
      </c>
      <c r="R658" s="227">
        <v>116.24</v>
      </c>
      <c r="S658" s="227"/>
      <c r="T658" s="227">
        <v>70.768000000000001</v>
      </c>
      <c r="U658" s="227">
        <v>77.852999999999994</v>
      </c>
      <c r="V658" s="227">
        <v>79.5</v>
      </c>
      <c r="W658" s="227">
        <v>79.5</v>
      </c>
      <c r="X658" s="227">
        <v>79.5</v>
      </c>
      <c r="Y658" s="227">
        <v>79.5</v>
      </c>
      <c r="Z658" s="227">
        <v>79.5</v>
      </c>
      <c r="AA658" s="227">
        <v>79.5</v>
      </c>
      <c r="AB658" s="227">
        <v>32.081000000000003</v>
      </c>
      <c r="AC658" s="227">
        <v>762.01</v>
      </c>
      <c r="AD658" s="230">
        <v>3.7130787037037042E-4</v>
      </c>
      <c r="AE658" s="230">
        <v>192.48600000000005</v>
      </c>
      <c r="AF658" s="230">
        <v>3753.7259999999997</v>
      </c>
      <c r="AG658" s="230">
        <v>455183.97289991967</v>
      </c>
      <c r="AH658" s="230">
        <v>2302904.7822056497</v>
      </c>
      <c r="AI658" s="230">
        <v>4572.0599999999995</v>
      </c>
    </row>
    <row r="659" spans="5:35" x14ac:dyDescent="0.35">
      <c r="E659" s="226">
        <v>1.8921399999999999</v>
      </c>
      <c r="F659" s="227">
        <v>10.590312328767123</v>
      </c>
      <c r="G659" s="227">
        <v>3865.4639999999999</v>
      </c>
      <c r="H659" s="227">
        <v>0.94889999999999997</v>
      </c>
      <c r="I659" s="227">
        <v>2.5880999999999998</v>
      </c>
      <c r="J659" s="227">
        <v>0.52705546168972184</v>
      </c>
      <c r="K659" s="227">
        <v>140</v>
      </c>
      <c r="L659" s="227">
        <v>140</v>
      </c>
      <c r="M659" s="227">
        <v>139.81</v>
      </c>
      <c r="N659" s="227">
        <v>97.358000000000004</v>
      </c>
      <c r="O659" s="227">
        <v>103.05</v>
      </c>
      <c r="P659" s="227">
        <v>120.42</v>
      </c>
      <c r="Q659" s="227">
        <v>110.25</v>
      </c>
      <c r="R659" s="227">
        <v>116.22</v>
      </c>
      <c r="S659" s="227"/>
      <c r="T659" s="227">
        <v>70.846999999999994</v>
      </c>
      <c r="U659" s="227">
        <v>77.897000000000006</v>
      </c>
      <c r="V659" s="227">
        <v>79.5</v>
      </c>
      <c r="W659" s="227">
        <v>79.5</v>
      </c>
      <c r="X659" s="227">
        <v>79.5</v>
      </c>
      <c r="Y659" s="227">
        <v>79.5</v>
      </c>
      <c r="Z659" s="227">
        <v>79.5</v>
      </c>
      <c r="AA659" s="227">
        <v>79.5</v>
      </c>
      <c r="AB659" s="227">
        <v>31.991</v>
      </c>
      <c r="AC659" s="227">
        <v>762.16</v>
      </c>
      <c r="AD659" s="230">
        <v>3.7026620370370371E-4</v>
      </c>
      <c r="AE659" s="230">
        <v>191.94599999999997</v>
      </c>
      <c r="AF659" s="230">
        <v>3754.4639999999999</v>
      </c>
      <c r="AG659" s="230">
        <v>455375.91889991966</v>
      </c>
      <c r="AH659" s="230">
        <v>2306659.2462056498</v>
      </c>
      <c r="AI659" s="230">
        <v>4572.96</v>
      </c>
    </row>
    <row r="660" spans="5:35" x14ac:dyDescent="0.35">
      <c r="E660" s="226">
        <v>1.8961399999999999</v>
      </c>
      <c r="F660" s="227">
        <v>10.606750684931507</v>
      </c>
      <c r="G660" s="227">
        <v>3871.4639999999999</v>
      </c>
      <c r="H660" s="227">
        <v>0.94899999999999995</v>
      </c>
      <c r="I660" s="227">
        <v>2.5920999999999998</v>
      </c>
      <c r="J660" s="227">
        <v>0.52727698946749968</v>
      </c>
      <c r="K660" s="227">
        <v>140</v>
      </c>
      <c r="L660" s="227">
        <v>140</v>
      </c>
      <c r="M660" s="227">
        <v>139.78</v>
      </c>
      <c r="N660" s="227">
        <v>97.34</v>
      </c>
      <c r="O660" s="227">
        <v>103.04</v>
      </c>
      <c r="P660" s="227">
        <v>120.4</v>
      </c>
      <c r="Q660" s="227">
        <v>110.23</v>
      </c>
      <c r="R660" s="227">
        <v>116.2</v>
      </c>
      <c r="S660" s="227"/>
      <c r="T660" s="227">
        <v>70.927000000000007</v>
      </c>
      <c r="U660" s="227">
        <v>77.941000000000003</v>
      </c>
      <c r="V660" s="227">
        <v>79.5</v>
      </c>
      <c r="W660" s="227">
        <v>79.5</v>
      </c>
      <c r="X660" s="227">
        <v>79.5</v>
      </c>
      <c r="Y660" s="227">
        <v>79.5</v>
      </c>
      <c r="Z660" s="227">
        <v>79.5</v>
      </c>
      <c r="AA660" s="227">
        <v>79.5</v>
      </c>
      <c r="AB660" s="227">
        <v>31.9</v>
      </c>
      <c r="AC660" s="227">
        <v>762.31</v>
      </c>
      <c r="AD660" s="230">
        <v>3.6921296296296295E-4</v>
      </c>
      <c r="AE660" s="230">
        <v>191.4</v>
      </c>
      <c r="AF660" s="230">
        <v>3755.2079999999996</v>
      </c>
      <c r="AG660" s="230">
        <v>455567.31889991969</v>
      </c>
      <c r="AH660" s="230">
        <v>2310414.4542056499</v>
      </c>
      <c r="AI660" s="230">
        <v>4573.8599999999997</v>
      </c>
    </row>
    <row r="661" spans="5:35" x14ac:dyDescent="0.35">
      <c r="E661" s="226">
        <v>1.9001399999999999</v>
      </c>
      <c r="F661" s="227">
        <v>10.623189041095891</v>
      </c>
      <c r="G661" s="227">
        <v>3877.4639999999999</v>
      </c>
      <c r="H661" s="227">
        <v>0.94920000000000004</v>
      </c>
      <c r="I661" s="227">
        <v>2.5960999999999999</v>
      </c>
      <c r="J661" s="227">
        <v>0.52749789224527743</v>
      </c>
      <c r="K661" s="227">
        <v>140</v>
      </c>
      <c r="L661" s="227">
        <v>140</v>
      </c>
      <c r="M661" s="227">
        <v>139.75</v>
      </c>
      <c r="N661" s="227">
        <v>97.322000000000003</v>
      </c>
      <c r="O661" s="227">
        <v>103.02</v>
      </c>
      <c r="P661" s="227">
        <v>120.38</v>
      </c>
      <c r="Q661" s="227">
        <v>110.21</v>
      </c>
      <c r="R661" s="227">
        <v>116.18</v>
      </c>
      <c r="S661" s="227"/>
      <c r="T661" s="227">
        <v>71.006</v>
      </c>
      <c r="U661" s="227">
        <v>77.984999999999999</v>
      </c>
      <c r="V661" s="227">
        <v>79.5</v>
      </c>
      <c r="W661" s="227">
        <v>79.5</v>
      </c>
      <c r="X661" s="227">
        <v>79.5</v>
      </c>
      <c r="Y661" s="227">
        <v>79.5</v>
      </c>
      <c r="Z661" s="227">
        <v>79.5</v>
      </c>
      <c r="AA661" s="227">
        <v>79.5</v>
      </c>
      <c r="AB661" s="227">
        <v>31.81</v>
      </c>
      <c r="AC661" s="227">
        <v>762.46</v>
      </c>
      <c r="AD661" s="230">
        <v>3.6817129629629629E-4</v>
      </c>
      <c r="AE661" s="230">
        <v>190.85999999999999</v>
      </c>
      <c r="AF661" s="230">
        <v>3755.9459999999999</v>
      </c>
      <c r="AG661" s="230">
        <v>455758.17889991967</v>
      </c>
      <c r="AH661" s="230">
        <v>2314170.4002056499</v>
      </c>
      <c r="AI661" s="230">
        <v>4574.76</v>
      </c>
    </row>
    <row r="662" spans="5:35" x14ac:dyDescent="0.35">
      <c r="E662" s="226">
        <v>1.9041399999999999</v>
      </c>
      <c r="F662" s="227">
        <v>10.639627397260274</v>
      </c>
      <c r="G662" s="227">
        <v>3883.4639999999999</v>
      </c>
      <c r="H662" s="227">
        <v>0.94930000000000003</v>
      </c>
      <c r="I662" s="227">
        <v>2.6000999999999999</v>
      </c>
      <c r="J662" s="227">
        <v>0.52771816307861075</v>
      </c>
      <c r="K662" s="227">
        <v>140</v>
      </c>
      <c r="L662" s="227">
        <v>140</v>
      </c>
      <c r="M662" s="227">
        <v>139.72</v>
      </c>
      <c r="N662" s="227">
        <v>97.304000000000002</v>
      </c>
      <c r="O662" s="227">
        <v>103</v>
      </c>
      <c r="P662" s="227">
        <v>120.36</v>
      </c>
      <c r="Q662" s="227">
        <v>110.2</v>
      </c>
      <c r="R662" s="227">
        <v>116.16</v>
      </c>
      <c r="S662" s="227"/>
      <c r="T662" s="227">
        <v>71.085999999999999</v>
      </c>
      <c r="U662" s="227">
        <v>78.028999999999996</v>
      </c>
      <c r="V662" s="227">
        <v>79.5</v>
      </c>
      <c r="W662" s="227">
        <v>79.5</v>
      </c>
      <c r="X662" s="227">
        <v>79.5</v>
      </c>
      <c r="Y662" s="227">
        <v>79.5</v>
      </c>
      <c r="Z662" s="227">
        <v>79.5</v>
      </c>
      <c r="AA662" s="227">
        <v>79.5</v>
      </c>
      <c r="AB662" s="227">
        <v>31.719000000000001</v>
      </c>
      <c r="AC662" s="227">
        <v>762.61</v>
      </c>
      <c r="AD662" s="230">
        <v>3.6711805555555559E-4</v>
      </c>
      <c r="AE662" s="230">
        <v>190.31400000000002</v>
      </c>
      <c r="AF662" s="230">
        <v>3756.69</v>
      </c>
      <c r="AG662" s="230">
        <v>455948.49289991969</v>
      </c>
      <c r="AH662" s="230">
        <v>2317927.0902056498</v>
      </c>
      <c r="AI662" s="230">
        <v>4575.66</v>
      </c>
    </row>
    <row r="663" spans="5:35" x14ac:dyDescent="0.35">
      <c r="E663" s="226">
        <v>1.9081399999999999</v>
      </c>
      <c r="F663" s="227">
        <v>10.656065753424658</v>
      </c>
      <c r="G663" s="227">
        <v>3889.4639999999999</v>
      </c>
      <c r="H663" s="227">
        <v>0.94950000000000001</v>
      </c>
      <c r="I663" s="227">
        <v>2.6040999999999999</v>
      </c>
      <c r="J663" s="227">
        <v>0.52793781585638855</v>
      </c>
      <c r="K663" s="227">
        <v>140</v>
      </c>
      <c r="L663" s="227">
        <v>140</v>
      </c>
      <c r="M663" s="227">
        <v>139.69</v>
      </c>
      <c r="N663" s="227">
        <v>97.286000000000001</v>
      </c>
      <c r="O663" s="227">
        <v>102.98</v>
      </c>
      <c r="P663" s="227">
        <v>120.34</v>
      </c>
      <c r="Q663" s="227">
        <v>110.18</v>
      </c>
      <c r="R663" s="227">
        <v>116.14</v>
      </c>
      <c r="S663" s="227"/>
      <c r="T663" s="227">
        <v>71.165000000000006</v>
      </c>
      <c r="U663" s="227">
        <v>78.072999999999993</v>
      </c>
      <c r="V663" s="227">
        <v>79.5</v>
      </c>
      <c r="W663" s="227">
        <v>79.5</v>
      </c>
      <c r="X663" s="227">
        <v>79.5</v>
      </c>
      <c r="Y663" s="227">
        <v>79.5</v>
      </c>
      <c r="Z663" s="227">
        <v>79.5</v>
      </c>
      <c r="AA663" s="227">
        <v>79.5</v>
      </c>
      <c r="AB663" s="227">
        <v>31.63</v>
      </c>
      <c r="AC663" s="227">
        <v>762.76</v>
      </c>
      <c r="AD663" s="230">
        <v>3.6608796296296297E-4</v>
      </c>
      <c r="AE663" s="230">
        <v>189.78</v>
      </c>
      <c r="AF663" s="230">
        <v>3757.4280000000003</v>
      </c>
      <c r="AG663" s="230">
        <v>456138.27289991971</v>
      </c>
      <c r="AH663" s="230">
        <v>2321684.5182056497</v>
      </c>
      <c r="AI663" s="230">
        <v>4576.5599999999995</v>
      </c>
    </row>
    <row r="664" spans="5:35" x14ac:dyDescent="0.35">
      <c r="E664" s="226">
        <v>1.9122400000000002</v>
      </c>
      <c r="F664" s="227">
        <v>10.67250410958904</v>
      </c>
      <c r="G664" s="227">
        <v>3895.4639999999999</v>
      </c>
      <c r="H664" s="227">
        <v>0.9496</v>
      </c>
      <c r="I664" s="227">
        <v>2.6082000000000001</v>
      </c>
      <c r="J664" s="227">
        <v>0.52815684363416637</v>
      </c>
      <c r="K664" s="227">
        <v>140</v>
      </c>
      <c r="L664" s="227">
        <v>140</v>
      </c>
      <c r="M664" s="227">
        <v>139.66</v>
      </c>
      <c r="N664" s="227">
        <v>97.268000000000001</v>
      </c>
      <c r="O664" s="227">
        <v>102.97</v>
      </c>
      <c r="P664" s="227">
        <v>120.31</v>
      </c>
      <c r="Q664" s="227">
        <v>110.17</v>
      </c>
      <c r="R664" s="227">
        <v>116.12</v>
      </c>
      <c r="S664" s="227"/>
      <c r="T664" s="227">
        <v>71.244</v>
      </c>
      <c r="U664" s="227">
        <v>78.117000000000004</v>
      </c>
      <c r="V664" s="227">
        <v>79.5</v>
      </c>
      <c r="W664" s="227">
        <v>79.5</v>
      </c>
      <c r="X664" s="227">
        <v>79.5</v>
      </c>
      <c r="Y664" s="227">
        <v>79.5</v>
      </c>
      <c r="Z664" s="227">
        <v>79.5</v>
      </c>
      <c r="AA664" s="227">
        <v>79.5</v>
      </c>
      <c r="AB664" s="227">
        <v>31.54</v>
      </c>
      <c r="AC664" s="227">
        <v>762.91</v>
      </c>
      <c r="AD664" s="230">
        <v>3.6504629629629631E-4</v>
      </c>
      <c r="AE664" s="230">
        <v>189.24</v>
      </c>
      <c r="AF664" s="230">
        <v>3758.1660000000002</v>
      </c>
      <c r="AG664" s="230">
        <v>456327.5128999197</v>
      </c>
      <c r="AH664" s="230">
        <v>2325442.6842056499</v>
      </c>
      <c r="AI664" s="230">
        <v>4577.46</v>
      </c>
    </row>
    <row r="665" spans="5:35" x14ac:dyDescent="0.35">
      <c r="E665" s="226">
        <v>1.9162400000000002</v>
      </c>
      <c r="F665" s="227">
        <v>10.688942465753424</v>
      </c>
      <c r="G665" s="227">
        <v>3901.4639999999999</v>
      </c>
      <c r="H665" s="227">
        <v>0.94979999999999998</v>
      </c>
      <c r="I665" s="227">
        <v>2.6122000000000001</v>
      </c>
      <c r="J665" s="227">
        <v>0.52837525335638857</v>
      </c>
      <c r="K665" s="227">
        <v>140</v>
      </c>
      <c r="L665" s="227">
        <v>140</v>
      </c>
      <c r="M665" s="227">
        <v>139.63</v>
      </c>
      <c r="N665" s="227">
        <v>97.25</v>
      </c>
      <c r="O665" s="227">
        <v>102.95</v>
      </c>
      <c r="P665" s="227">
        <v>120.29</v>
      </c>
      <c r="Q665" s="227">
        <v>110.15</v>
      </c>
      <c r="R665" s="227">
        <v>116.1</v>
      </c>
      <c r="S665" s="227"/>
      <c r="T665" s="227">
        <v>71.323999999999998</v>
      </c>
      <c r="U665" s="227">
        <v>78.161000000000001</v>
      </c>
      <c r="V665" s="227">
        <v>79.5</v>
      </c>
      <c r="W665" s="227">
        <v>79.5</v>
      </c>
      <c r="X665" s="227">
        <v>79.5</v>
      </c>
      <c r="Y665" s="227">
        <v>79.5</v>
      </c>
      <c r="Z665" s="227">
        <v>79.5</v>
      </c>
      <c r="AA665" s="227">
        <v>79.5</v>
      </c>
      <c r="AB665" s="227">
        <v>31.451000000000001</v>
      </c>
      <c r="AC665" s="227">
        <v>763.06</v>
      </c>
      <c r="AD665" s="230">
        <v>3.6401620370370369E-4</v>
      </c>
      <c r="AE665" s="230">
        <v>188.70599999999999</v>
      </c>
      <c r="AF665" s="230">
        <v>3758.91</v>
      </c>
      <c r="AG665" s="230">
        <v>456516.21889991971</v>
      </c>
      <c r="AH665" s="230">
        <v>2329201.59420565</v>
      </c>
      <c r="AI665" s="230">
        <v>4578.3599999999997</v>
      </c>
    </row>
    <row r="666" spans="5:35" x14ac:dyDescent="0.35">
      <c r="E666" s="226">
        <v>1.9202400000000002</v>
      </c>
      <c r="F666" s="227">
        <v>10.705380821917808</v>
      </c>
      <c r="G666" s="227">
        <v>3907.4639999999999</v>
      </c>
      <c r="H666" s="227">
        <v>0.95</v>
      </c>
      <c r="I666" s="227">
        <v>2.6162000000000001</v>
      </c>
      <c r="J666" s="227">
        <v>0.52859304502305526</v>
      </c>
      <c r="K666" s="227">
        <v>140</v>
      </c>
      <c r="L666" s="227">
        <v>140</v>
      </c>
      <c r="M666" s="227">
        <v>139.6</v>
      </c>
      <c r="N666" s="227">
        <v>97.231999999999999</v>
      </c>
      <c r="O666" s="227">
        <v>102.93</v>
      </c>
      <c r="P666" s="227">
        <v>120.27</v>
      </c>
      <c r="Q666" s="227">
        <v>110.13</v>
      </c>
      <c r="R666" s="227">
        <v>116.08</v>
      </c>
      <c r="S666" s="227"/>
      <c r="T666" s="227">
        <v>71.403000000000006</v>
      </c>
      <c r="U666" s="227">
        <v>78.203999999999994</v>
      </c>
      <c r="V666" s="227">
        <v>79.5</v>
      </c>
      <c r="W666" s="227">
        <v>79.5</v>
      </c>
      <c r="X666" s="227">
        <v>79.5</v>
      </c>
      <c r="Y666" s="227">
        <v>79.5</v>
      </c>
      <c r="Z666" s="227">
        <v>79.5</v>
      </c>
      <c r="AA666" s="227">
        <v>79.5</v>
      </c>
      <c r="AB666" s="227">
        <v>31.361999999999998</v>
      </c>
      <c r="AC666" s="227">
        <v>763.21</v>
      </c>
      <c r="AD666" s="230">
        <v>3.6298611111111107E-4</v>
      </c>
      <c r="AE666" s="230">
        <v>188.172</v>
      </c>
      <c r="AF666" s="230">
        <v>3759.6419999999998</v>
      </c>
      <c r="AG666" s="230">
        <v>456704.39089991973</v>
      </c>
      <c r="AH666" s="230">
        <v>2332961.23620565</v>
      </c>
      <c r="AI666" s="230">
        <v>4579.26</v>
      </c>
    </row>
    <row r="667" spans="5:35" x14ac:dyDescent="0.35">
      <c r="E667" s="226">
        <v>1.9242400000000002</v>
      </c>
      <c r="F667" s="227">
        <v>10.721819178082191</v>
      </c>
      <c r="G667" s="227">
        <v>3913.4639999999999</v>
      </c>
      <c r="H667" s="227">
        <v>0.95009999999999994</v>
      </c>
      <c r="I667" s="227">
        <v>2.6202000000000001</v>
      </c>
      <c r="J667" s="227">
        <v>0.52881021863416633</v>
      </c>
      <c r="K667" s="227">
        <v>140</v>
      </c>
      <c r="L667" s="227">
        <v>140</v>
      </c>
      <c r="M667" s="227">
        <v>139.57</v>
      </c>
      <c r="N667" s="227">
        <v>97.213999999999999</v>
      </c>
      <c r="O667" s="227">
        <v>102.91</v>
      </c>
      <c r="P667" s="227">
        <v>120.25</v>
      </c>
      <c r="Q667" s="227">
        <v>110.12</v>
      </c>
      <c r="R667" s="227">
        <v>116.05</v>
      </c>
      <c r="S667" s="227"/>
      <c r="T667" s="227">
        <v>71.481999999999999</v>
      </c>
      <c r="U667" s="227">
        <v>78.248000000000005</v>
      </c>
      <c r="V667" s="227">
        <v>79.5</v>
      </c>
      <c r="W667" s="227">
        <v>79.5</v>
      </c>
      <c r="X667" s="227">
        <v>79.5</v>
      </c>
      <c r="Y667" s="227">
        <v>79.5</v>
      </c>
      <c r="Z667" s="227">
        <v>79.5</v>
      </c>
      <c r="AA667" s="227">
        <v>79.5</v>
      </c>
      <c r="AB667" s="227">
        <v>31.273</v>
      </c>
      <c r="AC667" s="227">
        <v>763.36</v>
      </c>
      <c r="AD667" s="230">
        <v>3.6195601851851851E-4</v>
      </c>
      <c r="AE667" s="230">
        <v>187.63800000000001</v>
      </c>
      <c r="AF667" s="230">
        <v>3760.38</v>
      </c>
      <c r="AG667" s="230">
        <v>456892.02889991971</v>
      </c>
      <c r="AH667" s="230">
        <v>2336721.6162056499</v>
      </c>
      <c r="AI667" s="230">
        <v>4580.16</v>
      </c>
    </row>
    <row r="668" spans="5:35" x14ac:dyDescent="0.35">
      <c r="E668" s="226">
        <v>1.9282400000000002</v>
      </c>
      <c r="F668" s="227">
        <v>10.738257534246575</v>
      </c>
      <c r="G668" s="227">
        <v>3919.4639999999999</v>
      </c>
      <c r="H668" s="227">
        <v>0.95030000000000003</v>
      </c>
      <c r="I668" s="227">
        <v>2.6242000000000001</v>
      </c>
      <c r="J668" s="227">
        <v>0.52902678113416635</v>
      </c>
      <c r="K668" s="227">
        <v>140</v>
      </c>
      <c r="L668" s="227">
        <v>140</v>
      </c>
      <c r="M668" s="227">
        <v>139.54</v>
      </c>
      <c r="N668" s="227">
        <v>97.195999999999998</v>
      </c>
      <c r="O668" s="227">
        <v>102.89</v>
      </c>
      <c r="P668" s="227">
        <v>120.23</v>
      </c>
      <c r="Q668" s="227">
        <v>110.1</v>
      </c>
      <c r="R668" s="227">
        <v>116.03</v>
      </c>
      <c r="S668" s="227"/>
      <c r="T668" s="227">
        <v>71.56</v>
      </c>
      <c r="U668" s="227">
        <v>78.290999999999997</v>
      </c>
      <c r="V668" s="227">
        <v>79.5</v>
      </c>
      <c r="W668" s="227">
        <v>79.5</v>
      </c>
      <c r="X668" s="227">
        <v>79.5</v>
      </c>
      <c r="Y668" s="227">
        <v>79.5</v>
      </c>
      <c r="Z668" s="227">
        <v>79.5</v>
      </c>
      <c r="AA668" s="227">
        <v>79.5</v>
      </c>
      <c r="AB668" s="227">
        <v>31.184999999999999</v>
      </c>
      <c r="AC668" s="227">
        <v>763.5</v>
      </c>
      <c r="AD668" s="230">
        <v>3.6093749999999998E-4</v>
      </c>
      <c r="AE668" s="230">
        <v>187.11</v>
      </c>
      <c r="AF668" s="230">
        <v>3761.1059999999998</v>
      </c>
      <c r="AG668" s="230">
        <v>457079.13889991969</v>
      </c>
      <c r="AH668" s="230">
        <v>2340482.7222056501</v>
      </c>
      <c r="AI668" s="230">
        <v>4581</v>
      </c>
    </row>
    <row r="669" spans="5:35" x14ac:dyDescent="0.35">
      <c r="E669" s="226">
        <v>1.9322400000000002</v>
      </c>
      <c r="F669" s="227">
        <v>10.754695890410959</v>
      </c>
      <c r="G669" s="227">
        <v>3925.4639999999999</v>
      </c>
      <c r="H669" s="227">
        <v>0.95040000000000002</v>
      </c>
      <c r="I669" s="227">
        <v>2.6282000000000001</v>
      </c>
      <c r="J669" s="227">
        <v>0.52924272557861074</v>
      </c>
      <c r="K669" s="227">
        <v>140</v>
      </c>
      <c r="L669" s="227">
        <v>140</v>
      </c>
      <c r="M669" s="227">
        <v>139.51</v>
      </c>
      <c r="N669" s="227">
        <v>97.177999999999997</v>
      </c>
      <c r="O669" s="227">
        <v>102.88</v>
      </c>
      <c r="P669" s="227">
        <v>120.21</v>
      </c>
      <c r="Q669" s="227">
        <v>110.08</v>
      </c>
      <c r="R669" s="227">
        <v>116.01</v>
      </c>
      <c r="S669" s="227"/>
      <c r="T669" s="227">
        <v>71.638999999999996</v>
      </c>
      <c r="U669" s="227">
        <v>78.334999999999994</v>
      </c>
      <c r="V669" s="227">
        <v>79.5</v>
      </c>
      <c r="W669" s="227">
        <v>79.5</v>
      </c>
      <c r="X669" s="227">
        <v>79.5</v>
      </c>
      <c r="Y669" s="227">
        <v>79.5</v>
      </c>
      <c r="Z669" s="227">
        <v>79.5</v>
      </c>
      <c r="AA669" s="227">
        <v>79.5</v>
      </c>
      <c r="AB669" s="227">
        <v>31.096</v>
      </c>
      <c r="AC669" s="227">
        <v>763.65</v>
      </c>
      <c r="AD669" s="230">
        <v>3.5990740740740742E-4</v>
      </c>
      <c r="AE669" s="230">
        <v>186.57600000000002</v>
      </c>
      <c r="AF669" s="230">
        <v>3761.8439999999996</v>
      </c>
      <c r="AG669" s="230">
        <v>457265.71489991969</v>
      </c>
      <c r="AH669" s="230">
        <v>2344244.5662056501</v>
      </c>
      <c r="AI669" s="230">
        <v>4581.8999999999996</v>
      </c>
    </row>
    <row r="670" spans="5:35" x14ac:dyDescent="0.35">
      <c r="E670" s="226">
        <v>1.93634</v>
      </c>
      <c r="F670" s="227">
        <v>10.771134246575341</v>
      </c>
      <c r="G670" s="227">
        <v>3931.4639999999999</v>
      </c>
      <c r="H670" s="227">
        <v>0.9506</v>
      </c>
      <c r="I670" s="227">
        <v>2.6322999999999999</v>
      </c>
      <c r="J670" s="227">
        <v>0.52945806585638855</v>
      </c>
      <c r="K670" s="227">
        <v>140</v>
      </c>
      <c r="L670" s="227">
        <v>140</v>
      </c>
      <c r="M670" s="227">
        <v>139.47999999999999</v>
      </c>
      <c r="N670" s="227">
        <v>97.161000000000001</v>
      </c>
      <c r="O670" s="227">
        <v>102.86</v>
      </c>
      <c r="P670" s="227">
        <v>120.19</v>
      </c>
      <c r="Q670" s="227">
        <v>110.07</v>
      </c>
      <c r="R670" s="227">
        <v>115.99</v>
      </c>
      <c r="S670" s="227"/>
      <c r="T670" s="227">
        <v>71.716999999999999</v>
      </c>
      <c r="U670" s="227">
        <v>78.378</v>
      </c>
      <c r="V670" s="227">
        <v>79.5</v>
      </c>
      <c r="W670" s="227">
        <v>79.5</v>
      </c>
      <c r="X670" s="227">
        <v>79.5</v>
      </c>
      <c r="Y670" s="227">
        <v>79.5</v>
      </c>
      <c r="Z670" s="227">
        <v>79.5</v>
      </c>
      <c r="AA670" s="227">
        <v>79.5</v>
      </c>
      <c r="AB670" s="227">
        <v>31.009</v>
      </c>
      <c r="AC670" s="227">
        <v>763.8</v>
      </c>
      <c r="AD670" s="230">
        <v>3.5890046296296299E-4</v>
      </c>
      <c r="AE670" s="230">
        <v>186.054</v>
      </c>
      <c r="AF670" s="230">
        <v>3762.57</v>
      </c>
      <c r="AG670" s="230">
        <v>457451.7688999197</v>
      </c>
      <c r="AH670" s="230">
        <v>2348007.1362056499</v>
      </c>
      <c r="AI670" s="230">
        <v>4582.7999999999993</v>
      </c>
    </row>
    <row r="671" spans="5:35" x14ac:dyDescent="0.35">
      <c r="E671" s="226">
        <v>1.94034</v>
      </c>
      <c r="F671" s="227">
        <v>10.787572602739726</v>
      </c>
      <c r="G671" s="227">
        <v>3937.4639999999999</v>
      </c>
      <c r="H671" s="227">
        <v>0.95069999999999999</v>
      </c>
      <c r="I671" s="227">
        <v>2.6362999999999999</v>
      </c>
      <c r="J671" s="227">
        <v>0.5296727950230552</v>
      </c>
      <c r="K671" s="227">
        <v>140</v>
      </c>
      <c r="L671" s="227">
        <v>140</v>
      </c>
      <c r="M671" s="227">
        <v>139.44999999999999</v>
      </c>
      <c r="N671" s="227">
        <v>97.143000000000001</v>
      </c>
      <c r="O671" s="227">
        <v>102.84</v>
      </c>
      <c r="P671" s="227">
        <v>120.16</v>
      </c>
      <c r="Q671" s="227">
        <v>110.05</v>
      </c>
      <c r="R671" s="227">
        <v>115.97</v>
      </c>
      <c r="S671" s="227"/>
      <c r="T671" s="227">
        <v>71.795000000000002</v>
      </c>
      <c r="U671" s="227">
        <v>78.421999999999997</v>
      </c>
      <c r="V671" s="227">
        <v>79.5</v>
      </c>
      <c r="W671" s="227">
        <v>79.5</v>
      </c>
      <c r="X671" s="227">
        <v>79.5</v>
      </c>
      <c r="Y671" s="227">
        <v>79.5</v>
      </c>
      <c r="Z671" s="227">
        <v>79.5</v>
      </c>
      <c r="AA671" s="227">
        <v>79.5</v>
      </c>
      <c r="AB671" s="227">
        <v>30.920999999999999</v>
      </c>
      <c r="AC671" s="227">
        <v>763.95</v>
      </c>
      <c r="AD671" s="230">
        <v>3.5788194444444441E-4</v>
      </c>
      <c r="AE671" s="230">
        <v>185.52599999999995</v>
      </c>
      <c r="AF671" s="230">
        <v>3763.3019999999997</v>
      </c>
      <c r="AG671" s="230">
        <v>457637.29489991971</v>
      </c>
      <c r="AH671" s="230">
        <v>2351770.4382056501</v>
      </c>
      <c r="AI671" s="230">
        <v>4583.7000000000007</v>
      </c>
    </row>
    <row r="672" spans="5:35" x14ac:dyDescent="0.35">
      <c r="E672" s="226">
        <v>1.94434</v>
      </c>
      <c r="F672" s="227">
        <v>10.80401095890411</v>
      </c>
      <c r="G672" s="227">
        <v>3943.4639999999999</v>
      </c>
      <c r="H672" s="227">
        <v>0.95089999999999997</v>
      </c>
      <c r="I672" s="227">
        <v>2.6402999999999999</v>
      </c>
      <c r="J672" s="227">
        <v>0.52988692002305526</v>
      </c>
      <c r="K672" s="227">
        <v>140</v>
      </c>
      <c r="L672" s="227">
        <v>140</v>
      </c>
      <c r="M672" s="227">
        <v>139.41999999999999</v>
      </c>
      <c r="N672" s="227">
        <v>97.125</v>
      </c>
      <c r="O672" s="227">
        <v>102.83</v>
      </c>
      <c r="P672" s="227">
        <v>120.14</v>
      </c>
      <c r="Q672" s="227">
        <v>110.04</v>
      </c>
      <c r="R672" s="227">
        <v>115.95</v>
      </c>
      <c r="S672" s="227"/>
      <c r="T672" s="227">
        <v>71.873000000000005</v>
      </c>
      <c r="U672" s="227">
        <v>78.465000000000003</v>
      </c>
      <c r="V672" s="227">
        <v>79.5</v>
      </c>
      <c r="W672" s="227">
        <v>79.5</v>
      </c>
      <c r="X672" s="227">
        <v>79.5</v>
      </c>
      <c r="Y672" s="227">
        <v>79.5</v>
      </c>
      <c r="Z672" s="227">
        <v>79.5</v>
      </c>
      <c r="AA672" s="227">
        <v>79.5</v>
      </c>
      <c r="AB672" s="227">
        <v>30.834</v>
      </c>
      <c r="AC672" s="227">
        <v>764.1</v>
      </c>
      <c r="AD672" s="230">
        <v>3.5687499999999999E-4</v>
      </c>
      <c r="AE672" s="230">
        <v>185.00399999999999</v>
      </c>
      <c r="AF672" s="230">
        <v>3764.0279999999998</v>
      </c>
      <c r="AG672" s="230">
        <v>457822.29889991973</v>
      </c>
      <c r="AH672" s="230">
        <v>2355534.46620565</v>
      </c>
      <c r="AI672" s="230">
        <v>4584.6000000000004</v>
      </c>
    </row>
    <row r="673" spans="5:35" x14ac:dyDescent="0.35">
      <c r="E673" s="226">
        <v>1.94834</v>
      </c>
      <c r="F673" s="227">
        <v>10.820449315068492</v>
      </c>
      <c r="G673" s="227">
        <v>3949.4639999999999</v>
      </c>
      <c r="H673" s="227">
        <v>0.95099999999999996</v>
      </c>
      <c r="I673" s="227">
        <v>2.6442999999999999</v>
      </c>
      <c r="J673" s="227">
        <v>0.53010043391194417</v>
      </c>
      <c r="K673" s="227">
        <v>140</v>
      </c>
      <c r="L673" s="227">
        <v>140</v>
      </c>
      <c r="M673" s="227">
        <v>139.38999999999999</v>
      </c>
      <c r="N673" s="227">
        <v>97.106999999999999</v>
      </c>
      <c r="O673" s="227">
        <v>102.81</v>
      </c>
      <c r="P673" s="227">
        <v>120.12</v>
      </c>
      <c r="Q673" s="227">
        <v>110.02</v>
      </c>
      <c r="R673" s="227">
        <v>115.93</v>
      </c>
      <c r="S673" s="227"/>
      <c r="T673" s="227">
        <v>71.951999999999998</v>
      </c>
      <c r="U673" s="227">
        <v>78.507999999999996</v>
      </c>
      <c r="V673" s="227">
        <v>79.5</v>
      </c>
      <c r="W673" s="227">
        <v>79.5</v>
      </c>
      <c r="X673" s="227">
        <v>79.5</v>
      </c>
      <c r="Y673" s="227">
        <v>79.5</v>
      </c>
      <c r="Z673" s="227">
        <v>79.5</v>
      </c>
      <c r="AA673" s="227">
        <v>79.5</v>
      </c>
      <c r="AB673" s="227">
        <v>30.745999999999999</v>
      </c>
      <c r="AC673" s="227">
        <v>764.25</v>
      </c>
      <c r="AD673" s="230">
        <v>3.5585648148148146E-4</v>
      </c>
      <c r="AE673" s="230">
        <v>184.47599999999997</v>
      </c>
      <c r="AF673" s="230">
        <v>3764.76</v>
      </c>
      <c r="AG673" s="230">
        <v>458006.77489991975</v>
      </c>
      <c r="AH673" s="230">
        <v>2359299.2262056498</v>
      </c>
      <c r="AI673" s="230">
        <v>4585.5</v>
      </c>
    </row>
    <row r="674" spans="5:35" x14ac:dyDescent="0.35">
      <c r="E674" s="226">
        <v>1.95234</v>
      </c>
      <c r="F674" s="227">
        <v>10.836887671232876</v>
      </c>
      <c r="G674" s="227">
        <v>3955.4639999999999</v>
      </c>
      <c r="H674" s="227">
        <v>0.95109999999999995</v>
      </c>
      <c r="I674" s="227">
        <v>2.6482999999999999</v>
      </c>
      <c r="J674" s="227">
        <v>0.53031335057861084</v>
      </c>
      <c r="K674" s="227">
        <v>140</v>
      </c>
      <c r="L674" s="227">
        <v>140</v>
      </c>
      <c r="M674" s="227">
        <v>139.37</v>
      </c>
      <c r="N674" s="227">
        <v>97.09</v>
      </c>
      <c r="O674" s="227">
        <v>102.79</v>
      </c>
      <c r="P674" s="227">
        <v>120.1</v>
      </c>
      <c r="Q674" s="227">
        <v>110.01</v>
      </c>
      <c r="R674" s="227">
        <v>115.91</v>
      </c>
      <c r="S674" s="227"/>
      <c r="T674" s="227">
        <v>72.028999999999996</v>
      </c>
      <c r="U674" s="227">
        <v>78.551000000000002</v>
      </c>
      <c r="V674" s="227">
        <v>79.5</v>
      </c>
      <c r="W674" s="227">
        <v>79.5</v>
      </c>
      <c r="X674" s="227">
        <v>79.5</v>
      </c>
      <c r="Y674" s="227">
        <v>79.5</v>
      </c>
      <c r="Z674" s="227">
        <v>79.5</v>
      </c>
      <c r="AA674" s="227">
        <v>79.5</v>
      </c>
      <c r="AB674" s="227">
        <v>30.66</v>
      </c>
      <c r="AC674" s="227">
        <v>764.39</v>
      </c>
      <c r="AD674" s="230">
        <v>3.5486111111111113E-4</v>
      </c>
      <c r="AE674" s="230">
        <v>183.96</v>
      </c>
      <c r="AF674" s="230">
        <v>3765.4799999999996</v>
      </c>
      <c r="AG674" s="230">
        <v>458190.73489991977</v>
      </c>
      <c r="AH674" s="230">
        <v>2363064.7062056498</v>
      </c>
      <c r="AI674" s="230">
        <v>4586.34</v>
      </c>
    </row>
    <row r="675" spans="5:35" x14ac:dyDescent="0.35">
      <c r="E675" s="226">
        <v>1.95634</v>
      </c>
      <c r="F675" s="227">
        <v>10.85332602739726</v>
      </c>
      <c r="G675" s="227">
        <v>3961.4639999999999</v>
      </c>
      <c r="H675" s="227">
        <v>0.95130000000000003</v>
      </c>
      <c r="I675" s="227">
        <v>2.6522999999999999</v>
      </c>
      <c r="J675" s="227">
        <v>0.53052566307861082</v>
      </c>
      <c r="K675" s="227">
        <v>140</v>
      </c>
      <c r="L675" s="227">
        <v>140</v>
      </c>
      <c r="M675" s="227">
        <v>139.34</v>
      </c>
      <c r="N675" s="227">
        <v>97.072000000000003</v>
      </c>
      <c r="O675" s="227">
        <v>102.77</v>
      </c>
      <c r="P675" s="227">
        <v>120.08</v>
      </c>
      <c r="Q675" s="227">
        <v>109.99</v>
      </c>
      <c r="R675" s="227">
        <v>115.89</v>
      </c>
      <c r="S675" s="227"/>
      <c r="T675" s="227">
        <v>72.106999999999999</v>
      </c>
      <c r="U675" s="227">
        <v>78.593999999999994</v>
      </c>
      <c r="V675" s="227">
        <v>79.5</v>
      </c>
      <c r="W675" s="227">
        <v>79.5</v>
      </c>
      <c r="X675" s="227">
        <v>79.5</v>
      </c>
      <c r="Y675" s="227">
        <v>79.5</v>
      </c>
      <c r="Z675" s="227">
        <v>79.5</v>
      </c>
      <c r="AA675" s="227">
        <v>79.5</v>
      </c>
      <c r="AB675" s="227">
        <v>30.573</v>
      </c>
      <c r="AC675" s="227">
        <v>764.54</v>
      </c>
      <c r="AD675" s="230">
        <v>3.5385416666666665E-4</v>
      </c>
      <c r="AE675" s="230">
        <v>183.43799999999999</v>
      </c>
      <c r="AF675" s="230">
        <v>3766.2060000000001</v>
      </c>
      <c r="AG675" s="230">
        <v>458374.17289991979</v>
      </c>
      <c r="AH675" s="230">
        <v>2366830.9122056495</v>
      </c>
      <c r="AI675" s="230">
        <v>4587.24</v>
      </c>
    </row>
    <row r="676" spans="5:35" x14ac:dyDescent="0.35">
      <c r="E676" s="226">
        <v>1.9604400000000002</v>
      </c>
      <c r="F676" s="227">
        <v>10.869764383561643</v>
      </c>
      <c r="G676" s="227">
        <v>3967.4639999999999</v>
      </c>
      <c r="H676" s="227">
        <v>0.95140000000000002</v>
      </c>
      <c r="I676" s="227">
        <v>2.6564000000000001</v>
      </c>
      <c r="J676" s="227">
        <v>0.53073737835638868</v>
      </c>
      <c r="K676" s="227">
        <v>140</v>
      </c>
      <c r="L676" s="227">
        <v>140</v>
      </c>
      <c r="M676" s="227">
        <v>139.31</v>
      </c>
      <c r="N676" s="227">
        <v>97.054000000000002</v>
      </c>
      <c r="O676" s="227">
        <v>102.76</v>
      </c>
      <c r="P676" s="227">
        <v>120.06</v>
      </c>
      <c r="Q676" s="227">
        <v>109.97</v>
      </c>
      <c r="R676" s="227">
        <v>115.87</v>
      </c>
      <c r="S676" s="227"/>
      <c r="T676" s="227">
        <v>72.185000000000002</v>
      </c>
      <c r="U676" s="227">
        <v>78.637</v>
      </c>
      <c r="V676" s="227">
        <v>79.5</v>
      </c>
      <c r="W676" s="227">
        <v>79.5</v>
      </c>
      <c r="X676" s="227">
        <v>79.5</v>
      </c>
      <c r="Y676" s="227">
        <v>79.5</v>
      </c>
      <c r="Z676" s="227">
        <v>79.5</v>
      </c>
      <c r="AA676" s="227">
        <v>79.5</v>
      </c>
      <c r="AB676" s="227">
        <v>30.486999999999998</v>
      </c>
      <c r="AC676" s="227">
        <v>764.69</v>
      </c>
      <c r="AD676" s="230">
        <v>3.5285879629629626E-4</v>
      </c>
      <c r="AE676" s="230">
        <v>182.922</v>
      </c>
      <c r="AF676" s="230">
        <v>3766.9319999999998</v>
      </c>
      <c r="AG676" s="230">
        <v>458557.09489991982</v>
      </c>
      <c r="AH676" s="230">
        <v>2370597.8442056496</v>
      </c>
      <c r="AI676" s="230">
        <v>4588.1400000000003</v>
      </c>
    </row>
    <row r="677" spans="5:35" x14ac:dyDescent="0.35">
      <c r="E677" s="226">
        <v>1.9644400000000002</v>
      </c>
      <c r="F677" s="227">
        <v>10.886202739726027</v>
      </c>
      <c r="G677" s="227">
        <v>3973.4639999999999</v>
      </c>
      <c r="H677" s="227">
        <v>0.9516</v>
      </c>
      <c r="I677" s="227">
        <v>2.6604000000000001</v>
      </c>
      <c r="J677" s="227">
        <v>0.5309484964119443</v>
      </c>
      <c r="K677" s="227">
        <v>140</v>
      </c>
      <c r="L677" s="227">
        <v>140</v>
      </c>
      <c r="M677" s="227">
        <v>139.28</v>
      </c>
      <c r="N677" s="227">
        <v>97.036000000000001</v>
      </c>
      <c r="O677" s="227">
        <v>102.74</v>
      </c>
      <c r="P677" s="227">
        <v>120.04</v>
      </c>
      <c r="Q677" s="227">
        <v>109.96</v>
      </c>
      <c r="R677" s="227">
        <v>115.85</v>
      </c>
      <c r="S677" s="227"/>
      <c r="T677" s="227">
        <v>72.257000000000005</v>
      </c>
      <c r="U677" s="227">
        <v>78.679000000000002</v>
      </c>
      <c r="V677" s="227">
        <v>79.5</v>
      </c>
      <c r="W677" s="227">
        <v>79.5</v>
      </c>
      <c r="X677" s="227">
        <v>79.5</v>
      </c>
      <c r="Y677" s="227">
        <v>79.5</v>
      </c>
      <c r="Z677" s="227">
        <v>79.5</v>
      </c>
      <c r="AA677" s="227">
        <v>79.5</v>
      </c>
      <c r="AB677" s="227">
        <v>30.401</v>
      </c>
      <c r="AC677" s="227">
        <v>764.83</v>
      </c>
      <c r="AD677" s="230">
        <v>3.5186342592592593E-4</v>
      </c>
      <c r="AE677" s="230">
        <v>182.40599999999998</v>
      </c>
      <c r="AF677" s="230">
        <v>3767.616</v>
      </c>
      <c r="AG677" s="230">
        <v>458739.50089991983</v>
      </c>
      <c r="AH677" s="230">
        <v>2374365.4602056495</v>
      </c>
      <c r="AI677" s="230">
        <v>4588.9800000000005</v>
      </c>
    </row>
    <row r="678" spans="5:35" x14ac:dyDescent="0.35">
      <c r="E678" s="226">
        <v>1.9684400000000002</v>
      </c>
      <c r="F678" s="227">
        <v>10.902641095890411</v>
      </c>
      <c r="G678" s="227">
        <v>3979.4639999999999</v>
      </c>
      <c r="H678" s="227">
        <v>0.95169999999999999</v>
      </c>
      <c r="I678" s="227">
        <v>2.6644000000000001</v>
      </c>
      <c r="J678" s="227">
        <v>0.53115901724527759</v>
      </c>
      <c r="K678" s="227">
        <v>140</v>
      </c>
      <c r="L678" s="227">
        <v>140</v>
      </c>
      <c r="M678" s="227">
        <v>139.25</v>
      </c>
      <c r="N678" s="227">
        <v>97.019000000000005</v>
      </c>
      <c r="O678" s="227">
        <v>102.72</v>
      </c>
      <c r="P678" s="227">
        <v>120.02</v>
      </c>
      <c r="Q678" s="227">
        <v>109.94</v>
      </c>
      <c r="R678" s="227">
        <v>115.83</v>
      </c>
      <c r="S678" s="227"/>
      <c r="T678" s="227">
        <v>72.34</v>
      </c>
      <c r="U678" s="227">
        <v>78.722999999999999</v>
      </c>
      <c r="V678" s="227">
        <v>79.5</v>
      </c>
      <c r="W678" s="227">
        <v>79.5</v>
      </c>
      <c r="X678" s="227">
        <v>79.5</v>
      </c>
      <c r="Y678" s="227">
        <v>79.5</v>
      </c>
      <c r="Z678" s="227">
        <v>79.5</v>
      </c>
      <c r="AA678" s="227">
        <v>79.5</v>
      </c>
      <c r="AB678" s="227">
        <v>30.315000000000001</v>
      </c>
      <c r="AC678" s="227">
        <v>764.98</v>
      </c>
      <c r="AD678" s="230">
        <v>3.5086805555555555E-4</v>
      </c>
      <c r="AE678" s="230">
        <v>181.89</v>
      </c>
      <c r="AF678" s="230">
        <v>3768.3779999999997</v>
      </c>
      <c r="AG678" s="230">
        <v>458921.39089991985</v>
      </c>
      <c r="AH678" s="230">
        <v>2378133.8382056495</v>
      </c>
      <c r="AI678" s="230">
        <v>4589.88</v>
      </c>
    </row>
    <row r="679" spans="5:35" x14ac:dyDescent="0.35">
      <c r="E679" s="226">
        <v>1.9724400000000002</v>
      </c>
      <c r="F679" s="227">
        <v>10.919079452054794</v>
      </c>
      <c r="G679" s="227">
        <v>3985.4639999999999</v>
      </c>
      <c r="H679" s="227">
        <v>0.95189999999999997</v>
      </c>
      <c r="I679" s="227">
        <v>2.6684000000000001</v>
      </c>
      <c r="J679" s="227">
        <v>0.53136894085638875</v>
      </c>
      <c r="K679" s="227">
        <v>140</v>
      </c>
      <c r="L679" s="227">
        <v>140</v>
      </c>
      <c r="M679" s="227">
        <v>139.22</v>
      </c>
      <c r="N679" s="227">
        <v>97.001999999999995</v>
      </c>
      <c r="O679" s="227">
        <v>102.7</v>
      </c>
      <c r="P679" s="227">
        <v>120</v>
      </c>
      <c r="Q679" s="227">
        <v>109.93</v>
      </c>
      <c r="R679" s="227">
        <v>115.81</v>
      </c>
      <c r="S679" s="227"/>
      <c r="T679" s="227">
        <v>72.417000000000002</v>
      </c>
      <c r="U679" s="227">
        <v>78.765000000000001</v>
      </c>
      <c r="V679" s="227">
        <v>79.5</v>
      </c>
      <c r="W679" s="227">
        <v>79.5</v>
      </c>
      <c r="X679" s="227">
        <v>79.5</v>
      </c>
      <c r="Y679" s="227">
        <v>79.5</v>
      </c>
      <c r="Z679" s="227">
        <v>79.5</v>
      </c>
      <c r="AA679" s="227">
        <v>79.5</v>
      </c>
      <c r="AB679" s="227">
        <v>30.228999999999999</v>
      </c>
      <c r="AC679" s="227">
        <v>765.13</v>
      </c>
      <c r="AD679" s="230">
        <v>3.4987268518518516E-4</v>
      </c>
      <c r="AE679" s="230">
        <v>181.37399999999997</v>
      </c>
      <c r="AF679" s="230">
        <v>3769.0920000000001</v>
      </c>
      <c r="AG679" s="230">
        <v>459102.76489991986</v>
      </c>
      <c r="AH679" s="230">
        <v>2381902.9302056497</v>
      </c>
      <c r="AI679" s="230">
        <v>4590.78</v>
      </c>
    </row>
    <row r="680" spans="5:35" x14ac:dyDescent="0.35">
      <c r="E680" s="226">
        <v>1.9764400000000002</v>
      </c>
      <c r="F680" s="227">
        <v>10.935517808219178</v>
      </c>
      <c r="G680" s="227">
        <v>3991.4639999999999</v>
      </c>
      <c r="H680" s="227">
        <v>0.95199999999999996</v>
      </c>
      <c r="I680" s="227">
        <v>2.6724000000000001</v>
      </c>
      <c r="J680" s="227">
        <v>0.53157827418972203</v>
      </c>
      <c r="K680" s="227">
        <v>140</v>
      </c>
      <c r="L680" s="227">
        <v>140</v>
      </c>
      <c r="M680" s="227">
        <v>139.19</v>
      </c>
      <c r="N680" s="227">
        <v>96.983999999999995</v>
      </c>
      <c r="O680" s="227">
        <v>102.69</v>
      </c>
      <c r="P680" s="227">
        <v>119.98</v>
      </c>
      <c r="Q680" s="227">
        <v>109.91</v>
      </c>
      <c r="R680" s="227">
        <v>115.79</v>
      </c>
      <c r="S680" s="227"/>
      <c r="T680" s="227">
        <v>72.494</v>
      </c>
      <c r="U680" s="227">
        <v>78.808000000000007</v>
      </c>
      <c r="V680" s="227">
        <v>79.5</v>
      </c>
      <c r="W680" s="227">
        <v>79.5</v>
      </c>
      <c r="X680" s="227">
        <v>79.5</v>
      </c>
      <c r="Y680" s="227">
        <v>79.5</v>
      </c>
      <c r="Z680" s="227">
        <v>79.5</v>
      </c>
      <c r="AA680" s="227">
        <v>79.5</v>
      </c>
      <c r="AB680" s="227">
        <v>30.143999999999998</v>
      </c>
      <c r="AC680" s="227">
        <v>765.27</v>
      </c>
      <c r="AD680" s="230">
        <v>3.4888888888888887E-4</v>
      </c>
      <c r="AE680" s="230">
        <v>180.864</v>
      </c>
      <c r="AF680" s="230">
        <v>3769.8119999999999</v>
      </c>
      <c r="AG680" s="230">
        <v>459283.62889991986</v>
      </c>
      <c r="AH680" s="230">
        <v>2385672.7422056496</v>
      </c>
      <c r="AI680" s="230">
        <v>4591.62</v>
      </c>
    </row>
    <row r="681" spans="5:35" x14ac:dyDescent="0.35">
      <c r="E681" s="226">
        <v>1.98054</v>
      </c>
      <c r="F681" s="227">
        <v>10.951956164383562</v>
      </c>
      <c r="G681" s="227">
        <v>3997.4639999999999</v>
      </c>
      <c r="H681" s="227">
        <v>0.95220000000000005</v>
      </c>
      <c r="I681" s="227">
        <v>2.6764999999999999</v>
      </c>
      <c r="J681" s="227">
        <v>0.53178701724527766</v>
      </c>
      <c r="K681" s="227">
        <v>140</v>
      </c>
      <c r="L681" s="227">
        <v>140</v>
      </c>
      <c r="M681" s="227">
        <v>139.16</v>
      </c>
      <c r="N681" s="227">
        <v>96.966999999999999</v>
      </c>
      <c r="O681" s="227">
        <v>102.67</v>
      </c>
      <c r="P681" s="227">
        <v>119.95</v>
      </c>
      <c r="Q681" s="227">
        <v>109.9</v>
      </c>
      <c r="R681" s="227">
        <v>115.77</v>
      </c>
      <c r="S681" s="227"/>
      <c r="T681" s="227">
        <v>72.572000000000003</v>
      </c>
      <c r="U681" s="227">
        <v>78.850999999999999</v>
      </c>
      <c r="V681" s="227">
        <v>79.5</v>
      </c>
      <c r="W681" s="227">
        <v>79.5</v>
      </c>
      <c r="X681" s="227">
        <v>79.5</v>
      </c>
      <c r="Y681" s="227">
        <v>79.5</v>
      </c>
      <c r="Z681" s="227">
        <v>79.5</v>
      </c>
      <c r="AA681" s="227">
        <v>79.5</v>
      </c>
      <c r="AB681" s="227">
        <v>30.059000000000001</v>
      </c>
      <c r="AC681" s="227">
        <v>765.42</v>
      </c>
      <c r="AD681" s="230">
        <v>3.4790509259259258E-4</v>
      </c>
      <c r="AE681" s="230">
        <v>180.35399999999998</v>
      </c>
      <c r="AF681" s="230">
        <v>3770.538</v>
      </c>
      <c r="AG681" s="230">
        <v>459463.98289991985</v>
      </c>
      <c r="AH681" s="230">
        <v>2389443.2802056498</v>
      </c>
      <c r="AI681" s="230">
        <v>4592.5199999999995</v>
      </c>
    </row>
    <row r="682" spans="5:35" x14ac:dyDescent="0.35">
      <c r="E682" s="226">
        <v>1.98454</v>
      </c>
      <c r="F682" s="227">
        <v>10.968394520547944</v>
      </c>
      <c r="G682" s="227">
        <v>4003.4639999999999</v>
      </c>
      <c r="H682" s="227">
        <v>0.95230000000000004</v>
      </c>
      <c r="I682" s="227">
        <v>2.6804999999999999</v>
      </c>
      <c r="J682" s="227">
        <v>0.53199517002305541</v>
      </c>
      <c r="K682" s="227">
        <v>140</v>
      </c>
      <c r="L682" s="227">
        <v>140</v>
      </c>
      <c r="M682" s="227">
        <v>139.13999999999999</v>
      </c>
      <c r="N682" s="227">
        <v>96.948999999999998</v>
      </c>
      <c r="O682" s="227">
        <v>102.65</v>
      </c>
      <c r="P682" s="227">
        <v>119.93</v>
      </c>
      <c r="Q682" s="227">
        <v>109.88</v>
      </c>
      <c r="R682" s="227">
        <v>115.75</v>
      </c>
      <c r="S682" s="227"/>
      <c r="T682" s="227">
        <v>72.647999999999996</v>
      </c>
      <c r="U682" s="227">
        <v>78.893000000000001</v>
      </c>
      <c r="V682" s="227">
        <v>79.5</v>
      </c>
      <c r="W682" s="227">
        <v>79.5</v>
      </c>
      <c r="X682" s="227">
        <v>79.5</v>
      </c>
      <c r="Y682" s="227">
        <v>79.5</v>
      </c>
      <c r="Z682" s="227">
        <v>79.5</v>
      </c>
      <c r="AA682" s="227">
        <v>79.5</v>
      </c>
      <c r="AB682" s="227">
        <v>29.974</v>
      </c>
      <c r="AC682" s="227">
        <v>765.56</v>
      </c>
      <c r="AD682" s="230">
        <v>3.4692129629629629E-4</v>
      </c>
      <c r="AE682" s="230">
        <v>179.84399999999999</v>
      </c>
      <c r="AF682" s="230">
        <v>3771.2459999999996</v>
      </c>
      <c r="AG682" s="230">
        <v>459643.82689991983</v>
      </c>
      <c r="AH682" s="230">
        <v>2393214.5262056496</v>
      </c>
      <c r="AI682" s="230">
        <v>4593.3599999999997</v>
      </c>
    </row>
    <row r="683" spans="5:35" x14ac:dyDescent="0.35">
      <c r="E683" s="226">
        <v>1.98854</v>
      </c>
      <c r="F683" s="227">
        <v>10.984832876712328</v>
      </c>
      <c r="G683" s="227">
        <v>4009.4639999999999</v>
      </c>
      <c r="H683" s="227">
        <v>0.95250000000000001</v>
      </c>
      <c r="I683" s="227">
        <v>2.6844999999999999</v>
      </c>
      <c r="J683" s="227">
        <v>0.53220273252305528</v>
      </c>
      <c r="K683" s="227">
        <v>140</v>
      </c>
      <c r="L683" s="227">
        <v>140</v>
      </c>
      <c r="M683" s="227">
        <v>139.11000000000001</v>
      </c>
      <c r="N683" s="227">
        <v>96.932000000000002</v>
      </c>
      <c r="O683" s="227">
        <v>102.64</v>
      </c>
      <c r="P683" s="227">
        <v>119.91</v>
      </c>
      <c r="Q683" s="227">
        <v>109.87</v>
      </c>
      <c r="R683" s="227">
        <v>115.73</v>
      </c>
      <c r="S683" s="227"/>
      <c r="T683" s="227">
        <v>72.724999999999994</v>
      </c>
      <c r="U683" s="227">
        <v>78.936000000000007</v>
      </c>
      <c r="V683" s="227">
        <v>79.5</v>
      </c>
      <c r="W683" s="227">
        <v>79.5</v>
      </c>
      <c r="X683" s="227">
        <v>79.5</v>
      </c>
      <c r="Y683" s="227">
        <v>79.5</v>
      </c>
      <c r="Z683" s="227">
        <v>79.5</v>
      </c>
      <c r="AA683" s="227">
        <v>79.5</v>
      </c>
      <c r="AB683" s="227">
        <v>29.888999999999999</v>
      </c>
      <c r="AC683" s="227">
        <v>765.71</v>
      </c>
      <c r="AD683" s="230">
        <v>3.459375E-4</v>
      </c>
      <c r="AE683" s="230">
        <v>179.33400000000003</v>
      </c>
      <c r="AF683" s="230">
        <v>3771.9660000000003</v>
      </c>
      <c r="AG683" s="230">
        <v>459823.16089991981</v>
      </c>
      <c r="AH683" s="230">
        <v>2396986.4922056496</v>
      </c>
      <c r="AI683" s="230">
        <v>4594.26</v>
      </c>
    </row>
    <row r="684" spans="5:35" x14ac:dyDescent="0.35">
      <c r="E684" s="226">
        <v>1.99254</v>
      </c>
      <c r="F684" s="227">
        <v>11.001271232876713</v>
      </c>
      <c r="G684" s="227">
        <v>4015.4639999999999</v>
      </c>
      <c r="H684" s="227">
        <v>0.9526</v>
      </c>
      <c r="I684" s="227">
        <v>2.6884999999999999</v>
      </c>
      <c r="J684" s="227">
        <v>0.53240971168972206</v>
      </c>
      <c r="K684" s="227">
        <v>140</v>
      </c>
      <c r="L684" s="227">
        <v>140</v>
      </c>
      <c r="M684" s="227">
        <v>139.08000000000001</v>
      </c>
      <c r="N684" s="227">
        <v>96.914000000000001</v>
      </c>
      <c r="O684" s="227">
        <v>102.62</v>
      </c>
      <c r="P684" s="227">
        <v>119.89</v>
      </c>
      <c r="Q684" s="227">
        <v>109.85</v>
      </c>
      <c r="R684" s="227">
        <v>115.71</v>
      </c>
      <c r="S684" s="227"/>
      <c r="T684" s="227">
        <v>72.802000000000007</v>
      </c>
      <c r="U684" s="227">
        <v>78.977999999999994</v>
      </c>
      <c r="V684" s="227">
        <v>79.5</v>
      </c>
      <c r="W684" s="227">
        <v>79.5</v>
      </c>
      <c r="X684" s="227">
        <v>79.5</v>
      </c>
      <c r="Y684" s="227">
        <v>79.5</v>
      </c>
      <c r="Z684" s="227">
        <v>79.5</v>
      </c>
      <c r="AA684" s="227">
        <v>79.5</v>
      </c>
      <c r="AB684" s="227">
        <v>29.805</v>
      </c>
      <c r="AC684" s="227">
        <v>765.85</v>
      </c>
      <c r="AD684" s="230">
        <v>3.4496527777777775E-4</v>
      </c>
      <c r="AE684" s="230">
        <v>178.82999999999998</v>
      </c>
      <c r="AF684" s="230">
        <v>3772.68</v>
      </c>
      <c r="AG684" s="230">
        <v>460001.99089991982</v>
      </c>
      <c r="AH684" s="230">
        <v>2400759.1722056498</v>
      </c>
      <c r="AI684" s="230">
        <v>4595.1000000000004</v>
      </c>
    </row>
    <row r="685" spans="5:35" x14ac:dyDescent="0.35">
      <c r="E685" s="226">
        <v>1.99654</v>
      </c>
      <c r="F685" s="227">
        <v>11.017709589041095</v>
      </c>
      <c r="G685" s="227">
        <v>4021.4639999999999</v>
      </c>
      <c r="H685" s="227">
        <v>0.95269999999999999</v>
      </c>
      <c r="I685" s="227">
        <v>2.6924999999999999</v>
      </c>
      <c r="J685" s="227">
        <v>0.53261610057861086</v>
      </c>
      <c r="K685" s="227">
        <v>140</v>
      </c>
      <c r="L685" s="227">
        <v>140</v>
      </c>
      <c r="M685" s="227">
        <v>139.05000000000001</v>
      </c>
      <c r="N685" s="227">
        <v>96.897000000000006</v>
      </c>
      <c r="O685" s="227">
        <v>102.6</v>
      </c>
      <c r="P685" s="227">
        <v>119.87</v>
      </c>
      <c r="Q685" s="227">
        <v>109.84</v>
      </c>
      <c r="R685" s="227">
        <v>115.69</v>
      </c>
      <c r="S685" s="227"/>
      <c r="T685" s="227">
        <v>72.879000000000005</v>
      </c>
      <c r="U685" s="227">
        <v>79.02</v>
      </c>
      <c r="V685" s="227">
        <v>79.5</v>
      </c>
      <c r="W685" s="227">
        <v>79.5</v>
      </c>
      <c r="X685" s="227">
        <v>79.5</v>
      </c>
      <c r="Y685" s="227">
        <v>79.5</v>
      </c>
      <c r="Z685" s="227">
        <v>79.5</v>
      </c>
      <c r="AA685" s="227">
        <v>79.5</v>
      </c>
      <c r="AB685" s="227">
        <v>29.72</v>
      </c>
      <c r="AC685" s="227">
        <v>766</v>
      </c>
      <c r="AD685" s="230">
        <v>3.4398148148148146E-4</v>
      </c>
      <c r="AE685" s="230">
        <v>178.31999999999996</v>
      </c>
      <c r="AF685" s="230">
        <v>3773.3940000000002</v>
      </c>
      <c r="AG685" s="230">
        <v>460180.31089991983</v>
      </c>
      <c r="AH685" s="230">
        <v>2404532.5662056496</v>
      </c>
      <c r="AI685" s="230">
        <v>4596</v>
      </c>
    </row>
    <row r="686" spans="5:35" x14ac:dyDescent="0.35">
      <c r="E686" s="226">
        <v>2.00054</v>
      </c>
      <c r="F686" s="227">
        <v>11.034147945205479</v>
      </c>
      <c r="G686" s="227">
        <v>4027.4639999999999</v>
      </c>
      <c r="H686" s="227">
        <v>0.95289999999999997</v>
      </c>
      <c r="I686" s="227">
        <v>2.6964999999999999</v>
      </c>
      <c r="J686" s="227">
        <v>0.53282191307861093</v>
      </c>
      <c r="K686" s="227">
        <v>140</v>
      </c>
      <c r="L686" s="227">
        <v>140</v>
      </c>
      <c r="M686" s="227">
        <v>139.02000000000001</v>
      </c>
      <c r="N686" s="227">
        <v>96.88</v>
      </c>
      <c r="O686" s="227">
        <v>102.59</v>
      </c>
      <c r="P686" s="227">
        <v>119.85</v>
      </c>
      <c r="Q686" s="227">
        <v>109.82</v>
      </c>
      <c r="R686" s="227">
        <v>115.67</v>
      </c>
      <c r="S686" s="227"/>
      <c r="T686" s="227">
        <v>72.954999999999998</v>
      </c>
      <c r="U686" s="227">
        <v>79.063000000000002</v>
      </c>
      <c r="V686" s="227">
        <v>79.5</v>
      </c>
      <c r="W686" s="227">
        <v>79.5</v>
      </c>
      <c r="X686" s="227">
        <v>79.5</v>
      </c>
      <c r="Y686" s="227">
        <v>79.5</v>
      </c>
      <c r="Z686" s="227">
        <v>79.5</v>
      </c>
      <c r="AA686" s="227">
        <v>79.5</v>
      </c>
      <c r="AB686" s="227">
        <v>29.637</v>
      </c>
      <c r="AC686" s="227">
        <v>766.14</v>
      </c>
      <c r="AD686" s="230">
        <v>3.4302083333333336E-4</v>
      </c>
      <c r="AE686" s="230">
        <v>177.822</v>
      </c>
      <c r="AF686" s="230">
        <v>3774.1080000000002</v>
      </c>
      <c r="AG686" s="230">
        <v>460358.13289991982</v>
      </c>
      <c r="AH686" s="230">
        <v>2408306.6742056496</v>
      </c>
      <c r="AI686" s="230">
        <v>4596.84</v>
      </c>
    </row>
    <row r="687" spans="5:35" x14ac:dyDescent="0.35">
      <c r="E687" s="226">
        <v>2.0046400000000002</v>
      </c>
      <c r="F687" s="227">
        <v>11.050586301369863</v>
      </c>
      <c r="G687" s="227">
        <v>4033.4639999999999</v>
      </c>
      <c r="H687" s="227">
        <v>0.95299999999999996</v>
      </c>
      <c r="I687" s="227">
        <v>2.7006000000000001</v>
      </c>
      <c r="J687" s="227">
        <v>0.53302714224527759</v>
      </c>
      <c r="K687" s="227">
        <v>140</v>
      </c>
      <c r="L687" s="227">
        <v>140</v>
      </c>
      <c r="M687" s="227">
        <v>139</v>
      </c>
      <c r="N687" s="227">
        <v>96.861999999999995</v>
      </c>
      <c r="O687" s="227">
        <v>102.57</v>
      </c>
      <c r="P687" s="227">
        <v>119.83</v>
      </c>
      <c r="Q687" s="227">
        <v>109.81</v>
      </c>
      <c r="R687" s="227">
        <v>115.65</v>
      </c>
      <c r="S687" s="227"/>
      <c r="T687" s="227">
        <v>73.031000000000006</v>
      </c>
      <c r="U687" s="227">
        <v>79.105000000000004</v>
      </c>
      <c r="V687" s="227">
        <v>79.5</v>
      </c>
      <c r="W687" s="227">
        <v>79.5</v>
      </c>
      <c r="X687" s="227">
        <v>79.5</v>
      </c>
      <c r="Y687" s="227">
        <v>79.5</v>
      </c>
      <c r="Z687" s="227">
        <v>79.5</v>
      </c>
      <c r="AA687" s="227">
        <v>79.5</v>
      </c>
      <c r="AB687" s="227">
        <v>29.553000000000001</v>
      </c>
      <c r="AC687" s="227">
        <v>766.29</v>
      </c>
      <c r="AD687" s="230">
        <v>3.4204861111111111E-4</v>
      </c>
      <c r="AE687" s="230">
        <v>177.31800000000001</v>
      </c>
      <c r="AF687" s="230">
        <v>3774.8159999999998</v>
      </c>
      <c r="AG687" s="230">
        <v>460535.45089991984</v>
      </c>
      <c r="AH687" s="230">
        <v>2412081.4902056498</v>
      </c>
      <c r="AI687" s="230">
        <v>4597.74</v>
      </c>
    </row>
    <row r="688" spans="5:35" x14ac:dyDescent="0.35">
      <c r="E688" s="226">
        <v>2.0086400000000002</v>
      </c>
      <c r="F688" s="227">
        <v>11.067024657534246</v>
      </c>
      <c r="G688" s="227">
        <v>4039.4639999999999</v>
      </c>
      <c r="H688" s="227">
        <v>0.95320000000000005</v>
      </c>
      <c r="I688" s="227">
        <v>2.7046000000000001</v>
      </c>
      <c r="J688" s="227">
        <v>0.53323178807861094</v>
      </c>
      <c r="K688" s="227">
        <v>140</v>
      </c>
      <c r="L688" s="227">
        <v>140</v>
      </c>
      <c r="M688" s="227">
        <v>138.97</v>
      </c>
      <c r="N688" s="227">
        <v>96.844999999999999</v>
      </c>
      <c r="O688" s="227">
        <v>102.55</v>
      </c>
      <c r="P688" s="227">
        <v>119.81</v>
      </c>
      <c r="Q688" s="227">
        <v>109.79</v>
      </c>
      <c r="R688" s="227">
        <v>115.63</v>
      </c>
      <c r="S688" s="227"/>
      <c r="T688" s="227">
        <v>73.106999999999999</v>
      </c>
      <c r="U688" s="227">
        <v>79.147000000000006</v>
      </c>
      <c r="V688" s="227">
        <v>79.5</v>
      </c>
      <c r="W688" s="227">
        <v>79.5</v>
      </c>
      <c r="X688" s="227">
        <v>79.5</v>
      </c>
      <c r="Y688" s="227">
        <v>79.5</v>
      </c>
      <c r="Z688" s="227">
        <v>79.5</v>
      </c>
      <c r="AA688" s="227">
        <v>79.5</v>
      </c>
      <c r="AB688" s="227">
        <v>29.469000000000001</v>
      </c>
      <c r="AC688" s="227">
        <v>766.43</v>
      </c>
      <c r="AD688" s="230">
        <v>3.4107638888888892E-4</v>
      </c>
      <c r="AE688" s="230">
        <v>176.81399999999999</v>
      </c>
      <c r="AF688" s="230">
        <v>3775.5240000000003</v>
      </c>
      <c r="AG688" s="230">
        <v>460712.26489991986</v>
      </c>
      <c r="AH688" s="230">
        <v>2415857.01420565</v>
      </c>
      <c r="AI688" s="230">
        <v>4598.58</v>
      </c>
    </row>
    <row r="689" spans="5:35" x14ac:dyDescent="0.35">
      <c r="E689" s="226">
        <v>2.0126400000000002</v>
      </c>
      <c r="F689" s="227">
        <v>11.08346301369863</v>
      </c>
      <c r="G689" s="227">
        <v>4045.4639999999999</v>
      </c>
      <c r="H689" s="227">
        <v>0.95330000000000004</v>
      </c>
      <c r="I689" s="227">
        <v>2.7086000000000001</v>
      </c>
      <c r="J689" s="227">
        <v>0.53343585752305533</v>
      </c>
      <c r="K689" s="227">
        <v>140</v>
      </c>
      <c r="L689" s="227">
        <v>140</v>
      </c>
      <c r="M689" s="227">
        <v>138.94</v>
      </c>
      <c r="N689" s="227">
        <v>96.826999999999998</v>
      </c>
      <c r="O689" s="227">
        <v>102.54</v>
      </c>
      <c r="P689" s="227">
        <v>119.79</v>
      </c>
      <c r="Q689" s="227">
        <v>109.77</v>
      </c>
      <c r="R689" s="227">
        <v>115.61</v>
      </c>
      <c r="S689" s="227"/>
      <c r="T689" s="227">
        <v>73.183999999999997</v>
      </c>
      <c r="U689" s="227">
        <v>79.188999999999993</v>
      </c>
      <c r="V689" s="227">
        <v>79.5</v>
      </c>
      <c r="W689" s="227">
        <v>79.5</v>
      </c>
      <c r="X689" s="227">
        <v>79.5</v>
      </c>
      <c r="Y689" s="227">
        <v>79.5</v>
      </c>
      <c r="Z689" s="227">
        <v>79.5</v>
      </c>
      <c r="AA689" s="227">
        <v>79.5</v>
      </c>
      <c r="AB689" s="227">
        <v>29.385999999999999</v>
      </c>
      <c r="AC689" s="227">
        <v>766.58</v>
      </c>
      <c r="AD689" s="230">
        <v>3.4011574074074071E-4</v>
      </c>
      <c r="AE689" s="230">
        <v>176.316</v>
      </c>
      <c r="AF689" s="230">
        <v>3776.2380000000003</v>
      </c>
      <c r="AG689" s="230">
        <v>460888.58089991985</v>
      </c>
      <c r="AH689" s="230">
        <v>2419633.2522056499</v>
      </c>
      <c r="AI689" s="230">
        <v>4599.4800000000005</v>
      </c>
    </row>
    <row r="690" spans="5:35" x14ac:dyDescent="0.35">
      <c r="E690" s="226">
        <v>2.0166400000000002</v>
      </c>
      <c r="F690" s="227">
        <v>11.099901369863014</v>
      </c>
      <c r="G690" s="227">
        <v>4051.4639999999999</v>
      </c>
      <c r="H690" s="227">
        <v>0.95350000000000001</v>
      </c>
      <c r="I690" s="227">
        <v>2.7126000000000001</v>
      </c>
      <c r="J690" s="227">
        <v>0.533639350578611</v>
      </c>
      <c r="K690" s="227">
        <v>140</v>
      </c>
      <c r="L690" s="227">
        <v>140</v>
      </c>
      <c r="M690" s="227">
        <v>138.91</v>
      </c>
      <c r="N690" s="227">
        <v>96.81</v>
      </c>
      <c r="O690" s="227">
        <v>102.52</v>
      </c>
      <c r="P690" s="227">
        <v>119.77</v>
      </c>
      <c r="Q690" s="227">
        <v>109.76</v>
      </c>
      <c r="R690" s="227">
        <v>115.59</v>
      </c>
      <c r="S690" s="227"/>
      <c r="T690" s="227">
        <v>73.260000000000005</v>
      </c>
      <c r="U690" s="227">
        <v>79.230999999999995</v>
      </c>
      <c r="V690" s="227">
        <v>79.5</v>
      </c>
      <c r="W690" s="227">
        <v>79.5</v>
      </c>
      <c r="X690" s="227">
        <v>79.5</v>
      </c>
      <c r="Y690" s="227">
        <v>79.5</v>
      </c>
      <c r="Z690" s="227">
        <v>79.5</v>
      </c>
      <c r="AA690" s="227">
        <v>79.5</v>
      </c>
      <c r="AB690" s="227">
        <v>29.303000000000001</v>
      </c>
      <c r="AC690" s="227">
        <v>766.72</v>
      </c>
      <c r="AD690" s="230">
        <v>3.3915509259259261E-4</v>
      </c>
      <c r="AE690" s="230">
        <v>175.81799999999998</v>
      </c>
      <c r="AF690" s="230">
        <v>3776.9459999999999</v>
      </c>
      <c r="AG690" s="230">
        <v>461064.39889991988</v>
      </c>
      <c r="AH690" s="230">
        <v>2423410.1982056499</v>
      </c>
      <c r="AI690" s="230">
        <v>4600.32</v>
      </c>
    </row>
    <row r="691" spans="5:35" x14ac:dyDescent="0.35">
      <c r="E691" s="226">
        <v>2.0206400000000002</v>
      </c>
      <c r="F691" s="227">
        <v>11.116339726027396</v>
      </c>
      <c r="G691" s="227">
        <v>4057.4639999999999</v>
      </c>
      <c r="H691" s="227">
        <v>0.9536</v>
      </c>
      <c r="I691" s="227">
        <v>2.7166000000000001</v>
      </c>
      <c r="J691" s="227">
        <v>0.53384226724527761</v>
      </c>
      <c r="K691" s="227">
        <v>140</v>
      </c>
      <c r="L691" s="227">
        <v>140</v>
      </c>
      <c r="M691" s="227">
        <v>138.88999999999999</v>
      </c>
      <c r="N691" s="227">
        <v>96.793000000000006</v>
      </c>
      <c r="O691" s="227">
        <v>102.5</v>
      </c>
      <c r="P691" s="227">
        <v>119.75</v>
      </c>
      <c r="Q691" s="227">
        <v>109.74</v>
      </c>
      <c r="R691" s="227">
        <v>115.57</v>
      </c>
      <c r="S691" s="227"/>
      <c r="T691" s="227">
        <v>73.335999999999999</v>
      </c>
      <c r="U691" s="227">
        <v>79.272999999999996</v>
      </c>
      <c r="V691" s="227">
        <v>79.5</v>
      </c>
      <c r="W691" s="227">
        <v>79.5</v>
      </c>
      <c r="X691" s="227">
        <v>79.5</v>
      </c>
      <c r="Y691" s="227">
        <v>79.5</v>
      </c>
      <c r="Z691" s="227">
        <v>79.5</v>
      </c>
      <c r="AA691" s="227">
        <v>79.5</v>
      </c>
      <c r="AB691" s="227">
        <v>29.22</v>
      </c>
      <c r="AC691" s="227">
        <v>766.86</v>
      </c>
      <c r="AD691" s="230">
        <v>3.3819444444444446E-4</v>
      </c>
      <c r="AE691" s="230">
        <v>175.32000000000002</v>
      </c>
      <c r="AF691" s="230">
        <v>3777.6539999999995</v>
      </c>
      <c r="AG691" s="230">
        <v>461239.71889991988</v>
      </c>
      <c r="AH691" s="230">
        <v>2427187.8522056499</v>
      </c>
      <c r="AI691" s="230">
        <v>4601.16</v>
      </c>
    </row>
    <row r="692" spans="5:35" x14ac:dyDescent="0.35">
      <c r="E692" s="226">
        <v>2.0246400000000002</v>
      </c>
      <c r="F692" s="227">
        <v>11.132778082191781</v>
      </c>
      <c r="G692" s="227">
        <v>4063.4639999999999</v>
      </c>
      <c r="H692" s="227">
        <v>0.95369999999999999</v>
      </c>
      <c r="I692" s="227">
        <v>2.7206000000000001</v>
      </c>
      <c r="J692" s="227">
        <v>0.53404461446749985</v>
      </c>
      <c r="K692" s="227">
        <v>140</v>
      </c>
      <c r="L692" s="227">
        <v>140</v>
      </c>
      <c r="M692" s="227">
        <v>138.86000000000001</v>
      </c>
      <c r="N692" s="227">
        <v>96.775999999999996</v>
      </c>
      <c r="O692" s="227">
        <v>102.49</v>
      </c>
      <c r="P692" s="227">
        <v>119.73</v>
      </c>
      <c r="Q692" s="227">
        <v>109.73</v>
      </c>
      <c r="R692" s="227">
        <v>115.55</v>
      </c>
      <c r="S692" s="227"/>
      <c r="T692" s="227">
        <v>73.412000000000006</v>
      </c>
      <c r="U692" s="227">
        <v>79.314999999999998</v>
      </c>
      <c r="V692" s="227">
        <v>79.5</v>
      </c>
      <c r="W692" s="227">
        <v>79.5</v>
      </c>
      <c r="X692" s="227">
        <v>79.5</v>
      </c>
      <c r="Y692" s="227">
        <v>79.5</v>
      </c>
      <c r="Z692" s="227">
        <v>79.5</v>
      </c>
      <c r="AA692" s="227">
        <v>79.5</v>
      </c>
      <c r="AB692" s="227">
        <v>29.138000000000002</v>
      </c>
      <c r="AC692" s="227">
        <v>767.01</v>
      </c>
      <c r="AD692" s="230">
        <v>3.372453703703704E-4</v>
      </c>
      <c r="AE692" s="230">
        <v>174.82800000000003</v>
      </c>
      <c r="AF692" s="230">
        <v>3778.3620000000001</v>
      </c>
      <c r="AG692" s="230">
        <v>461414.54689991986</v>
      </c>
      <c r="AH692" s="230">
        <v>2430966.2142056501</v>
      </c>
      <c r="AI692" s="230">
        <v>4602.0599999999995</v>
      </c>
    </row>
    <row r="693" spans="5:35" x14ac:dyDescent="0.35">
      <c r="E693" s="226">
        <v>2.02874</v>
      </c>
      <c r="F693" s="227">
        <v>11.149216438356165</v>
      </c>
      <c r="G693" s="227">
        <v>4069.4639999999999</v>
      </c>
      <c r="H693" s="227">
        <v>0.95389999999999997</v>
      </c>
      <c r="I693" s="227">
        <v>2.7246999999999999</v>
      </c>
      <c r="J693" s="227">
        <v>0.53424638530083324</v>
      </c>
      <c r="K693" s="227">
        <v>140</v>
      </c>
      <c r="L693" s="227">
        <v>140</v>
      </c>
      <c r="M693" s="227">
        <v>138.83000000000001</v>
      </c>
      <c r="N693" s="227">
        <v>96.757999999999996</v>
      </c>
      <c r="O693" s="227">
        <v>102.47</v>
      </c>
      <c r="P693" s="227">
        <v>119.71</v>
      </c>
      <c r="Q693" s="227">
        <v>109.71</v>
      </c>
      <c r="R693" s="227">
        <v>115.53</v>
      </c>
      <c r="S693" s="227"/>
      <c r="T693" s="227">
        <v>73.486999999999995</v>
      </c>
      <c r="U693" s="227">
        <v>79.356999999999999</v>
      </c>
      <c r="V693" s="227">
        <v>79.5</v>
      </c>
      <c r="W693" s="227">
        <v>79.5</v>
      </c>
      <c r="X693" s="227">
        <v>79.5</v>
      </c>
      <c r="Y693" s="227">
        <v>79.5</v>
      </c>
      <c r="Z693" s="227">
        <v>79.5</v>
      </c>
      <c r="AA693" s="227">
        <v>79.5</v>
      </c>
      <c r="AB693" s="227">
        <v>29.055</v>
      </c>
      <c r="AC693" s="227">
        <v>767.15</v>
      </c>
      <c r="AD693" s="230">
        <v>3.3628472222222219E-4</v>
      </c>
      <c r="AE693" s="230">
        <v>174.32999999999998</v>
      </c>
      <c r="AF693" s="230">
        <v>3779.0640000000003</v>
      </c>
      <c r="AG693" s="230">
        <v>461588.87689991988</v>
      </c>
      <c r="AH693" s="230">
        <v>2434745.2782056499</v>
      </c>
      <c r="AI693" s="230">
        <v>4602.8999999999996</v>
      </c>
    </row>
    <row r="694" spans="5:35" x14ac:dyDescent="0.35">
      <c r="E694" s="226">
        <v>2.03274</v>
      </c>
      <c r="F694" s="227">
        <v>11.165654794520547</v>
      </c>
      <c r="G694" s="227">
        <v>4075.4639999999999</v>
      </c>
      <c r="H694" s="227">
        <v>0.95399999999999996</v>
      </c>
      <c r="I694" s="227">
        <v>2.7286999999999999</v>
      </c>
      <c r="J694" s="227">
        <v>0.53444758668972203</v>
      </c>
      <c r="K694" s="227">
        <v>140</v>
      </c>
      <c r="L694" s="227">
        <v>140</v>
      </c>
      <c r="M694" s="227">
        <v>138.80000000000001</v>
      </c>
      <c r="N694" s="227">
        <v>96.741</v>
      </c>
      <c r="O694" s="227">
        <v>102.45</v>
      </c>
      <c r="P694" s="227">
        <v>119.69</v>
      </c>
      <c r="Q694" s="227">
        <v>109.7</v>
      </c>
      <c r="R694" s="227">
        <v>115.51</v>
      </c>
      <c r="S694" s="227"/>
      <c r="T694" s="227">
        <v>73.563000000000002</v>
      </c>
      <c r="U694" s="227">
        <v>79.399000000000001</v>
      </c>
      <c r="V694" s="227">
        <v>79.5</v>
      </c>
      <c r="W694" s="227">
        <v>79.5</v>
      </c>
      <c r="X694" s="227">
        <v>79.5</v>
      </c>
      <c r="Y694" s="227">
        <v>79.5</v>
      </c>
      <c r="Z694" s="227">
        <v>79.5</v>
      </c>
      <c r="AA694" s="227">
        <v>79.5</v>
      </c>
      <c r="AB694" s="227">
        <v>28.972999999999999</v>
      </c>
      <c r="AC694" s="227">
        <v>767.29</v>
      </c>
      <c r="AD694" s="230">
        <v>3.3533564814814814E-4</v>
      </c>
      <c r="AE694" s="230">
        <v>173.83799999999999</v>
      </c>
      <c r="AF694" s="230">
        <v>3779.7719999999999</v>
      </c>
      <c r="AG694" s="230">
        <v>461762.71489991987</v>
      </c>
      <c r="AH694" s="230">
        <v>2438525.0502056498</v>
      </c>
      <c r="AI694" s="230">
        <v>4603.74</v>
      </c>
    </row>
    <row r="695" spans="5:35" x14ac:dyDescent="0.35">
      <c r="E695" s="226">
        <v>2.03674</v>
      </c>
      <c r="F695" s="227">
        <v>11.182093150684931</v>
      </c>
      <c r="G695" s="227">
        <v>4081.4639999999999</v>
      </c>
      <c r="H695" s="227">
        <v>0.95409999999999995</v>
      </c>
      <c r="I695" s="227">
        <v>2.7326999999999999</v>
      </c>
      <c r="J695" s="227">
        <v>0.53464821863416656</v>
      </c>
      <c r="K695" s="227">
        <v>140</v>
      </c>
      <c r="L695" s="227">
        <v>140</v>
      </c>
      <c r="M695" s="227">
        <v>138.78</v>
      </c>
      <c r="N695" s="227">
        <v>96.724000000000004</v>
      </c>
      <c r="O695" s="227">
        <v>102.44</v>
      </c>
      <c r="P695" s="227">
        <v>119.67</v>
      </c>
      <c r="Q695" s="227">
        <v>109.68</v>
      </c>
      <c r="R695" s="227">
        <v>115.5</v>
      </c>
      <c r="S695" s="227"/>
      <c r="T695" s="227">
        <v>73.638000000000005</v>
      </c>
      <c r="U695" s="227">
        <v>79.441000000000003</v>
      </c>
      <c r="V695" s="227">
        <v>79.5</v>
      </c>
      <c r="W695" s="227">
        <v>79.5</v>
      </c>
      <c r="X695" s="227">
        <v>79.5</v>
      </c>
      <c r="Y695" s="227">
        <v>79.5</v>
      </c>
      <c r="Z695" s="227">
        <v>79.5</v>
      </c>
      <c r="AA695" s="227">
        <v>79.5</v>
      </c>
      <c r="AB695" s="227">
        <v>28.890999999999998</v>
      </c>
      <c r="AC695" s="227">
        <v>767.44</v>
      </c>
      <c r="AD695" s="230">
        <v>3.3438657407407408E-4</v>
      </c>
      <c r="AE695" s="230">
        <v>173.34599999999998</v>
      </c>
      <c r="AF695" s="230">
        <v>3780.4739999999997</v>
      </c>
      <c r="AG695" s="230">
        <v>461936.06089991989</v>
      </c>
      <c r="AH695" s="230">
        <v>2442305.5242056497</v>
      </c>
      <c r="AI695" s="230">
        <v>4604.6400000000003</v>
      </c>
    </row>
    <row r="696" spans="5:35" x14ac:dyDescent="0.35">
      <c r="E696" s="226">
        <v>2.04074</v>
      </c>
      <c r="F696" s="227">
        <v>11.198531506849315</v>
      </c>
      <c r="G696" s="227">
        <v>4087.4639999999999</v>
      </c>
      <c r="H696" s="227">
        <v>0.95430000000000004</v>
      </c>
      <c r="I696" s="227">
        <v>2.7366999999999999</v>
      </c>
      <c r="J696" s="227">
        <v>0.53484828807861096</v>
      </c>
      <c r="K696" s="227">
        <v>140</v>
      </c>
      <c r="L696" s="227">
        <v>140</v>
      </c>
      <c r="M696" s="227">
        <v>138.75</v>
      </c>
      <c r="N696" s="227">
        <v>96.706999999999994</v>
      </c>
      <c r="O696" s="227">
        <v>102.42</v>
      </c>
      <c r="P696" s="227">
        <v>119.65</v>
      </c>
      <c r="Q696" s="227">
        <v>109.67</v>
      </c>
      <c r="R696" s="227">
        <v>115.48</v>
      </c>
      <c r="S696" s="227"/>
      <c r="T696" s="227">
        <v>73.713999999999999</v>
      </c>
      <c r="U696" s="227">
        <v>79.483000000000004</v>
      </c>
      <c r="V696" s="227">
        <v>79.5</v>
      </c>
      <c r="W696" s="227">
        <v>79.5</v>
      </c>
      <c r="X696" s="227">
        <v>79.5</v>
      </c>
      <c r="Y696" s="227">
        <v>79.5</v>
      </c>
      <c r="Z696" s="227">
        <v>79.5</v>
      </c>
      <c r="AA696" s="227">
        <v>79.5</v>
      </c>
      <c r="AB696" s="227">
        <v>28.81</v>
      </c>
      <c r="AC696" s="227">
        <v>767.58</v>
      </c>
      <c r="AD696" s="230">
        <v>3.3344907407407406E-4</v>
      </c>
      <c r="AE696" s="230">
        <v>172.85999999999999</v>
      </c>
      <c r="AF696" s="230">
        <v>3781.1819999999998</v>
      </c>
      <c r="AG696" s="230">
        <v>462108.92089991987</v>
      </c>
      <c r="AH696" s="230">
        <v>2446086.7062056498</v>
      </c>
      <c r="AI696" s="230">
        <v>4605.4800000000005</v>
      </c>
    </row>
    <row r="697" spans="5:35" x14ac:dyDescent="0.35">
      <c r="E697" s="226">
        <v>2.04474</v>
      </c>
      <c r="F697" s="227">
        <v>11.214969863013698</v>
      </c>
      <c r="G697" s="227">
        <v>4093.4639999999999</v>
      </c>
      <c r="H697" s="227">
        <v>0.95440000000000003</v>
      </c>
      <c r="I697" s="227">
        <v>2.7406999999999999</v>
      </c>
      <c r="J697" s="227">
        <v>0.53504778807861098</v>
      </c>
      <c r="K697" s="227">
        <v>140</v>
      </c>
      <c r="L697" s="227">
        <v>139.99</v>
      </c>
      <c r="M697" s="227">
        <v>138.72</v>
      </c>
      <c r="N697" s="227">
        <v>96.688999999999993</v>
      </c>
      <c r="O697" s="227">
        <v>102.4</v>
      </c>
      <c r="P697" s="227">
        <v>119.63</v>
      </c>
      <c r="Q697" s="227">
        <v>109.65</v>
      </c>
      <c r="R697" s="227">
        <v>115.46</v>
      </c>
      <c r="S697" s="227"/>
      <c r="T697" s="227">
        <v>73.793000000000006</v>
      </c>
      <c r="U697" s="227">
        <v>79.5</v>
      </c>
      <c r="V697" s="227">
        <v>79.5</v>
      </c>
      <c r="W697" s="227">
        <v>79.5</v>
      </c>
      <c r="X697" s="227">
        <v>79.5</v>
      </c>
      <c r="Y697" s="227">
        <v>79.5</v>
      </c>
      <c r="Z697" s="227">
        <v>79.5</v>
      </c>
      <c r="AA697" s="227">
        <v>79.5</v>
      </c>
      <c r="AB697" s="227">
        <v>28.728000000000002</v>
      </c>
      <c r="AC697" s="227">
        <v>767.7</v>
      </c>
      <c r="AD697" s="230">
        <v>3.325E-4</v>
      </c>
      <c r="AE697" s="230">
        <v>172.36800000000002</v>
      </c>
      <c r="AF697" s="230">
        <v>3781.7579999999998</v>
      </c>
      <c r="AG697" s="230">
        <v>462281.28889991989</v>
      </c>
      <c r="AH697" s="230">
        <v>2449868.4642056497</v>
      </c>
      <c r="AI697" s="230">
        <v>4606.2000000000007</v>
      </c>
    </row>
    <row r="698" spans="5:35" x14ac:dyDescent="0.35">
      <c r="E698" s="226">
        <v>2.04874</v>
      </c>
      <c r="F698" s="227">
        <v>11.231408219178082</v>
      </c>
      <c r="G698" s="227">
        <v>4099.4639999999999</v>
      </c>
      <c r="H698" s="227">
        <v>0.9546</v>
      </c>
      <c r="I698" s="227">
        <v>2.7446999999999999</v>
      </c>
      <c r="J698" s="227">
        <v>0.53524671168972204</v>
      </c>
      <c r="K698" s="227">
        <v>140</v>
      </c>
      <c r="L698" s="227">
        <v>139.96</v>
      </c>
      <c r="M698" s="227">
        <v>138.69</v>
      </c>
      <c r="N698" s="227">
        <v>96.671000000000006</v>
      </c>
      <c r="O698" s="227">
        <v>102.38</v>
      </c>
      <c r="P698" s="227">
        <v>119.61</v>
      </c>
      <c r="Q698" s="227">
        <v>109.64</v>
      </c>
      <c r="R698" s="227">
        <v>115.44</v>
      </c>
      <c r="S698" s="227"/>
      <c r="T698" s="227">
        <v>73.876999999999995</v>
      </c>
      <c r="U698" s="227">
        <v>79.5</v>
      </c>
      <c r="V698" s="227">
        <v>79.5</v>
      </c>
      <c r="W698" s="227">
        <v>79.5</v>
      </c>
      <c r="X698" s="227">
        <v>79.5</v>
      </c>
      <c r="Y698" s="227">
        <v>79.5</v>
      </c>
      <c r="Z698" s="227">
        <v>79.5</v>
      </c>
      <c r="AA698" s="227">
        <v>79.5</v>
      </c>
      <c r="AB698" s="227">
        <v>28.645</v>
      </c>
      <c r="AC698" s="227">
        <v>767.8</v>
      </c>
      <c r="AD698" s="230">
        <v>3.3153935185185185E-4</v>
      </c>
      <c r="AE698" s="230">
        <v>171.86999999999998</v>
      </c>
      <c r="AF698" s="230">
        <v>3782.2619999999997</v>
      </c>
      <c r="AG698" s="230">
        <v>462453.15889991989</v>
      </c>
      <c r="AH698" s="230">
        <v>2453650.7262056498</v>
      </c>
      <c r="AI698" s="230">
        <v>4606.7999999999993</v>
      </c>
    </row>
    <row r="699" spans="5:35" x14ac:dyDescent="0.35">
      <c r="E699" s="226">
        <v>2.0528400000000002</v>
      </c>
      <c r="F699" s="227">
        <v>11.247846575342466</v>
      </c>
      <c r="G699" s="227">
        <v>4105.4639999999999</v>
      </c>
      <c r="H699" s="227">
        <v>0.95469999999999999</v>
      </c>
      <c r="I699" s="227">
        <v>2.7488000000000001</v>
      </c>
      <c r="J699" s="227">
        <v>0.53544505891194427</v>
      </c>
      <c r="K699" s="227">
        <v>140</v>
      </c>
      <c r="L699" s="227">
        <v>139.94</v>
      </c>
      <c r="M699" s="227">
        <v>138.66</v>
      </c>
      <c r="N699" s="227">
        <v>96.652000000000001</v>
      </c>
      <c r="O699" s="227">
        <v>102.37</v>
      </c>
      <c r="P699" s="227">
        <v>119.59</v>
      </c>
      <c r="Q699" s="227">
        <v>109.62</v>
      </c>
      <c r="R699" s="227">
        <v>115.42</v>
      </c>
      <c r="S699" s="227"/>
      <c r="T699" s="227">
        <v>73.960999999999999</v>
      </c>
      <c r="U699" s="227">
        <v>79.5</v>
      </c>
      <c r="V699" s="227">
        <v>79.5</v>
      </c>
      <c r="W699" s="227">
        <v>79.5</v>
      </c>
      <c r="X699" s="227">
        <v>79.5</v>
      </c>
      <c r="Y699" s="227">
        <v>79.5</v>
      </c>
      <c r="Z699" s="227">
        <v>79.5</v>
      </c>
      <c r="AA699" s="227">
        <v>79.5</v>
      </c>
      <c r="AB699" s="227">
        <v>28.562000000000001</v>
      </c>
      <c r="AC699" s="227">
        <v>767.9</v>
      </c>
      <c r="AD699" s="230">
        <v>3.305787037037037E-4</v>
      </c>
      <c r="AE699" s="230">
        <v>171.37200000000001</v>
      </c>
      <c r="AF699" s="230">
        <v>3782.7660000000001</v>
      </c>
      <c r="AG699" s="230">
        <v>462624.53089991986</v>
      </c>
      <c r="AH699" s="230">
        <v>2457433.4922056496</v>
      </c>
      <c r="AI699" s="230">
        <v>4607.3999999999996</v>
      </c>
    </row>
    <row r="700" spans="5:35" x14ac:dyDescent="0.35">
      <c r="E700" s="226">
        <v>2.0568400000000002</v>
      </c>
      <c r="F700" s="227">
        <v>11.264284931506849</v>
      </c>
      <c r="G700" s="227">
        <v>4111.4639999999999</v>
      </c>
      <c r="H700" s="227">
        <v>0.95479999999999998</v>
      </c>
      <c r="I700" s="227">
        <v>2.7528000000000001</v>
      </c>
      <c r="J700" s="227">
        <v>0.53564283668972201</v>
      </c>
      <c r="K700" s="227">
        <v>140</v>
      </c>
      <c r="L700" s="227">
        <v>139.91</v>
      </c>
      <c r="M700" s="227">
        <v>138.63999999999999</v>
      </c>
      <c r="N700" s="227">
        <v>96.634</v>
      </c>
      <c r="O700" s="227">
        <v>102.35</v>
      </c>
      <c r="P700" s="227">
        <v>119.57</v>
      </c>
      <c r="Q700" s="227">
        <v>109.61</v>
      </c>
      <c r="R700" s="227">
        <v>115.4</v>
      </c>
      <c r="S700" s="227"/>
      <c r="T700" s="227">
        <v>74.043999999999997</v>
      </c>
      <c r="U700" s="227">
        <v>79.5</v>
      </c>
      <c r="V700" s="227">
        <v>79.5</v>
      </c>
      <c r="W700" s="227">
        <v>79.5</v>
      </c>
      <c r="X700" s="227">
        <v>79.5</v>
      </c>
      <c r="Y700" s="227">
        <v>79.5</v>
      </c>
      <c r="Z700" s="227">
        <v>79.5</v>
      </c>
      <c r="AA700" s="227">
        <v>79.5</v>
      </c>
      <c r="AB700" s="227">
        <v>28.48</v>
      </c>
      <c r="AC700" s="227">
        <v>768</v>
      </c>
      <c r="AD700" s="230">
        <v>3.2962962962962964E-4</v>
      </c>
      <c r="AE700" s="230">
        <v>170.88000000000002</v>
      </c>
      <c r="AF700" s="230">
        <v>3783.2640000000001</v>
      </c>
      <c r="AG700" s="230">
        <v>462795.41089991987</v>
      </c>
      <c r="AH700" s="230">
        <v>2461216.7562056496</v>
      </c>
      <c r="AI700" s="230">
        <v>4608</v>
      </c>
    </row>
    <row r="701" spans="5:35" x14ac:dyDescent="0.35">
      <c r="E701" s="226">
        <v>2.0608400000000002</v>
      </c>
      <c r="F701" s="227">
        <v>11.280723287671233</v>
      </c>
      <c r="G701" s="227">
        <v>4117.4639999999999</v>
      </c>
      <c r="H701" s="227">
        <v>0.95499999999999996</v>
      </c>
      <c r="I701" s="227">
        <v>2.7568000000000001</v>
      </c>
      <c r="J701" s="227">
        <v>0.53584004502305538</v>
      </c>
      <c r="K701" s="227">
        <v>140</v>
      </c>
      <c r="L701" s="227">
        <v>139.88999999999999</v>
      </c>
      <c r="M701" s="227">
        <v>138.61000000000001</v>
      </c>
      <c r="N701" s="227">
        <v>96.616</v>
      </c>
      <c r="O701" s="227">
        <v>102.33</v>
      </c>
      <c r="P701" s="227">
        <v>119.54</v>
      </c>
      <c r="Q701" s="227">
        <v>109.59</v>
      </c>
      <c r="R701" s="227">
        <v>115.38</v>
      </c>
      <c r="S701" s="227"/>
      <c r="T701" s="227">
        <v>74.126999999999995</v>
      </c>
      <c r="U701" s="227">
        <v>79.5</v>
      </c>
      <c r="V701" s="227">
        <v>79.5</v>
      </c>
      <c r="W701" s="227">
        <v>79.5</v>
      </c>
      <c r="X701" s="227">
        <v>79.5</v>
      </c>
      <c r="Y701" s="227">
        <v>79.5</v>
      </c>
      <c r="Z701" s="227">
        <v>79.5</v>
      </c>
      <c r="AA701" s="227">
        <v>79.5</v>
      </c>
      <c r="AB701" s="227">
        <v>28.398</v>
      </c>
      <c r="AC701" s="227">
        <v>768.1</v>
      </c>
      <c r="AD701" s="230">
        <v>3.2868055555555553E-4</v>
      </c>
      <c r="AE701" s="230">
        <v>170.38799999999998</v>
      </c>
      <c r="AF701" s="230">
        <v>3783.7619999999997</v>
      </c>
      <c r="AG701" s="230">
        <v>462965.79889991984</v>
      </c>
      <c r="AH701" s="230">
        <v>2465000.5182056497</v>
      </c>
      <c r="AI701" s="230">
        <v>4608.6000000000004</v>
      </c>
    </row>
    <row r="702" spans="5:35" x14ac:dyDescent="0.35">
      <c r="E702" s="226">
        <v>2.0648400000000002</v>
      </c>
      <c r="F702" s="227">
        <v>11.297161643835617</v>
      </c>
      <c r="G702" s="227">
        <v>4123.4639999999999</v>
      </c>
      <c r="H702" s="227">
        <v>0.95509999999999995</v>
      </c>
      <c r="I702" s="227">
        <v>2.7608000000000001</v>
      </c>
      <c r="J702" s="227">
        <v>0.53603669085638872</v>
      </c>
      <c r="K702" s="227">
        <v>140</v>
      </c>
      <c r="L702" s="227">
        <v>139.86000000000001</v>
      </c>
      <c r="M702" s="227">
        <v>138.58000000000001</v>
      </c>
      <c r="N702" s="227">
        <v>96.596999999999994</v>
      </c>
      <c r="O702" s="227">
        <v>102.32</v>
      </c>
      <c r="P702" s="227">
        <v>119.52</v>
      </c>
      <c r="Q702" s="227">
        <v>109.58</v>
      </c>
      <c r="R702" s="227">
        <v>115.36</v>
      </c>
      <c r="S702" s="227"/>
      <c r="T702" s="227">
        <v>74.209999999999994</v>
      </c>
      <c r="U702" s="227">
        <v>79.5</v>
      </c>
      <c r="V702" s="227">
        <v>79.5</v>
      </c>
      <c r="W702" s="227">
        <v>79.5</v>
      </c>
      <c r="X702" s="227">
        <v>79.5</v>
      </c>
      <c r="Y702" s="227">
        <v>79.5</v>
      </c>
      <c r="Z702" s="227">
        <v>79.5</v>
      </c>
      <c r="AA702" s="227">
        <v>79.5</v>
      </c>
      <c r="AB702" s="227">
        <v>28.317</v>
      </c>
      <c r="AC702" s="227">
        <v>768.21</v>
      </c>
      <c r="AD702" s="230">
        <v>3.2774305555555557E-4</v>
      </c>
      <c r="AE702" s="230">
        <v>169.90200000000002</v>
      </c>
      <c r="AF702" s="230">
        <v>3784.26</v>
      </c>
      <c r="AG702" s="230">
        <v>463135.70089991984</v>
      </c>
      <c r="AH702" s="230">
        <v>2468784.7782056495</v>
      </c>
      <c r="AI702" s="230">
        <v>4609.26</v>
      </c>
    </row>
    <row r="703" spans="5:35" x14ac:dyDescent="0.35">
      <c r="E703" s="226">
        <v>2.0688400000000002</v>
      </c>
      <c r="F703" s="227">
        <v>11.313599999999999</v>
      </c>
      <c r="G703" s="227">
        <v>4129.4639999999999</v>
      </c>
      <c r="H703" s="227">
        <v>0.95520000000000005</v>
      </c>
      <c r="I703" s="227">
        <v>2.7648000000000001</v>
      </c>
      <c r="J703" s="227">
        <v>0.53623277418972204</v>
      </c>
      <c r="K703" s="227">
        <v>140</v>
      </c>
      <c r="L703" s="227">
        <v>139.84</v>
      </c>
      <c r="M703" s="227">
        <v>138.55000000000001</v>
      </c>
      <c r="N703" s="227">
        <v>96.578999999999994</v>
      </c>
      <c r="O703" s="227">
        <v>102.3</v>
      </c>
      <c r="P703" s="227">
        <v>119.5</v>
      </c>
      <c r="Q703" s="227">
        <v>109.56</v>
      </c>
      <c r="R703" s="227">
        <v>115.34</v>
      </c>
      <c r="S703" s="227"/>
      <c r="T703" s="227">
        <v>74.293000000000006</v>
      </c>
      <c r="U703" s="227">
        <v>79.5</v>
      </c>
      <c r="V703" s="227">
        <v>79.5</v>
      </c>
      <c r="W703" s="227">
        <v>79.5</v>
      </c>
      <c r="X703" s="227">
        <v>79.5</v>
      </c>
      <c r="Y703" s="227">
        <v>79.5</v>
      </c>
      <c r="Z703" s="227">
        <v>79.5</v>
      </c>
      <c r="AA703" s="227">
        <v>79.5</v>
      </c>
      <c r="AB703" s="227">
        <v>28.236000000000001</v>
      </c>
      <c r="AC703" s="227">
        <v>768.31</v>
      </c>
      <c r="AD703" s="230">
        <v>3.2680555555555555E-4</v>
      </c>
      <c r="AE703" s="230">
        <v>169.41600000000003</v>
      </c>
      <c r="AF703" s="230">
        <v>3784.7579999999998</v>
      </c>
      <c r="AG703" s="230">
        <v>463305.11689991987</v>
      </c>
      <c r="AH703" s="230">
        <v>2472569.5362056494</v>
      </c>
      <c r="AI703" s="230">
        <v>4609.8599999999997</v>
      </c>
    </row>
    <row r="704" spans="5:35" x14ac:dyDescent="0.35">
      <c r="E704" s="226">
        <v>2.0728400000000002</v>
      </c>
      <c r="F704" s="227">
        <v>11.330038356164383</v>
      </c>
      <c r="G704" s="227">
        <v>4135.4639999999999</v>
      </c>
      <c r="H704" s="227">
        <v>0.95540000000000003</v>
      </c>
      <c r="I704" s="227">
        <v>2.7688000000000001</v>
      </c>
      <c r="J704" s="227">
        <v>0.53642829502305545</v>
      </c>
      <c r="K704" s="227">
        <v>140</v>
      </c>
      <c r="L704" s="227">
        <v>139.82</v>
      </c>
      <c r="M704" s="227">
        <v>138.52000000000001</v>
      </c>
      <c r="N704" s="227">
        <v>96.561000000000007</v>
      </c>
      <c r="O704" s="227">
        <v>102.28</v>
      </c>
      <c r="P704" s="227">
        <v>119.48</v>
      </c>
      <c r="Q704" s="227">
        <v>109.55</v>
      </c>
      <c r="R704" s="227">
        <v>115.32</v>
      </c>
      <c r="S704" s="227"/>
      <c r="T704" s="227">
        <v>74.376000000000005</v>
      </c>
      <c r="U704" s="227">
        <v>79.5</v>
      </c>
      <c r="V704" s="227">
        <v>79.5</v>
      </c>
      <c r="W704" s="227">
        <v>79.5</v>
      </c>
      <c r="X704" s="227">
        <v>79.5</v>
      </c>
      <c r="Y704" s="227">
        <v>79.5</v>
      </c>
      <c r="Z704" s="227">
        <v>79.5</v>
      </c>
      <c r="AA704" s="227">
        <v>79.5</v>
      </c>
      <c r="AB704" s="227">
        <v>28.155000000000001</v>
      </c>
      <c r="AC704" s="227">
        <v>768.41</v>
      </c>
      <c r="AD704" s="230">
        <v>3.2586805555555559E-4</v>
      </c>
      <c r="AE704" s="230">
        <v>168.93</v>
      </c>
      <c r="AF704" s="230">
        <v>3785.2559999999999</v>
      </c>
      <c r="AG704" s="230">
        <v>463474.04689991986</v>
      </c>
      <c r="AH704" s="230">
        <v>2476354.7922056494</v>
      </c>
      <c r="AI704" s="230">
        <v>4610.46</v>
      </c>
    </row>
    <row r="705" spans="5:35" x14ac:dyDescent="0.35">
      <c r="E705" s="226">
        <v>2.07694</v>
      </c>
      <c r="F705" s="227">
        <v>11.346476712328768</v>
      </c>
      <c r="G705" s="227">
        <v>4141.4639999999999</v>
      </c>
      <c r="H705" s="227">
        <v>0.95550000000000002</v>
      </c>
      <c r="I705" s="227">
        <v>2.7728999999999999</v>
      </c>
      <c r="J705" s="227">
        <v>0.53662325335638872</v>
      </c>
      <c r="K705" s="227">
        <v>140</v>
      </c>
      <c r="L705" s="227">
        <v>139.79</v>
      </c>
      <c r="M705" s="227">
        <v>138.49</v>
      </c>
      <c r="N705" s="227">
        <v>96.542000000000002</v>
      </c>
      <c r="O705" s="227">
        <v>102.26</v>
      </c>
      <c r="P705" s="227">
        <v>119.46</v>
      </c>
      <c r="Q705" s="227">
        <v>109.53</v>
      </c>
      <c r="R705" s="227">
        <v>115.3</v>
      </c>
      <c r="S705" s="227"/>
      <c r="T705" s="227">
        <v>74.459000000000003</v>
      </c>
      <c r="U705" s="227">
        <v>79.5</v>
      </c>
      <c r="V705" s="227">
        <v>79.5</v>
      </c>
      <c r="W705" s="227">
        <v>79.5</v>
      </c>
      <c r="X705" s="227">
        <v>79.5</v>
      </c>
      <c r="Y705" s="227">
        <v>79.5</v>
      </c>
      <c r="Z705" s="227">
        <v>79.5</v>
      </c>
      <c r="AA705" s="227">
        <v>79.5</v>
      </c>
      <c r="AB705" s="227">
        <v>28.074000000000002</v>
      </c>
      <c r="AC705" s="227">
        <v>768.51</v>
      </c>
      <c r="AD705" s="230">
        <v>3.2493055555555557E-4</v>
      </c>
      <c r="AE705" s="230">
        <v>168.44400000000002</v>
      </c>
      <c r="AF705" s="230">
        <v>3785.7540000000004</v>
      </c>
      <c r="AG705" s="230">
        <v>463642.49089991988</v>
      </c>
      <c r="AH705" s="230">
        <v>2480140.5462056496</v>
      </c>
      <c r="AI705" s="230">
        <v>4611.0599999999995</v>
      </c>
    </row>
    <row r="706" spans="5:35" x14ac:dyDescent="0.35">
      <c r="E706" s="226">
        <v>2.08094</v>
      </c>
      <c r="F706" s="227">
        <v>11.36291506849315</v>
      </c>
      <c r="G706" s="227">
        <v>4147.4639999999999</v>
      </c>
      <c r="H706" s="227">
        <v>0.9556</v>
      </c>
      <c r="I706" s="227">
        <v>2.7768999999999999</v>
      </c>
      <c r="J706" s="227">
        <v>0.53681764918972208</v>
      </c>
      <c r="K706" s="227">
        <v>140</v>
      </c>
      <c r="L706" s="227">
        <v>139.77000000000001</v>
      </c>
      <c r="M706" s="227">
        <v>138.47</v>
      </c>
      <c r="N706" s="227">
        <v>96.524000000000001</v>
      </c>
      <c r="O706" s="227">
        <v>102.25</v>
      </c>
      <c r="P706" s="227">
        <v>119.44</v>
      </c>
      <c r="Q706" s="227">
        <v>109.52</v>
      </c>
      <c r="R706" s="227">
        <v>115.28</v>
      </c>
      <c r="S706" s="227"/>
      <c r="T706" s="227">
        <v>74.540999999999997</v>
      </c>
      <c r="U706" s="227">
        <v>79.5</v>
      </c>
      <c r="V706" s="227">
        <v>79.5</v>
      </c>
      <c r="W706" s="227">
        <v>79.5</v>
      </c>
      <c r="X706" s="227">
        <v>79.5</v>
      </c>
      <c r="Y706" s="227">
        <v>79.5</v>
      </c>
      <c r="Z706" s="227">
        <v>79.5</v>
      </c>
      <c r="AA706" s="227">
        <v>79.5</v>
      </c>
      <c r="AB706" s="227">
        <v>27.992999999999999</v>
      </c>
      <c r="AC706" s="227">
        <v>768.61</v>
      </c>
      <c r="AD706" s="230">
        <v>3.2399305555555556E-4</v>
      </c>
      <c r="AE706" s="230">
        <v>167.958</v>
      </c>
      <c r="AF706" s="230">
        <v>3786.2459999999996</v>
      </c>
      <c r="AG706" s="230">
        <v>463810.44889991987</v>
      </c>
      <c r="AH706" s="230">
        <v>2483926.7922056494</v>
      </c>
      <c r="AI706" s="230">
        <v>4611.66</v>
      </c>
    </row>
    <row r="707" spans="5:35" x14ac:dyDescent="0.35">
      <c r="E707" s="226">
        <v>2.08494</v>
      </c>
      <c r="F707" s="227">
        <v>11.379353424657534</v>
      </c>
      <c r="G707" s="227">
        <v>4153.4639999999999</v>
      </c>
      <c r="H707" s="227">
        <v>0.95579999999999998</v>
      </c>
      <c r="I707" s="227">
        <v>2.7808999999999999</v>
      </c>
      <c r="J707" s="227">
        <v>0.53701148946749988</v>
      </c>
      <c r="K707" s="227">
        <v>140</v>
      </c>
      <c r="L707" s="227">
        <v>139.74</v>
      </c>
      <c r="M707" s="227">
        <v>138.44</v>
      </c>
      <c r="N707" s="227">
        <v>96.506</v>
      </c>
      <c r="O707" s="227">
        <v>102.23</v>
      </c>
      <c r="P707" s="227">
        <v>119.42</v>
      </c>
      <c r="Q707" s="227">
        <v>109.5</v>
      </c>
      <c r="R707" s="227">
        <v>115.26</v>
      </c>
      <c r="S707" s="227"/>
      <c r="T707" s="227">
        <v>74.623000000000005</v>
      </c>
      <c r="U707" s="227">
        <v>79.5</v>
      </c>
      <c r="V707" s="227">
        <v>79.5</v>
      </c>
      <c r="W707" s="227">
        <v>79.5</v>
      </c>
      <c r="X707" s="227">
        <v>79.5</v>
      </c>
      <c r="Y707" s="227">
        <v>79.5</v>
      </c>
      <c r="Z707" s="227">
        <v>79.5</v>
      </c>
      <c r="AA707" s="227">
        <v>79.5</v>
      </c>
      <c r="AB707" s="227">
        <v>27.913</v>
      </c>
      <c r="AC707" s="227">
        <v>768.71</v>
      </c>
      <c r="AD707" s="230">
        <v>3.2306712962962964E-4</v>
      </c>
      <c r="AE707" s="230">
        <v>167.47800000000001</v>
      </c>
      <c r="AF707" s="230">
        <v>3786.7380000000003</v>
      </c>
      <c r="AG707" s="230">
        <v>463977.92689991987</v>
      </c>
      <c r="AH707" s="230">
        <v>2487713.5302056493</v>
      </c>
      <c r="AI707" s="230">
        <v>4612.26</v>
      </c>
    </row>
    <row r="708" spans="5:35" x14ac:dyDescent="0.35">
      <c r="E708" s="226">
        <v>2.08894</v>
      </c>
      <c r="F708" s="227">
        <v>11.395791780821918</v>
      </c>
      <c r="G708" s="227">
        <v>4159.4639999999999</v>
      </c>
      <c r="H708" s="227">
        <v>0.95589999999999997</v>
      </c>
      <c r="I708" s="227">
        <v>2.7848999999999999</v>
      </c>
      <c r="J708" s="227">
        <v>0.53720477418972212</v>
      </c>
      <c r="K708" s="227">
        <v>140</v>
      </c>
      <c r="L708" s="227">
        <v>139.72</v>
      </c>
      <c r="M708" s="227">
        <v>138.41</v>
      </c>
      <c r="N708" s="227">
        <v>96.488</v>
      </c>
      <c r="O708" s="227">
        <v>102.21</v>
      </c>
      <c r="P708" s="227">
        <v>119.4</v>
      </c>
      <c r="Q708" s="227">
        <v>109.49</v>
      </c>
      <c r="R708" s="227">
        <v>115.24</v>
      </c>
      <c r="S708" s="227"/>
      <c r="T708" s="227">
        <v>74.706000000000003</v>
      </c>
      <c r="U708" s="227">
        <v>79.5</v>
      </c>
      <c r="V708" s="227">
        <v>79.5</v>
      </c>
      <c r="W708" s="227">
        <v>79.5</v>
      </c>
      <c r="X708" s="227">
        <v>79.5</v>
      </c>
      <c r="Y708" s="227">
        <v>79.5</v>
      </c>
      <c r="Z708" s="227">
        <v>79.5</v>
      </c>
      <c r="AA708" s="227">
        <v>79.5</v>
      </c>
      <c r="AB708" s="227">
        <v>27.832999999999998</v>
      </c>
      <c r="AC708" s="227">
        <v>768.81</v>
      </c>
      <c r="AD708" s="230">
        <v>3.2214120370370366E-4</v>
      </c>
      <c r="AE708" s="230">
        <v>166.99799999999999</v>
      </c>
      <c r="AF708" s="230">
        <v>3787.2359999999999</v>
      </c>
      <c r="AG708" s="230">
        <v>464144.92489991989</v>
      </c>
      <c r="AH708" s="230">
        <v>2491500.7662056494</v>
      </c>
      <c r="AI708" s="230">
        <v>4612.8599999999997</v>
      </c>
    </row>
    <row r="709" spans="5:35" x14ac:dyDescent="0.35">
      <c r="E709" s="226">
        <v>2.09294</v>
      </c>
      <c r="F709" s="227">
        <v>11.412230136986301</v>
      </c>
      <c r="G709" s="227">
        <v>4165.4639999999999</v>
      </c>
      <c r="H709" s="227">
        <v>0.95599999999999996</v>
      </c>
      <c r="I709" s="227">
        <v>2.7888999999999999</v>
      </c>
      <c r="J709" s="227">
        <v>0.53739751030083316</v>
      </c>
      <c r="K709" s="227">
        <v>140</v>
      </c>
      <c r="L709" s="227">
        <v>139.69999999999999</v>
      </c>
      <c r="M709" s="227">
        <v>138.38</v>
      </c>
      <c r="N709" s="227">
        <v>96.468999999999994</v>
      </c>
      <c r="O709" s="227">
        <v>102.2</v>
      </c>
      <c r="P709" s="227">
        <v>119.38</v>
      </c>
      <c r="Q709" s="227">
        <v>109.47</v>
      </c>
      <c r="R709" s="227">
        <v>115.22</v>
      </c>
      <c r="S709" s="227"/>
      <c r="T709" s="227">
        <v>74.787999999999997</v>
      </c>
      <c r="U709" s="227">
        <v>79.5</v>
      </c>
      <c r="V709" s="227">
        <v>79.5</v>
      </c>
      <c r="W709" s="227">
        <v>79.5</v>
      </c>
      <c r="X709" s="227">
        <v>79.5</v>
      </c>
      <c r="Y709" s="227">
        <v>79.5</v>
      </c>
      <c r="Z709" s="227">
        <v>79.5</v>
      </c>
      <c r="AA709" s="227">
        <v>79.5</v>
      </c>
      <c r="AB709" s="227">
        <v>27.754000000000001</v>
      </c>
      <c r="AC709" s="227">
        <v>768.91</v>
      </c>
      <c r="AD709" s="230">
        <v>3.2122685185185189E-4</v>
      </c>
      <c r="AE709" s="230">
        <v>166.52400000000003</v>
      </c>
      <c r="AF709" s="230">
        <v>3787.7280000000001</v>
      </c>
      <c r="AG709" s="230">
        <v>464311.44889991987</v>
      </c>
      <c r="AH709" s="230">
        <v>2495288.4942056495</v>
      </c>
      <c r="AI709" s="230">
        <v>4613.46</v>
      </c>
    </row>
    <row r="710" spans="5:35" x14ac:dyDescent="0.35">
      <c r="E710" s="226">
        <v>2.09694</v>
      </c>
      <c r="F710" s="227">
        <v>11.428668493150685</v>
      </c>
      <c r="G710" s="227">
        <v>4171.4639999999999</v>
      </c>
      <c r="H710" s="227">
        <v>0.95620000000000005</v>
      </c>
      <c r="I710" s="227">
        <v>2.7928999999999999</v>
      </c>
      <c r="J710" s="227">
        <v>0.53758969085638875</v>
      </c>
      <c r="K710" s="227">
        <v>140</v>
      </c>
      <c r="L710" s="227">
        <v>139.66999999999999</v>
      </c>
      <c r="M710" s="227">
        <v>138.35</v>
      </c>
      <c r="N710" s="227">
        <v>96.450999999999993</v>
      </c>
      <c r="O710" s="227">
        <v>102.18</v>
      </c>
      <c r="P710" s="227">
        <v>119.36</v>
      </c>
      <c r="Q710" s="227">
        <v>109.46</v>
      </c>
      <c r="R710" s="227">
        <v>115.2</v>
      </c>
      <c r="S710" s="227"/>
      <c r="T710" s="227">
        <v>74.869</v>
      </c>
      <c r="U710" s="227">
        <v>79.5</v>
      </c>
      <c r="V710" s="227">
        <v>79.5</v>
      </c>
      <c r="W710" s="227">
        <v>79.5</v>
      </c>
      <c r="X710" s="227">
        <v>79.5</v>
      </c>
      <c r="Y710" s="227">
        <v>79.5</v>
      </c>
      <c r="Z710" s="227">
        <v>79.5</v>
      </c>
      <c r="AA710" s="227">
        <v>79.5</v>
      </c>
      <c r="AB710" s="227">
        <v>27.673999999999999</v>
      </c>
      <c r="AC710" s="227">
        <v>769.01</v>
      </c>
      <c r="AD710" s="230">
        <v>3.2030092592592592E-4</v>
      </c>
      <c r="AE710" s="230">
        <v>166.04399999999998</v>
      </c>
      <c r="AF710" s="230">
        <v>3788.2139999999999</v>
      </c>
      <c r="AG710" s="230">
        <v>464477.49289991986</v>
      </c>
      <c r="AH710" s="230">
        <v>2499076.7082056496</v>
      </c>
      <c r="AI710" s="230">
        <v>4614.0599999999995</v>
      </c>
    </row>
    <row r="711" spans="5:35" x14ac:dyDescent="0.35">
      <c r="E711" s="226">
        <v>2.1010400000000002</v>
      </c>
      <c r="F711" s="227">
        <v>11.445106849315069</v>
      </c>
      <c r="G711" s="227">
        <v>4177.4639999999999</v>
      </c>
      <c r="H711" s="227">
        <v>0.95630000000000004</v>
      </c>
      <c r="I711" s="227">
        <v>2.7970000000000002</v>
      </c>
      <c r="J711" s="227">
        <v>0.53778132280083313</v>
      </c>
      <c r="K711" s="227">
        <v>140</v>
      </c>
      <c r="L711" s="227">
        <v>139.65</v>
      </c>
      <c r="M711" s="227">
        <v>138.33000000000001</v>
      </c>
      <c r="N711" s="227">
        <v>96.433000000000007</v>
      </c>
      <c r="O711" s="227">
        <v>102.16</v>
      </c>
      <c r="P711" s="227">
        <v>119.34</v>
      </c>
      <c r="Q711" s="227">
        <v>109.44</v>
      </c>
      <c r="R711" s="227">
        <v>115.18</v>
      </c>
      <c r="S711" s="227"/>
      <c r="T711" s="227">
        <v>74.950999999999993</v>
      </c>
      <c r="U711" s="227">
        <v>79.5</v>
      </c>
      <c r="V711" s="227">
        <v>79.5</v>
      </c>
      <c r="W711" s="227">
        <v>79.5</v>
      </c>
      <c r="X711" s="227">
        <v>79.5</v>
      </c>
      <c r="Y711" s="227">
        <v>79.5</v>
      </c>
      <c r="Z711" s="227">
        <v>79.5</v>
      </c>
      <c r="AA711" s="227">
        <v>79.5</v>
      </c>
      <c r="AB711" s="227">
        <v>27.594999999999999</v>
      </c>
      <c r="AC711" s="227">
        <v>769.11</v>
      </c>
      <c r="AD711" s="230">
        <v>3.1938657407407404E-4</v>
      </c>
      <c r="AE711" s="230">
        <v>165.57</v>
      </c>
      <c r="AF711" s="230">
        <v>3788.7060000000001</v>
      </c>
      <c r="AG711" s="230">
        <v>464643.06289991987</v>
      </c>
      <c r="AH711" s="230">
        <v>2502865.4142056494</v>
      </c>
      <c r="AI711" s="230">
        <v>4614.66</v>
      </c>
    </row>
    <row r="712" spans="5:35" x14ac:dyDescent="0.35">
      <c r="E712" s="226">
        <v>2.1050400000000002</v>
      </c>
      <c r="F712" s="227">
        <v>11.461545205479451</v>
      </c>
      <c r="G712" s="227">
        <v>4183.4639999999999</v>
      </c>
      <c r="H712" s="227">
        <v>0.95640000000000003</v>
      </c>
      <c r="I712" s="227">
        <v>2.8010000000000002</v>
      </c>
      <c r="J712" s="227">
        <v>0.53797241307861099</v>
      </c>
      <c r="K712" s="227">
        <v>140</v>
      </c>
      <c r="L712" s="227">
        <v>139.63</v>
      </c>
      <c r="M712" s="227">
        <v>138.30000000000001</v>
      </c>
      <c r="N712" s="227">
        <v>96.415000000000006</v>
      </c>
      <c r="O712" s="227">
        <v>102.14</v>
      </c>
      <c r="P712" s="227">
        <v>119.32</v>
      </c>
      <c r="Q712" s="227">
        <v>109.43</v>
      </c>
      <c r="R712" s="227">
        <v>115.17</v>
      </c>
      <c r="S712" s="227"/>
      <c r="T712" s="227">
        <v>75.033000000000001</v>
      </c>
      <c r="U712" s="227">
        <v>79.5</v>
      </c>
      <c r="V712" s="227">
        <v>79.5</v>
      </c>
      <c r="W712" s="227">
        <v>79.5</v>
      </c>
      <c r="X712" s="227">
        <v>79.5</v>
      </c>
      <c r="Y712" s="227">
        <v>79.5</v>
      </c>
      <c r="Z712" s="227">
        <v>79.5</v>
      </c>
      <c r="AA712" s="227">
        <v>79.5</v>
      </c>
      <c r="AB712" s="227">
        <v>27.516999999999999</v>
      </c>
      <c r="AC712" s="227">
        <v>769.21</v>
      </c>
      <c r="AD712" s="230">
        <v>3.1848379629629631E-4</v>
      </c>
      <c r="AE712" s="230">
        <v>165.102</v>
      </c>
      <c r="AF712" s="230">
        <v>3789.1980000000003</v>
      </c>
      <c r="AG712" s="230">
        <v>464808.16489991988</v>
      </c>
      <c r="AH712" s="230">
        <v>2506654.6122056493</v>
      </c>
      <c r="AI712" s="230">
        <v>4615.26</v>
      </c>
    </row>
    <row r="713" spans="5:35" x14ac:dyDescent="0.35">
      <c r="E713" s="226">
        <v>2.1090400000000002</v>
      </c>
      <c r="F713" s="227">
        <v>11.477983561643835</v>
      </c>
      <c r="G713" s="227">
        <v>4189.4639999999999</v>
      </c>
      <c r="H713" s="227">
        <v>0.95660000000000001</v>
      </c>
      <c r="I713" s="227">
        <v>2.8050000000000002</v>
      </c>
      <c r="J713" s="227">
        <v>0.53816295474527764</v>
      </c>
      <c r="K713" s="227">
        <v>140</v>
      </c>
      <c r="L713" s="227">
        <v>139.6</v>
      </c>
      <c r="M713" s="227">
        <v>138.27000000000001</v>
      </c>
      <c r="N713" s="227">
        <v>96.397000000000006</v>
      </c>
      <c r="O713" s="227">
        <v>102.13</v>
      </c>
      <c r="P713" s="227">
        <v>119.3</v>
      </c>
      <c r="Q713" s="227">
        <v>109.42</v>
      </c>
      <c r="R713" s="227">
        <v>115.15</v>
      </c>
      <c r="S713" s="227"/>
      <c r="T713" s="227">
        <v>75.114000000000004</v>
      </c>
      <c r="U713" s="227">
        <v>79.5</v>
      </c>
      <c r="V713" s="227">
        <v>79.5</v>
      </c>
      <c r="W713" s="227">
        <v>79.5</v>
      </c>
      <c r="X713" s="227">
        <v>79.5</v>
      </c>
      <c r="Y713" s="227">
        <v>79.5</v>
      </c>
      <c r="Z713" s="227">
        <v>79.5</v>
      </c>
      <c r="AA713" s="227">
        <v>79.5</v>
      </c>
      <c r="AB713" s="227">
        <v>27.437999999999999</v>
      </c>
      <c r="AC713" s="227">
        <v>769.31</v>
      </c>
      <c r="AD713" s="230">
        <v>3.1756944444444443E-4</v>
      </c>
      <c r="AE713" s="230">
        <v>164.62799999999999</v>
      </c>
      <c r="AF713" s="230">
        <v>3789.6840000000002</v>
      </c>
      <c r="AG713" s="230">
        <v>464972.79289991991</v>
      </c>
      <c r="AH713" s="230">
        <v>2510444.2962056492</v>
      </c>
      <c r="AI713" s="230">
        <v>4615.8599999999997</v>
      </c>
    </row>
    <row r="714" spans="5:35" x14ac:dyDescent="0.35">
      <c r="E714" s="226">
        <v>2.1130400000000003</v>
      </c>
      <c r="F714" s="227">
        <v>11.49442191780822</v>
      </c>
      <c r="G714" s="227">
        <v>4195.4639999999999</v>
      </c>
      <c r="H714" s="227">
        <v>0.95669999999999999</v>
      </c>
      <c r="I714" s="227">
        <v>2.8090000000000002</v>
      </c>
      <c r="J714" s="227">
        <v>0.53835295474527767</v>
      </c>
      <c r="K714" s="227">
        <v>140</v>
      </c>
      <c r="L714" s="227">
        <v>139.58000000000001</v>
      </c>
      <c r="M714" s="227">
        <v>138.24</v>
      </c>
      <c r="N714" s="227">
        <v>96.379000000000005</v>
      </c>
      <c r="O714" s="227">
        <v>102.11</v>
      </c>
      <c r="P714" s="227">
        <v>119.28</v>
      </c>
      <c r="Q714" s="227">
        <v>109.4</v>
      </c>
      <c r="R714" s="227">
        <v>115.13</v>
      </c>
      <c r="S714" s="227"/>
      <c r="T714" s="227">
        <v>75.194999999999993</v>
      </c>
      <c r="U714" s="227">
        <v>79.5</v>
      </c>
      <c r="V714" s="227">
        <v>79.5</v>
      </c>
      <c r="W714" s="227">
        <v>79.5</v>
      </c>
      <c r="X714" s="227">
        <v>79.5</v>
      </c>
      <c r="Y714" s="227">
        <v>79.5</v>
      </c>
      <c r="Z714" s="227">
        <v>79.5</v>
      </c>
      <c r="AA714" s="227">
        <v>79.5</v>
      </c>
      <c r="AB714" s="227">
        <v>27.36</v>
      </c>
      <c r="AC714" s="227">
        <v>769.4</v>
      </c>
      <c r="AD714" s="230">
        <v>3.1666666666666665E-4</v>
      </c>
      <c r="AE714" s="230">
        <v>164.15999999999997</v>
      </c>
      <c r="AF714" s="230">
        <v>3790.1699999999996</v>
      </c>
      <c r="AG714" s="230">
        <v>465136.95289991988</v>
      </c>
      <c r="AH714" s="230">
        <v>2514234.4662056491</v>
      </c>
      <c r="AI714" s="230">
        <v>4616.3999999999996</v>
      </c>
    </row>
    <row r="715" spans="5:35" x14ac:dyDescent="0.35">
      <c r="E715" s="226">
        <v>2.1170400000000003</v>
      </c>
      <c r="F715" s="227">
        <v>11.510860273972602</v>
      </c>
      <c r="G715" s="227">
        <v>4201.4639999999999</v>
      </c>
      <c r="H715" s="227">
        <v>0.95679999999999998</v>
      </c>
      <c r="I715" s="227">
        <v>2.8130000000000002</v>
      </c>
      <c r="J715" s="227">
        <v>0.53854241307861095</v>
      </c>
      <c r="K715" s="227">
        <v>140</v>
      </c>
      <c r="L715" s="227">
        <v>139.56</v>
      </c>
      <c r="M715" s="227">
        <v>138.22</v>
      </c>
      <c r="N715" s="227">
        <v>96.361000000000004</v>
      </c>
      <c r="O715" s="227">
        <v>102.09</v>
      </c>
      <c r="P715" s="227">
        <v>119.26</v>
      </c>
      <c r="Q715" s="227">
        <v>109.39</v>
      </c>
      <c r="R715" s="227">
        <v>115.11</v>
      </c>
      <c r="S715" s="227"/>
      <c r="T715" s="227">
        <v>75.275999999999996</v>
      </c>
      <c r="U715" s="227">
        <v>79.5</v>
      </c>
      <c r="V715" s="227">
        <v>79.5</v>
      </c>
      <c r="W715" s="227">
        <v>79.5</v>
      </c>
      <c r="X715" s="227">
        <v>79.5</v>
      </c>
      <c r="Y715" s="227">
        <v>79.5</v>
      </c>
      <c r="Z715" s="227">
        <v>79.5</v>
      </c>
      <c r="AA715" s="227">
        <v>79.5</v>
      </c>
      <c r="AB715" s="227">
        <v>27.282</v>
      </c>
      <c r="AC715" s="227">
        <v>769.5</v>
      </c>
      <c r="AD715" s="230">
        <v>3.1576388888888886E-4</v>
      </c>
      <c r="AE715" s="230">
        <v>163.69199999999998</v>
      </c>
      <c r="AF715" s="230">
        <v>3790.6560000000004</v>
      </c>
      <c r="AG715" s="230">
        <v>465300.64489991986</v>
      </c>
      <c r="AH715" s="230">
        <v>2518025.122205649</v>
      </c>
      <c r="AI715" s="230">
        <v>4617</v>
      </c>
    </row>
    <row r="716" spans="5:35" x14ac:dyDescent="0.35">
      <c r="E716" s="226">
        <v>2.12114</v>
      </c>
      <c r="F716" s="227">
        <v>11.527298630136986</v>
      </c>
      <c r="G716" s="227">
        <v>4207.4639999999999</v>
      </c>
      <c r="H716" s="227">
        <v>0.95689999999999997</v>
      </c>
      <c r="I716" s="227">
        <v>2.8170999999999999</v>
      </c>
      <c r="J716" s="227">
        <v>0.53873133668972206</v>
      </c>
      <c r="K716" s="227">
        <v>140</v>
      </c>
      <c r="L716" s="227">
        <v>139.53</v>
      </c>
      <c r="M716" s="227">
        <v>138.19</v>
      </c>
      <c r="N716" s="227">
        <v>96.343999999999994</v>
      </c>
      <c r="O716" s="227">
        <v>102.08</v>
      </c>
      <c r="P716" s="227">
        <v>119.24</v>
      </c>
      <c r="Q716" s="227">
        <v>109.37</v>
      </c>
      <c r="R716" s="227">
        <v>115.09</v>
      </c>
      <c r="S716" s="227"/>
      <c r="T716" s="227">
        <v>75.356999999999999</v>
      </c>
      <c r="U716" s="227">
        <v>79.5</v>
      </c>
      <c r="V716" s="227">
        <v>79.5</v>
      </c>
      <c r="W716" s="227">
        <v>79.5</v>
      </c>
      <c r="X716" s="227">
        <v>79.5</v>
      </c>
      <c r="Y716" s="227">
        <v>79.5</v>
      </c>
      <c r="Z716" s="227">
        <v>79.5</v>
      </c>
      <c r="AA716" s="227">
        <v>79.5</v>
      </c>
      <c r="AB716" s="227">
        <v>27.204999999999998</v>
      </c>
      <c r="AC716" s="227">
        <v>769.6</v>
      </c>
      <c r="AD716" s="230">
        <v>3.1487268518518518E-4</v>
      </c>
      <c r="AE716" s="230">
        <v>163.22999999999999</v>
      </c>
      <c r="AF716" s="230">
        <v>3791.1419999999998</v>
      </c>
      <c r="AG716" s="230">
        <v>465463.87489991984</v>
      </c>
      <c r="AH716" s="230">
        <v>2521816.264205649</v>
      </c>
      <c r="AI716" s="230">
        <v>4617.6000000000004</v>
      </c>
    </row>
    <row r="717" spans="5:35" x14ac:dyDescent="0.35">
      <c r="E717" s="226">
        <v>2.12514</v>
      </c>
      <c r="F717" s="227">
        <v>11.54373698630137</v>
      </c>
      <c r="G717" s="227">
        <v>4213.4639999999999</v>
      </c>
      <c r="H717" s="227">
        <v>0.95709999999999995</v>
      </c>
      <c r="I717" s="227">
        <v>2.8210999999999999</v>
      </c>
      <c r="J717" s="227">
        <v>0.53891971863416643</v>
      </c>
      <c r="K717" s="227">
        <v>140</v>
      </c>
      <c r="L717" s="227">
        <v>139.51</v>
      </c>
      <c r="M717" s="227">
        <v>138.16</v>
      </c>
      <c r="N717" s="227">
        <v>96.325999999999993</v>
      </c>
      <c r="O717" s="227">
        <v>102.06</v>
      </c>
      <c r="P717" s="227">
        <v>119.22</v>
      </c>
      <c r="Q717" s="227">
        <v>109.36</v>
      </c>
      <c r="R717" s="227">
        <v>115.07</v>
      </c>
      <c r="S717" s="227"/>
      <c r="T717" s="227">
        <v>75.438000000000002</v>
      </c>
      <c r="U717" s="227">
        <v>79.5</v>
      </c>
      <c r="V717" s="227">
        <v>79.5</v>
      </c>
      <c r="W717" s="227">
        <v>79.5</v>
      </c>
      <c r="X717" s="227">
        <v>79.5</v>
      </c>
      <c r="Y717" s="227">
        <v>79.5</v>
      </c>
      <c r="Z717" s="227">
        <v>79.5</v>
      </c>
      <c r="AA717" s="227">
        <v>79.5</v>
      </c>
      <c r="AB717" s="227">
        <v>27.126999999999999</v>
      </c>
      <c r="AC717" s="227">
        <v>769.7</v>
      </c>
      <c r="AD717" s="230">
        <v>3.1396990740740739E-4</v>
      </c>
      <c r="AE717" s="230">
        <v>162.762</v>
      </c>
      <c r="AF717" s="230">
        <v>3791.6279999999997</v>
      </c>
      <c r="AG717" s="230">
        <v>465626.63689991983</v>
      </c>
      <c r="AH717" s="230">
        <v>2525607.8922056491</v>
      </c>
      <c r="AI717" s="230">
        <v>4618.2000000000007</v>
      </c>
    </row>
    <row r="718" spans="5:35" x14ac:dyDescent="0.35">
      <c r="E718" s="226">
        <v>2.12914</v>
      </c>
      <c r="F718" s="227">
        <v>11.560175342465753</v>
      </c>
      <c r="G718" s="227">
        <v>4219.4639999999999</v>
      </c>
      <c r="H718" s="227">
        <v>0.95720000000000005</v>
      </c>
      <c r="I718" s="227">
        <v>2.8250999999999999</v>
      </c>
      <c r="J718" s="227">
        <v>0.53910756585638864</v>
      </c>
      <c r="K718" s="227">
        <v>140</v>
      </c>
      <c r="L718" s="227">
        <v>139.49</v>
      </c>
      <c r="M718" s="227">
        <v>138.13999999999999</v>
      </c>
      <c r="N718" s="227">
        <v>96.308000000000007</v>
      </c>
      <c r="O718" s="227">
        <v>102.04</v>
      </c>
      <c r="P718" s="227">
        <v>119.2</v>
      </c>
      <c r="Q718" s="227">
        <v>109.34</v>
      </c>
      <c r="R718" s="227">
        <v>115.05</v>
      </c>
      <c r="S718" s="227"/>
      <c r="T718" s="227">
        <v>75.518000000000001</v>
      </c>
      <c r="U718" s="227">
        <v>79.5</v>
      </c>
      <c r="V718" s="227">
        <v>79.5</v>
      </c>
      <c r="W718" s="227">
        <v>79.5</v>
      </c>
      <c r="X718" s="227">
        <v>79.5</v>
      </c>
      <c r="Y718" s="227">
        <v>79.5</v>
      </c>
      <c r="Z718" s="227">
        <v>79.5</v>
      </c>
      <c r="AA718" s="227">
        <v>79.5</v>
      </c>
      <c r="AB718" s="227">
        <v>27.05</v>
      </c>
      <c r="AC718" s="227">
        <v>769.8</v>
      </c>
      <c r="AD718" s="230">
        <v>3.1307870370370371E-4</v>
      </c>
      <c r="AE718" s="230">
        <v>162.30000000000001</v>
      </c>
      <c r="AF718" s="230">
        <v>3792.1080000000002</v>
      </c>
      <c r="AG718" s="230">
        <v>465788.93689991982</v>
      </c>
      <c r="AH718" s="230">
        <v>2529400.0002056491</v>
      </c>
      <c r="AI718" s="230">
        <v>4618.7999999999993</v>
      </c>
    </row>
    <row r="719" spans="5:35" x14ac:dyDescent="0.35">
      <c r="E719" s="226">
        <v>2.13314</v>
      </c>
      <c r="F719" s="227">
        <v>11.576613698630137</v>
      </c>
      <c r="G719" s="227">
        <v>4225.4639999999999</v>
      </c>
      <c r="H719" s="227">
        <v>0.95730000000000004</v>
      </c>
      <c r="I719" s="227">
        <v>2.8290999999999999</v>
      </c>
      <c r="J719" s="227">
        <v>0.53929487835638867</v>
      </c>
      <c r="K719" s="227">
        <v>140</v>
      </c>
      <c r="L719" s="227">
        <v>139.47</v>
      </c>
      <c r="M719" s="227">
        <v>138.11000000000001</v>
      </c>
      <c r="N719" s="227">
        <v>96.29</v>
      </c>
      <c r="O719" s="227">
        <v>102.03</v>
      </c>
      <c r="P719" s="227">
        <v>119.18</v>
      </c>
      <c r="Q719" s="227">
        <v>109.33</v>
      </c>
      <c r="R719" s="227">
        <v>115.03</v>
      </c>
      <c r="S719" s="227"/>
      <c r="T719" s="227">
        <v>75.599000000000004</v>
      </c>
      <c r="U719" s="227">
        <v>79.5</v>
      </c>
      <c r="V719" s="227">
        <v>79.5</v>
      </c>
      <c r="W719" s="227">
        <v>79.5</v>
      </c>
      <c r="X719" s="227">
        <v>79.5</v>
      </c>
      <c r="Y719" s="227">
        <v>79.5</v>
      </c>
      <c r="Z719" s="227">
        <v>79.5</v>
      </c>
      <c r="AA719" s="227">
        <v>79.5</v>
      </c>
      <c r="AB719" s="227">
        <v>26.972999999999999</v>
      </c>
      <c r="AC719" s="227">
        <v>769.9</v>
      </c>
      <c r="AD719" s="230">
        <v>3.1218749999999997E-4</v>
      </c>
      <c r="AE719" s="230">
        <v>161.83799999999999</v>
      </c>
      <c r="AF719" s="230">
        <v>3792.5939999999996</v>
      </c>
      <c r="AG719" s="230">
        <v>465950.77489991981</v>
      </c>
      <c r="AH719" s="230">
        <v>2533192.5942056491</v>
      </c>
      <c r="AI719" s="230">
        <v>4619.3999999999996</v>
      </c>
    </row>
    <row r="720" spans="5:35" x14ac:dyDescent="0.35">
      <c r="E720" s="226">
        <v>2.13714</v>
      </c>
      <c r="F720" s="227">
        <v>11.593052054794521</v>
      </c>
      <c r="G720" s="227">
        <v>4231.4639999999999</v>
      </c>
      <c r="H720" s="227">
        <v>0.95750000000000002</v>
      </c>
      <c r="I720" s="227">
        <v>2.8331</v>
      </c>
      <c r="J720" s="227">
        <v>0.5394816630786109</v>
      </c>
      <c r="K720" s="227">
        <v>140</v>
      </c>
      <c r="L720" s="227">
        <v>139.44</v>
      </c>
      <c r="M720" s="227">
        <v>138.08000000000001</v>
      </c>
      <c r="N720" s="227">
        <v>96.272999999999996</v>
      </c>
      <c r="O720" s="227">
        <v>102.01</v>
      </c>
      <c r="P720" s="227">
        <v>119.16</v>
      </c>
      <c r="Q720" s="227">
        <v>109.31</v>
      </c>
      <c r="R720" s="227">
        <v>115.02</v>
      </c>
      <c r="S720" s="227"/>
      <c r="T720" s="227">
        <v>75.679000000000002</v>
      </c>
      <c r="U720" s="227">
        <v>79.5</v>
      </c>
      <c r="V720" s="227">
        <v>79.5</v>
      </c>
      <c r="W720" s="227">
        <v>79.5</v>
      </c>
      <c r="X720" s="227">
        <v>79.5</v>
      </c>
      <c r="Y720" s="227">
        <v>79.5</v>
      </c>
      <c r="Z720" s="227">
        <v>79.5</v>
      </c>
      <c r="AA720" s="227">
        <v>79.5</v>
      </c>
      <c r="AB720" s="227">
        <v>26.896999999999998</v>
      </c>
      <c r="AC720" s="227">
        <v>769.99</v>
      </c>
      <c r="AD720" s="230">
        <v>3.1130787037037037E-4</v>
      </c>
      <c r="AE720" s="230">
        <v>161.38200000000001</v>
      </c>
      <c r="AF720" s="230">
        <v>3793.0739999999996</v>
      </c>
      <c r="AG720" s="230">
        <v>466112.15689991979</v>
      </c>
      <c r="AH720" s="230">
        <v>2536985.6682056491</v>
      </c>
      <c r="AI720" s="230">
        <v>4619.9400000000005</v>
      </c>
    </row>
    <row r="721" spans="5:35" x14ac:dyDescent="0.35">
      <c r="E721" s="226">
        <v>2.14114</v>
      </c>
      <c r="F721" s="227">
        <v>11.609490410958903</v>
      </c>
      <c r="G721" s="227">
        <v>4237.4639999999999</v>
      </c>
      <c r="H721" s="227">
        <v>0.95760000000000001</v>
      </c>
      <c r="I721" s="227">
        <v>2.8371</v>
      </c>
      <c r="J721" s="227">
        <v>0.5396679200230553</v>
      </c>
      <c r="K721" s="227">
        <v>140</v>
      </c>
      <c r="L721" s="227">
        <v>139.41999999999999</v>
      </c>
      <c r="M721" s="227">
        <v>138.06</v>
      </c>
      <c r="N721" s="227">
        <v>96.254999999999995</v>
      </c>
      <c r="O721" s="227">
        <v>101.99</v>
      </c>
      <c r="P721" s="227">
        <v>119.14</v>
      </c>
      <c r="Q721" s="227">
        <v>109.3</v>
      </c>
      <c r="R721" s="227">
        <v>115</v>
      </c>
      <c r="S721" s="227"/>
      <c r="T721" s="227">
        <v>75.759</v>
      </c>
      <c r="U721" s="227">
        <v>79.5</v>
      </c>
      <c r="V721" s="227">
        <v>79.5</v>
      </c>
      <c r="W721" s="227">
        <v>79.5</v>
      </c>
      <c r="X721" s="227">
        <v>79.5</v>
      </c>
      <c r="Y721" s="227">
        <v>79.5</v>
      </c>
      <c r="Z721" s="227">
        <v>79.5</v>
      </c>
      <c r="AA721" s="227">
        <v>79.5</v>
      </c>
      <c r="AB721" s="227">
        <v>26.821000000000002</v>
      </c>
      <c r="AC721" s="227">
        <v>770.09</v>
      </c>
      <c r="AD721" s="230">
        <v>3.1042824074074078E-4</v>
      </c>
      <c r="AE721" s="230">
        <v>160.92600000000002</v>
      </c>
      <c r="AF721" s="230">
        <v>3793.5540000000001</v>
      </c>
      <c r="AG721" s="230">
        <v>466273.08289991977</v>
      </c>
      <c r="AH721" s="230">
        <v>2540779.2222056491</v>
      </c>
      <c r="AI721" s="230">
        <v>4620.54</v>
      </c>
    </row>
    <row r="722" spans="5:35" x14ac:dyDescent="0.35">
      <c r="E722" s="226">
        <v>2.1452400000000003</v>
      </c>
      <c r="F722" s="227">
        <v>11.625928767123288</v>
      </c>
      <c r="G722" s="227">
        <v>4243.4639999999999</v>
      </c>
      <c r="H722" s="227">
        <v>0.9577</v>
      </c>
      <c r="I722" s="227">
        <v>2.8412000000000002</v>
      </c>
      <c r="J722" s="227">
        <v>0.5398536491897219</v>
      </c>
      <c r="K722" s="227">
        <v>140</v>
      </c>
      <c r="L722" s="227">
        <v>139.4</v>
      </c>
      <c r="M722" s="227">
        <v>138.03</v>
      </c>
      <c r="N722" s="227">
        <v>96.236999999999995</v>
      </c>
      <c r="O722" s="227">
        <v>101.98</v>
      </c>
      <c r="P722" s="227">
        <v>119.12</v>
      </c>
      <c r="Q722" s="227">
        <v>109.28</v>
      </c>
      <c r="R722" s="227">
        <v>114.98</v>
      </c>
      <c r="S722" s="227"/>
      <c r="T722" s="227">
        <v>75.838999999999999</v>
      </c>
      <c r="U722" s="227">
        <v>79.5</v>
      </c>
      <c r="V722" s="227">
        <v>79.5</v>
      </c>
      <c r="W722" s="227">
        <v>79.5</v>
      </c>
      <c r="X722" s="227">
        <v>79.5</v>
      </c>
      <c r="Y722" s="227">
        <v>79.5</v>
      </c>
      <c r="Z722" s="227">
        <v>79.5</v>
      </c>
      <c r="AA722" s="227">
        <v>79.5</v>
      </c>
      <c r="AB722" s="227">
        <v>26.745000000000001</v>
      </c>
      <c r="AC722" s="227">
        <v>770.19</v>
      </c>
      <c r="AD722" s="230">
        <v>3.0954861111111114E-4</v>
      </c>
      <c r="AE722" s="230">
        <v>160.47</v>
      </c>
      <c r="AF722" s="230">
        <v>3794.0339999999997</v>
      </c>
      <c r="AG722" s="230">
        <v>466433.55289991974</v>
      </c>
      <c r="AH722" s="230">
        <v>2544573.2562056491</v>
      </c>
      <c r="AI722" s="230">
        <v>4621.1400000000003</v>
      </c>
    </row>
    <row r="723" spans="5:35" x14ac:dyDescent="0.35">
      <c r="E723" s="226">
        <v>2.1492400000000003</v>
      </c>
      <c r="F723" s="227">
        <v>11.642367123287672</v>
      </c>
      <c r="G723" s="227">
        <v>4249.4639999999999</v>
      </c>
      <c r="H723" s="227">
        <v>0.95779999999999998</v>
      </c>
      <c r="I723" s="227">
        <v>2.8452000000000002</v>
      </c>
      <c r="J723" s="227">
        <v>0.54003885057861079</v>
      </c>
      <c r="K723" s="227">
        <v>140</v>
      </c>
      <c r="L723" s="227">
        <v>139.37</v>
      </c>
      <c r="M723" s="227">
        <v>138</v>
      </c>
      <c r="N723" s="227">
        <v>96.22</v>
      </c>
      <c r="O723" s="227">
        <v>101.96</v>
      </c>
      <c r="P723" s="227">
        <v>119.1</v>
      </c>
      <c r="Q723" s="227">
        <v>109.27</v>
      </c>
      <c r="R723" s="227">
        <v>114.96</v>
      </c>
      <c r="S723" s="227"/>
      <c r="T723" s="227">
        <v>75.918999999999997</v>
      </c>
      <c r="U723" s="227">
        <v>79.5</v>
      </c>
      <c r="V723" s="227">
        <v>79.5</v>
      </c>
      <c r="W723" s="227">
        <v>79.5</v>
      </c>
      <c r="X723" s="227">
        <v>79.5</v>
      </c>
      <c r="Y723" s="227">
        <v>79.5</v>
      </c>
      <c r="Z723" s="227">
        <v>79.5</v>
      </c>
      <c r="AA723" s="227">
        <v>79.5</v>
      </c>
      <c r="AB723" s="227">
        <v>26.669</v>
      </c>
      <c r="AC723" s="227">
        <v>770.29</v>
      </c>
      <c r="AD723" s="230">
        <v>3.0866898148148149E-4</v>
      </c>
      <c r="AE723" s="230">
        <v>160.01400000000001</v>
      </c>
      <c r="AF723" s="230">
        <v>3794.5140000000001</v>
      </c>
      <c r="AG723" s="230">
        <v>466593.56689991977</v>
      </c>
      <c r="AH723" s="230">
        <v>2548367.7702056491</v>
      </c>
      <c r="AI723" s="230">
        <v>4621.74</v>
      </c>
    </row>
    <row r="724" spans="5:35" x14ac:dyDescent="0.35">
      <c r="E724" s="226">
        <v>2.1532400000000003</v>
      </c>
      <c r="F724" s="227">
        <v>11.658805479452054</v>
      </c>
      <c r="G724" s="227">
        <v>4255.4639999999999</v>
      </c>
      <c r="H724" s="227">
        <v>0.95799999999999996</v>
      </c>
      <c r="I724" s="227">
        <v>2.8492000000000002</v>
      </c>
      <c r="J724" s="227">
        <v>0.54022353113416643</v>
      </c>
      <c r="K724" s="227">
        <v>140</v>
      </c>
      <c r="L724" s="227">
        <v>139.35</v>
      </c>
      <c r="M724" s="227">
        <v>137.97999999999999</v>
      </c>
      <c r="N724" s="227">
        <v>96.201999999999998</v>
      </c>
      <c r="O724" s="227">
        <v>101.95</v>
      </c>
      <c r="P724" s="227">
        <v>119.08</v>
      </c>
      <c r="Q724" s="227">
        <v>109.26</v>
      </c>
      <c r="R724" s="227">
        <v>114.94</v>
      </c>
      <c r="S724" s="227"/>
      <c r="T724" s="227">
        <v>75.998999999999995</v>
      </c>
      <c r="U724" s="227">
        <v>79.5</v>
      </c>
      <c r="V724" s="227">
        <v>79.5</v>
      </c>
      <c r="W724" s="227">
        <v>79.5</v>
      </c>
      <c r="X724" s="227">
        <v>79.5</v>
      </c>
      <c r="Y724" s="227">
        <v>79.5</v>
      </c>
      <c r="Z724" s="227">
        <v>79.5</v>
      </c>
      <c r="AA724" s="227">
        <v>79.5</v>
      </c>
      <c r="AB724" s="227">
        <v>26.594000000000001</v>
      </c>
      <c r="AC724" s="227">
        <v>770.38</v>
      </c>
      <c r="AD724" s="230">
        <v>3.0780092592592594E-4</v>
      </c>
      <c r="AE724" s="230">
        <v>159.56399999999999</v>
      </c>
      <c r="AF724" s="230">
        <v>3794.9940000000001</v>
      </c>
      <c r="AG724" s="230">
        <v>466753.13089991978</v>
      </c>
      <c r="AH724" s="230">
        <v>2552162.764205649</v>
      </c>
      <c r="AI724" s="230">
        <v>4622.28</v>
      </c>
    </row>
    <row r="725" spans="5:35" x14ac:dyDescent="0.35">
      <c r="E725" s="226">
        <v>2.1572400000000003</v>
      </c>
      <c r="F725" s="227">
        <v>11.675243835616438</v>
      </c>
      <c r="G725" s="227">
        <v>4261.4639999999999</v>
      </c>
      <c r="H725" s="227">
        <v>0.95809999999999995</v>
      </c>
      <c r="I725" s="227">
        <v>2.8532000000000002</v>
      </c>
      <c r="J725" s="227">
        <v>0.54040769085638862</v>
      </c>
      <c r="K725" s="227">
        <v>140</v>
      </c>
      <c r="L725" s="227">
        <v>139.33000000000001</v>
      </c>
      <c r="M725" s="227">
        <v>137.94999999999999</v>
      </c>
      <c r="N725" s="227">
        <v>96.183999999999997</v>
      </c>
      <c r="O725" s="227">
        <v>101.93</v>
      </c>
      <c r="P725" s="227">
        <v>119.06</v>
      </c>
      <c r="Q725" s="227">
        <v>109.24</v>
      </c>
      <c r="R725" s="227">
        <v>114.92</v>
      </c>
      <c r="S725" s="227"/>
      <c r="T725" s="227">
        <v>76.078999999999994</v>
      </c>
      <c r="U725" s="227">
        <v>79.5</v>
      </c>
      <c r="V725" s="227">
        <v>79.5</v>
      </c>
      <c r="W725" s="227">
        <v>79.5</v>
      </c>
      <c r="X725" s="227">
        <v>79.5</v>
      </c>
      <c r="Y725" s="227">
        <v>79.5</v>
      </c>
      <c r="Z725" s="227">
        <v>79.5</v>
      </c>
      <c r="AA725" s="227">
        <v>79.5</v>
      </c>
      <c r="AB725" s="227">
        <v>26.518999999999998</v>
      </c>
      <c r="AC725" s="227">
        <v>770.48</v>
      </c>
      <c r="AD725" s="230">
        <v>3.0693287037037033E-4</v>
      </c>
      <c r="AE725" s="230">
        <v>159.11399999999998</v>
      </c>
      <c r="AF725" s="230">
        <v>3795.4739999999997</v>
      </c>
      <c r="AG725" s="230">
        <v>466912.24489991978</v>
      </c>
      <c r="AH725" s="230">
        <v>2555958.238205649</v>
      </c>
      <c r="AI725" s="230">
        <v>4622.88</v>
      </c>
    </row>
    <row r="726" spans="5:35" x14ac:dyDescent="0.35">
      <c r="E726" s="226">
        <v>2.1612400000000003</v>
      </c>
      <c r="F726" s="227">
        <v>11.691682191780822</v>
      </c>
      <c r="G726" s="227">
        <v>4267.4639999999999</v>
      </c>
      <c r="H726" s="227">
        <v>0.95820000000000005</v>
      </c>
      <c r="I726" s="227">
        <v>2.8572000000000002</v>
      </c>
      <c r="J726" s="227">
        <v>0.54059132974527746</v>
      </c>
      <c r="K726" s="227">
        <v>140</v>
      </c>
      <c r="L726" s="227">
        <v>139.31</v>
      </c>
      <c r="M726" s="227">
        <v>137.91999999999999</v>
      </c>
      <c r="N726" s="227">
        <v>96.167000000000002</v>
      </c>
      <c r="O726" s="227">
        <v>101.91</v>
      </c>
      <c r="P726" s="227">
        <v>119.04</v>
      </c>
      <c r="Q726" s="227">
        <v>109.23</v>
      </c>
      <c r="R726" s="227">
        <v>114.9</v>
      </c>
      <c r="S726" s="227"/>
      <c r="T726" s="227">
        <v>76.159000000000006</v>
      </c>
      <c r="U726" s="227">
        <v>79.5</v>
      </c>
      <c r="V726" s="227">
        <v>79.5</v>
      </c>
      <c r="W726" s="227">
        <v>79.5</v>
      </c>
      <c r="X726" s="227">
        <v>79.5</v>
      </c>
      <c r="Y726" s="227">
        <v>79.5</v>
      </c>
      <c r="Z726" s="227">
        <v>79.5</v>
      </c>
      <c r="AA726" s="227">
        <v>79.5</v>
      </c>
      <c r="AB726" s="227">
        <v>26.443999999999999</v>
      </c>
      <c r="AC726" s="227">
        <v>770.58</v>
      </c>
      <c r="AD726" s="230">
        <v>3.0606481481481478E-4</v>
      </c>
      <c r="AE726" s="230">
        <v>158.66399999999999</v>
      </c>
      <c r="AF726" s="230">
        <v>3795.9539999999997</v>
      </c>
      <c r="AG726" s="230">
        <v>467070.90889991977</v>
      </c>
      <c r="AH726" s="230">
        <v>2559754.1922056489</v>
      </c>
      <c r="AI726" s="230">
        <v>4623.4800000000005</v>
      </c>
    </row>
    <row r="727" spans="5:35" x14ac:dyDescent="0.35">
      <c r="E727" s="226">
        <v>2.1652400000000003</v>
      </c>
      <c r="F727" s="227">
        <v>11.708120547945205</v>
      </c>
      <c r="G727" s="227">
        <v>4273.4639999999999</v>
      </c>
      <c r="H727" s="227">
        <v>0.95830000000000004</v>
      </c>
      <c r="I727" s="227">
        <v>2.8612000000000002</v>
      </c>
      <c r="J727" s="227">
        <v>0.54077444780083306</v>
      </c>
      <c r="K727" s="227">
        <v>140</v>
      </c>
      <c r="L727" s="227">
        <v>139.28</v>
      </c>
      <c r="M727" s="227">
        <v>137.9</v>
      </c>
      <c r="N727" s="227">
        <v>96.149000000000001</v>
      </c>
      <c r="O727" s="227">
        <v>101.9</v>
      </c>
      <c r="P727" s="227">
        <v>119.02</v>
      </c>
      <c r="Q727" s="227">
        <v>109.21</v>
      </c>
      <c r="R727" s="227">
        <v>114.89</v>
      </c>
      <c r="S727" s="227"/>
      <c r="T727" s="227">
        <v>76.238</v>
      </c>
      <c r="U727" s="227">
        <v>79.5</v>
      </c>
      <c r="V727" s="227">
        <v>79.5</v>
      </c>
      <c r="W727" s="227">
        <v>79.5</v>
      </c>
      <c r="X727" s="227">
        <v>79.5</v>
      </c>
      <c r="Y727" s="227">
        <v>79.5</v>
      </c>
      <c r="Z727" s="227">
        <v>79.5</v>
      </c>
      <c r="AA727" s="227">
        <v>79.5</v>
      </c>
      <c r="AB727" s="227">
        <v>26.369</v>
      </c>
      <c r="AC727" s="227">
        <v>770.67</v>
      </c>
      <c r="AD727" s="230">
        <v>3.0519675925925923E-4</v>
      </c>
      <c r="AE727" s="230">
        <v>158.214</v>
      </c>
      <c r="AF727" s="230">
        <v>3796.4280000000003</v>
      </c>
      <c r="AG727" s="230">
        <v>467229.12289991975</v>
      </c>
      <c r="AH727" s="230">
        <v>2563550.6202056487</v>
      </c>
      <c r="AI727" s="230">
        <v>4624.0199999999995</v>
      </c>
    </row>
    <row r="728" spans="5:35" x14ac:dyDescent="0.35">
      <c r="E728" s="226">
        <v>2.16934</v>
      </c>
      <c r="F728" s="227">
        <v>11.724558904109589</v>
      </c>
      <c r="G728" s="227">
        <v>4279.4639999999999</v>
      </c>
      <c r="H728" s="227">
        <v>0.95850000000000002</v>
      </c>
      <c r="I728" s="227">
        <v>2.8653</v>
      </c>
      <c r="J728" s="227">
        <v>0.54095705196749977</v>
      </c>
      <c r="K728" s="227">
        <v>140</v>
      </c>
      <c r="L728" s="227">
        <v>139.26</v>
      </c>
      <c r="M728" s="227">
        <v>137.87</v>
      </c>
      <c r="N728" s="227">
        <v>96.132000000000005</v>
      </c>
      <c r="O728" s="227">
        <v>101.88</v>
      </c>
      <c r="P728" s="227">
        <v>119</v>
      </c>
      <c r="Q728" s="227">
        <v>109.2</v>
      </c>
      <c r="R728" s="227">
        <v>114.87</v>
      </c>
      <c r="S728" s="227"/>
      <c r="T728" s="227">
        <v>76.316999999999993</v>
      </c>
      <c r="U728" s="227">
        <v>79.5</v>
      </c>
      <c r="V728" s="227">
        <v>79.5</v>
      </c>
      <c r="W728" s="227">
        <v>79.5</v>
      </c>
      <c r="X728" s="227">
        <v>79.5</v>
      </c>
      <c r="Y728" s="227">
        <v>79.5</v>
      </c>
      <c r="Z728" s="227">
        <v>79.5</v>
      </c>
      <c r="AA728" s="227">
        <v>79.5</v>
      </c>
      <c r="AB728" s="227">
        <v>26.295000000000002</v>
      </c>
      <c r="AC728" s="227">
        <v>770.77</v>
      </c>
      <c r="AD728" s="230">
        <v>3.0434027777777778E-4</v>
      </c>
      <c r="AE728" s="230">
        <v>157.77000000000001</v>
      </c>
      <c r="AF728" s="230">
        <v>3796.902</v>
      </c>
      <c r="AG728" s="230">
        <v>467386.89289991977</v>
      </c>
      <c r="AH728" s="230">
        <v>2567347.5222056485</v>
      </c>
      <c r="AI728" s="230">
        <v>4624.62</v>
      </c>
    </row>
    <row r="729" spans="5:35" x14ac:dyDescent="0.35">
      <c r="E729" s="226">
        <v>2.17334</v>
      </c>
      <c r="F729" s="227">
        <v>11.740997260273973</v>
      </c>
      <c r="G729" s="227">
        <v>4285.4639999999999</v>
      </c>
      <c r="H729" s="227">
        <v>0.95860000000000001</v>
      </c>
      <c r="I729" s="227">
        <v>2.8693</v>
      </c>
      <c r="J729" s="227">
        <v>0.54113914224527748</v>
      </c>
      <c r="K729" s="227">
        <v>140</v>
      </c>
      <c r="L729" s="227">
        <v>139.24</v>
      </c>
      <c r="M729" s="227">
        <v>137.84</v>
      </c>
      <c r="N729" s="227">
        <v>96.114000000000004</v>
      </c>
      <c r="O729" s="227">
        <v>101.86</v>
      </c>
      <c r="P729" s="227">
        <v>118.98</v>
      </c>
      <c r="Q729" s="227">
        <v>109.19</v>
      </c>
      <c r="R729" s="227">
        <v>114.85</v>
      </c>
      <c r="S729" s="227"/>
      <c r="T729" s="227">
        <v>76.397000000000006</v>
      </c>
      <c r="U729" s="227">
        <v>79.5</v>
      </c>
      <c r="V729" s="227">
        <v>79.5</v>
      </c>
      <c r="W729" s="227">
        <v>79.5</v>
      </c>
      <c r="X729" s="227">
        <v>79.5</v>
      </c>
      <c r="Y729" s="227">
        <v>79.5</v>
      </c>
      <c r="Z729" s="227">
        <v>79.5</v>
      </c>
      <c r="AA729" s="227">
        <v>79.5</v>
      </c>
      <c r="AB729" s="227">
        <v>26.221</v>
      </c>
      <c r="AC729" s="227">
        <v>770.87</v>
      </c>
      <c r="AD729" s="230">
        <v>3.0348379629629627E-4</v>
      </c>
      <c r="AE729" s="230">
        <v>157.32599999999999</v>
      </c>
      <c r="AF729" s="230">
        <v>3797.3819999999996</v>
      </c>
      <c r="AG729" s="230">
        <v>467544.21889991977</v>
      </c>
      <c r="AH729" s="230">
        <v>2571144.9042056487</v>
      </c>
      <c r="AI729" s="230">
        <v>4625.22</v>
      </c>
    </row>
    <row r="730" spans="5:35" x14ac:dyDescent="0.35">
      <c r="E730" s="226">
        <v>2.1773400000000001</v>
      </c>
      <c r="F730" s="227">
        <v>11.757435616438356</v>
      </c>
      <c r="G730" s="227">
        <v>4291.4639999999999</v>
      </c>
      <c r="H730" s="227">
        <v>0.9587</v>
      </c>
      <c r="I730" s="227">
        <v>2.8733</v>
      </c>
      <c r="J730" s="227">
        <v>0.54132071863416642</v>
      </c>
      <c r="K730" s="227">
        <v>140</v>
      </c>
      <c r="L730" s="227">
        <v>139.22</v>
      </c>
      <c r="M730" s="227">
        <v>137.82</v>
      </c>
      <c r="N730" s="227">
        <v>96.096999999999994</v>
      </c>
      <c r="O730" s="227">
        <v>101.85</v>
      </c>
      <c r="P730" s="227">
        <v>118.96</v>
      </c>
      <c r="Q730" s="227">
        <v>109.17</v>
      </c>
      <c r="R730" s="227">
        <v>114.83</v>
      </c>
      <c r="S730" s="227"/>
      <c r="T730" s="227">
        <v>76.475999999999999</v>
      </c>
      <c r="U730" s="227">
        <v>79.5</v>
      </c>
      <c r="V730" s="227">
        <v>79.5</v>
      </c>
      <c r="W730" s="227">
        <v>79.5</v>
      </c>
      <c r="X730" s="227">
        <v>79.5</v>
      </c>
      <c r="Y730" s="227">
        <v>79.5</v>
      </c>
      <c r="Z730" s="227">
        <v>79.5</v>
      </c>
      <c r="AA730" s="227">
        <v>79.5</v>
      </c>
      <c r="AB730" s="227">
        <v>26.146999999999998</v>
      </c>
      <c r="AC730" s="227">
        <v>770.96</v>
      </c>
      <c r="AD730" s="230">
        <v>3.0262731481481482E-4</v>
      </c>
      <c r="AE730" s="230">
        <v>156.88200000000001</v>
      </c>
      <c r="AF730" s="230">
        <v>3797.8559999999998</v>
      </c>
      <c r="AG730" s="230">
        <v>467701.10089991975</v>
      </c>
      <c r="AH730" s="230">
        <v>2574942.7602056488</v>
      </c>
      <c r="AI730" s="230">
        <v>4625.76</v>
      </c>
    </row>
    <row r="731" spans="5:35" x14ac:dyDescent="0.35">
      <c r="E731" s="226">
        <v>2.1813400000000001</v>
      </c>
      <c r="F731" s="227">
        <v>11.77387397260274</v>
      </c>
      <c r="G731" s="227">
        <v>4297.4639999999999</v>
      </c>
      <c r="H731" s="227">
        <v>0.95879999999999999</v>
      </c>
      <c r="I731" s="227">
        <v>2.8773</v>
      </c>
      <c r="J731" s="227">
        <v>0.54150178113416636</v>
      </c>
      <c r="K731" s="227">
        <v>140</v>
      </c>
      <c r="L731" s="227">
        <v>139.19999999999999</v>
      </c>
      <c r="M731" s="227">
        <v>137.79</v>
      </c>
      <c r="N731" s="227">
        <v>96.08</v>
      </c>
      <c r="O731" s="227">
        <v>101.83</v>
      </c>
      <c r="P731" s="227">
        <v>118.94</v>
      </c>
      <c r="Q731" s="227">
        <v>109.16</v>
      </c>
      <c r="R731" s="227">
        <v>114.81</v>
      </c>
      <c r="S731" s="227"/>
      <c r="T731" s="227">
        <v>76.555000000000007</v>
      </c>
      <c r="U731" s="227">
        <v>79.5</v>
      </c>
      <c r="V731" s="227">
        <v>79.5</v>
      </c>
      <c r="W731" s="227">
        <v>79.5</v>
      </c>
      <c r="X731" s="227">
        <v>79.5</v>
      </c>
      <c r="Y731" s="227">
        <v>79.5</v>
      </c>
      <c r="Z731" s="227">
        <v>79.5</v>
      </c>
      <c r="AA731" s="227">
        <v>79.5</v>
      </c>
      <c r="AB731" s="227">
        <v>26.073</v>
      </c>
      <c r="AC731" s="227">
        <v>771.06</v>
      </c>
      <c r="AD731" s="230">
        <v>3.0177083333333336E-4</v>
      </c>
      <c r="AE731" s="230">
        <v>156.43800000000002</v>
      </c>
      <c r="AF731" s="230">
        <v>3798.3300000000004</v>
      </c>
      <c r="AG731" s="230">
        <v>467857.53889991977</v>
      </c>
      <c r="AH731" s="230">
        <v>2578741.0902056489</v>
      </c>
      <c r="AI731" s="230">
        <v>4626.3599999999997</v>
      </c>
    </row>
    <row r="732" spans="5:35" x14ac:dyDescent="0.35">
      <c r="E732" s="226">
        <v>2.1853400000000001</v>
      </c>
      <c r="F732" s="227">
        <v>11.790312328767124</v>
      </c>
      <c r="G732" s="227">
        <v>4303.4639999999999</v>
      </c>
      <c r="H732" s="227">
        <v>0.95889999999999997</v>
      </c>
      <c r="I732" s="227">
        <v>2.8813</v>
      </c>
      <c r="J732" s="227">
        <v>0.54168233668972199</v>
      </c>
      <c r="K732" s="227">
        <v>140</v>
      </c>
      <c r="L732" s="227">
        <v>139.16999999999999</v>
      </c>
      <c r="M732" s="227">
        <v>137.77000000000001</v>
      </c>
      <c r="N732" s="227">
        <v>96.061999999999998</v>
      </c>
      <c r="O732" s="227">
        <v>101.82</v>
      </c>
      <c r="P732" s="227">
        <v>118.92</v>
      </c>
      <c r="Q732" s="227">
        <v>109.14</v>
      </c>
      <c r="R732" s="227">
        <v>114.8</v>
      </c>
      <c r="S732" s="227"/>
      <c r="T732" s="227">
        <v>76.632999999999996</v>
      </c>
      <c r="U732" s="227">
        <v>79.5</v>
      </c>
      <c r="V732" s="227">
        <v>79.5</v>
      </c>
      <c r="W732" s="227">
        <v>79.5</v>
      </c>
      <c r="X732" s="227">
        <v>79.5</v>
      </c>
      <c r="Y732" s="227">
        <v>79.5</v>
      </c>
      <c r="Z732" s="227">
        <v>79.5</v>
      </c>
      <c r="AA732" s="227">
        <v>79.5</v>
      </c>
      <c r="AB732" s="227">
        <v>26</v>
      </c>
      <c r="AC732" s="227">
        <v>771.16</v>
      </c>
      <c r="AD732" s="230">
        <v>3.0092592592592595E-4</v>
      </c>
      <c r="AE732" s="230">
        <v>156</v>
      </c>
      <c r="AF732" s="230">
        <v>3798.7980000000002</v>
      </c>
      <c r="AG732" s="230">
        <v>468013.53889991977</v>
      </c>
      <c r="AH732" s="230">
        <v>2582539.8882056489</v>
      </c>
      <c r="AI732" s="230">
        <v>4626.96</v>
      </c>
    </row>
    <row r="733" spans="5:35" x14ac:dyDescent="0.35">
      <c r="E733" s="226">
        <v>2.1893400000000001</v>
      </c>
      <c r="F733" s="227">
        <v>11.806750684931506</v>
      </c>
      <c r="G733" s="227">
        <v>4309.4639999999999</v>
      </c>
      <c r="H733" s="227">
        <v>0.95909999999999995</v>
      </c>
      <c r="I733" s="227">
        <v>2.8853</v>
      </c>
      <c r="J733" s="227">
        <v>0.54186238530083308</v>
      </c>
      <c r="K733" s="227">
        <v>140</v>
      </c>
      <c r="L733" s="227">
        <v>139.15</v>
      </c>
      <c r="M733" s="227">
        <v>137.74</v>
      </c>
      <c r="N733" s="227">
        <v>96.045000000000002</v>
      </c>
      <c r="O733" s="227">
        <v>101.8</v>
      </c>
      <c r="P733" s="227">
        <v>118.9</v>
      </c>
      <c r="Q733" s="227">
        <v>109.13</v>
      </c>
      <c r="R733" s="227">
        <v>114.78</v>
      </c>
      <c r="S733" s="227"/>
      <c r="T733" s="227">
        <v>76.712000000000003</v>
      </c>
      <c r="U733" s="227">
        <v>79.5</v>
      </c>
      <c r="V733" s="227">
        <v>79.5</v>
      </c>
      <c r="W733" s="227">
        <v>79.5</v>
      </c>
      <c r="X733" s="227">
        <v>79.5</v>
      </c>
      <c r="Y733" s="227">
        <v>79.5</v>
      </c>
      <c r="Z733" s="227">
        <v>79.5</v>
      </c>
      <c r="AA733" s="227">
        <v>79.5</v>
      </c>
      <c r="AB733" s="227">
        <v>25.927</v>
      </c>
      <c r="AC733" s="227">
        <v>771.25</v>
      </c>
      <c r="AD733" s="230">
        <v>3.0008101851851854E-4</v>
      </c>
      <c r="AE733" s="230">
        <v>155.56200000000001</v>
      </c>
      <c r="AF733" s="230">
        <v>3799.2719999999999</v>
      </c>
      <c r="AG733" s="230">
        <v>468169.10089991975</v>
      </c>
      <c r="AH733" s="230">
        <v>2586339.1602056487</v>
      </c>
      <c r="AI733" s="230">
        <v>4627.5</v>
      </c>
    </row>
    <row r="734" spans="5:35" x14ac:dyDescent="0.35">
      <c r="E734" s="226">
        <v>2.1934400000000003</v>
      </c>
      <c r="F734" s="227">
        <v>11.82318904109589</v>
      </c>
      <c r="G734" s="227">
        <v>4315.4639999999999</v>
      </c>
      <c r="H734" s="227">
        <v>0.95920000000000005</v>
      </c>
      <c r="I734" s="227">
        <v>2.8894000000000002</v>
      </c>
      <c r="J734" s="227">
        <v>0.54204192696749975</v>
      </c>
      <c r="K734" s="227">
        <v>140</v>
      </c>
      <c r="L734" s="227">
        <v>139.13</v>
      </c>
      <c r="M734" s="227">
        <v>137.71</v>
      </c>
      <c r="N734" s="227">
        <v>96.028000000000006</v>
      </c>
      <c r="O734" s="227">
        <v>101.78</v>
      </c>
      <c r="P734" s="227">
        <v>118.88</v>
      </c>
      <c r="Q734" s="227">
        <v>109.12</v>
      </c>
      <c r="R734" s="227">
        <v>114.76</v>
      </c>
      <c r="S734" s="227"/>
      <c r="T734" s="227">
        <v>76.790999999999997</v>
      </c>
      <c r="U734" s="227">
        <v>79.5</v>
      </c>
      <c r="V734" s="227">
        <v>79.5</v>
      </c>
      <c r="W734" s="227">
        <v>79.5</v>
      </c>
      <c r="X734" s="227">
        <v>79.5</v>
      </c>
      <c r="Y734" s="227">
        <v>79.5</v>
      </c>
      <c r="Z734" s="227">
        <v>79.5</v>
      </c>
      <c r="AA734" s="227">
        <v>79.5</v>
      </c>
      <c r="AB734" s="227">
        <v>25.853999999999999</v>
      </c>
      <c r="AC734" s="227">
        <v>771.35</v>
      </c>
      <c r="AD734" s="230">
        <v>2.9923611111111112E-4</v>
      </c>
      <c r="AE734" s="230">
        <v>155.124</v>
      </c>
      <c r="AF734" s="230">
        <v>3799.7459999999996</v>
      </c>
      <c r="AG734" s="230">
        <v>468324.22489991976</v>
      </c>
      <c r="AH734" s="230">
        <v>2590138.9062056486</v>
      </c>
      <c r="AI734" s="230">
        <v>4628.1000000000004</v>
      </c>
    </row>
    <row r="735" spans="5:35" x14ac:dyDescent="0.35">
      <c r="E735" s="226">
        <v>2.1974400000000003</v>
      </c>
      <c r="F735" s="227">
        <v>11.839627397260275</v>
      </c>
      <c r="G735" s="227">
        <v>4321.4639999999999</v>
      </c>
      <c r="H735" s="227">
        <v>0.95930000000000004</v>
      </c>
      <c r="I735" s="227">
        <v>2.8934000000000002</v>
      </c>
      <c r="J735" s="227">
        <v>0.54222096863416636</v>
      </c>
      <c r="K735" s="227">
        <v>140</v>
      </c>
      <c r="L735" s="227">
        <v>139.11000000000001</v>
      </c>
      <c r="M735" s="227">
        <v>137.69</v>
      </c>
      <c r="N735" s="227">
        <v>96.010999999999996</v>
      </c>
      <c r="O735" s="227">
        <v>101.77</v>
      </c>
      <c r="P735" s="227">
        <v>118.87</v>
      </c>
      <c r="Q735" s="227">
        <v>109.1</v>
      </c>
      <c r="R735" s="227">
        <v>114.74</v>
      </c>
      <c r="S735" s="227"/>
      <c r="T735" s="227">
        <v>76.869</v>
      </c>
      <c r="U735" s="227">
        <v>79.5</v>
      </c>
      <c r="V735" s="227">
        <v>79.5</v>
      </c>
      <c r="W735" s="227">
        <v>79.5</v>
      </c>
      <c r="X735" s="227">
        <v>79.5</v>
      </c>
      <c r="Y735" s="227">
        <v>79.5</v>
      </c>
      <c r="Z735" s="227">
        <v>79.5</v>
      </c>
      <c r="AA735" s="227">
        <v>79.5</v>
      </c>
      <c r="AB735" s="227">
        <v>25.782</v>
      </c>
      <c r="AC735" s="227">
        <v>771.44</v>
      </c>
      <c r="AD735" s="230">
        <v>2.984027777777778E-4</v>
      </c>
      <c r="AE735" s="230">
        <v>154.69200000000001</v>
      </c>
      <c r="AF735" s="230">
        <v>3800.2139999999999</v>
      </c>
      <c r="AG735" s="230">
        <v>468478.91689991974</v>
      </c>
      <c r="AH735" s="230">
        <v>2593939.1202056487</v>
      </c>
      <c r="AI735" s="230">
        <v>4628.6400000000003</v>
      </c>
    </row>
    <row r="736" spans="5:35" x14ac:dyDescent="0.35">
      <c r="E736" s="226">
        <v>2.2014400000000003</v>
      </c>
      <c r="F736" s="227">
        <v>11.856065753424657</v>
      </c>
      <c r="G736" s="227">
        <v>4327.4639999999999</v>
      </c>
      <c r="H736" s="227">
        <v>0.95940000000000003</v>
      </c>
      <c r="I736" s="227">
        <v>2.8974000000000002</v>
      </c>
      <c r="J736" s="227">
        <v>0.542399510300833</v>
      </c>
      <c r="K736" s="227">
        <v>140</v>
      </c>
      <c r="L736" s="227">
        <v>139.09</v>
      </c>
      <c r="M736" s="227">
        <v>137.66</v>
      </c>
      <c r="N736" s="227">
        <v>95.994</v>
      </c>
      <c r="O736" s="227">
        <v>101.75</v>
      </c>
      <c r="P736" s="227">
        <v>118.85</v>
      </c>
      <c r="Q736" s="227">
        <v>109.09</v>
      </c>
      <c r="R736" s="227">
        <v>114.72</v>
      </c>
      <c r="S736" s="227"/>
      <c r="T736" s="227">
        <v>76.947000000000003</v>
      </c>
      <c r="U736" s="227">
        <v>79.5</v>
      </c>
      <c r="V736" s="227">
        <v>79.5</v>
      </c>
      <c r="W736" s="227">
        <v>79.5</v>
      </c>
      <c r="X736" s="227">
        <v>79.5</v>
      </c>
      <c r="Y736" s="227">
        <v>79.5</v>
      </c>
      <c r="Z736" s="227">
        <v>79.5</v>
      </c>
      <c r="AA736" s="227">
        <v>79.5</v>
      </c>
      <c r="AB736" s="227">
        <v>25.71</v>
      </c>
      <c r="AC736" s="227">
        <v>771.54</v>
      </c>
      <c r="AD736" s="230">
        <v>2.9756944444444443E-4</v>
      </c>
      <c r="AE736" s="230">
        <v>154.26</v>
      </c>
      <c r="AF736" s="230">
        <v>3800.6819999999998</v>
      </c>
      <c r="AG736" s="230">
        <v>468633.17689991975</v>
      </c>
      <c r="AH736" s="230">
        <v>2597739.8022056487</v>
      </c>
      <c r="AI736" s="230">
        <v>4629.24</v>
      </c>
    </row>
    <row r="737" spans="5:35" x14ac:dyDescent="0.35">
      <c r="E737" s="226">
        <v>2.2054400000000003</v>
      </c>
      <c r="F737" s="227">
        <v>11.872504109589041</v>
      </c>
      <c r="G737" s="227">
        <v>4333.4639999999999</v>
      </c>
      <c r="H737" s="227">
        <v>0.95950000000000002</v>
      </c>
      <c r="I737" s="227">
        <v>2.9014000000000002</v>
      </c>
      <c r="J737" s="227">
        <v>0.54257755196749968</v>
      </c>
      <c r="K737" s="227">
        <v>140</v>
      </c>
      <c r="L737" s="227">
        <v>139.06</v>
      </c>
      <c r="M737" s="227">
        <v>137.63999999999999</v>
      </c>
      <c r="N737" s="227">
        <v>95.977000000000004</v>
      </c>
      <c r="O737" s="227">
        <v>101.74</v>
      </c>
      <c r="P737" s="227">
        <v>118.83</v>
      </c>
      <c r="Q737" s="227">
        <v>109.07</v>
      </c>
      <c r="R737" s="227">
        <v>114.71</v>
      </c>
      <c r="S737" s="227"/>
      <c r="T737" s="227">
        <v>77.025000000000006</v>
      </c>
      <c r="U737" s="227">
        <v>79.5</v>
      </c>
      <c r="V737" s="227">
        <v>79.5</v>
      </c>
      <c r="W737" s="227">
        <v>79.5</v>
      </c>
      <c r="X737" s="227">
        <v>79.5</v>
      </c>
      <c r="Y737" s="227">
        <v>79.5</v>
      </c>
      <c r="Z737" s="227">
        <v>79.5</v>
      </c>
      <c r="AA737" s="227">
        <v>79.5</v>
      </c>
      <c r="AB737" s="227">
        <v>25.638000000000002</v>
      </c>
      <c r="AC737" s="227">
        <v>771.63</v>
      </c>
      <c r="AD737" s="230">
        <v>2.9673611111111112E-4</v>
      </c>
      <c r="AE737" s="230">
        <v>153.828</v>
      </c>
      <c r="AF737" s="230">
        <v>3801.1499999999996</v>
      </c>
      <c r="AG737" s="230">
        <v>468787.00489991973</v>
      </c>
      <c r="AH737" s="230">
        <v>2601540.9522056486</v>
      </c>
      <c r="AI737" s="230">
        <v>4629.78</v>
      </c>
    </row>
    <row r="738" spans="5:35" x14ac:dyDescent="0.35">
      <c r="E738" s="226">
        <v>2.2094400000000003</v>
      </c>
      <c r="F738" s="227">
        <v>11.888942465753425</v>
      </c>
      <c r="G738" s="227">
        <v>4339.4639999999999</v>
      </c>
      <c r="H738" s="227">
        <v>0.9597</v>
      </c>
      <c r="I738" s="227">
        <v>2.9054000000000002</v>
      </c>
      <c r="J738" s="227">
        <v>0.54275509363416641</v>
      </c>
      <c r="K738" s="227">
        <v>140</v>
      </c>
      <c r="L738" s="227">
        <v>139.04</v>
      </c>
      <c r="M738" s="227">
        <v>137.61000000000001</v>
      </c>
      <c r="N738" s="227">
        <v>95.96</v>
      </c>
      <c r="O738" s="227">
        <v>101.72</v>
      </c>
      <c r="P738" s="227">
        <v>118.81</v>
      </c>
      <c r="Q738" s="227">
        <v>109.06</v>
      </c>
      <c r="R738" s="227">
        <v>114.69</v>
      </c>
      <c r="S738" s="227"/>
      <c r="T738" s="227">
        <v>77.102999999999994</v>
      </c>
      <c r="U738" s="227">
        <v>79.5</v>
      </c>
      <c r="V738" s="227">
        <v>79.5</v>
      </c>
      <c r="W738" s="227">
        <v>79.5</v>
      </c>
      <c r="X738" s="227">
        <v>79.5</v>
      </c>
      <c r="Y738" s="227">
        <v>79.5</v>
      </c>
      <c r="Z738" s="227">
        <v>79.5</v>
      </c>
      <c r="AA738" s="227">
        <v>79.5</v>
      </c>
      <c r="AB738" s="227">
        <v>25.565999999999999</v>
      </c>
      <c r="AC738" s="227">
        <v>771.73</v>
      </c>
      <c r="AD738" s="230">
        <v>2.9590277777777774E-4</v>
      </c>
      <c r="AE738" s="230">
        <v>153.39599999999999</v>
      </c>
      <c r="AF738" s="230">
        <v>3801.6180000000004</v>
      </c>
      <c r="AG738" s="230">
        <v>468940.40089991974</v>
      </c>
      <c r="AH738" s="230">
        <v>2605342.5702056484</v>
      </c>
      <c r="AI738" s="230">
        <v>4630.38</v>
      </c>
    </row>
    <row r="739" spans="5:35" x14ac:dyDescent="0.35">
      <c r="E739" s="226">
        <v>2.2134400000000003</v>
      </c>
      <c r="F739" s="227">
        <v>11.905380821917808</v>
      </c>
      <c r="G739" s="227">
        <v>4345.4639999999999</v>
      </c>
      <c r="H739" s="227">
        <v>0.95979999999999999</v>
      </c>
      <c r="I739" s="227">
        <v>2.9094000000000002</v>
      </c>
      <c r="J739" s="227">
        <v>0.54293214224527742</v>
      </c>
      <c r="K739" s="227">
        <v>140</v>
      </c>
      <c r="L739" s="227">
        <v>139.02000000000001</v>
      </c>
      <c r="M739" s="227">
        <v>137.59</v>
      </c>
      <c r="N739" s="227">
        <v>95.942999999999998</v>
      </c>
      <c r="O739" s="227">
        <v>101.7</v>
      </c>
      <c r="P739" s="227">
        <v>118.79</v>
      </c>
      <c r="Q739" s="227">
        <v>109.05</v>
      </c>
      <c r="R739" s="227">
        <v>114.67</v>
      </c>
      <c r="S739" s="227"/>
      <c r="T739" s="227">
        <v>77.180000000000007</v>
      </c>
      <c r="U739" s="227">
        <v>79.5</v>
      </c>
      <c r="V739" s="227">
        <v>79.5</v>
      </c>
      <c r="W739" s="227">
        <v>79.5</v>
      </c>
      <c r="X739" s="227">
        <v>79.5</v>
      </c>
      <c r="Y739" s="227">
        <v>79.5</v>
      </c>
      <c r="Z739" s="227">
        <v>79.5</v>
      </c>
      <c r="AA739" s="227">
        <v>79.5</v>
      </c>
      <c r="AB739" s="227">
        <v>25.495000000000001</v>
      </c>
      <c r="AC739" s="227">
        <v>771.82</v>
      </c>
      <c r="AD739" s="230">
        <v>2.9508101851851852E-4</v>
      </c>
      <c r="AE739" s="230">
        <v>152.97</v>
      </c>
      <c r="AF739" s="230">
        <v>3802.0800000000004</v>
      </c>
      <c r="AG739" s="230">
        <v>469093.37089991971</v>
      </c>
      <c r="AH739" s="230">
        <v>2609144.6502056485</v>
      </c>
      <c r="AI739" s="230">
        <v>4630.92</v>
      </c>
    </row>
    <row r="740" spans="5:35" x14ac:dyDescent="0.35">
      <c r="E740" s="226">
        <v>2.2175400000000001</v>
      </c>
      <c r="F740" s="227">
        <v>11.921819178082192</v>
      </c>
      <c r="G740" s="227">
        <v>4351.4639999999999</v>
      </c>
      <c r="H740" s="227">
        <v>0.95989999999999998</v>
      </c>
      <c r="I740" s="227">
        <v>2.9135</v>
      </c>
      <c r="J740" s="227">
        <v>0.54310869780083304</v>
      </c>
      <c r="K740" s="227">
        <v>140</v>
      </c>
      <c r="L740" s="227">
        <v>139</v>
      </c>
      <c r="M740" s="227">
        <v>137.56</v>
      </c>
      <c r="N740" s="227">
        <v>95.926000000000002</v>
      </c>
      <c r="O740" s="227">
        <v>101.69</v>
      </c>
      <c r="P740" s="227">
        <v>118.77</v>
      </c>
      <c r="Q740" s="227">
        <v>109.03</v>
      </c>
      <c r="R740" s="227">
        <v>114.65</v>
      </c>
      <c r="S740" s="227"/>
      <c r="T740" s="227">
        <v>77.257999999999996</v>
      </c>
      <c r="U740" s="227">
        <v>79.5</v>
      </c>
      <c r="V740" s="227">
        <v>79.5</v>
      </c>
      <c r="W740" s="227">
        <v>79.5</v>
      </c>
      <c r="X740" s="227">
        <v>79.5</v>
      </c>
      <c r="Y740" s="227">
        <v>79.5</v>
      </c>
      <c r="Z740" s="227">
        <v>79.5</v>
      </c>
      <c r="AA740" s="227">
        <v>79.5</v>
      </c>
      <c r="AB740" s="227">
        <v>25.423999999999999</v>
      </c>
      <c r="AC740" s="227">
        <v>771.92</v>
      </c>
      <c r="AD740" s="230">
        <v>2.9425925925925925E-4</v>
      </c>
      <c r="AE740" s="230">
        <v>152.54399999999998</v>
      </c>
      <c r="AF740" s="230">
        <v>3802.5480000000002</v>
      </c>
      <c r="AG740" s="230">
        <v>469245.91489991971</v>
      </c>
      <c r="AH740" s="230">
        <v>2612947.1982056485</v>
      </c>
      <c r="AI740" s="230">
        <v>4631.5199999999995</v>
      </c>
    </row>
    <row r="741" spans="5:35" x14ac:dyDescent="0.35">
      <c r="E741" s="226">
        <v>2.2215400000000001</v>
      </c>
      <c r="F741" s="227">
        <v>11.938257534246576</v>
      </c>
      <c r="G741" s="227">
        <v>4357.4639999999999</v>
      </c>
      <c r="H741" s="227">
        <v>0.96</v>
      </c>
      <c r="I741" s="227">
        <v>2.9175</v>
      </c>
      <c r="J741" s="227">
        <v>0.54328476030083306</v>
      </c>
      <c r="K741" s="227">
        <v>140</v>
      </c>
      <c r="L741" s="227">
        <v>138.97999999999999</v>
      </c>
      <c r="M741" s="227">
        <v>137.53</v>
      </c>
      <c r="N741" s="227">
        <v>95.909000000000006</v>
      </c>
      <c r="O741" s="227">
        <v>101.67</v>
      </c>
      <c r="P741" s="227">
        <v>118.75</v>
      </c>
      <c r="Q741" s="227">
        <v>109.02</v>
      </c>
      <c r="R741" s="227">
        <v>114.64</v>
      </c>
      <c r="S741" s="227"/>
      <c r="T741" s="227">
        <v>77.334999999999994</v>
      </c>
      <c r="U741" s="227">
        <v>79.5</v>
      </c>
      <c r="V741" s="227">
        <v>79.5</v>
      </c>
      <c r="W741" s="227">
        <v>79.5</v>
      </c>
      <c r="X741" s="227">
        <v>79.5</v>
      </c>
      <c r="Y741" s="227">
        <v>79.5</v>
      </c>
      <c r="Z741" s="227">
        <v>79.5</v>
      </c>
      <c r="AA741" s="227">
        <v>79.5</v>
      </c>
      <c r="AB741" s="227">
        <v>25.353000000000002</v>
      </c>
      <c r="AC741" s="227">
        <v>772.01</v>
      </c>
      <c r="AD741" s="230">
        <v>2.9343750000000002E-4</v>
      </c>
      <c r="AE741" s="230">
        <v>152.11799999999999</v>
      </c>
      <c r="AF741" s="230">
        <v>3803.01</v>
      </c>
      <c r="AG741" s="230">
        <v>469398.03289991972</v>
      </c>
      <c r="AH741" s="230">
        <v>2616750.2082056482</v>
      </c>
      <c r="AI741" s="230">
        <v>4632.0599999999995</v>
      </c>
    </row>
    <row r="742" spans="5:35" x14ac:dyDescent="0.35">
      <c r="E742" s="226">
        <v>2.2255400000000001</v>
      </c>
      <c r="F742" s="227">
        <v>11.954695890410958</v>
      </c>
      <c r="G742" s="227">
        <v>4363.4639999999999</v>
      </c>
      <c r="H742" s="227">
        <v>0.96009999999999995</v>
      </c>
      <c r="I742" s="227">
        <v>2.9215</v>
      </c>
      <c r="J742" s="227">
        <v>0.54346032974527747</v>
      </c>
      <c r="K742" s="227">
        <v>140</v>
      </c>
      <c r="L742" s="227">
        <v>138.96</v>
      </c>
      <c r="M742" s="227">
        <v>137.51</v>
      </c>
      <c r="N742" s="227">
        <v>95.891999999999996</v>
      </c>
      <c r="O742" s="227">
        <v>101.66</v>
      </c>
      <c r="P742" s="227">
        <v>118.73</v>
      </c>
      <c r="Q742" s="227">
        <v>109.01</v>
      </c>
      <c r="R742" s="227">
        <v>114.62</v>
      </c>
      <c r="S742" s="227"/>
      <c r="T742" s="227">
        <v>77.412999999999997</v>
      </c>
      <c r="U742" s="227">
        <v>79.5</v>
      </c>
      <c r="V742" s="227">
        <v>79.5</v>
      </c>
      <c r="W742" s="227">
        <v>79.5</v>
      </c>
      <c r="X742" s="227">
        <v>79.5</v>
      </c>
      <c r="Y742" s="227">
        <v>79.5</v>
      </c>
      <c r="Z742" s="227">
        <v>79.5</v>
      </c>
      <c r="AA742" s="227">
        <v>79.5</v>
      </c>
      <c r="AB742" s="227">
        <v>25.282</v>
      </c>
      <c r="AC742" s="227">
        <v>772.11</v>
      </c>
      <c r="AD742" s="230">
        <v>2.9261574074074075E-4</v>
      </c>
      <c r="AE742" s="230">
        <v>151.69200000000001</v>
      </c>
      <c r="AF742" s="230">
        <v>3803.4780000000001</v>
      </c>
      <c r="AG742" s="230">
        <v>469549.7248999197</v>
      </c>
      <c r="AH742" s="230">
        <v>2620553.6862056484</v>
      </c>
      <c r="AI742" s="230">
        <v>4632.66</v>
      </c>
    </row>
    <row r="743" spans="5:35" x14ac:dyDescent="0.35">
      <c r="E743" s="226">
        <v>2.2295400000000001</v>
      </c>
      <c r="F743" s="227">
        <v>11.971134246575343</v>
      </c>
      <c r="G743" s="227">
        <v>4369.4639999999999</v>
      </c>
      <c r="H743" s="227">
        <v>0.96020000000000005</v>
      </c>
      <c r="I743" s="227">
        <v>2.9255</v>
      </c>
      <c r="J743" s="227">
        <v>0.54363541307861074</v>
      </c>
      <c r="K743" s="227">
        <v>140</v>
      </c>
      <c r="L743" s="227">
        <v>138.93</v>
      </c>
      <c r="M743" s="227">
        <v>137.47999999999999</v>
      </c>
      <c r="N743" s="227">
        <v>95.875</v>
      </c>
      <c r="O743" s="227">
        <v>101.64</v>
      </c>
      <c r="P743" s="227">
        <v>118.71</v>
      </c>
      <c r="Q743" s="227">
        <v>108.99</v>
      </c>
      <c r="R743" s="227">
        <v>114.6</v>
      </c>
      <c r="S743" s="227"/>
      <c r="T743" s="227">
        <v>77.489000000000004</v>
      </c>
      <c r="U743" s="227">
        <v>79.5</v>
      </c>
      <c r="V743" s="227">
        <v>79.5</v>
      </c>
      <c r="W743" s="227">
        <v>79.5</v>
      </c>
      <c r="X743" s="227">
        <v>79.5</v>
      </c>
      <c r="Y743" s="227">
        <v>79.5</v>
      </c>
      <c r="Z743" s="227">
        <v>79.5</v>
      </c>
      <c r="AA743" s="227">
        <v>79.5</v>
      </c>
      <c r="AB743" s="227">
        <v>25.212</v>
      </c>
      <c r="AC743" s="227">
        <v>772.2</v>
      </c>
      <c r="AD743" s="230">
        <v>2.9180555555555557E-4</v>
      </c>
      <c r="AE743" s="230">
        <v>151.27200000000002</v>
      </c>
      <c r="AF743" s="230">
        <v>3803.9340000000002</v>
      </c>
      <c r="AG743" s="230">
        <v>469700.9968999197</v>
      </c>
      <c r="AH743" s="230">
        <v>2624357.6202056482</v>
      </c>
      <c r="AI743" s="230">
        <v>4633.2000000000007</v>
      </c>
    </row>
    <row r="744" spans="5:35" x14ac:dyDescent="0.35">
      <c r="E744" s="226">
        <v>2.2335400000000001</v>
      </c>
      <c r="F744" s="227">
        <v>11.987572602739727</v>
      </c>
      <c r="G744" s="227">
        <v>4375.4639999999999</v>
      </c>
      <c r="H744" s="227">
        <v>0.96040000000000003</v>
      </c>
      <c r="I744" s="227">
        <v>2.9295</v>
      </c>
      <c r="J744" s="227">
        <v>0.54381001030083298</v>
      </c>
      <c r="K744" s="227">
        <v>140</v>
      </c>
      <c r="L744" s="227">
        <v>138.91</v>
      </c>
      <c r="M744" s="227">
        <v>137.46</v>
      </c>
      <c r="N744" s="227">
        <v>95.858999999999995</v>
      </c>
      <c r="O744" s="227">
        <v>101.63</v>
      </c>
      <c r="P744" s="227">
        <v>118.69</v>
      </c>
      <c r="Q744" s="227">
        <v>108.98</v>
      </c>
      <c r="R744" s="227">
        <v>114.58</v>
      </c>
      <c r="S744" s="227"/>
      <c r="T744" s="227">
        <v>77.566000000000003</v>
      </c>
      <c r="U744" s="227">
        <v>79.5</v>
      </c>
      <c r="V744" s="227">
        <v>79.5</v>
      </c>
      <c r="W744" s="227">
        <v>79.5</v>
      </c>
      <c r="X744" s="227">
        <v>79.5</v>
      </c>
      <c r="Y744" s="227">
        <v>79.5</v>
      </c>
      <c r="Z744" s="227">
        <v>79.5</v>
      </c>
      <c r="AA744" s="227">
        <v>79.5</v>
      </c>
      <c r="AB744" s="227">
        <v>25.141999999999999</v>
      </c>
      <c r="AC744" s="227">
        <v>772.29</v>
      </c>
      <c r="AD744" s="230">
        <v>2.9099537037037039E-4</v>
      </c>
      <c r="AE744" s="230">
        <v>150.852</v>
      </c>
      <c r="AF744" s="230">
        <v>3804.3960000000002</v>
      </c>
      <c r="AG744" s="230">
        <v>469851.84889991971</v>
      </c>
      <c r="AH744" s="230">
        <v>2628162.0162056484</v>
      </c>
      <c r="AI744" s="230">
        <v>4633.74</v>
      </c>
    </row>
    <row r="745" spans="5:35" x14ac:dyDescent="0.35">
      <c r="E745" s="226">
        <v>2.2376400000000003</v>
      </c>
      <c r="F745" s="227">
        <v>12.004010958904109</v>
      </c>
      <c r="G745" s="227">
        <v>4381.4639999999999</v>
      </c>
      <c r="H745" s="227">
        <v>0.96050000000000002</v>
      </c>
      <c r="I745" s="227">
        <v>2.9336000000000002</v>
      </c>
      <c r="J745" s="227">
        <v>0.54398412141194408</v>
      </c>
      <c r="K745" s="227">
        <v>140</v>
      </c>
      <c r="L745" s="227">
        <v>138.88999999999999</v>
      </c>
      <c r="M745" s="227">
        <v>137.43</v>
      </c>
      <c r="N745" s="227">
        <v>95.841999999999999</v>
      </c>
      <c r="O745" s="227">
        <v>101.61</v>
      </c>
      <c r="P745" s="227">
        <v>118.67</v>
      </c>
      <c r="Q745" s="227">
        <v>108.96</v>
      </c>
      <c r="R745" s="227">
        <v>114.57</v>
      </c>
      <c r="S745" s="227"/>
      <c r="T745" s="227">
        <v>77.643000000000001</v>
      </c>
      <c r="U745" s="227">
        <v>79.5</v>
      </c>
      <c r="V745" s="227">
        <v>79.5</v>
      </c>
      <c r="W745" s="227">
        <v>79.5</v>
      </c>
      <c r="X745" s="227">
        <v>79.5</v>
      </c>
      <c r="Y745" s="227">
        <v>79.5</v>
      </c>
      <c r="Z745" s="227">
        <v>79.5</v>
      </c>
      <c r="AA745" s="227">
        <v>79.5</v>
      </c>
      <c r="AB745" s="227">
        <v>25.071999999999999</v>
      </c>
      <c r="AC745" s="227">
        <v>772.39</v>
      </c>
      <c r="AD745" s="230">
        <v>2.9018518518518515E-4</v>
      </c>
      <c r="AE745" s="230">
        <v>150.43199999999999</v>
      </c>
      <c r="AF745" s="230">
        <v>3804.8580000000002</v>
      </c>
      <c r="AG745" s="230">
        <v>470002.28089991969</v>
      </c>
      <c r="AH745" s="230">
        <v>2631966.8742056484</v>
      </c>
      <c r="AI745" s="230">
        <v>4634.34</v>
      </c>
    </row>
    <row r="746" spans="5:35" x14ac:dyDescent="0.35">
      <c r="E746" s="226">
        <v>2.2416400000000003</v>
      </c>
      <c r="F746" s="227">
        <v>12.020449315068493</v>
      </c>
      <c r="G746" s="227">
        <v>4387.4639999999999</v>
      </c>
      <c r="H746" s="227">
        <v>0.96060000000000001</v>
      </c>
      <c r="I746" s="227">
        <v>2.9376000000000002</v>
      </c>
      <c r="J746" s="227">
        <v>0.5441577533563885</v>
      </c>
      <c r="K746" s="227">
        <v>140</v>
      </c>
      <c r="L746" s="227">
        <v>138.87</v>
      </c>
      <c r="M746" s="227">
        <v>137.41</v>
      </c>
      <c r="N746" s="227">
        <v>95.825000000000003</v>
      </c>
      <c r="O746" s="227">
        <v>101.59</v>
      </c>
      <c r="P746" s="227">
        <v>118.66</v>
      </c>
      <c r="Q746" s="227">
        <v>108.95</v>
      </c>
      <c r="R746" s="227">
        <v>114.55</v>
      </c>
      <c r="S746" s="227"/>
      <c r="T746" s="227">
        <v>77.72</v>
      </c>
      <c r="U746" s="227">
        <v>79.5</v>
      </c>
      <c r="V746" s="227">
        <v>79.5</v>
      </c>
      <c r="W746" s="227">
        <v>79.5</v>
      </c>
      <c r="X746" s="227">
        <v>79.5</v>
      </c>
      <c r="Y746" s="227">
        <v>79.5</v>
      </c>
      <c r="Z746" s="227">
        <v>79.5</v>
      </c>
      <c r="AA746" s="227">
        <v>79.5</v>
      </c>
      <c r="AB746" s="227">
        <v>25.003</v>
      </c>
      <c r="AC746" s="227">
        <v>772.48</v>
      </c>
      <c r="AD746" s="230">
        <v>2.8938657407407407E-4</v>
      </c>
      <c r="AE746" s="230">
        <v>150.018</v>
      </c>
      <c r="AF746" s="230">
        <v>3805.32</v>
      </c>
      <c r="AG746" s="230">
        <v>470152.29889991967</v>
      </c>
      <c r="AH746" s="230">
        <v>2635772.1942056483</v>
      </c>
      <c r="AI746" s="230">
        <v>4634.88</v>
      </c>
    </row>
    <row r="747" spans="5:35" x14ac:dyDescent="0.35">
      <c r="E747" s="226">
        <v>2.2456400000000003</v>
      </c>
      <c r="F747" s="227">
        <v>12.036887671232877</v>
      </c>
      <c r="G747" s="227">
        <v>4393.4639999999999</v>
      </c>
      <c r="H747" s="227">
        <v>0.9607</v>
      </c>
      <c r="I747" s="227">
        <v>2.9416000000000002</v>
      </c>
      <c r="J747" s="227">
        <v>0.54433089918972188</v>
      </c>
      <c r="K747" s="227">
        <v>140</v>
      </c>
      <c r="L747" s="227">
        <v>138.85</v>
      </c>
      <c r="M747" s="227">
        <v>137.38</v>
      </c>
      <c r="N747" s="227">
        <v>95.808999999999997</v>
      </c>
      <c r="O747" s="227">
        <v>101.58</v>
      </c>
      <c r="P747" s="227">
        <v>118.64</v>
      </c>
      <c r="Q747" s="227">
        <v>108.94</v>
      </c>
      <c r="R747" s="227">
        <v>114.53</v>
      </c>
      <c r="S747" s="227"/>
      <c r="T747" s="227">
        <v>77.796999999999997</v>
      </c>
      <c r="U747" s="227">
        <v>79.5</v>
      </c>
      <c r="V747" s="227">
        <v>79.5</v>
      </c>
      <c r="W747" s="227">
        <v>79.5</v>
      </c>
      <c r="X747" s="227">
        <v>79.5</v>
      </c>
      <c r="Y747" s="227">
        <v>79.5</v>
      </c>
      <c r="Z747" s="227">
        <v>79.5</v>
      </c>
      <c r="AA747" s="227">
        <v>79.5</v>
      </c>
      <c r="AB747" s="227">
        <v>24.933</v>
      </c>
      <c r="AC747" s="227">
        <v>772.57</v>
      </c>
      <c r="AD747" s="230">
        <v>2.8857638888888889E-4</v>
      </c>
      <c r="AE747" s="230">
        <v>149.59800000000001</v>
      </c>
      <c r="AF747" s="230">
        <v>3805.7820000000002</v>
      </c>
      <c r="AG747" s="230">
        <v>470301.89689991967</v>
      </c>
      <c r="AH747" s="230">
        <v>2639577.9762056484</v>
      </c>
      <c r="AI747" s="230">
        <v>4635.42</v>
      </c>
    </row>
    <row r="748" spans="5:35" x14ac:dyDescent="0.35">
      <c r="E748" s="226">
        <v>2.2496400000000003</v>
      </c>
      <c r="F748" s="227">
        <v>12.05332602739726</v>
      </c>
      <c r="G748" s="227">
        <v>4399.4639999999999</v>
      </c>
      <c r="H748" s="227">
        <v>0.96079999999999999</v>
      </c>
      <c r="I748" s="227">
        <v>2.9456000000000002</v>
      </c>
      <c r="J748" s="227">
        <v>0.54450356585638848</v>
      </c>
      <c r="K748" s="227">
        <v>140</v>
      </c>
      <c r="L748" s="227">
        <v>138.83000000000001</v>
      </c>
      <c r="M748" s="227">
        <v>137.36000000000001</v>
      </c>
      <c r="N748" s="227">
        <v>95.792000000000002</v>
      </c>
      <c r="O748" s="227">
        <v>101.56</v>
      </c>
      <c r="P748" s="227">
        <v>118.62</v>
      </c>
      <c r="Q748" s="227">
        <v>108.92</v>
      </c>
      <c r="R748" s="227">
        <v>114.51</v>
      </c>
      <c r="S748" s="227"/>
      <c r="T748" s="227">
        <v>77.873000000000005</v>
      </c>
      <c r="U748" s="227">
        <v>79.5</v>
      </c>
      <c r="V748" s="227">
        <v>79.5</v>
      </c>
      <c r="W748" s="227">
        <v>79.5</v>
      </c>
      <c r="X748" s="227">
        <v>79.5</v>
      </c>
      <c r="Y748" s="227">
        <v>79.5</v>
      </c>
      <c r="Z748" s="227">
        <v>79.5</v>
      </c>
      <c r="AA748" s="227">
        <v>79.5</v>
      </c>
      <c r="AB748" s="227">
        <v>24.864000000000001</v>
      </c>
      <c r="AC748" s="227">
        <v>772.67</v>
      </c>
      <c r="AD748" s="230">
        <v>2.877777777777778E-4</v>
      </c>
      <c r="AE748" s="230">
        <v>149.184</v>
      </c>
      <c r="AF748" s="230">
        <v>3806.2380000000003</v>
      </c>
      <c r="AG748" s="230">
        <v>470451.08089991967</v>
      </c>
      <c r="AH748" s="230">
        <v>2643384.2142056483</v>
      </c>
      <c r="AI748" s="230">
        <v>4636.0199999999995</v>
      </c>
    </row>
    <row r="749" spans="5:35" x14ac:dyDescent="0.35">
      <c r="E749" s="226">
        <v>2.2536400000000003</v>
      </c>
      <c r="F749" s="227">
        <v>12.069764383561644</v>
      </c>
      <c r="G749" s="227">
        <v>4405.4639999999999</v>
      </c>
      <c r="H749" s="227">
        <v>0.96089999999999998</v>
      </c>
      <c r="I749" s="227">
        <v>2.9496000000000002</v>
      </c>
      <c r="J749" s="227">
        <v>0.54467576030083298</v>
      </c>
      <c r="K749" s="227">
        <v>140</v>
      </c>
      <c r="L749" s="227">
        <v>138.81</v>
      </c>
      <c r="M749" s="227">
        <v>137.33000000000001</v>
      </c>
      <c r="N749" s="227">
        <v>95.775999999999996</v>
      </c>
      <c r="O749" s="227">
        <v>101.55</v>
      </c>
      <c r="P749" s="227">
        <v>118.6</v>
      </c>
      <c r="Q749" s="227">
        <v>108.91</v>
      </c>
      <c r="R749" s="227">
        <v>114.5</v>
      </c>
      <c r="S749" s="227"/>
      <c r="T749" s="227">
        <v>77.948999999999998</v>
      </c>
      <c r="U749" s="227">
        <v>79.5</v>
      </c>
      <c r="V749" s="227">
        <v>79.5</v>
      </c>
      <c r="W749" s="227">
        <v>79.5</v>
      </c>
      <c r="X749" s="227">
        <v>79.5</v>
      </c>
      <c r="Y749" s="227">
        <v>79.5</v>
      </c>
      <c r="Z749" s="227">
        <v>79.5</v>
      </c>
      <c r="AA749" s="227">
        <v>79.5</v>
      </c>
      <c r="AB749" s="227">
        <v>24.795999999999999</v>
      </c>
      <c r="AC749" s="227">
        <v>772.76</v>
      </c>
      <c r="AD749" s="230">
        <v>2.8699074074074071E-4</v>
      </c>
      <c r="AE749" s="230">
        <v>148.77599999999998</v>
      </c>
      <c r="AF749" s="230">
        <v>3806.6940000000004</v>
      </c>
      <c r="AG749" s="230">
        <v>470599.85689991969</v>
      </c>
      <c r="AH749" s="230">
        <v>2647190.9082056484</v>
      </c>
      <c r="AI749" s="230">
        <v>4636.5599999999995</v>
      </c>
    </row>
    <row r="750" spans="5:35" x14ac:dyDescent="0.35">
      <c r="E750" s="226">
        <v>2.2576399999999999</v>
      </c>
      <c r="F750" s="227">
        <v>12.086202739726028</v>
      </c>
      <c r="G750" s="227">
        <v>4411.4639999999999</v>
      </c>
      <c r="H750" s="227">
        <v>0.96099999999999997</v>
      </c>
      <c r="I750" s="227">
        <v>2.9535999999999998</v>
      </c>
      <c r="J750" s="227">
        <v>0.5448474755786108</v>
      </c>
      <c r="K750" s="227">
        <v>140</v>
      </c>
      <c r="L750" s="227">
        <v>138.79</v>
      </c>
      <c r="M750" s="227">
        <v>137.31</v>
      </c>
      <c r="N750" s="227">
        <v>95.759</v>
      </c>
      <c r="O750" s="227">
        <v>101.53</v>
      </c>
      <c r="P750" s="227">
        <v>118.58</v>
      </c>
      <c r="Q750" s="227">
        <v>108.9</v>
      </c>
      <c r="R750" s="227">
        <v>114.48</v>
      </c>
      <c r="S750" s="227"/>
      <c r="T750" s="227">
        <v>78.025999999999996</v>
      </c>
      <c r="U750" s="227">
        <v>79.5</v>
      </c>
      <c r="V750" s="227">
        <v>79.5</v>
      </c>
      <c r="W750" s="227">
        <v>79.5</v>
      </c>
      <c r="X750" s="227">
        <v>79.5</v>
      </c>
      <c r="Y750" s="227">
        <v>79.5</v>
      </c>
      <c r="Z750" s="227">
        <v>79.5</v>
      </c>
      <c r="AA750" s="227">
        <v>79.5</v>
      </c>
      <c r="AB750" s="227">
        <v>24.727</v>
      </c>
      <c r="AC750" s="227">
        <v>772.85</v>
      </c>
      <c r="AD750" s="230">
        <v>2.8619212962962962E-4</v>
      </c>
      <c r="AE750" s="230">
        <v>148.36199999999999</v>
      </c>
      <c r="AF750" s="230">
        <v>3807.1560000000004</v>
      </c>
      <c r="AG750" s="230">
        <v>470748.21889991971</v>
      </c>
      <c r="AH750" s="230">
        <v>2650998.0642056484</v>
      </c>
      <c r="AI750" s="230">
        <v>4637.1000000000004</v>
      </c>
    </row>
    <row r="751" spans="5:35" x14ac:dyDescent="0.35">
      <c r="E751" s="226">
        <v>2.2617400000000001</v>
      </c>
      <c r="F751" s="227">
        <v>12.10264109589041</v>
      </c>
      <c r="G751" s="227">
        <v>4417.4639999999999</v>
      </c>
      <c r="H751" s="227">
        <v>0.96109999999999995</v>
      </c>
      <c r="I751" s="227">
        <v>2.9577</v>
      </c>
      <c r="J751" s="227">
        <v>0.5450187186341664</v>
      </c>
      <c r="K751" s="227">
        <v>140</v>
      </c>
      <c r="L751" s="227">
        <v>138.77000000000001</v>
      </c>
      <c r="M751" s="227">
        <v>137.29</v>
      </c>
      <c r="N751" s="227">
        <v>95.742999999999995</v>
      </c>
      <c r="O751" s="227">
        <v>101.52</v>
      </c>
      <c r="P751" s="227">
        <v>118.56</v>
      </c>
      <c r="Q751" s="227">
        <v>108.88</v>
      </c>
      <c r="R751" s="227">
        <v>114.46</v>
      </c>
      <c r="S751" s="227"/>
      <c r="T751" s="227">
        <v>78.102000000000004</v>
      </c>
      <c r="U751" s="227">
        <v>79.5</v>
      </c>
      <c r="V751" s="227">
        <v>79.5</v>
      </c>
      <c r="W751" s="227">
        <v>79.5</v>
      </c>
      <c r="X751" s="227">
        <v>79.5</v>
      </c>
      <c r="Y751" s="227">
        <v>79.5</v>
      </c>
      <c r="Z751" s="227">
        <v>79.5</v>
      </c>
      <c r="AA751" s="227">
        <v>79.5</v>
      </c>
      <c r="AB751" s="227">
        <v>24.658999999999999</v>
      </c>
      <c r="AC751" s="227">
        <v>772.94</v>
      </c>
      <c r="AD751" s="230">
        <v>2.8540509259259258E-4</v>
      </c>
      <c r="AE751" s="230">
        <v>147.95400000000001</v>
      </c>
      <c r="AF751" s="230">
        <v>3807.6120000000001</v>
      </c>
      <c r="AG751" s="230">
        <v>470896.17289991974</v>
      </c>
      <c r="AH751" s="230">
        <v>2654805.6762056486</v>
      </c>
      <c r="AI751" s="230">
        <v>4637.6400000000003</v>
      </c>
    </row>
    <row r="752" spans="5:35" x14ac:dyDescent="0.35">
      <c r="E752" s="226">
        <v>2.2657400000000001</v>
      </c>
      <c r="F752" s="227">
        <v>12.119079452054795</v>
      </c>
      <c r="G752" s="227">
        <v>4423.4639999999999</v>
      </c>
      <c r="H752" s="227">
        <v>0.96130000000000004</v>
      </c>
      <c r="I752" s="227">
        <v>2.9617</v>
      </c>
      <c r="J752" s="227">
        <v>0.54518948252305521</v>
      </c>
      <c r="K752" s="227">
        <v>140</v>
      </c>
      <c r="L752" s="227">
        <v>138.74</v>
      </c>
      <c r="M752" s="227">
        <v>137.26</v>
      </c>
      <c r="N752" s="227">
        <v>95.725999999999999</v>
      </c>
      <c r="O752" s="227">
        <v>101.5</v>
      </c>
      <c r="P752" s="227">
        <v>118.54</v>
      </c>
      <c r="Q752" s="227">
        <v>108.87</v>
      </c>
      <c r="R752" s="227">
        <v>114.45</v>
      </c>
      <c r="S752" s="227"/>
      <c r="T752" s="227">
        <v>78.177999999999997</v>
      </c>
      <c r="U752" s="227">
        <v>79.5</v>
      </c>
      <c r="V752" s="227">
        <v>79.5</v>
      </c>
      <c r="W752" s="227">
        <v>79.5</v>
      </c>
      <c r="X752" s="227">
        <v>79.5</v>
      </c>
      <c r="Y752" s="227">
        <v>79.5</v>
      </c>
      <c r="Z752" s="227">
        <v>79.5</v>
      </c>
      <c r="AA752" s="227">
        <v>79.5</v>
      </c>
      <c r="AB752" s="227">
        <v>24.59</v>
      </c>
      <c r="AC752" s="227">
        <v>773.04</v>
      </c>
      <c r="AD752" s="230">
        <v>2.8460648148148149E-4</v>
      </c>
      <c r="AE752" s="230">
        <v>147.54000000000002</v>
      </c>
      <c r="AF752" s="230">
        <v>3808.0680000000002</v>
      </c>
      <c r="AG752" s="230">
        <v>471043.71289991972</v>
      </c>
      <c r="AH752" s="230">
        <v>2658613.7442056485</v>
      </c>
      <c r="AI752" s="230">
        <v>4638.24</v>
      </c>
    </row>
    <row r="753" spans="5:35" x14ac:dyDescent="0.35">
      <c r="E753" s="226">
        <v>2.2697400000000001</v>
      </c>
      <c r="F753" s="227">
        <v>12.135517808219179</v>
      </c>
      <c r="G753" s="227">
        <v>4429.4639999999999</v>
      </c>
      <c r="H753" s="227">
        <v>0.96140000000000003</v>
      </c>
      <c r="I753" s="227">
        <v>2.9657</v>
      </c>
      <c r="J753" s="227">
        <v>0.54535978113416628</v>
      </c>
      <c r="K753" s="227">
        <v>140</v>
      </c>
      <c r="L753" s="227">
        <v>138.72</v>
      </c>
      <c r="M753" s="227">
        <v>137.24</v>
      </c>
      <c r="N753" s="227">
        <v>95.71</v>
      </c>
      <c r="O753" s="227">
        <v>101.49</v>
      </c>
      <c r="P753" s="227">
        <v>118.53</v>
      </c>
      <c r="Q753" s="227">
        <v>108.86</v>
      </c>
      <c r="R753" s="227">
        <v>114.43</v>
      </c>
      <c r="S753" s="227"/>
      <c r="T753" s="227">
        <v>78.253</v>
      </c>
      <c r="U753" s="227">
        <v>79.5</v>
      </c>
      <c r="V753" s="227">
        <v>79.5</v>
      </c>
      <c r="W753" s="227">
        <v>79.5</v>
      </c>
      <c r="X753" s="227">
        <v>79.5</v>
      </c>
      <c r="Y753" s="227">
        <v>79.5</v>
      </c>
      <c r="Z753" s="227">
        <v>79.5</v>
      </c>
      <c r="AA753" s="227">
        <v>79.5</v>
      </c>
      <c r="AB753" s="227">
        <v>24.523</v>
      </c>
      <c r="AC753" s="227">
        <v>773.13</v>
      </c>
      <c r="AD753" s="230">
        <v>2.8383101851851849E-4</v>
      </c>
      <c r="AE753" s="230">
        <v>147.13799999999998</v>
      </c>
      <c r="AF753" s="230">
        <v>3808.5179999999996</v>
      </c>
      <c r="AG753" s="230">
        <v>471190.85089991969</v>
      </c>
      <c r="AH753" s="230">
        <v>2662422.2622056487</v>
      </c>
      <c r="AI753" s="230">
        <v>4638.78</v>
      </c>
    </row>
    <row r="754" spans="5:35" x14ac:dyDescent="0.35">
      <c r="E754" s="226">
        <v>2.2737400000000001</v>
      </c>
      <c r="F754" s="227">
        <v>12.151956164383561</v>
      </c>
      <c r="G754" s="227">
        <v>4435.4639999999999</v>
      </c>
      <c r="H754" s="227">
        <v>0.96150000000000002</v>
      </c>
      <c r="I754" s="227">
        <v>2.9697</v>
      </c>
      <c r="J754" s="227">
        <v>0.54552960752305513</v>
      </c>
      <c r="K754" s="227">
        <v>140</v>
      </c>
      <c r="L754" s="227">
        <v>138.69999999999999</v>
      </c>
      <c r="M754" s="227">
        <v>137.21</v>
      </c>
      <c r="N754" s="227">
        <v>95.692999999999998</v>
      </c>
      <c r="O754" s="227">
        <v>101.47</v>
      </c>
      <c r="P754" s="227">
        <v>118.51</v>
      </c>
      <c r="Q754" s="227">
        <v>108.84</v>
      </c>
      <c r="R754" s="227">
        <v>114.41</v>
      </c>
      <c r="S754" s="227"/>
      <c r="T754" s="227">
        <v>78.328999999999994</v>
      </c>
      <c r="U754" s="227">
        <v>79.5</v>
      </c>
      <c r="V754" s="227">
        <v>79.5</v>
      </c>
      <c r="W754" s="227">
        <v>79.5</v>
      </c>
      <c r="X754" s="227">
        <v>79.5</v>
      </c>
      <c r="Y754" s="227">
        <v>79.5</v>
      </c>
      <c r="Z754" s="227">
        <v>79.5</v>
      </c>
      <c r="AA754" s="227">
        <v>79.5</v>
      </c>
      <c r="AB754" s="227">
        <v>24.454999999999998</v>
      </c>
      <c r="AC754" s="227">
        <v>773.22</v>
      </c>
      <c r="AD754" s="230">
        <v>2.8304398148148145E-4</v>
      </c>
      <c r="AE754" s="230">
        <v>146.72999999999999</v>
      </c>
      <c r="AF754" s="230">
        <v>3808.9739999999997</v>
      </c>
      <c r="AG754" s="230">
        <v>471337.58089991967</v>
      </c>
      <c r="AH754" s="230">
        <v>2666231.2362056486</v>
      </c>
      <c r="AI754" s="230">
        <v>4639.32</v>
      </c>
    </row>
    <row r="755" spans="5:35" x14ac:dyDescent="0.35">
      <c r="E755" s="226">
        <v>2.2777400000000001</v>
      </c>
      <c r="F755" s="227">
        <v>12.168394520547945</v>
      </c>
      <c r="G755" s="227">
        <v>4441.4639999999999</v>
      </c>
      <c r="H755" s="227">
        <v>0.96160000000000001</v>
      </c>
      <c r="I755" s="227">
        <v>2.9737</v>
      </c>
      <c r="J755" s="227">
        <v>0.54569896863416623</v>
      </c>
      <c r="K755" s="227">
        <v>140</v>
      </c>
      <c r="L755" s="227">
        <v>138.68</v>
      </c>
      <c r="M755" s="227">
        <v>137.19</v>
      </c>
      <c r="N755" s="227">
        <v>95.677000000000007</v>
      </c>
      <c r="O755" s="227">
        <v>101.46</v>
      </c>
      <c r="P755" s="227">
        <v>118.49</v>
      </c>
      <c r="Q755" s="227">
        <v>108.83</v>
      </c>
      <c r="R755" s="227">
        <v>114.39</v>
      </c>
      <c r="S755" s="227"/>
      <c r="T755" s="227">
        <v>78.403999999999996</v>
      </c>
      <c r="U755" s="227">
        <v>79.5</v>
      </c>
      <c r="V755" s="227">
        <v>79.5</v>
      </c>
      <c r="W755" s="227">
        <v>79.5</v>
      </c>
      <c r="X755" s="227">
        <v>79.5</v>
      </c>
      <c r="Y755" s="227">
        <v>79.5</v>
      </c>
      <c r="Z755" s="227">
        <v>79.5</v>
      </c>
      <c r="AA755" s="227">
        <v>79.5</v>
      </c>
      <c r="AB755" s="227">
        <v>24.388000000000002</v>
      </c>
      <c r="AC755" s="227">
        <v>773.31</v>
      </c>
      <c r="AD755" s="230">
        <v>2.8226851851851856E-4</v>
      </c>
      <c r="AE755" s="230">
        <v>146.32800000000003</v>
      </c>
      <c r="AF755" s="230">
        <v>3809.424</v>
      </c>
      <c r="AG755" s="230">
        <v>471483.90889991965</v>
      </c>
      <c r="AH755" s="230">
        <v>2670040.6602056487</v>
      </c>
      <c r="AI755" s="230">
        <v>4639.8599999999997</v>
      </c>
    </row>
    <row r="756" spans="5:35" x14ac:dyDescent="0.35">
      <c r="E756" s="226">
        <v>2.2817400000000001</v>
      </c>
      <c r="F756" s="227">
        <v>12.184832876712328</v>
      </c>
      <c r="G756" s="227">
        <v>4447.4639999999999</v>
      </c>
      <c r="H756" s="227">
        <v>0.9617</v>
      </c>
      <c r="I756" s="227">
        <v>2.9777</v>
      </c>
      <c r="J756" s="227">
        <v>0.54586786446749958</v>
      </c>
      <c r="K756" s="227">
        <v>140</v>
      </c>
      <c r="L756" s="227">
        <v>138.66</v>
      </c>
      <c r="M756" s="227">
        <v>137.16</v>
      </c>
      <c r="N756" s="227">
        <v>95.661000000000001</v>
      </c>
      <c r="O756" s="227">
        <v>101.44</v>
      </c>
      <c r="P756" s="227">
        <v>118.47</v>
      </c>
      <c r="Q756" s="227">
        <v>108.82</v>
      </c>
      <c r="R756" s="227">
        <v>114.38</v>
      </c>
      <c r="S756" s="227"/>
      <c r="T756" s="227">
        <v>78.48</v>
      </c>
      <c r="U756" s="227">
        <v>79.5</v>
      </c>
      <c r="V756" s="227">
        <v>79.5</v>
      </c>
      <c r="W756" s="227">
        <v>79.5</v>
      </c>
      <c r="X756" s="227">
        <v>79.5</v>
      </c>
      <c r="Y756" s="227">
        <v>79.5</v>
      </c>
      <c r="Z756" s="227">
        <v>79.5</v>
      </c>
      <c r="AA756" s="227">
        <v>79.5</v>
      </c>
      <c r="AB756" s="227">
        <v>24.321000000000002</v>
      </c>
      <c r="AC756" s="227">
        <v>773.41</v>
      </c>
      <c r="AD756" s="230">
        <v>2.8149305555555555E-4</v>
      </c>
      <c r="AE756" s="230">
        <v>145.92599999999999</v>
      </c>
      <c r="AF756" s="230">
        <v>3809.88</v>
      </c>
      <c r="AG756" s="230">
        <v>471629.83489991963</v>
      </c>
      <c r="AH756" s="230">
        <v>2673850.5402056486</v>
      </c>
      <c r="AI756" s="230">
        <v>4640.46</v>
      </c>
    </row>
    <row r="757" spans="5:35" x14ac:dyDescent="0.35">
      <c r="E757" s="226">
        <v>2.2858399999999999</v>
      </c>
      <c r="F757" s="227">
        <v>12.201271232876712</v>
      </c>
      <c r="G757" s="227">
        <v>4453.4639999999999</v>
      </c>
      <c r="H757" s="227">
        <v>0.96179999999999999</v>
      </c>
      <c r="I757" s="227">
        <v>2.9817999999999998</v>
      </c>
      <c r="J757" s="227">
        <v>0.54603629502305506</v>
      </c>
      <c r="K757" s="227">
        <v>140</v>
      </c>
      <c r="L757" s="227">
        <v>138.63999999999999</v>
      </c>
      <c r="M757" s="227">
        <v>137.13999999999999</v>
      </c>
      <c r="N757" s="227">
        <v>95.644999999999996</v>
      </c>
      <c r="O757" s="227">
        <v>101.43</v>
      </c>
      <c r="P757" s="227">
        <v>118.45</v>
      </c>
      <c r="Q757" s="227">
        <v>108.8</v>
      </c>
      <c r="R757" s="227">
        <v>114.36</v>
      </c>
      <c r="S757" s="227"/>
      <c r="T757" s="227">
        <v>78.555000000000007</v>
      </c>
      <c r="U757" s="227">
        <v>79.5</v>
      </c>
      <c r="V757" s="227">
        <v>79.5</v>
      </c>
      <c r="W757" s="227">
        <v>79.5</v>
      </c>
      <c r="X757" s="227">
        <v>79.5</v>
      </c>
      <c r="Y757" s="227">
        <v>79.5</v>
      </c>
      <c r="Z757" s="227">
        <v>79.5</v>
      </c>
      <c r="AA757" s="227">
        <v>79.5</v>
      </c>
      <c r="AB757" s="227">
        <v>24.254000000000001</v>
      </c>
      <c r="AC757" s="227">
        <v>773.5</v>
      </c>
      <c r="AD757" s="230">
        <v>2.8071759259259261E-4</v>
      </c>
      <c r="AE757" s="230">
        <v>145.524</v>
      </c>
      <c r="AF757" s="230">
        <v>3810.3300000000004</v>
      </c>
      <c r="AG757" s="230">
        <v>471775.35889991961</v>
      </c>
      <c r="AH757" s="230">
        <v>2677660.8702056487</v>
      </c>
      <c r="AI757" s="230">
        <v>4641</v>
      </c>
    </row>
    <row r="758" spans="5:35" x14ac:dyDescent="0.35">
      <c r="E758" s="226">
        <v>2.2898399999999999</v>
      </c>
      <c r="F758" s="227">
        <v>12.217709589041096</v>
      </c>
      <c r="G758" s="227">
        <v>4459.4639999999999</v>
      </c>
      <c r="H758" s="227">
        <v>0.96189999999999998</v>
      </c>
      <c r="I758" s="227">
        <v>2.9857999999999998</v>
      </c>
      <c r="J758" s="227">
        <v>0.5462042603008328</v>
      </c>
      <c r="K758" s="227">
        <v>140</v>
      </c>
      <c r="L758" s="227">
        <v>138.62</v>
      </c>
      <c r="M758" s="227">
        <v>137.11000000000001</v>
      </c>
      <c r="N758" s="227">
        <v>95.629000000000005</v>
      </c>
      <c r="O758" s="227">
        <v>101.41</v>
      </c>
      <c r="P758" s="227">
        <v>118.43</v>
      </c>
      <c r="Q758" s="227">
        <v>108.79</v>
      </c>
      <c r="R758" s="227">
        <v>114.34</v>
      </c>
      <c r="S758" s="227"/>
      <c r="T758" s="227">
        <v>78.63</v>
      </c>
      <c r="U758" s="227">
        <v>79.5</v>
      </c>
      <c r="V758" s="227">
        <v>79.5</v>
      </c>
      <c r="W758" s="227">
        <v>79.5</v>
      </c>
      <c r="X758" s="227">
        <v>79.5</v>
      </c>
      <c r="Y758" s="227">
        <v>79.5</v>
      </c>
      <c r="Z758" s="227">
        <v>79.5</v>
      </c>
      <c r="AA758" s="227">
        <v>79.5</v>
      </c>
      <c r="AB758" s="227">
        <v>24.187000000000001</v>
      </c>
      <c r="AC758" s="227">
        <v>773.59</v>
      </c>
      <c r="AD758" s="230">
        <v>2.7994212962962966E-4</v>
      </c>
      <c r="AE758" s="230">
        <v>145.12200000000001</v>
      </c>
      <c r="AF758" s="230">
        <v>3810.7799999999997</v>
      </c>
      <c r="AG758" s="230">
        <v>471920.48089991958</v>
      </c>
      <c r="AH758" s="230">
        <v>2681471.6502056485</v>
      </c>
      <c r="AI758" s="230">
        <v>4641.54</v>
      </c>
    </row>
    <row r="759" spans="5:35" x14ac:dyDescent="0.35">
      <c r="E759" s="226">
        <v>2.2938399999999999</v>
      </c>
      <c r="F759" s="227">
        <v>12.234147945205478</v>
      </c>
      <c r="G759" s="227">
        <v>4465.4639999999999</v>
      </c>
      <c r="H759" s="227">
        <v>0.96199999999999997</v>
      </c>
      <c r="I759" s="227">
        <v>2.9897999999999998</v>
      </c>
      <c r="J759" s="227">
        <v>0.54637176724527736</v>
      </c>
      <c r="K759" s="227">
        <v>140</v>
      </c>
      <c r="L759" s="227">
        <v>138.6</v>
      </c>
      <c r="M759" s="227">
        <v>137.09</v>
      </c>
      <c r="N759" s="227">
        <v>95.613</v>
      </c>
      <c r="O759" s="227">
        <v>101.4</v>
      </c>
      <c r="P759" s="227">
        <v>118.42</v>
      </c>
      <c r="Q759" s="227">
        <v>108.78</v>
      </c>
      <c r="R759" s="227">
        <v>114.33</v>
      </c>
      <c r="S759" s="227"/>
      <c r="T759" s="227">
        <v>78.704999999999998</v>
      </c>
      <c r="U759" s="227">
        <v>79.5</v>
      </c>
      <c r="V759" s="227">
        <v>79.5</v>
      </c>
      <c r="W759" s="227">
        <v>79.5</v>
      </c>
      <c r="X759" s="227">
        <v>79.5</v>
      </c>
      <c r="Y759" s="227">
        <v>79.5</v>
      </c>
      <c r="Z759" s="227">
        <v>79.5</v>
      </c>
      <c r="AA759" s="227">
        <v>79.5</v>
      </c>
      <c r="AB759" s="227">
        <v>24.120999999999999</v>
      </c>
      <c r="AC759" s="227">
        <v>773.68</v>
      </c>
      <c r="AD759" s="230">
        <v>2.791782407407407E-4</v>
      </c>
      <c r="AE759" s="230">
        <v>144.726</v>
      </c>
      <c r="AF759" s="230">
        <v>3811.2299999999996</v>
      </c>
      <c r="AG759" s="230">
        <v>472065.20689991961</v>
      </c>
      <c r="AH759" s="230">
        <v>2685282.8802056485</v>
      </c>
      <c r="AI759" s="230">
        <v>4642.08</v>
      </c>
    </row>
    <row r="760" spans="5:35" x14ac:dyDescent="0.35">
      <c r="E760" s="226">
        <v>2.2978399999999999</v>
      </c>
      <c r="F760" s="227">
        <v>12.250586301369863</v>
      </c>
      <c r="G760" s="227">
        <v>4471.4639999999999</v>
      </c>
      <c r="H760" s="227">
        <v>0.96209999999999996</v>
      </c>
      <c r="I760" s="227">
        <v>2.9937999999999998</v>
      </c>
      <c r="J760" s="227">
        <v>0.54653881585638842</v>
      </c>
      <c r="K760" s="227">
        <v>140</v>
      </c>
      <c r="L760" s="227">
        <v>138.58000000000001</v>
      </c>
      <c r="M760" s="227">
        <v>137.07</v>
      </c>
      <c r="N760" s="227">
        <v>95.596000000000004</v>
      </c>
      <c r="O760" s="227">
        <v>101.38</v>
      </c>
      <c r="P760" s="227">
        <v>118.4</v>
      </c>
      <c r="Q760" s="227">
        <v>108.77</v>
      </c>
      <c r="R760" s="227">
        <v>114.31</v>
      </c>
      <c r="S760" s="227"/>
      <c r="T760" s="227">
        <v>78.78</v>
      </c>
      <c r="U760" s="227">
        <v>79.5</v>
      </c>
      <c r="V760" s="227">
        <v>79.5</v>
      </c>
      <c r="W760" s="227">
        <v>79.5</v>
      </c>
      <c r="X760" s="227">
        <v>79.5</v>
      </c>
      <c r="Y760" s="227">
        <v>79.5</v>
      </c>
      <c r="Z760" s="227">
        <v>79.5</v>
      </c>
      <c r="AA760" s="227">
        <v>79.5</v>
      </c>
      <c r="AB760" s="227">
        <v>24.055</v>
      </c>
      <c r="AC760" s="227">
        <v>773.77</v>
      </c>
      <c r="AD760" s="230">
        <v>2.7841435185185185E-4</v>
      </c>
      <c r="AE760" s="230">
        <v>144.32999999999998</v>
      </c>
      <c r="AF760" s="230">
        <v>3811.68</v>
      </c>
      <c r="AG760" s="230">
        <v>472209.53689991962</v>
      </c>
      <c r="AH760" s="230">
        <v>2689094.5602056487</v>
      </c>
      <c r="AI760" s="230">
        <v>4642.62</v>
      </c>
    </row>
    <row r="761" spans="5:35" x14ac:dyDescent="0.35">
      <c r="E761" s="226">
        <v>2.3018399999999999</v>
      </c>
      <c r="F761" s="227">
        <v>12.267024657534247</v>
      </c>
      <c r="G761" s="227">
        <v>4477.4639999999999</v>
      </c>
      <c r="H761" s="227">
        <v>0.96220000000000006</v>
      </c>
      <c r="I761" s="227">
        <v>2.9977999999999998</v>
      </c>
      <c r="J761" s="227">
        <v>0.54670541307861065</v>
      </c>
      <c r="K761" s="227">
        <v>140</v>
      </c>
      <c r="L761" s="227">
        <v>138.56</v>
      </c>
      <c r="M761" s="227">
        <v>137.04</v>
      </c>
      <c r="N761" s="227">
        <v>95.581000000000003</v>
      </c>
      <c r="O761" s="227">
        <v>101.37</v>
      </c>
      <c r="P761" s="227">
        <v>118.38</v>
      </c>
      <c r="Q761" s="227">
        <v>108.75</v>
      </c>
      <c r="R761" s="227">
        <v>114.29</v>
      </c>
      <c r="S761" s="227"/>
      <c r="T761" s="227">
        <v>78.853999999999999</v>
      </c>
      <c r="U761" s="227">
        <v>79.5</v>
      </c>
      <c r="V761" s="227">
        <v>79.5</v>
      </c>
      <c r="W761" s="227">
        <v>79.5</v>
      </c>
      <c r="X761" s="227">
        <v>79.5</v>
      </c>
      <c r="Y761" s="227">
        <v>79.5</v>
      </c>
      <c r="Z761" s="227">
        <v>79.5</v>
      </c>
      <c r="AA761" s="227">
        <v>79.5</v>
      </c>
      <c r="AB761" s="227">
        <v>23.99</v>
      </c>
      <c r="AC761" s="227">
        <v>773.86</v>
      </c>
      <c r="AD761" s="230">
        <v>2.7766203703703704E-4</v>
      </c>
      <c r="AE761" s="230">
        <v>143.94</v>
      </c>
      <c r="AF761" s="230">
        <v>3812.1240000000003</v>
      </c>
      <c r="AG761" s="230">
        <v>472353.47689991962</v>
      </c>
      <c r="AH761" s="230">
        <v>2692906.6842056485</v>
      </c>
      <c r="AI761" s="230">
        <v>4643.16</v>
      </c>
    </row>
    <row r="762" spans="5:35" x14ac:dyDescent="0.35">
      <c r="E762" s="226">
        <v>2.3058399999999999</v>
      </c>
      <c r="F762" s="227">
        <v>12.283463013698629</v>
      </c>
      <c r="G762" s="227">
        <v>4483.4639999999999</v>
      </c>
      <c r="H762" s="227">
        <v>0.96240000000000003</v>
      </c>
      <c r="I762" s="227">
        <v>3.0017999999999998</v>
      </c>
      <c r="J762" s="227">
        <v>0.54687155196749959</v>
      </c>
      <c r="K762" s="227">
        <v>140</v>
      </c>
      <c r="L762" s="227">
        <v>138.54</v>
      </c>
      <c r="M762" s="227">
        <v>137.02000000000001</v>
      </c>
      <c r="N762" s="227">
        <v>95.564999999999998</v>
      </c>
      <c r="O762" s="227">
        <v>101.35</v>
      </c>
      <c r="P762" s="227">
        <v>118.36</v>
      </c>
      <c r="Q762" s="227">
        <v>108.74</v>
      </c>
      <c r="R762" s="227">
        <v>114.28</v>
      </c>
      <c r="S762" s="227"/>
      <c r="T762" s="227">
        <v>78.929000000000002</v>
      </c>
      <c r="U762" s="227">
        <v>79.5</v>
      </c>
      <c r="V762" s="227">
        <v>79.5</v>
      </c>
      <c r="W762" s="227">
        <v>79.5</v>
      </c>
      <c r="X762" s="227">
        <v>79.5</v>
      </c>
      <c r="Y762" s="227">
        <v>79.5</v>
      </c>
      <c r="Z762" s="227">
        <v>79.5</v>
      </c>
      <c r="AA762" s="227">
        <v>79.5</v>
      </c>
      <c r="AB762" s="227">
        <v>23.923999999999999</v>
      </c>
      <c r="AC762" s="227">
        <v>773.95</v>
      </c>
      <c r="AD762" s="230">
        <v>2.7689814814814813E-4</v>
      </c>
      <c r="AE762" s="230">
        <v>143.54400000000001</v>
      </c>
      <c r="AF762" s="230">
        <v>3812.5739999999996</v>
      </c>
      <c r="AG762" s="230">
        <v>472497.02089991962</v>
      </c>
      <c r="AH762" s="230">
        <v>2696719.2582056485</v>
      </c>
      <c r="AI762" s="230">
        <v>4643.7000000000007</v>
      </c>
    </row>
    <row r="763" spans="5:35" x14ac:dyDescent="0.35">
      <c r="E763" s="226">
        <v>2.3099400000000001</v>
      </c>
      <c r="F763" s="227">
        <v>12.299901369863013</v>
      </c>
      <c r="G763" s="227">
        <v>4489.4639999999999</v>
      </c>
      <c r="H763" s="227">
        <v>0.96250000000000002</v>
      </c>
      <c r="I763" s="227">
        <v>3.0059</v>
      </c>
      <c r="J763" s="227">
        <v>0.54703723946749949</v>
      </c>
      <c r="K763" s="227">
        <v>140</v>
      </c>
      <c r="L763" s="227">
        <v>138.52000000000001</v>
      </c>
      <c r="M763" s="227">
        <v>137</v>
      </c>
      <c r="N763" s="227">
        <v>95.548000000000002</v>
      </c>
      <c r="O763" s="227">
        <v>101.34</v>
      </c>
      <c r="P763" s="227">
        <v>118.34</v>
      </c>
      <c r="Q763" s="227">
        <v>108.73</v>
      </c>
      <c r="R763" s="227">
        <v>114.26</v>
      </c>
      <c r="S763" s="227"/>
      <c r="T763" s="227">
        <v>78.995000000000005</v>
      </c>
      <c r="U763" s="227">
        <v>79.5</v>
      </c>
      <c r="V763" s="227">
        <v>79.5</v>
      </c>
      <c r="W763" s="227">
        <v>79.5</v>
      </c>
      <c r="X763" s="227">
        <v>79.5</v>
      </c>
      <c r="Y763" s="227">
        <v>79.5</v>
      </c>
      <c r="Z763" s="227">
        <v>79.5</v>
      </c>
      <c r="AA763" s="227">
        <v>79.5</v>
      </c>
      <c r="AB763" s="227">
        <v>23.859000000000002</v>
      </c>
      <c r="AC763" s="227">
        <v>774.03</v>
      </c>
      <c r="AD763" s="230">
        <v>2.7614583333333338E-4</v>
      </c>
      <c r="AE763" s="230">
        <v>143.15400000000002</v>
      </c>
      <c r="AF763" s="230">
        <v>3812.9700000000003</v>
      </c>
      <c r="AG763" s="230">
        <v>472640.1748999196</v>
      </c>
      <c r="AH763" s="230">
        <v>2700532.2282056487</v>
      </c>
      <c r="AI763" s="230">
        <v>4644.18</v>
      </c>
    </row>
    <row r="764" spans="5:35" x14ac:dyDescent="0.35">
      <c r="E764" s="226">
        <v>2.3139400000000001</v>
      </c>
      <c r="F764" s="227">
        <v>12.316339726027397</v>
      </c>
      <c r="G764" s="227">
        <v>4495.4639999999999</v>
      </c>
      <c r="H764" s="227">
        <v>0.96260000000000001</v>
      </c>
      <c r="I764" s="227">
        <v>3.0099</v>
      </c>
      <c r="J764" s="227">
        <v>0.54720247557861068</v>
      </c>
      <c r="K764" s="227">
        <v>140</v>
      </c>
      <c r="L764" s="227">
        <v>138.5</v>
      </c>
      <c r="M764" s="227">
        <v>136.97</v>
      </c>
      <c r="N764" s="227">
        <v>95.533000000000001</v>
      </c>
      <c r="O764" s="227">
        <v>101.32</v>
      </c>
      <c r="P764" s="227">
        <v>118.32</v>
      </c>
      <c r="Q764" s="227">
        <v>108.71</v>
      </c>
      <c r="R764" s="227">
        <v>114.24</v>
      </c>
      <c r="S764" s="227"/>
      <c r="T764" s="227">
        <v>79.076999999999998</v>
      </c>
      <c r="U764" s="227">
        <v>79.5</v>
      </c>
      <c r="V764" s="227">
        <v>79.5</v>
      </c>
      <c r="W764" s="227">
        <v>79.5</v>
      </c>
      <c r="X764" s="227">
        <v>79.5</v>
      </c>
      <c r="Y764" s="227">
        <v>79.5</v>
      </c>
      <c r="Z764" s="227">
        <v>79.5</v>
      </c>
      <c r="AA764" s="227">
        <v>79.5</v>
      </c>
      <c r="AB764" s="227">
        <v>23.794</v>
      </c>
      <c r="AC764" s="227">
        <v>774.13</v>
      </c>
      <c r="AD764" s="230">
        <v>2.7539351851851851E-4</v>
      </c>
      <c r="AE764" s="230">
        <v>142.76399999999998</v>
      </c>
      <c r="AF764" s="230">
        <v>3813.462</v>
      </c>
      <c r="AG764" s="230">
        <v>472782.93889991962</v>
      </c>
      <c r="AH764" s="230">
        <v>2704345.6902056485</v>
      </c>
      <c r="AI764" s="230">
        <v>4644.78</v>
      </c>
    </row>
    <row r="765" spans="5:35" x14ac:dyDescent="0.35">
      <c r="E765" s="226">
        <v>2.3179400000000001</v>
      </c>
      <c r="F765" s="227">
        <v>12.33277808219178</v>
      </c>
      <c r="G765" s="227">
        <v>4501.4639999999999</v>
      </c>
      <c r="H765" s="227">
        <v>0.9627</v>
      </c>
      <c r="I765" s="227">
        <v>3.0139</v>
      </c>
      <c r="J765" s="227">
        <v>0.54736726030083294</v>
      </c>
      <c r="K765" s="227">
        <v>140</v>
      </c>
      <c r="L765" s="227">
        <v>138.47999999999999</v>
      </c>
      <c r="M765" s="227">
        <v>136.94999999999999</v>
      </c>
      <c r="N765" s="227">
        <v>95.516999999999996</v>
      </c>
      <c r="O765" s="227">
        <v>101.31</v>
      </c>
      <c r="P765" s="227">
        <v>118.31</v>
      </c>
      <c r="Q765" s="227">
        <v>108.7</v>
      </c>
      <c r="R765" s="227">
        <v>114.23</v>
      </c>
      <c r="S765" s="227"/>
      <c r="T765" s="227">
        <v>79.150999999999996</v>
      </c>
      <c r="U765" s="227">
        <v>79.5</v>
      </c>
      <c r="V765" s="227">
        <v>79.5</v>
      </c>
      <c r="W765" s="227">
        <v>79.5</v>
      </c>
      <c r="X765" s="227">
        <v>79.5</v>
      </c>
      <c r="Y765" s="227">
        <v>79.5</v>
      </c>
      <c r="Z765" s="227">
        <v>79.5</v>
      </c>
      <c r="AA765" s="227">
        <v>79.5</v>
      </c>
      <c r="AB765" s="227">
        <v>23.728999999999999</v>
      </c>
      <c r="AC765" s="227">
        <v>774.22</v>
      </c>
      <c r="AD765" s="230">
        <v>2.746412037037037E-4</v>
      </c>
      <c r="AE765" s="230">
        <v>142.374</v>
      </c>
      <c r="AF765" s="230">
        <v>3813.9060000000004</v>
      </c>
      <c r="AG765" s="230">
        <v>472925.31289991963</v>
      </c>
      <c r="AH765" s="230">
        <v>2708159.5962056485</v>
      </c>
      <c r="AI765" s="230">
        <v>4645.32</v>
      </c>
    </row>
    <row r="766" spans="5:35" x14ac:dyDescent="0.35">
      <c r="E766" s="226">
        <v>2.3219400000000001</v>
      </c>
      <c r="F766" s="227">
        <v>12.349216438356164</v>
      </c>
      <c r="G766" s="227">
        <v>4507.4639999999999</v>
      </c>
      <c r="H766" s="227">
        <v>0.96279999999999999</v>
      </c>
      <c r="I766" s="227">
        <v>3.0179</v>
      </c>
      <c r="J766" s="227">
        <v>0.54753160057861072</v>
      </c>
      <c r="K766" s="227">
        <v>140</v>
      </c>
      <c r="L766" s="227">
        <v>138.46</v>
      </c>
      <c r="M766" s="227">
        <v>136.91999999999999</v>
      </c>
      <c r="N766" s="227">
        <v>95.501000000000005</v>
      </c>
      <c r="O766" s="227">
        <v>101.29</v>
      </c>
      <c r="P766" s="227">
        <v>118.29</v>
      </c>
      <c r="Q766" s="227">
        <v>108.69</v>
      </c>
      <c r="R766" s="227">
        <v>114.21</v>
      </c>
      <c r="S766" s="227"/>
      <c r="T766" s="227">
        <v>79.224999999999994</v>
      </c>
      <c r="U766" s="227">
        <v>79.5</v>
      </c>
      <c r="V766" s="227">
        <v>79.5</v>
      </c>
      <c r="W766" s="227">
        <v>79.5</v>
      </c>
      <c r="X766" s="227">
        <v>79.5</v>
      </c>
      <c r="Y766" s="227">
        <v>79.5</v>
      </c>
      <c r="Z766" s="227">
        <v>79.5</v>
      </c>
      <c r="AA766" s="227">
        <v>79.5</v>
      </c>
      <c r="AB766" s="227">
        <v>23.664999999999999</v>
      </c>
      <c r="AC766" s="227">
        <v>774.31</v>
      </c>
      <c r="AD766" s="230">
        <v>2.7390046296296293E-4</v>
      </c>
      <c r="AE766" s="230">
        <v>141.98999999999998</v>
      </c>
      <c r="AF766" s="230">
        <v>3814.3500000000004</v>
      </c>
      <c r="AG766" s="230">
        <v>473067.30289991962</v>
      </c>
      <c r="AH766" s="230">
        <v>2711973.9462056486</v>
      </c>
      <c r="AI766" s="230">
        <v>4645.8599999999997</v>
      </c>
    </row>
    <row r="767" spans="5:35" x14ac:dyDescent="0.35">
      <c r="E767" s="226">
        <v>2.3259400000000001</v>
      </c>
      <c r="F767" s="227">
        <v>12.365654794520548</v>
      </c>
      <c r="G767" s="227">
        <v>4513.4639999999999</v>
      </c>
      <c r="H767" s="227">
        <v>0.96289999999999998</v>
      </c>
      <c r="I767" s="227">
        <v>3.0219</v>
      </c>
      <c r="J767" s="227">
        <v>0.54769549641194404</v>
      </c>
      <c r="K767" s="227">
        <v>140</v>
      </c>
      <c r="L767" s="227">
        <v>138.44</v>
      </c>
      <c r="M767" s="227">
        <v>136.9</v>
      </c>
      <c r="N767" s="227">
        <v>95.486000000000004</v>
      </c>
      <c r="O767" s="227">
        <v>101.28</v>
      </c>
      <c r="P767" s="227">
        <v>118.27</v>
      </c>
      <c r="Q767" s="227">
        <v>108.68</v>
      </c>
      <c r="R767" s="227">
        <v>114.19</v>
      </c>
      <c r="S767" s="227"/>
      <c r="T767" s="227">
        <v>79.299000000000007</v>
      </c>
      <c r="U767" s="227">
        <v>79.5</v>
      </c>
      <c r="V767" s="227">
        <v>79.5</v>
      </c>
      <c r="W767" s="227">
        <v>79.5</v>
      </c>
      <c r="X767" s="227">
        <v>79.5</v>
      </c>
      <c r="Y767" s="227">
        <v>79.5</v>
      </c>
      <c r="Z767" s="227">
        <v>79.5</v>
      </c>
      <c r="AA767" s="227">
        <v>79.5</v>
      </c>
      <c r="AB767" s="227">
        <v>23.600999999999999</v>
      </c>
      <c r="AC767" s="227">
        <v>774.4</v>
      </c>
      <c r="AD767" s="230">
        <v>2.7315972222222222E-4</v>
      </c>
      <c r="AE767" s="230">
        <v>141.60599999999999</v>
      </c>
      <c r="AF767" s="230">
        <v>3814.7939999999999</v>
      </c>
      <c r="AG767" s="230">
        <v>473208.90889991965</v>
      </c>
      <c r="AH767" s="230">
        <v>2715788.7402056488</v>
      </c>
      <c r="AI767" s="230">
        <v>4646.3999999999996</v>
      </c>
    </row>
    <row r="768" spans="5:35" x14ac:dyDescent="0.35">
      <c r="E768" s="226">
        <v>2.3299400000000001</v>
      </c>
      <c r="F768" s="227">
        <v>12.382093150684931</v>
      </c>
      <c r="G768" s="227">
        <v>4519.4639999999999</v>
      </c>
      <c r="H768" s="227">
        <v>0.96299999999999997</v>
      </c>
      <c r="I768" s="227">
        <v>3.0259</v>
      </c>
      <c r="J768" s="227">
        <v>0.547858947800833</v>
      </c>
      <c r="K768" s="227">
        <v>140</v>
      </c>
      <c r="L768" s="227">
        <v>138.41999999999999</v>
      </c>
      <c r="M768" s="227">
        <v>136.88</v>
      </c>
      <c r="N768" s="227">
        <v>95.47</v>
      </c>
      <c r="O768" s="227">
        <v>101.26</v>
      </c>
      <c r="P768" s="227">
        <v>118.25</v>
      </c>
      <c r="Q768" s="227">
        <v>108.66</v>
      </c>
      <c r="R768" s="227">
        <v>114.18</v>
      </c>
      <c r="S768" s="227"/>
      <c r="T768" s="227">
        <v>79.373000000000005</v>
      </c>
      <c r="U768" s="227">
        <v>79.5</v>
      </c>
      <c r="V768" s="227">
        <v>79.5</v>
      </c>
      <c r="W768" s="227">
        <v>79.5</v>
      </c>
      <c r="X768" s="227">
        <v>79.5</v>
      </c>
      <c r="Y768" s="227">
        <v>79.5</v>
      </c>
      <c r="Z768" s="227">
        <v>79.5</v>
      </c>
      <c r="AA768" s="227">
        <v>79.5</v>
      </c>
      <c r="AB768" s="227">
        <v>23.536999999999999</v>
      </c>
      <c r="AC768" s="227">
        <v>774.49</v>
      </c>
      <c r="AD768" s="230">
        <v>2.7241898148148145E-4</v>
      </c>
      <c r="AE768" s="230">
        <v>141.22199999999998</v>
      </c>
      <c r="AF768" s="230">
        <v>3815.2380000000003</v>
      </c>
      <c r="AG768" s="230">
        <v>473350.13089991966</v>
      </c>
      <c r="AH768" s="230">
        <v>2719603.9782056487</v>
      </c>
      <c r="AI768" s="230">
        <v>4646.9400000000005</v>
      </c>
    </row>
    <row r="769" spans="5:35" x14ac:dyDescent="0.35">
      <c r="E769" s="226">
        <v>2.3340399999999999</v>
      </c>
      <c r="F769" s="227">
        <v>12.398531506849315</v>
      </c>
      <c r="G769" s="227">
        <v>4525.4639999999999</v>
      </c>
      <c r="H769" s="227">
        <v>0.96309999999999996</v>
      </c>
      <c r="I769" s="227">
        <v>3.03</v>
      </c>
      <c r="J769" s="227">
        <v>0.54802195474527737</v>
      </c>
      <c r="K769" s="227">
        <v>140</v>
      </c>
      <c r="L769" s="227">
        <v>138.4</v>
      </c>
      <c r="M769" s="227">
        <v>136.85</v>
      </c>
      <c r="N769" s="227">
        <v>95.453999999999994</v>
      </c>
      <c r="O769" s="227">
        <v>101.25</v>
      </c>
      <c r="P769" s="227">
        <v>118.23</v>
      </c>
      <c r="Q769" s="227">
        <v>108.65</v>
      </c>
      <c r="R769" s="227">
        <v>114.16</v>
      </c>
      <c r="S769" s="227"/>
      <c r="T769" s="227">
        <v>79.445999999999998</v>
      </c>
      <c r="U769" s="227">
        <v>79.5</v>
      </c>
      <c r="V769" s="227">
        <v>79.5</v>
      </c>
      <c r="W769" s="227">
        <v>79.5</v>
      </c>
      <c r="X769" s="227">
        <v>79.5</v>
      </c>
      <c r="Y769" s="227">
        <v>79.5</v>
      </c>
      <c r="Z769" s="227">
        <v>79.5</v>
      </c>
      <c r="AA769" s="227">
        <v>79.5</v>
      </c>
      <c r="AB769" s="227">
        <v>23.472999999999999</v>
      </c>
      <c r="AC769" s="227">
        <v>774.58</v>
      </c>
      <c r="AD769" s="230">
        <v>2.7167824074074073E-4</v>
      </c>
      <c r="AE769" s="230">
        <v>140.83799999999999</v>
      </c>
      <c r="AF769" s="230">
        <v>3815.6760000000004</v>
      </c>
      <c r="AG769" s="230">
        <v>473490.96889991965</v>
      </c>
      <c r="AH769" s="230">
        <v>2723419.6542056487</v>
      </c>
      <c r="AI769" s="230">
        <v>4647.4800000000005</v>
      </c>
    </row>
    <row r="770" spans="5:35" x14ac:dyDescent="0.35">
      <c r="E770" s="226">
        <v>2.3380399999999999</v>
      </c>
      <c r="F770" s="227">
        <v>12.414969863013699</v>
      </c>
      <c r="G770" s="227">
        <v>4531.4639999999999</v>
      </c>
      <c r="H770" s="227">
        <v>0.96319999999999995</v>
      </c>
      <c r="I770" s="227">
        <v>3.0339999999999998</v>
      </c>
      <c r="J770" s="227">
        <v>0.54818451724527739</v>
      </c>
      <c r="K770" s="227">
        <v>139.99</v>
      </c>
      <c r="L770" s="227">
        <v>138.38</v>
      </c>
      <c r="M770" s="227">
        <v>136.83000000000001</v>
      </c>
      <c r="N770" s="227">
        <v>95.438000000000002</v>
      </c>
      <c r="O770" s="227">
        <v>101.23</v>
      </c>
      <c r="P770" s="227">
        <v>118.22</v>
      </c>
      <c r="Q770" s="227">
        <v>108.64</v>
      </c>
      <c r="R770" s="227">
        <v>114.15</v>
      </c>
      <c r="S770" s="227"/>
      <c r="T770" s="227">
        <v>79.5</v>
      </c>
      <c r="U770" s="227">
        <v>79.5</v>
      </c>
      <c r="V770" s="227">
        <v>79.5</v>
      </c>
      <c r="W770" s="227">
        <v>79.5</v>
      </c>
      <c r="X770" s="227">
        <v>79.5</v>
      </c>
      <c r="Y770" s="227">
        <v>79.5</v>
      </c>
      <c r="Z770" s="227">
        <v>79.5</v>
      </c>
      <c r="AA770" s="227">
        <v>79.5</v>
      </c>
      <c r="AB770" s="227">
        <v>23.408999999999999</v>
      </c>
      <c r="AC770" s="227">
        <v>774.65</v>
      </c>
      <c r="AD770" s="230">
        <v>2.7093749999999997E-4</v>
      </c>
      <c r="AE770" s="230">
        <v>140.45399999999998</v>
      </c>
      <c r="AF770" s="230">
        <v>3816</v>
      </c>
      <c r="AG770" s="230">
        <v>473631.42289991968</v>
      </c>
      <c r="AH770" s="230">
        <v>2727235.6542056487</v>
      </c>
      <c r="AI770" s="230">
        <v>4647.8999999999996</v>
      </c>
    </row>
    <row r="771" spans="5:35" x14ac:dyDescent="0.35">
      <c r="E771" s="226">
        <v>2.3420399999999999</v>
      </c>
      <c r="F771" s="227">
        <v>12.431408219178081</v>
      </c>
      <c r="G771" s="227">
        <v>4537.4639999999999</v>
      </c>
      <c r="H771" s="227">
        <v>0.96330000000000005</v>
      </c>
      <c r="I771" s="227">
        <v>3.0379999999999998</v>
      </c>
      <c r="J771" s="227">
        <v>0.54834661446749966</v>
      </c>
      <c r="K771" s="227">
        <v>139.96</v>
      </c>
      <c r="L771" s="227">
        <v>138.35</v>
      </c>
      <c r="M771" s="227">
        <v>136.80000000000001</v>
      </c>
      <c r="N771" s="227">
        <v>95.418999999999997</v>
      </c>
      <c r="O771" s="227">
        <v>101.22</v>
      </c>
      <c r="P771" s="227">
        <v>118.19</v>
      </c>
      <c r="Q771" s="227">
        <v>108.62</v>
      </c>
      <c r="R771" s="227">
        <v>114.13</v>
      </c>
      <c r="S771" s="227"/>
      <c r="T771" s="227">
        <v>79.5</v>
      </c>
      <c r="U771" s="227">
        <v>79.5</v>
      </c>
      <c r="V771" s="227">
        <v>79.5</v>
      </c>
      <c r="W771" s="227">
        <v>79.5</v>
      </c>
      <c r="X771" s="227">
        <v>79.5</v>
      </c>
      <c r="Y771" s="227">
        <v>79.5</v>
      </c>
      <c r="Z771" s="227">
        <v>79.5</v>
      </c>
      <c r="AA771" s="227">
        <v>79.5</v>
      </c>
      <c r="AB771" s="227">
        <v>23.341999999999999</v>
      </c>
      <c r="AC771" s="227">
        <v>774.65</v>
      </c>
      <c r="AD771" s="230">
        <v>2.7016203703703702E-4</v>
      </c>
      <c r="AE771" s="230">
        <v>140.05199999999999</v>
      </c>
      <c r="AF771" s="230">
        <v>3816</v>
      </c>
      <c r="AG771" s="230">
        <v>473771.4748999197</v>
      </c>
      <c r="AH771" s="230">
        <v>2731051.6542056487</v>
      </c>
      <c r="AI771" s="230">
        <v>4647.8999999999996</v>
      </c>
    </row>
    <row r="772" spans="5:35" x14ac:dyDescent="0.35">
      <c r="E772" s="226">
        <v>2.3460399999999999</v>
      </c>
      <c r="F772" s="227">
        <v>12.447846575342465</v>
      </c>
      <c r="G772" s="227">
        <v>4543.4639999999999</v>
      </c>
      <c r="H772" s="227">
        <v>0.96340000000000003</v>
      </c>
      <c r="I772" s="227">
        <v>3.0419999999999998</v>
      </c>
      <c r="J772" s="227">
        <v>0.54850825335638853</v>
      </c>
      <c r="K772" s="227">
        <v>139.91</v>
      </c>
      <c r="L772" s="227">
        <v>138.32</v>
      </c>
      <c r="M772" s="227">
        <v>136.76</v>
      </c>
      <c r="N772" s="227">
        <v>95.400999999999996</v>
      </c>
      <c r="O772" s="227">
        <v>101.2</v>
      </c>
      <c r="P772" s="227">
        <v>118.17</v>
      </c>
      <c r="Q772" s="227">
        <v>108.61</v>
      </c>
      <c r="R772" s="227">
        <v>114.11</v>
      </c>
      <c r="S772" s="227"/>
      <c r="T772" s="227">
        <v>79.5</v>
      </c>
      <c r="U772" s="227">
        <v>79.5</v>
      </c>
      <c r="V772" s="227">
        <v>79.5</v>
      </c>
      <c r="W772" s="227">
        <v>79.5</v>
      </c>
      <c r="X772" s="227">
        <v>79.5</v>
      </c>
      <c r="Y772" s="227">
        <v>79.5</v>
      </c>
      <c r="Z772" s="227">
        <v>79.5</v>
      </c>
      <c r="AA772" s="227">
        <v>79.5</v>
      </c>
      <c r="AB772" s="227">
        <v>23.276</v>
      </c>
      <c r="AC772" s="227">
        <v>774.65</v>
      </c>
      <c r="AD772" s="230">
        <v>2.6939814814814817E-4</v>
      </c>
      <c r="AE772" s="230">
        <v>139.65600000000001</v>
      </c>
      <c r="AF772" s="230">
        <v>3816</v>
      </c>
      <c r="AG772" s="230">
        <v>473911.13089991972</v>
      </c>
      <c r="AH772" s="230">
        <v>2734867.6542056487</v>
      </c>
      <c r="AI772" s="230">
        <v>4647.8999999999996</v>
      </c>
    </row>
    <row r="773" spans="5:35" x14ac:dyDescent="0.35">
      <c r="E773" s="226">
        <v>2.3500399999999999</v>
      </c>
      <c r="F773" s="227">
        <v>12.46428493150685</v>
      </c>
      <c r="G773" s="227">
        <v>4549.4639999999999</v>
      </c>
      <c r="H773" s="227">
        <v>0.96350000000000002</v>
      </c>
      <c r="I773" s="227">
        <v>3.0459999999999998</v>
      </c>
      <c r="J773" s="227">
        <v>0.54866943391194412</v>
      </c>
      <c r="K773" s="227">
        <v>139.87</v>
      </c>
      <c r="L773" s="227">
        <v>138.29</v>
      </c>
      <c r="M773" s="227">
        <v>136.72999999999999</v>
      </c>
      <c r="N773" s="227">
        <v>95.38</v>
      </c>
      <c r="O773" s="227">
        <v>101.18</v>
      </c>
      <c r="P773" s="227">
        <v>118.15</v>
      </c>
      <c r="Q773" s="227">
        <v>108.6</v>
      </c>
      <c r="R773" s="227">
        <v>114.09</v>
      </c>
      <c r="S773" s="227"/>
      <c r="T773" s="227">
        <v>79.5</v>
      </c>
      <c r="U773" s="227">
        <v>79.5</v>
      </c>
      <c r="V773" s="227">
        <v>79.5</v>
      </c>
      <c r="W773" s="227">
        <v>79.5</v>
      </c>
      <c r="X773" s="227">
        <v>79.5</v>
      </c>
      <c r="Y773" s="227">
        <v>79.5</v>
      </c>
      <c r="Z773" s="227">
        <v>79.5</v>
      </c>
      <c r="AA773" s="227">
        <v>79.5</v>
      </c>
      <c r="AB773" s="227">
        <v>23.21</v>
      </c>
      <c r="AC773" s="227">
        <v>774.65</v>
      </c>
      <c r="AD773" s="230">
        <v>2.6863425925925926E-4</v>
      </c>
      <c r="AE773" s="230">
        <v>139.26</v>
      </c>
      <c r="AF773" s="230">
        <v>3816</v>
      </c>
      <c r="AG773" s="230">
        <v>474050.39089991973</v>
      </c>
      <c r="AH773" s="230">
        <v>2738683.6542056487</v>
      </c>
      <c r="AI773" s="230">
        <v>4647.8999999999996</v>
      </c>
    </row>
    <row r="774" spans="5:35" x14ac:dyDescent="0.35">
      <c r="E774" s="226">
        <v>2.3541400000000001</v>
      </c>
      <c r="F774" s="227">
        <v>12.480723287671232</v>
      </c>
      <c r="G774" s="227">
        <v>4555.4639999999999</v>
      </c>
      <c r="H774" s="227">
        <v>0.96360000000000001</v>
      </c>
      <c r="I774" s="227">
        <v>3.0501</v>
      </c>
      <c r="J774" s="227">
        <v>0.5488301561341663</v>
      </c>
      <c r="K774" s="227">
        <v>139.84</v>
      </c>
      <c r="L774" s="227">
        <v>138.27000000000001</v>
      </c>
      <c r="M774" s="227">
        <v>136.69999999999999</v>
      </c>
      <c r="N774" s="227">
        <v>95.361999999999995</v>
      </c>
      <c r="O774" s="227">
        <v>101.17</v>
      </c>
      <c r="P774" s="227">
        <v>118.13</v>
      </c>
      <c r="Q774" s="227">
        <v>108.58</v>
      </c>
      <c r="R774" s="227">
        <v>114.08</v>
      </c>
      <c r="S774" s="227"/>
      <c r="T774" s="227">
        <v>79.5</v>
      </c>
      <c r="U774" s="227">
        <v>79.5</v>
      </c>
      <c r="V774" s="227">
        <v>79.5</v>
      </c>
      <c r="W774" s="227">
        <v>79.5</v>
      </c>
      <c r="X774" s="227">
        <v>79.5</v>
      </c>
      <c r="Y774" s="227">
        <v>79.5</v>
      </c>
      <c r="Z774" s="227">
        <v>79.5</v>
      </c>
      <c r="AA774" s="227">
        <v>79.5</v>
      </c>
      <c r="AB774" s="227">
        <v>23.143999999999998</v>
      </c>
      <c r="AC774" s="227">
        <v>774.65</v>
      </c>
      <c r="AD774" s="230">
        <v>2.6787037037037035E-4</v>
      </c>
      <c r="AE774" s="230">
        <v>138.864</v>
      </c>
      <c r="AF774" s="230">
        <v>3816</v>
      </c>
      <c r="AG774" s="230">
        <v>474189.25489991973</v>
      </c>
      <c r="AH774" s="230">
        <v>2742499.6542056487</v>
      </c>
      <c r="AI774" s="230">
        <v>4647.8999999999996</v>
      </c>
    </row>
    <row r="775" spans="5:35" x14ac:dyDescent="0.35">
      <c r="E775" s="226">
        <v>2.3581400000000001</v>
      </c>
      <c r="F775" s="227">
        <v>12.497161643835616</v>
      </c>
      <c r="G775" s="227">
        <v>4561.4639999999999</v>
      </c>
      <c r="H775" s="227">
        <v>0.9637</v>
      </c>
      <c r="I775" s="227">
        <v>3.0541</v>
      </c>
      <c r="J775" s="227">
        <v>0.54899042696749967</v>
      </c>
      <c r="K775" s="227">
        <v>139.80000000000001</v>
      </c>
      <c r="L775" s="227">
        <v>138.24</v>
      </c>
      <c r="M775" s="227">
        <v>136.66</v>
      </c>
      <c r="N775" s="227">
        <v>95.343000000000004</v>
      </c>
      <c r="O775" s="227">
        <v>101.15</v>
      </c>
      <c r="P775" s="227">
        <v>118.11</v>
      </c>
      <c r="Q775" s="227">
        <v>108.57</v>
      </c>
      <c r="R775" s="227">
        <v>114.06</v>
      </c>
      <c r="S775" s="227"/>
      <c r="T775" s="227">
        <v>79.5</v>
      </c>
      <c r="U775" s="227">
        <v>79.5</v>
      </c>
      <c r="V775" s="227">
        <v>79.5</v>
      </c>
      <c r="W775" s="227">
        <v>79.5</v>
      </c>
      <c r="X775" s="227">
        <v>79.5</v>
      </c>
      <c r="Y775" s="227">
        <v>79.5</v>
      </c>
      <c r="Z775" s="227">
        <v>79.5</v>
      </c>
      <c r="AA775" s="227">
        <v>79.5</v>
      </c>
      <c r="AB775" s="227">
        <v>23.079000000000001</v>
      </c>
      <c r="AC775" s="227">
        <v>774.65</v>
      </c>
      <c r="AD775" s="230">
        <v>2.6711805555555554E-4</v>
      </c>
      <c r="AE775" s="230">
        <v>138.47399999999999</v>
      </c>
      <c r="AF775" s="230">
        <v>3816</v>
      </c>
      <c r="AG775" s="230">
        <v>474327.72889991972</v>
      </c>
      <c r="AH775" s="230">
        <v>2746315.6542056487</v>
      </c>
      <c r="AI775" s="230">
        <v>4647.8999999999996</v>
      </c>
    </row>
    <row r="776" spans="5:35" x14ac:dyDescent="0.35">
      <c r="E776" s="226">
        <v>2.3621400000000001</v>
      </c>
      <c r="F776" s="227">
        <v>12.5136</v>
      </c>
      <c r="G776" s="227">
        <v>4567.4639999999999</v>
      </c>
      <c r="H776" s="227">
        <v>0.96379999999999999</v>
      </c>
      <c r="I776" s="227">
        <v>3.0581</v>
      </c>
      <c r="J776" s="227">
        <v>0.5491502464119441</v>
      </c>
      <c r="K776" s="227">
        <v>139.76</v>
      </c>
      <c r="L776" s="227">
        <v>138.21</v>
      </c>
      <c r="M776" s="227">
        <v>136.63</v>
      </c>
      <c r="N776" s="227">
        <v>95.323999999999998</v>
      </c>
      <c r="O776" s="227">
        <v>101.14</v>
      </c>
      <c r="P776" s="227">
        <v>118.08</v>
      </c>
      <c r="Q776" s="227">
        <v>108.55</v>
      </c>
      <c r="R776" s="227">
        <v>114.04</v>
      </c>
      <c r="S776" s="227"/>
      <c r="T776" s="227">
        <v>79.5</v>
      </c>
      <c r="U776" s="227">
        <v>79.5</v>
      </c>
      <c r="V776" s="227">
        <v>79.5</v>
      </c>
      <c r="W776" s="227">
        <v>79.5</v>
      </c>
      <c r="X776" s="227">
        <v>79.5</v>
      </c>
      <c r="Y776" s="227">
        <v>79.5</v>
      </c>
      <c r="Z776" s="227">
        <v>79.5</v>
      </c>
      <c r="AA776" s="227">
        <v>79.5</v>
      </c>
      <c r="AB776" s="227">
        <v>23.013999999999999</v>
      </c>
      <c r="AC776" s="227">
        <v>774.65</v>
      </c>
      <c r="AD776" s="230">
        <v>2.6636574074074073E-4</v>
      </c>
      <c r="AE776" s="230">
        <v>138.084</v>
      </c>
      <c r="AF776" s="230">
        <v>3816</v>
      </c>
      <c r="AG776" s="230">
        <v>474465.81289991969</v>
      </c>
      <c r="AH776" s="230">
        <v>2750131.6542056487</v>
      </c>
      <c r="AI776" s="230">
        <v>4647.8999999999996</v>
      </c>
    </row>
    <row r="777" spans="5:35" x14ac:dyDescent="0.35">
      <c r="E777" s="226">
        <v>2.3661400000000001</v>
      </c>
      <c r="F777" s="227">
        <v>12.530038356164383</v>
      </c>
      <c r="G777" s="227">
        <v>4573.4639999999999</v>
      </c>
      <c r="H777" s="227">
        <v>0.96389999999999998</v>
      </c>
      <c r="I777" s="227">
        <v>3.0621</v>
      </c>
      <c r="J777" s="227">
        <v>0.54930961446749971</v>
      </c>
      <c r="K777" s="227">
        <v>139.72</v>
      </c>
      <c r="L777" s="227">
        <v>138.18</v>
      </c>
      <c r="M777" s="227">
        <v>136.59</v>
      </c>
      <c r="N777" s="227">
        <v>95.305999999999997</v>
      </c>
      <c r="O777" s="227">
        <v>101.12</v>
      </c>
      <c r="P777" s="227">
        <v>118.06</v>
      </c>
      <c r="Q777" s="227">
        <v>108.54</v>
      </c>
      <c r="R777" s="227">
        <v>114.02</v>
      </c>
      <c r="S777" s="227"/>
      <c r="T777" s="227">
        <v>79.5</v>
      </c>
      <c r="U777" s="227">
        <v>79.5</v>
      </c>
      <c r="V777" s="227">
        <v>79.5</v>
      </c>
      <c r="W777" s="227">
        <v>79.5</v>
      </c>
      <c r="X777" s="227">
        <v>79.5</v>
      </c>
      <c r="Y777" s="227">
        <v>79.5</v>
      </c>
      <c r="Z777" s="227">
        <v>79.5</v>
      </c>
      <c r="AA777" s="227">
        <v>79.5</v>
      </c>
      <c r="AB777" s="227">
        <v>22.949000000000002</v>
      </c>
      <c r="AC777" s="227">
        <v>774.65</v>
      </c>
      <c r="AD777" s="230">
        <v>2.6561342592592592E-4</v>
      </c>
      <c r="AE777" s="230">
        <v>137.69400000000002</v>
      </c>
      <c r="AF777" s="230">
        <v>3816</v>
      </c>
      <c r="AG777" s="230">
        <v>474603.50689991971</v>
      </c>
      <c r="AH777" s="230">
        <v>2753947.6542056487</v>
      </c>
      <c r="AI777" s="230">
        <v>4647.8999999999996</v>
      </c>
    </row>
    <row r="778" spans="5:35" x14ac:dyDescent="0.35">
      <c r="E778" s="226">
        <v>2.3701400000000001</v>
      </c>
      <c r="F778" s="227">
        <v>12.546476712328767</v>
      </c>
      <c r="G778" s="227">
        <v>4579.4639999999999</v>
      </c>
      <c r="H778" s="227">
        <v>0.96399999999999997</v>
      </c>
      <c r="I778" s="227">
        <v>3.0661</v>
      </c>
      <c r="J778" s="227">
        <v>0.54946853807861074</v>
      </c>
      <c r="K778" s="227">
        <v>139.69</v>
      </c>
      <c r="L778" s="227">
        <v>138.16</v>
      </c>
      <c r="M778" s="227">
        <v>136.56</v>
      </c>
      <c r="N778" s="227">
        <v>95.287000000000006</v>
      </c>
      <c r="O778" s="227">
        <v>101.1</v>
      </c>
      <c r="P778" s="227">
        <v>118.04</v>
      </c>
      <c r="Q778" s="227">
        <v>108.53</v>
      </c>
      <c r="R778" s="227">
        <v>114.01</v>
      </c>
      <c r="S778" s="227"/>
      <c r="T778" s="227">
        <v>79.5</v>
      </c>
      <c r="U778" s="227">
        <v>79.5</v>
      </c>
      <c r="V778" s="227">
        <v>79.5</v>
      </c>
      <c r="W778" s="227">
        <v>79.5</v>
      </c>
      <c r="X778" s="227">
        <v>79.5</v>
      </c>
      <c r="Y778" s="227">
        <v>79.5</v>
      </c>
      <c r="Z778" s="227">
        <v>79.5</v>
      </c>
      <c r="AA778" s="227">
        <v>79.5</v>
      </c>
      <c r="AB778" s="227">
        <v>22.885000000000002</v>
      </c>
      <c r="AC778" s="227">
        <v>774.65</v>
      </c>
      <c r="AD778" s="230">
        <v>2.6487268518518521E-4</v>
      </c>
      <c r="AE778" s="230">
        <v>137.31</v>
      </c>
      <c r="AF778" s="230">
        <v>3816</v>
      </c>
      <c r="AG778" s="230">
        <v>474740.81689991971</v>
      </c>
      <c r="AH778" s="230">
        <v>2757763.6542056487</v>
      </c>
      <c r="AI778" s="230">
        <v>4647.8999999999996</v>
      </c>
    </row>
    <row r="779" spans="5:35" x14ac:dyDescent="0.35">
      <c r="E779" s="226">
        <v>2.3741400000000001</v>
      </c>
      <c r="F779" s="227">
        <v>12.562915068493151</v>
      </c>
      <c r="G779" s="227">
        <v>4585.4639999999999</v>
      </c>
      <c r="H779" s="227">
        <v>0.96409999999999996</v>
      </c>
      <c r="I779" s="227">
        <v>3.0701000000000001</v>
      </c>
      <c r="J779" s="227">
        <v>0.54962702418972187</v>
      </c>
      <c r="K779" s="227">
        <v>139.65</v>
      </c>
      <c r="L779" s="227">
        <v>138.13999999999999</v>
      </c>
      <c r="M779" s="227">
        <v>136.54</v>
      </c>
      <c r="N779" s="227">
        <v>95.269000000000005</v>
      </c>
      <c r="O779" s="227">
        <v>101.09</v>
      </c>
      <c r="P779" s="227">
        <v>118.02</v>
      </c>
      <c r="Q779" s="227">
        <v>108.51</v>
      </c>
      <c r="R779" s="227">
        <v>113.99</v>
      </c>
      <c r="S779" s="227"/>
      <c r="T779" s="227">
        <v>79.5</v>
      </c>
      <c r="U779" s="227">
        <v>79.5</v>
      </c>
      <c r="V779" s="227">
        <v>79.5</v>
      </c>
      <c r="W779" s="227">
        <v>79.5</v>
      </c>
      <c r="X779" s="227">
        <v>79.5</v>
      </c>
      <c r="Y779" s="227">
        <v>79.5</v>
      </c>
      <c r="Z779" s="227">
        <v>79.5</v>
      </c>
      <c r="AA779" s="227">
        <v>79.5</v>
      </c>
      <c r="AB779" s="227">
        <v>22.821999999999999</v>
      </c>
      <c r="AC779" s="227">
        <v>774.65</v>
      </c>
      <c r="AD779" s="230">
        <v>2.6414351851851854E-4</v>
      </c>
      <c r="AE779" s="230">
        <v>136.93199999999999</v>
      </c>
      <c r="AF779" s="230">
        <v>3816</v>
      </c>
      <c r="AG779" s="230">
        <v>474877.74889991968</v>
      </c>
      <c r="AH779" s="230">
        <v>2761579.6542056487</v>
      </c>
      <c r="AI779" s="230">
        <v>4647.8999999999996</v>
      </c>
    </row>
    <row r="780" spans="5:35" x14ac:dyDescent="0.35">
      <c r="E780" s="226">
        <v>2.3782399999999999</v>
      </c>
      <c r="F780" s="227">
        <v>12.579353424657533</v>
      </c>
      <c r="G780" s="227">
        <v>4591.4639999999999</v>
      </c>
      <c r="H780" s="227">
        <v>0.96419999999999995</v>
      </c>
      <c r="I780" s="227">
        <v>3.0741999999999998</v>
      </c>
      <c r="J780" s="227">
        <v>0.54978505891194407</v>
      </c>
      <c r="K780" s="227">
        <v>139.61000000000001</v>
      </c>
      <c r="L780" s="227">
        <v>138.11000000000001</v>
      </c>
      <c r="M780" s="227">
        <v>136.5</v>
      </c>
      <c r="N780" s="227">
        <v>95.248999999999995</v>
      </c>
      <c r="O780" s="227">
        <v>101.07</v>
      </c>
      <c r="P780" s="227">
        <v>118</v>
      </c>
      <c r="Q780" s="227">
        <v>108.5</v>
      </c>
      <c r="R780" s="227">
        <v>113.97</v>
      </c>
      <c r="S780" s="227"/>
      <c r="T780" s="227">
        <v>79.5</v>
      </c>
      <c r="U780" s="227">
        <v>79.5</v>
      </c>
      <c r="V780" s="227">
        <v>79.5</v>
      </c>
      <c r="W780" s="227">
        <v>79.5</v>
      </c>
      <c r="X780" s="227">
        <v>79.5</v>
      </c>
      <c r="Y780" s="227">
        <v>79.5</v>
      </c>
      <c r="Z780" s="227">
        <v>79.5</v>
      </c>
      <c r="AA780" s="227">
        <v>79.5</v>
      </c>
      <c r="AB780" s="227">
        <v>22.757000000000001</v>
      </c>
      <c r="AC780" s="227">
        <v>774.65</v>
      </c>
      <c r="AD780" s="230">
        <v>2.6339120370370373E-4</v>
      </c>
      <c r="AE780" s="230">
        <v>136.542</v>
      </c>
      <c r="AF780" s="230">
        <v>3816</v>
      </c>
      <c r="AG780" s="230">
        <v>475014.2908999197</v>
      </c>
      <c r="AH780" s="230">
        <v>2765395.6542056487</v>
      </c>
      <c r="AI780" s="230">
        <v>4647.8999999999996</v>
      </c>
    </row>
    <row r="781" spans="5:35" x14ac:dyDescent="0.35">
      <c r="E781" s="226">
        <v>2.3822399999999999</v>
      </c>
      <c r="F781" s="227">
        <v>12.595791780821918</v>
      </c>
      <c r="G781" s="227">
        <v>4597.4639999999999</v>
      </c>
      <c r="H781" s="227">
        <v>0.96430000000000005</v>
      </c>
      <c r="I781" s="227">
        <v>3.0781999999999998</v>
      </c>
      <c r="J781" s="227">
        <v>0.54994265613416626</v>
      </c>
      <c r="K781" s="227">
        <v>139.57</v>
      </c>
      <c r="L781" s="227">
        <v>138.08000000000001</v>
      </c>
      <c r="M781" s="227">
        <v>136.46</v>
      </c>
      <c r="N781" s="227">
        <v>95.230999999999995</v>
      </c>
      <c r="O781" s="227">
        <v>101.06</v>
      </c>
      <c r="P781" s="227">
        <v>117.98</v>
      </c>
      <c r="Q781" s="227">
        <v>108.49</v>
      </c>
      <c r="R781" s="227">
        <v>113.96</v>
      </c>
      <c r="S781" s="227"/>
      <c r="T781" s="227">
        <v>79.5</v>
      </c>
      <c r="U781" s="227">
        <v>79.5</v>
      </c>
      <c r="V781" s="227">
        <v>79.5</v>
      </c>
      <c r="W781" s="227">
        <v>79.5</v>
      </c>
      <c r="X781" s="227">
        <v>79.5</v>
      </c>
      <c r="Y781" s="227">
        <v>79.5</v>
      </c>
      <c r="Z781" s="227">
        <v>79.5</v>
      </c>
      <c r="AA781" s="227">
        <v>79.5</v>
      </c>
      <c r="AB781" s="227">
        <v>22.693999999999999</v>
      </c>
      <c r="AC781" s="227">
        <v>774.65</v>
      </c>
      <c r="AD781" s="230">
        <v>2.6266203703703705E-4</v>
      </c>
      <c r="AE781" s="230">
        <v>136.16400000000002</v>
      </c>
      <c r="AF781" s="230">
        <v>3816</v>
      </c>
      <c r="AG781" s="230">
        <v>475150.45489991968</v>
      </c>
      <c r="AH781" s="230">
        <v>2769211.6542056487</v>
      </c>
      <c r="AI781" s="230">
        <v>4647.8999999999996</v>
      </c>
    </row>
    <row r="782" spans="5:35" x14ac:dyDescent="0.35">
      <c r="E782" s="226">
        <v>2.3862399999999999</v>
      </c>
      <c r="F782" s="227">
        <v>12.612230136986302</v>
      </c>
      <c r="G782" s="227">
        <v>4603.4639999999999</v>
      </c>
      <c r="H782" s="227">
        <v>0.96440000000000003</v>
      </c>
      <c r="I782" s="227">
        <v>3.0821999999999998</v>
      </c>
      <c r="J782" s="227">
        <v>0.5500998089119441</v>
      </c>
      <c r="K782" s="227">
        <v>139.54</v>
      </c>
      <c r="L782" s="227">
        <v>138.05000000000001</v>
      </c>
      <c r="M782" s="227">
        <v>136.43</v>
      </c>
      <c r="N782" s="227">
        <v>95.212999999999994</v>
      </c>
      <c r="O782" s="227">
        <v>101.04</v>
      </c>
      <c r="P782" s="227">
        <v>117.95</v>
      </c>
      <c r="Q782" s="227">
        <v>108.47</v>
      </c>
      <c r="R782" s="227">
        <v>113.94</v>
      </c>
      <c r="S782" s="227"/>
      <c r="T782" s="227">
        <v>79.5</v>
      </c>
      <c r="U782" s="227">
        <v>79.5</v>
      </c>
      <c r="V782" s="227">
        <v>79.5</v>
      </c>
      <c r="W782" s="227">
        <v>79.5</v>
      </c>
      <c r="X782" s="227">
        <v>79.5</v>
      </c>
      <c r="Y782" s="227">
        <v>79.5</v>
      </c>
      <c r="Z782" s="227">
        <v>79.5</v>
      </c>
      <c r="AA782" s="227">
        <v>79.5</v>
      </c>
      <c r="AB782" s="227">
        <v>22.63</v>
      </c>
      <c r="AC782" s="227">
        <v>774.65</v>
      </c>
      <c r="AD782" s="230">
        <v>2.6192129629629628E-4</v>
      </c>
      <c r="AE782" s="230">
        <v>135.77999999999997</v>
      </c>
      <c r="AF782" s="230">
        <v>3816</v>
      </c>
      <c r="AG782" s="230">
        <v>475286.23489991971</v>
      </c>
      <c r="AH782" s="230">
        <v>2773027.6542056487</v>
      </c>
      <c r="AI782" s="230">
        <v>4647.8999999999996</v>
      </c>
    </row>
    <row r="783" spans="5:35" x14ac:dyDescent="0.35">
      <c r="E783" s="226">
        <v>2.3902399999999999</v>
      </c>
      <c r="F783" s="227">
        <v>12.628668493150684</v>
      </c>
      <c r="G783" s="227">
        <v>4609.4639999999999</v>
      </c>
      <c r="H783" s="227">
        <v>0.96450000000000002</v>
      </c>
      <c r="I783" s="227">
        <v>3.0861999999999998</v>
      </c>
      <c r="J783" s="227">
        <v>0.55025652418972193</v>
      </c>
      <c r="K783" s="227">
        <v>139.49</v>
      </c>
      <c r="L783" s="227">
        <v>138.02000000000001</v>
      </c>
      <c r="M783" s="227">
        <v>136.4</v>
      </c>
      <c r="N783" s="227">
        <v>95.194000000000003</v>
      </c>
      <c r="O783" s="227">
        <v>101.03</v>
      </c>
      <c r="P783" s="227">
        <v>117.93</v>
      </c>
      <c r="Q783" s="227">
        <v>108.46</v>
      </c>
      <c r="R783" s="227">
        <v>113.93</v>
      </c>
      <c r="S783" s="227"/>
      <c r="T783" s="227">
        <v>79.5</v>
      </c>
      <c r="U783" s="227">
        <v>79.5</v>
      </c>
      <c r="V783" s="227">
        <v>79.5</v>
      </c>
      <c r="W783" s="227">
        <v>79.5</v>
      </c>
      <c r="X783" s="227">
        <v>79.5</v>
      </c>
      <c r="Y783" s="227">
        <v>79.5</v>
      </c>
      <c r="Z783" s="227">
        <v>79.5</v>
      </c>
      <c r="AA783" s="227">
        <v>79.5</v>
      </c>
      <c r="AB783" s="227">
        <v>22.567</v>
      </c>
      <c r="AC783" s="227">
        <v>774.65</v>
      </c>
      <c r="AD783" s="230">
        <v>2.6119212962962961E-4</v>
      </c>
      <c r="AE783" s="230">
        <v>135.40199999999999</v>
      </c>
      <c r="AF783" s="230">
        <v>3816</v>
      </c>
      <c r="AG783" s="230">
        <v>475421.63689991971</v>
      </c>
      <c r="AH783" s="230">
        <v>2776843.6542056487</v>
      </c>
      <c r="AI783" s="230">
        <v>4647.8999999999996</v>
      </c>
    </row>
    <row r="784" spans="5:35" x14ac:dyDescent="0.35">
      <c r="E784" s="226">
        <v>2.3942399999999999</v>
      </c>
      <c r="F784" s="227">
        <v>12.645106849315068</v>
      </c>
      <c r="G784" s="227">
        <v>4615.4639999999999</v>
      </c>
      <c r="H784" s="227">
        <v>0.96460000000000001</v>
      </c>
      <c r="I784" s="227">
        <v>3.0901999999999998</v>
      </c>
      <c r="J784" s="227">
        <v>0.55041280196749964</v>
      </c>
      <c r="K784" s="227">
        <v>139.46</v>
      </c>
      <c r="L784" s="227">
        <v>138</v>
      </c>
      <c r="M784" s="227">
        <v>136.37</v>
      </c>
      <c r="N784" s="227">
        <v>95.176000000000002</v>
      </c>
      <c r="O784" s="227">
        <v>101.01</v>
      </c>
      <c r="P784" s="227">
        <v>117.91</v>
      </c>
      <c r="Q784" s="227">
        <v>108.45</v>
      </c>
      <c r="R784" s="227">
        <v>113.91</v>
      </c>
      <c r="S784" s="227"/>
      <c r="T784" s="227">
        <v>79.5</v>
      </c>
      <c r="U784" s="227">
        <v>79.5</v>
      </c>
      <c r="V784" s="227">
        <v>79.5</v>
      </c>
      <c r="W784" s="227">
        <v>79.5</v>
      </c>
      <c r="X784" s="227">
        <v>79.5</v>
      </c>
      <c r="Y784" s="227">
        <v>79.5</v>
      </c>
      <c r="Z784" s="227">
        <v>79.5</v>
      </c>
      <c r="AA784" s="227">
        <v>79.5</v>
      </c>
      <c r="AB784" s="227">
        <v>22.504000000000001</v>
      </c>
      <c r="AC784" s="227">
        <v>774.65</v>
      </c>
      <c r="AD784" s="230">
        <v>2.6046296296296299E-4</v>
      </c>
      <c r="AE784" s="230">
        <v>135.024</v>
      </c>
      <c r="AF784" s="230">
        <v>3816</v>
      </c>
      <c r="AG784" s="230">
        <v>475556.66089991969</v>
      </c>
      <c r="AH784" s="230">
        <v>2780659.6542056487</v>
      </c>
      <c r="AI784" s="230">
        <v>4647.8999999999996</v>
      </c>
    </row>
    <row r="785" spans="5:35" x14ac:dyDescent="0.35">
      <c r="E785" s="226">
        <v>2.3982399999999999</v>
      </c>
      <c r="F785" s="227">
        <v>12.661545205479452</v>
      </c>
      <c r="G785" s="227">
        <v>4621.4639999999999</v>
      </c>
      <c r="H785" s="227">
        <v>0.9647</v>
      </c>
      <c r="I785" s="227">
        <v>3.0941999999999998</v>
      </c>
      <c r="J785" s="227">
        <v>0.55056864224527746</v>
      </c>
      <c r="K785" s="227">
        <v>139.41999999999999</v>
      </c>
      <c r="L785" s="227">
        <v>137.97</v>
      </c>
      <c r="M785" s="227">
        <v>136.33000000000001</v>
      </c>
      <c r="N785" s="227">
        <v>95.158000000000001</v>
      </c>
      <c r="O785" s="227">
        <v>100.99</v>
      </c>
      <c r="P785" s="227">
        <v>117.89</v>
      </c>
      <c r="Q785" s="227">
        <v>108.43</v>
      </c>
      <c r="R785" s="227">
        <v>113.89</v>
      </c>
      <c r="S785" s="227"/>
      <c r="T785" s="227">
        <v>79.5</v>
      </c>
      <c r="U785" s="227">
        <v>79.5</v>
      </c>
      <c r="V785" s="227">
        <v>79.5</v>
      </c>
      <c r="W785" s="227">
        <v>79.5</v>
      </c>
      <c r="X785" s="227">
        <v>79.5</v>
      </c>
      <c r="Y785" s="227">
        <v>79.5</v>
      </c>
      <c r="Z785" s="227">
        <v>79.5</v>
      </c>
      <c r="AA785" s="227">
        <v>79.5</v>
      </c>
      <c r="AB785" s="227">
        <v>22.440999999999999</v>
      </c>
      <c r="AC785" s="227">
        <v>774.65</v>
      </c>
      <c r="AD785" s="230">
        <v>2.5973379629629626E-4</v>
      </c>
      <c r="AE785" s="230">
        <v>134.64599999999999</v>
      </c>
      <c r="AF785" s="230">
        <v>3816</v>
      </c>
      <c r="AG785" s="230">
        <v>475691.3068999197</v>
      </c>
      <c r="AH785" s="230">
        <v>2784475.6542056487</v>
      </c>
      <c r="AI785" s="230">
        <v>4647.8999999999996</v>
      </c>
    </row>
    <row r="786" spans="5:35" x14ac:dyDescent="0.35">
      <c r="E786" s="226">
        <v>2.4023400000000001</v>
      </c>
      <c r="F786" s="227">
        <v>12.677983561643835</v>
      </c>
      <c r="G786" s="227">
        <v>4627.4639999999999</v>
      </c>
      <c r="H786" s="227">
        <v>0.96479999999999999</v>
      </c>
      <c r="I786" s="227">
        <v>3.0983000000000001</v>
      </c>
      <c r="J786" s="227">
        <v>0.55072405196749963</v>
      </c>
      <c r="K786" s="227">
        <v>139.38</v>
      </c>
      <c r="L786" s="227">
        <v>137.94</v>
      </c>
      <c r="M786" s="227">
        <v>136.30000000000001</v>
      </c>
      <c r="N786" s="227">
        <v>95.14</v>
      </c>
      <c r="O786" s="227">
        <v>100.98</v>
      </c>
      <c r="P786" s="227">
        <v>117.87</v>
      </c>
      <c r="Q786" s="227">
        <v>108.42</v>
      </c>
      <c r="R786" s="227">
        <v>113.87</v>
      </c>
      <c r="S786" s="227"/>
      <c r="T786" s="227">
        <v>79.5</v>
      </c>
      <c r="U786" s="227">
        <v>79.5</v>
      </c>
      <c r="V786" s="227">
        <v>79.5</v>
      </c>
      <c r="W786" s="227">
        <v>79.5</v>
      </c>
      <c r="X786" s="227">
        <v>79.5</v>
      </c>
      <c r="Y786" s="227">
        <v>79.5</v>
      </c>
      <c r="Z786" s="227">
        <v>79.5</v>
      </c>
      <c r="AA786" s="227">
        <v>79.5</v>
      </c>
      <c r="AB786" s="227">
        <v>22.379000000000001</v>
      </c>
      <c r="AC786" s="227">
        <v>774.65</v>
      </c>
      <c r="AD786" s="230">
        <v>2.5901620370370374E-4</v>
      </c>
      <c r="AE786" s="230">
        <v>134.274</v>
      </c>
      <c r="AF786" s="230">
        <v>3816</v>
      </c>
      <c r="AG786" s="230">
        <v>475825.58089991967</v>
      </c>
      <c r="AH786" s="230">
        <v>2788291.6542056487</v>
      </c>
      <c r="AI786" s="230">
        <v>4647.8999999999996</v>
      </c>
    </row>
    <row r="787" spans="5:35" x14ac:dyDescent="0.35">
      <c r="E787" s="226">
        <v>2.4063400000000001</v>
      </c>
      <c r="F787" s="227">
        <v>12.694421917808219</v>
      </c>
      <c r="G787" s="227">
        <v>4633.4639999999999</v>
      </c>
      <c r="H787" s="227">
        <v>0.96489999999999998</v>
      </c>
      <c r="I787" s="227">
        <v>3.1023000000000001</v>
      </c>
      <c r="J787" s="227">
        <v>0.55087903113416625</v>
      </c>
      <c r="K787" s="227">
        <v>139.35</v>
      </c>
      <c r="L787" s="227">
        <v>137.91999999999999</v>
      </c>
      <c r="M787" s="227">
        <v>136.27000000000001</v>
      </c>
      <c r="N787" s="227">
        <v>95.120999999999995</v>
      </c>
      <c r="O787" s="227">
        <v>100.96</v>
      </c>
      <c r="P787" s="227">
        <v>117.85</v>
      </c>
      <c r="Q787" s="227">
        <v>108.41</v>
      </c>
      <c r="R787" s="227">
        <v>113.86</v>
      </c>
      <c r="S787" s="227"/>
      <c r="T787" s="227">
        <v>79.5</v>
      </c>
      <c r="U787" s="227">
        <v>79.5</v>
      </c>
      <c r="V787" s="227">
        <v>79.5</v>
      </c>
      <c r="W787" s="227">
        <v>79.5</v>
      </c>
      <c r="X787" s="227">
        <v>79.5</v>
      </c>
      <c r="Y787" s="227">
        <v>79.5</v>
      </c>
      <c r="Z787" s="227">
        <v>79.5</v>
      </c>
      <c r="AA787" s="227">
        <v>79.5</v>
      </c>
      <c r="AB787" s="227">
        <v>22.317</v>
      </c>
      <c r="AC787" s="227">
        <v>774.65</v>
      </c>
      <c r="AD787" s="230">
        <v>2.5829861111111111E-4</v>
      </c>
      <c r="AE787" s="230">
        <v>133.90200000000002</v>
      </c>
      <c r="AF787" s="230">
        <v>3816</v>
      </c>
      <c r="AG787" s="230">
        <v>475959.48289991968</v>
      </c>
      <c r="AH787" s="230">
        <v>2792107.6542056487</v>
      </c>
      <c r="AI787" s="230">
        <v>4647.8999999999996</v>
      </c>
    </row>
    <row r="788" spans="5:35" x14ac:dyDescent="0.35">
      <c r="E788" s="226">
        <v>2.4103400000000001</v>
      </c>
      <c r="F788" s="227">
        <v>12.710860273972603</v>
      </c>
      <c r="G788" s="227">
        <v>4639.4639999999999</v>
      </c>
      <c r="H788" s="227">
        <v>0.96499999999999997</v>
      </c>
      <c r="I788" s="227">
        <v>3.1063000000000001</v>
      </c>
      <c r="J788" s="227">
        <v>0.55103358668972191</v>
      </c>
      <c r="K788" s="227">
        <v>139.31</v>
      </c>
      <c r="L788" s="227">
        <v>137.88999999999999</v>
      </c>
      <c r="M788" s="227">
        <v>136.24</v>
      </c>
      <c r="N788" s="227">
        <v>95.102999999999994</v>
      </c>
      <c r="O788" s="227">
        <v>100.95</v>
      </c>
      <c r="P788" s="227">
        <v>117.83</v>
      </c>
      <c r="Q788" s="227">
        <v>108.39</v>
      </c>
      <c r="R788" s="227">
        <v>113.84</v>
      </c>
      <c r="S788" s="227"/>
      <c r="T788" s="227">
        <v>79.5</v>
      </c>
      <c r="U788" s="227">
        <v>79.5</v>
      </c>
      <c r="V788" s="227">
        <v>79.5</v>
      </c>
      <c r="W788" s="227">
        <v>79.5</v>
      </c>
      <c r="X788" s="227">
        <v>79.5</v>
      </c>
      <c r="Y788" s="227">
        <v>79.5</v>
      </c>
      <c r="Z788" s="227">
        <v>79.5</v>
      </c>
      <c r="AA788" s="227">
        <v>79.5</v>
      </c>
      <c r="AB788" s="227">
        <v>22.256</v>
      </c>
      <c r="AC788" s="227">
        <v>774.65</v>
      </c>
      <c r="AD788" s="230">
        <v>2.5759259259259257E-4</v>
      </c>
      <c r="AE788" s="230">
        <v>133.536</v>
      </c>
      <c r="AF788" s="230">
        <v>3816</v>
      </c>
      <c r="AG788" s="230">
        <v>476093.0188999197</v>
      </c>
      <c r="AH788" s="230">
        <v>2795923.6542056487</v>
      </c>
      <c r="AI788" s="230">
        <v>4647.8999999999996</v>
      </c>
    </row>
    <row r="789" spans="5:35" x14ac:dyDescent="0.35">
      <c r="E789" s="226">
        <v>2.4143400000000002</v>
      </c>
      <c r="F789" s="227">
        <v>12.727298630136985</v>
      </c>
      <c r="G789" s="227">
        <v>4645.4639999999999</v>
      </c>
      <c r="H789" s="227">
        <v>0.96509999999999996</v>
      </c>
      <c r="I789" s="227">
        <v>3.1103000000000001</v>
      </c>
      <c r="J789" s="227">
        <v>0.55118771168972192</v>
      </c>
      <c r="K789" s="227">
        <v>139.27000000000001</v>
      </c>
      <c r="L789" s="227">
        <v>137.86000000000001</v>
      </c>
      <c r="M789" s="227">
        <v>136.21</v>
      </c>
      <c r="N789" s="227">
        <v>95.084000000000003</v>
      </c>
      <c r="O789" s="227">
        <v>100.93</v>
      </c>
      <c r="P789" s="227">
        <v>117.81</v>
      </c>
      <c r="Q789" s="227">
        <v>108.38</v>
      </c>
      <c r="R789" s="227">
        <v>113.83</v>
      </c>
      <c r="S789" s="227"/>
      <c r="T789" s="227">
        <v>79.5</v>
      </c>
      <c r="U789" s="227">
        <v>79.5</v>
      </c>
      <c r="V789" s="227">
        <v>79.5</v>
      </c>
      <c r="W789" s="227">
        <v>79.5</v>
      </c>
      <c r="X789" s="227">
        <v>79.5</v>
      </c>
      <c r="Y789" s="227">
        <v>79.5</v>
      </c>
      <c r="Z789" s="227">
        <v>79.5</v>
      </c>
      <c r="AA789" s="227">
        <v>79.5</v>
      </c>
      <c r="AB789" s="227">
        <v>22.193999999999999</v>
      </c>
      <c r="AC789" s="227">
        <v>774.65</v>
      </c>
      <c r="AD789" s="230">
        <v>2.56875E-4</v>
      </c>
      <c r="AE789" s="230">
        <v>133.16400000000002</v>
      </c>
      <c r="AF789" s="230">
        <v>3816</v>
      </c>
      <c r="AG789" s="230">
        <v>476226.18289991969</v>
      </c>
      <c r="AH789" s="230">
        <v>2799739.6542056487</v>
      </c>
      <c r="AI789" s="230">
        <v>4647.8999999999996</v>
      </c>
    </row>
    <row r="790" spans="5:35" x14ac:dyDescent="0.35">
      <c r="E790" s="226">
        <v>2.4183400000000002</v>
      </c>
      <c r="F790" s="227">
        <v>12.74373698630137</v>
      </c>
      <c r="G790" s="227">
        <v>4651.4639999999999</v>
      </c>
      <c r="H790" s="227">
        <v>0.96519999999999995</v>
      </c>
      <c r="I790" s="227">
        <v>3.1143000000000001</v>
      </c>
      <c r="J790" s="227">
        <v>0.55134141307861073</v>
      </c>
      <c r="K790" s="227">
        <v>139.24</v>
      </c>
      <c r="L790" s="227">
        <v>137.84</v>
      </c>
      <c r="M790" s="227">
        <v>136.18</v>
      </c>
      <c r="N790" s="227">
        <v>95.066999999999993</v>
      </c>
      <c r="O790" s="227">
        <v>100.92</v>
      </c>
      <c r="P790" s="227">
        <v>117.79</v>
      </c>
      <c r="Q790" s="227">
        <v>108.37</v>
      </c>
      <c r="R790" s="227">
        <v>113.81</v>
      </c>
      <c r="S790" s="227"/>
      <c r="T790" s="227">
        <v>79.5</v>
      </c>
      <c r="U790" s="227">
        <v>79.5</v>
      </c>
      <c r="V790" s="227">
        <v>79.5</v>
      </c>
      <c r="W790" s="227">
        <v>79.5</v>
      </c>
      <c r="X790" s="227">
        <v>79.5</v>
      </c>
      <c r="Y790" s="227">
        <v>79.5</v>
      </c>
      <c r="Z790" s="227">
        <v>79.5</v>
      </c>
      <c r="AA790" s="227">
        <v>79.5</v>
      </c>
      <c r="AB790" s="227">
        <v>22.132999999999999</v>
      </c>
      <c r="AC790" s="227">
        <v>774.65</v>
      </c>
      <c r="AD790" s="230">
        <v>2.5616898148148146E-4</v>
      </c>
      <c r="AE790" s="230">
        <v>132.798</v>
      </c>
      <c r="AF790" s="230">
        <v>3816</v>
      </c>
      <c r="AG790" s="230">
        <v>476358.9808999197</v>
      </c>
      <c r="AH790" s="230">
        <v>2803555.6542056487</v>
      </c>
      <c r="AI790" s="230">
        <v>4647.8999999999996</v>
      </c>
    </row>
    <row r="791" spans="5:35" x14ac:dyDescent="0.35">
      <c r="E791" s="226">
        <v>2.4223400000000002</v>
      </c>
      <c r="F791" s="227">
        <v>12.760175342465754</v>
      </c>
      <c r="G791" s="227">
        <v>4657.4639999999999</v>
      </c>
      <c r="H791" s="227">
        <v>0.96530000000000005</v>
      </c>
      <c r="I791" s="227">
        <v>3.1183000000000001</v>
      </c>
      <c r="J791" s="227">
        <v>0.55149469085638847</v>
      </c>
      <c r="K791" s="227">
        <v>139.19999999999999</v>
      </c>
      <c r="L791" s="227">
        <v>137.81</v>
      </c>
      <c r="M791" s="227">
        <v>136.13999999999999</v>
      </c>
      <c r="N791" s="227">
        <v>95.05</v>
      </c>
      <c r="O791" s="227">
        <v>100.9</v>
      </c>
      <c r="P791" s="227">
        <v>117.76</v>
      </c>
      <c r="Q791" s="227">
        <v>108.36</v>
      </c>
      <c r="R791" s="227">
        <v>113.79</v>
      </c>
      <c r="S791" s="227"/>
      <c r="T791" s="227">
        <v>79.5</v>
      </c>
      <c r="U791" s="227">
        <v>79.5</v>
      </c>
      <c r="V791" s="227">
        <v>79.5</v>
      </c>
      <c r="W791" s="227">
        <v>79.5</v>
      </c>
      <c r="X791" s="227">
        <v>79.5</v>
      </c>
      <c r="Y791" s="227">
        <v>79.5</v>
      </c>
      <c r="Z791" s="227">
        <v>79.5</v>
      </c>
      <c r="AA791" s="227">
        <v>79.5</v>
      </c>
      <c r="AB791" s="227">
        <v>22.071999999999999</v>
      </c>
      <c r="AC791" s="227">
        <v>774.65</v>
      </c>
      <c r="AD791" s="230">
        <v>2.5546296296296298E-4</v>
      </c>
      <c r="AE791" s="230">
        <v>132.43200000000002</v>
      </c>
      <c r="AF791" s="230">
        <v>3816</v>
      </c>
      <c r="AG791" s="230">
        <v>476491.41289991967</v>
      </c>
      <c r="AH791" s="230">
        <v>2807371.6542056487</v>
      </c>
      <c r="AI791" s="230">
        <v>4647.8999999999996</v>
      </c>
    </row>
    <row r="792" spans="5:35" x14ac:dyDescent="0.35">
      <c r="E792" s="226">
        <v>2.4264399999999999</v>
      </c>
      <c r="F792" s="227">
        <v>12.776613698630136</v>
      </c>
      <c r="G792" s="227">
        <v>4663.4639999999999</v>
      </c>
      <c r="H792" s="227">
        <v>0.96540000000000004</v>
      </c>
      <c r="I792" s="227">
        <v>3.1223999999999998</v>
      </c>
      <c r="J792" s="227">
        <v>0.55164754502305513</v>
      </c>
      <c r="K792" s="227">
        <v>139.16999999999999</v>
      </c>
      <c r="L792" s="227">
        <v>137.79</v>
      </c>
      <c r="M792" s="227">
        <v>136.11000000000001</v>
      </c>
      <c r="N792" s="227">
        <v>95.031000000000006</v>
      </c>
      <c r="O792" s="227">
        <v>100.89</v>
      </c>
      <c r="P792" s="227">
        <v>117.74</v>
      </c>
      <c r="Q792" s="227">
        <v>108.34</v>
      </c>
      <c r="R792" s="227">
        <v>113.78</v>
      </c>
      <c r="S792" s="227"/>
      <c r="T792" s="227">
        <v>79.5</v>
      </c>
      <c r="U792" s="227">
        <v>79.5</v>
      </c>
      <c r="V792" s="227">
        <v>79.5</v>
      </c>
      <c r="W792" s="227">
        <v>79.5</v>
      </c>
      <c r="X792" s="227">
        <v>79.5</v>
      </c>
      <c r="Y792" s="227">
        <v>79.5</v>
      </c>
      <c r="Z792" s="227">
        <v>79.5</v>
      </c>
      <c r="AA792" s="227">
        <v>79.5</v>
      </c>
      <c r="AB792" s="227">
        <v>22.010999999999999</v>
      </c>
      <c r="AC792" s="227">
        <v>774.65</v>
      </c>
      <c r="AD792" s="230">
        <v>2.5475694444444444E-4</v>
      </c>
      <c r="AE792" s="230">
        <v>132.066</v>
      </c>
      <c r="AF792" s="230">
        <v>3816</v>
      </c>
      <c r="AG792" s="230">
        <v>476623.47889991966</v>
      </c>
      <c r="AH792" s="230">
        <v>2811187.6542056487</v>
      </c>
      <c r="AI792" s="230">
        <v>4647.8999999999996</v>
      </c>
    </row>
    <row r="793" spans="5:35" x14ac:dyDescent="0.35">
      <c r="E793" s="226">
        <v>2.4304399999999999</v>
      </c>
      <c r="F793" s="227">
        <v>12.79305205479452</v>
      </c>
      <c r="G793" s="227">
        <v>4669.4639999999999</v>
      </c>
      <c r="H793" s="227">
        <v>0.96550000000000002</v>
      </c>
      <c r="I793" s="227">
        <v>3.1263999999999998</v>
      </c>
      <c r="J793" s="227">
        <v>0.55179998252305518</v>
      </c>
      <c r="K793" s="227">
        <v>139.13</v>
      </c>
      <c r="L793" s="227">
        <v>137.76</v>
      </c>
      <c r="M793" s="227">
        <v>136.08000000000001</v>
      </c>
      <c r="N793" s="227">
        <v>95.013000000000005</v>
      </c>
      <c r="O793" s="227">
        <v>100.87</v>
      </c>
      <c r="P793" s="227">
        <v>117.72</v>
      </c>
      <c r="Q793" s="227">
        <v>108.33</v>
      </c>
      <c r="R793" s="227">
        <v>113.76</v>
      </c>
      <c r="S793" s="227"/>
      <c r="T793" s="227">
        <v>79.5</v>
      </c>
      <c r="U793" s="227">
        <v>79.5</v>
      </c>
      <c r="V793" s="227">
        <v>79.5</v>
      </c>
      <c r="W793" s="227">
        <v>79.5</v>
      </c>
      <c r="X793" s="227">
        <v>79.5</v>
      </c>
      <c r="Y793" s="227">
        <v>79.5</v>
      </c>
      <c r="Z793" s="227">
        <v>79.5</v>
      </c>
      <c r="AA793" s="227">
        <v>79.5</v>
      </c>
      <c r="AB793" s="227">
        <v>21.951000000000001</v>
      </c>
      <c r="AC793" s="227">
        <v>774.65</v>
      </c>
      <c r="AD793" s="230">
        <v>2.540625E-4</v>
      </c>
      <c r="AE793" s="230">
        <v>131.70600000000002</v>
      </c>
      <c r="AF793" s="230">
        <v>3816</v>
      </c>
      <c r="AG793" s="230">
        <v>476755.18489991967</v>
      </c>
      <c r="AH793" s="230">
        <v>2815003.6542056487</v>
      </c>
      <c r="AI793" s="230">
        <v>4647.8999999999996</v>
      </c>
    </row>
    <row r="794" spans="5:35" x14ac:dyDescent="0.35">
      <c r="E794" s="226">
        <v>2.4344399999999999</v>
      </c>
      <c r="F794" s="227">
        <v>12.809490410958905</v>
      </c>
      <c r="G794" s="227">
        <v>4675.4639999999999</v>
      </c>
      <c r="H794" s="227">
        <v>0.96560000000000001</v>
      </c>
      <c r="I794" s="227">
        <v>3.1303999999999998</v>
      </c>
      <c r="J794" s="227">
        <v>0.5519520033563885</v>
      </c>
      <c r="K794" s="227">
        <v>139.1</v>
      </c>
      <c r="L794" s="227">
        <v>137.74</v>
      </c>
      <c r="M794" s="227">
        <v>136.05000000000001</v>
      </c>
      <c r="N794" s="227">
        <v>94.994</v>
      </c>
      <c r="O794" s="227">
        <v>100.86</v>
      </c>
      <c r="P794" s="227">
        <v>117.7</v>
      </c>
      <c r="Q794" s="227">
        <v>108.32</v>
      </c>
      <c r="R794" s="227">
        <v>113.75</v>
      </c>
      <c r="S794" s="227"/>
      <c r="T794" s="227">
        <v>79.5</v>
      </c>
      <c r="U794" s="227">
        <v>79.5</v>
      </c>
      <c r="V794" s="227">
        <v>79.5</v>
      </c>
      <c r="W794" s="227">
        <v>79.5</v>
      </c>
      <c r="X794" s="227">
        <v>79.5</v>
      </c>
      <c r="Y794" s="227">
        <v>79.5</v>
      </c>
      <c r="Z794" s="227">
        <v>79.5</v>
      </c>
      <c r="AA794" s="227">
        <v>79.5</v>
      </c>
      <c r="AB794" s="227">
        <v>21.890999999999998</v>
      </c>
      <c r="AC794" s="227">
        <v>774.65</v>
      </c>
      <c r="AD794" s="230">
        <v>2.5336805555555556E-4</v>
      </c>
      <c r="AE794" s="230">
        <v>131.346</v>
      </c>
      <c r="AF794" s="230">
        <v>3816</v>
      </c>
      <c r="AG794" s="230">
        <v>476886.53089991969</v>
      </c>
      <c r="AH794" s="230">
        <v>2818819.6542056487</v>
      </c>
      <c r="AI794" s="230">
        <v>4647.8999999999996</v>
      </c>
    </row>
    <row r="795" spans="5:35" x14ac:dyDescent="0.35">
      <c r="E795" s="226">
        <v>2.4384399999999999</v>
      </c>
      <c r="F795" s="227">
        <v>12.825928767123287</v>
      </c>
      <c r="G795" s="227">
        <v>4681.4639999999999</v>
      </c>
      <c r="H795" s="227">
        <v>0.9657</v>
      </c>
      <c r="I795" s="227">
        <v>3.1343999999999999</v>
      </c>
      <c r="J795" s="227">
        <v>0.55210360752305521</v>
      </c>
      <c r="K795" s="227">
        <v>139.06</v>
      </c>
      <c r="L795" s="227">
        <v>137.71</v>
      </c>
      <c r="M795" s="227">
        <v>136.02000000000001</v>
      </c>
      <c r="N795" s="227">
        <v>94.977000000000004</v>
      </c>
      <c r="O795" s="227">
        <v>100.84</v>
      </c>
      <c r="P795" s="227">
        <v>117.68</v>
      </c>
      <c r="Q795" s="227">
        <v>108.31</v>
      </c>
      <c r="R795" s="227">
        <v>113.73</v>
      </c>
      <c r="S795" s="227"/>
      <c r="T795" s="227">
        <v>79.5</v>
      </c>
      <c r="U795" s="227">
        <v>79.5</v>
      </c>
      <c r="V795" s="227">
        <v>79.5</v>
      </c>
      <c r="W795" s="227">
        <v>79.5</v>
      </c>
      <c r="X795" s="227">
        <v>79.5</v>
      </c>
      <c r="Y795" s="227">
        <v>79.5</v>
      </c>
      <c r="Z795" s="227">
        <v>79.5</v>
      </c>
      <c r="AA795" s="227">
        <v>79.5</v>
      </c>
      <c r="AB795" s="227">
        <v>21.831</v>
      </c>
      <c r="AC795" s="227">
        <v>774.65</v>
      </c>
      <c r="AD795" s="230">
        <v>2.5267361111111112E-4</v>
      </c>
      <c r="AE795" s="230">
        <v>130.98600000000002</v>
      </c>
      <c r="AF795" s="230">
        <v>3816</v>
      </c>
      <c r="AG795" s="230">
        <v>477017.51689991966</v>
      </c>
      <c r="AH795" s="230">
        <v>2822635.6542056487</v>
      </c>
      <c r="AI795" s="230">
        <v>4647.8999999999996</v>
      </c>
    </row>
    <row r="796" spans="5:35" x14ac:dyDescent="0.35">
      <c r="E796" s="226">
        <v>2.4424399999999999</v>
      </c>
      <c r="F796" s="227">
        <v>12.842367123287671</v>
      </c>
      <c r="G796" s="227">
        <v>4687.4639999999999</v>
      </c>
      <c r="H796" s="227">
        <v>0.96579999999999999</v>
      </c>
      <c r="I796" s="227">
        <v>3.1383999999999999</v>
      </c>
      <c r="J796" s="227">
        <v>0.55225479502305519</v>
      </c>
      <c r="K796" s="227">
        <v>139.02000000000001</v>
      </c>
      <c r="L796" s="227">
        <v>137.69</v>
      </c>
      <c r="M796" s="227">
        <v>135.99</v>
      </c>
      <c r="N796" s="227">
        <v>94.96</v>
      </c>
      <c r="O796" s="227">
        <v>100.83</v>
      </c>
      <c r="P796" s="227">
        <v>117.66</v>
      </c>
      <c r="Q796" s="227">
        <v>108.29</v>
      </c>
      <c r="R796" s="227">
        <v>113.71</v>
      </c>
      <c r="S796" s="227"/>
      <c r="T796" s="227">
        <v>79.5</v>
      </c>
      <c r="U796" s="227">
        <v>79.5</v>
      </c>
      <c r="V796" s="227">
        <v>79.5</v>
      </c>
      <c r="W796" s="227">
        <v>79.5</v>
      </c>
      <c r="X796" s="227">
        <v>79.5</v>
      </c>
      <c r="Y796" s="227">
        <v>79.5</v>
      </c>
      <c r="Z796" s="227">
        <v>79.5</v>
      </c>
      <c r="AA796" s="227">
        <v>79.5</v>
      </c>
      <c r="AB796" s="227">
        <v>21.771000000000001</v>
      </c>
      <c r="AC796" s="227">
        <v>774.65</v>
      </c>
      <c r="AD796" s="230">
        <v>2.5197916666666668E-4</v>
      </c>
      <c r="AE796" s="230">
        <v>130.626</v>
      </c>
      <c r="AF796" s="230">
        <v>3816</v>
      </c>
      <c r="AG796" s="230">
        <v>477148.14289991965</v>
      </c>
      <c r="AH796" s="230">
        <v>2826451.6542056487</v>
      </c>
      <c r="AI796" s="230">
        <v>4647.8999999999996</v>
      </c>
    </row>
    <row r="797" spans="5:35" x14ac:dyDescent="0.35">
      <c r="E797" s="226">
        <v>2.4464399999999999</v>
      </c>
      <c r="F797" s="227">
        <v>12.858805479452055</v>
      </c>
      <c r="G797" s="227">
        <v>4693.4639999999999</v>
      </c>
      <c r="H797" s="227">
        <v>0.96589999999999998</v>
      </c>
      <c r="I797" s="227">
        <v>3.1423999999999999</v>
      </c>
      <c r="J797" s="227">
        <v>0.55240556585638845</v>
      </c>
      <c r="K797" s="227">
        <v>138.99</v>
      </c>
      <c r="L797" s="227">
        <v>137.66</v>
      </c>
      <c r="M797" s="227">
        <v>135.96</v>
      </c>
      <c r="N797" s="227">
        <v>94.941999999999993</v>
      </c>
      <c r="O797" s="227">
        <v>100.81</v>
      </c>
      <c r="P797" s="227">
        <v>117.64</v>
      </c>
      <c r="Q797" s="227">
        <v>108.28</v>
      </c>
      <c r="R797" s="227">
        <v>113.7</v>
      </c>
      <c r="S797" s="227"/>
      <c r="T797" s="227">
        <v>79.5</v>
      </c>
      <c r="U797" s="227">
        <v>79.5</v>
      </c>
      <c r="V797" s="227">
        <v>79.5</v>
      </c>
      <c r="W797" s="227">
        <v>79.5</v>
      </c>
      <c r="X797" s="227">
        <v>79.5</v>
      </c>
      <c r="Y797" s="227">
        <v>79.5</v>
      </c>
      <c r="Z797" s="227">
        <v>79.5</v>
      </c>
      <c r="AA797" s="227">
        <v>79.5</v>
      </c>
      <c r="AB797" s="227">
        <v>21.710999999999999</v>
      </c>
      <c r="AC797" s="227">
        <v>774.65</v>
      </c>
      <c r="AD797" s="230">
        <v>2.5128472222222219E-4</v>
      </c>
      <c r="AE797" s="230">
        <v>130.26599999999999</v>
      </c>
      <c r="AF797" s="230">
        <v>3816</v>
      </c>
      <c r="AG797" s="230">
        <v>477278.40889991965</v>
      </c>
      <c r="AH797" s="230">
        <v>2830267.6542056487</v>
      </c>
      <c r="AI797" s="230">
        <v>4647.8999999999996</v>
      </c>
    </row>
    <row r="798" spans="5:35" x14ac:dyDescent="0.35">
      <c r="E798" s="226">
        <v>2.4505400000000002</v>
      </c>
      <c r="F798" s="227">
        <v>12.875243835616438</v>
      </c>
      <c r="G798" s="227">
        <v>4699.4639999999999</v>
      </c>
      <c r="H798" s="227">
        <v>0.96599999999999997</v>
      </c>
      <c r="I798" s="227">
        <v>3.1465000000000001</v>
      </c>
      <c r="J798" s="227">
        <v>0.55255593391194402</v>
      </c>
      <c r="K798" s="227">
        <v>138.96</v>
      </c>
      <c r="L798" s="227">
        <v>137.63999999999999</v>
      </c>
      <c r="M798" s="227">
        <v>135.93</v>
      </c>
      <c r="N798" s="227">
        <v>94.923000000000002</v>
      </c>
      <c r="O798" s="227">
        <v>100.8</v>
      </c>
      <c r="P798" s="227">
        <v>117.62</v>
      </c>
      <c r="Q798" s="227">
        <v>108.27</v>
      </c>
      <c r="R798" s="227">
        <v>113.68</v>
      </c>
      <c r="S798" s="227"/>
      <c r="T798" s="227">
        <v>79.5</v>
      </c>
      <c r="U798" s="227">
        <v>79.5</v>
      </c>
      <c r="V798" s="227">
        <v>79.5</v>
      </c>
      <c r="W798" s="227">
        <v>79.5</v>
      </c>
      <c r="X798" s="227">
        <v>79.5</v>
      </c>
      <c r="Y798" s="227">
        <v>79.5</v>
      </c>
      <c r="Z798" s="227">
        <v>79.5</v>
      </c>
      <c r="AA798" s="227">
        <v>79.5</v>
      </c>
      <c r="AB798" s="227">
        <v>21.652999999999999</v>
      </c>
      <c r="AC798" s="227">
        <v>774.65</v>
      </c>
      <c r="AD798" s="230">
        <v>2.5061342592592588E-4</v>
      </c>
      <c r="AE798" s="230">
        <v>129.91799999999998</v>
      </c>
      <c r="AF798" s="230">
        <v>3816</v>
      </c>
      <c r="AG798" s="230">
        <v>477408.32689991966</v>
      </c>
      <c r="AH798" s="230">
        <v>2834083.6542056487</v>
      </c>
      <c r="AI798" s="230">
        <v>4647.8999999999996</v>
      </c>
    </row>
    <row r="799" spans="5:35" x14ac:dyDescent="0.35">
      <c r="E799" s="226">
        <v>2.4545400000000002</v>
      </c>
      <c r="F799" s="227">
        <v>12.891682191780822</v>
      </c>
      <c r="G799" s="227">
        <v>4705.4639999999999</v>
      </c>
      <c r="H799" s="227">
        <v>0.96599999999999997</v>
      </c>
      <c r="I799" s="227">
        <v>3.1505000000000001</v>
      </c>
      <c r="J799" s="227">
        <v>0.55270587835638851</v>
      </c>
      <c r="K799" s="227">
        <v>138.91999999999999</v>
      </c>
      <c r="L799" s="227">
        <v>137.61000000000001</v>
      </c>
      <c r="M799" s="227">
        <v>135.9</v>
      </c>
      <c r="N799" s="227">
        <v>94.906999999999996</v>
      </c>
      <c r="O799" s="227">
        <v>100.78</v>
      </c>
      <c r="P799" s="227">
        <v>117.6</v>
      </c>
      <c r="Q799" s="227">
        <v>108.25</v>
      </c>
      <c r="R799" s="227">
        <v>113.66</v>
      </c>
      <c r="S799" s="227"/>
      <c r="T799" s="227">
        <v>79.5</v>
      </c>
      <c r="U799" s="227">
        <v>79.5</v>
      </c>
      <c r="V799" s="227">
        <v>79.5</v>
      </c>
      <c r="W799" s="227">
        <v>79.5</v>
      </c>
      <c r="X799" s="227">
        <v>79.5</v>
      </c>
      <c r="Y799" s="227">
        <v>79.5</v>
      </c>
      <c r="Z799" s="227">
        <v>79.5</v>
      </c>
      <c r="AA799" s="227">
        <v>79.5</v>
      </c>
      <c r="AB799" s="227">
        <v>21.591999999999999</v>
      </c>
      <c r="AC799" s="227">
        <v>774.65</v>
      </c>
      <c r="AD799" s="230">
        <v>2.499074074074074E-4</v>
      </c>
      <c r="AE799" s="230">
        <v>129.55199999999999</v>
      </c>
      <c r="AF799" s="230">
        <v>3816</v>
      </c>
      <c r="AG799" s="230">
        <v>477537.87889991968</v>
      </c>
      <c r="AH799" s="230">
        <v>2837899.6542056487</v>
      </c>
      <c r="AI799" s="230">
        <v>4647.8999999999996</v>
      </c>
    </row>
    <row r="800" spans="5:35" x14ac:dyDescent="0.35">
      <c r="E800" s="226">
        <v>2.4585400000000002</v>
      </c>
      <c r="F800" s="227">
        <v>12.908120547945206</v>
      </c>
      <c r="G800" s="227">
        <v>4711.4639999999999</v>
      </c>
      <c r="H800" s="227">
        <v>0.96609999999999996</v>
      </c>
      <c r="I800" s="227">
        <v>3.1545000000000001</v>
      </c>
      <c r="J800" s="227">
        <v>0.55285542002305521</v>
      </c>
      <c r="K800" s="227">
        <v>138.88</v>
      </c>
      <c r="L800" s="227">
        <v>137.58000000000001</v>
      </c>
      <c r="M800" s="227">
        <v>135.87</v>
      </c>
      <c r="N800" s="227">
        <v>94.888999999999996</v>
      </c>
      <c r="O800" s="227">
        <v>100.77</v>
      </c>
      <c r="P800" s="227">
        <v>117.58</v>
      </c>
      <c r="Q800" s="227">
        <v>108.24</v>
      </c>
      <c r="R800" s="227">
        <v>113.65</v>
      </c>
      <c r="S800" s="227"/>
      <c r="T800" s="227">
        <v>79.5</v>
      </c>
      <c r="U800" s="227">
        <v>79.5</v>
      </c>
      <c r="V800" s="227">
        <v>79.5</v>
      </c>
      <c r="W800" s="227">
        <v>79.5</v>
      </c>
      <c r="X800" s="227">
        <v>79.5</v>
      </c>
      <c r="Y800" s="227">
        <v>79.5</v>
      </c>
      <c r="Z800" s="227">
        <v>79.5</v>
      </c>
      <c r="AA800" s="227">
        <v>79.5</v>
      </c>
      <c r="AB800" s="227">
        <v>21.533999999999999</v>
      </c>
      <c r="AC800" s="227">
        <v>774.65</v>
      </c>
      <c r="AD800" s="230">
        <v>2.492361111111111E-4</v>
      </c>
      <c r="AE800" s="230">
        <v>129.20400000000001</v>
      </c>
      <c r="AF800" s="230">
        <v>3816</v>
      </c>
      <c r="AG800" s="230">
        <v>477667.08289991971</v>
      </c>
      <c r="AH800" s="230">
        <v>2841715.6542056487</v>
      </c>
      <c r="AI800" s="230">
        <v>4647.8999999999996</v>
      </c>
    </row>
    <row r="801" spans="5:35" x14ac:dyDescent="0.35">
      <c r="E801" s="226">
        <v>2.4625400000000002</v>
      </c>
      <c r="F801" s="227">
        <v>12.924558904109588</v>
      </c>
      <c r="G801" s="227">
        <v>4717.4639999999999</v>
      </c>
      <c r="H801" s="227">
        <v>0.96619999999999995</v>
      </c>
      <c r="I801" s="227">
        <v>3.1585000000000001</v>
      </c>
      <c r="J801" s="227">
        <v>0.55300455891194411</v>
      </c>
      <c r="K801" s="227">
        <v>138.85</v>
      </c>
      <c r="L801" s="227">
        <v>137.56</v>
      </c>
      <c r="M801" s="227">
        <v>135.84</v>
      </c>
      <c r="N801" s="227">
        <v>94.872</v>
      </c>
      <c r="O801" s="227">
        <v>100.75</v>
      </c>
      <c r="P801" s="227">
        <v>117.56</v>
      </c>
      <c r="Q801" s="227">
        <v>108.23</v>
      </c>
      <c r="R801" s="227">
        <v>113.63</v>
      </c>
      <c r="S801" s="227"/>
      <c r="T801" s="227">
        <v>79.5</v>
      </c>
      <c r="U801" s="227">
        <v>79.5</v>
      </c>
      <c r="V801" s="227">
        <v>79.5</v>
      </c>
      <c r="W801" s="227">
        <v>79.5</v>
      </c>
      <c r="X801" s="227">
        <v>79.5</v>
      </c>
      <c r="Y801" s="227">
        <v>79.5</v>
      </c>
      <c r="Z801" s="227">
        <v>79.5</v>
      </c>
      <c r="AA801" s="227">
        <v>79.5</v>
      </c>
      <c r="AB801" s="227">
        <v>21.475999999999999</v>
      </c>
      <c r="AC801" s="227">
        <v>774.65</v>
      </c>
      <c r="AD801" s="230">
        <v>2.485648148148148E-4</v>
      </c>
      <c r="AE801" s="230">
        <v>128.85599999999999</v>
      </c>
      <c r="AF801" s="230">
        <v>3816</v>
      </c>
      <c r="AG801" s="230">
        <v>477795.93889991974</v>
      </c>
      <c r="AH801" s="230">
        <v>2845531.6542056487</v>
      </c>
      <c r="AI801" s="230">
        <v>4647.8999999999996</v>
      </c>
    </row>
    <row r="802" spans="5:35" x14ac:dyDescent="0.35">
      <c r="E802" s="226">
        <v>2.4665400000000002</v>
      </c>
      <c r="F802" s="227">
        <v>12.940997260273972</v>
      </c>
      <c r="G802" s="227">
        <v>4723.4639999999999</v>
      </c>
      <c r="H802" s="227">
        <v>0.96630000000000005</v>
      </c>
      <c r="I802" s="227">
        <v>3.1625000000000001</v>
      </c>
      <c r="J802" s="227">
        <v>0.55315329502305521</v>
      </c>
      <c r="K802" s="227">
        <v>138.81</v>
      </c>
      <c r="L802" s="227">
        <v>137.53</v>
      </c>
      <c r="M802" s="227">
        <v>135.80000000000001</v>
      </c>
      <c r="N802" s="227">
        <v>94.853999999999999</v>
      </c>
      <c r="O802" s="227">
        <v>100.74</v>
      </c>
      <c r="P802" s="227">
        <v>117.54</v>
      </c>
      <c r="Q802" s="227">
        <v>108.22</v>
      </c>
      <c r="R802" s="227">
        <v>113.62</v>
      </c>
      <c r="S802" s="227"/>
      <c r="T802" s="227">
        <v>79.5</v>
      </c>
      <c r="U802" s="227">
        <v>79.5</v>
      </c>
      <c r="V802" s="227">
        <v>79.5</v>
      </c>
      <c r="W802" s="227">
        <v>79.5</v>
      </c>
      <c r="X802" s="227">
        <v>79.5</v>
      </c>
      <c r="Y802" s="227">
        <v>79.5</v>
      </c>
      <c r="Z802" s="227">
        <v>79.5</v>
      </c>
      <c r="AA802" s="227">
        <v>79.5</v>
      </c>
      <c r="AB802" s="227">
        <v>21.417999999999999</v>
      </c>
      <c r="AC802" s="227">
        <v>774.65</v>
      </c>
      <c r="AD802" s="230">
        <v>2.4789351851851849E-4</v>
      </c>
      <c r="AE802" s="230">
        <v>128.50799999999998</v>
      </c>
      <c r="AF802" s="230">
        <v>3816</v>
      </c>
      <c r="AG802" s="230">
        <v>477924.44689991971</v>
      </c>
      <c r="AH802" s="230">
        <v>2849347.6542056487</v>
      </c>
      <c r="AI802" s="230">
        <v>4647.8999999999996</v>
      </c>
    </row>
    <row r="803" spans="5:35" x14ac:dyDescent="0.35">
      <c r="E803" s="226">
        <v>2.4706399999999999</v>
      </c>
      <c r="F803" s="227">
        <v>12.957435616438357</v>
      </c>
      <c r="G803" s="227">
        <v>4729.4639999999999</v>
      </c>
      <c r="H803" s="227">
        <v>0.96640000000000004</v>
      </c>
      <c r="I803" s="227">
        <v>3.1665999999999999</v>
      </c>
      <c r="J803" s="227">
        <v>0.55330162835638852</v>
      </c>
      <c r="K803" s="227">
        <v>138.78</v>
      </c>
      <c r="L803" s="227">
        <v>137.51</v>
      </c>
      <c r="M803" s="227">
        <v>135.77000000000001</v>
      </c>
      <c r="N803" s="227">
        <v>94.837000000000003</v>
      </c>
      <c r="O803" s="227">
        <v>100.72</v>
      </c>
      <c r="P803" s="227">
        <v>117.52</v>
      </c>
      <c r="Q803" s="227">
        <v>108.2</v>
      </c>
      <c r="R803" s="227">
        <v>113.6</v>
      </c>
      <c r="S803" s="227"/>
      <c r="T803" s="227">
        <v>79.5</v>
      </c>
      <c r="U803" s="227">
        <v>79.5</v>
      </c>
      <c r="V803" s="227">
        <v>79.5</v>
      </c>
      <c r="W803" s="227">
        <v>79.5</v>
      </c>
      <c r="X803" s="227">
        <v>79.5</v>
      </c>
      <c r="Y803" s="227">
        <v>79.5</v>
      </c>
      <c r="Z803" s="227">
        <v>79.5</v>
      </c>
      <c r="AA803" s="227">
        <v>79.5</v>
      </c>
      <c r="AB803" s="227">
        <v>21.36</v>
      </c>
      <c r="AC803" s="227">
        <v>774.65</v>
      </c>
      <c r="AD803" s="230">
        <v>2.4722222222222219E-4</v>
      </c>
      <c r="AE803" s="230">
        <v>128.15999999999997</v>
      </c>
      <c r="AF803" s="230">
        <v>3816</v>
      </c>
      <c r="AG803" s="230">
        <v>478052.60689991969</v>
      </c>
      <c r="AH803" s="230">
        <v>2853163.6542056487</v>
      </c>
      <c r="AI803" s="230">
        <v>4647.8999999999996</v>
      </c>
    </row>
    <row r="804" spans="5:35" x14ac:dyDescent="0.35">
      <c r="E804" s="226">
        <v>2.47464</v>
      </c>
      <c r="F804" s="227">
        <v>12.973873972602739</v>
      </c>
      <c r="G804" s="227">
        <v>4735.4639999999999</v>
      </c>
      <c r="H804" s="227">
        <v>0.96650000000000003</v>
      </c>
      <c r="I804" s="227">
        <v>3.1705999999999999</v>
      </c>
      <c r="J804" s="227">
        <v>0.55344955891194403</v>
      </c>
      <c r="K804" s="227">
        <v>138.74</v>
      </c>
      <c r="L804" s="227">
        <v>137.47999999999999</v>
      </c>
      <c r="M804" s="227">
        <v>135.74</v>
      </c>
      <c r="N804" s="227">
        <v>94.819000000000003</v>
      </c>
      <c r="O804" s="227">
        <v>100.71</v>
      </c>
      <c r="P804" s="227">
        <v>117.5</v>
      </c>
      <c r="Q804" s="227">
        <v>108.19</v>
      </c>
      <c r="R804" s="227">
        <v>113.59</v>
      </c>
      <c r="S804" s="227"/>
      <c r="T804" s="227">
        <v>79.5</v>
      </c>
      <c r="U804" s="227">
        <v>79.5</v>
      </c>
      <c r="V804" s="227">
        <v>79.5</v>
      </c>
      <c r="W804" s="227">
        <v>79.5</v>
      </c>
      <c r="X804" s="227">
        <v>79.5</v>
      </c>
      <c r="Y804" s="227">
        <v>79.5</v>
      </c>
      <c r="Z804" s="227">
        <v>79.5</v>
      </c>
      <c r="AA804" s="227">
        <v>79.5</v>
      </c>
      <c r="AB804" s="227">
        <v>21.302</v>
      </c>
      <c r="AC804" s="227">
        <v>774.65</v>
      </c>
      <c r="AD804" s="230">
        <v>2.4655092592592594E-4</v>
      </c>
      <c r="AE804" s="230">
        <v>127.81200000000001</v>
      </c>
      <c r="AF804" s="230">
        <v>3816</v>
      </c>
      <c r="AG804" s="230">
        <v>478180.41889991966</v>
      </c>
      <c r="AH804" s="230">
        <v>2856979.6542056487</v>
      </c>
      <c r="AI804" s="230">
        <v>4647.8999999999996</v>
      </c>
    </row>
    <row r="805" spans="5:35" x14ac:dyDescent="0.35">
      <c r="E805" s="226">
        <v>2.47864</v>
      </c>
      <c r="F805" s="227">
        <v>12.990312328767123</v>
      </c>
      <c r="G805" s="227">
        <v>4741.4639999999999</v>
      </c>
      <c r="H805" s="227">
        <v>0.96660000000000001</v>
      </c>
      <c r="I805" s="227">
        <v>3.1745999999999999</v>
      </c>
      <c r="J805" s="227">
        <v>0.5535970936341662</v>
      </c>
      <c r="K805" s="227">
        <v>138.71</v>
      </c>
      <c r="L805" s="227">
        <v>137.46</v>
      </c>
      <c r="M805" s="227">
        <v>135.71</v>
      </c>
      <c r="N805" s="227">
        <v>94.802000000000007</v>
      </c>
      <c r="O805" s="227">
        <v>100.69</v>
      </c>
      <c r="P805" s="227">
        <v>117.48</v>
      </c>
      <c r="Q805" s="227">
        <v>108.18</v>
      </c>
      <c r="R805" s="227">
        <v>113.57</v>
      </c>
      <c r="S805" s="227"/>
      <c r="T805" s="227">
        <v>79.5</v>
      </c>
      <c r="U805" s="227">
        <v>79.5</v>
      </c>
      <c r="V805" s="227">
        <v>79.5</v>
      </c>
      <c r="W805" s="227">
        <v>79.5</v>
      </c>
      <c r="X805" s="227">
        <v>79.5</v>
      </c>
      <c r="Y805" s="227">
        <v>79.5</v>
      </c>
      <c r="Z805" s="227">
        <v>79.5</v>
      </c>
      <c r="AA805" s="227">
        <v>79.5</v>
      </c>
      <c r="AB805" s="227">
        <v>21.245000000000001</v>
      </c>
      <c r="AC805" s="227">
        <v>774.65</v>
      </c>
      <c r="AD805" s="230">
        <v>2.4589120370370373E-4</v>
      </c>
      <c r="AE805" s="230">
        <v>127.47000000000003</v>
      </c>
      <c r="AF805" s="230">
        <v>3816</v>
      </c>
      <c r="AG805" s="230">
        <v>478307.88889991964</v>
      </c>
      <c r="AH805" s="230">
        <v>2860795.6542056487</v>
      </c>
      <c r="AI805" s="230">
        <v>4647.8999999999996</v>
      </c>
    </row>
    <row r="806" spans="5:35" x14ac:dyDescent="0.35">
      <c r="E806" s="226">
        <v>2.48264</v>
      </c>
      <c r="F806" s="227">
        <v>13.006750684931507</v>
      </c>
      <c r="G806" s="227">
        <v>4747.4639999999999</v>
      </c>
      <c r="H806" s="227">
        <v>0.9667</v>
      </c>
      <c r="I806" s="227">
        <v>3.1785999999999999</v>
      </c>
      <c r="J806" s="227">
        <v>0.55374423252305516</v>
      </c>
      <c r="K806" s="227">
        <v>138.66999999999999</v>
      </c>
      <c r="L806" s="227">
        <v>137.43</v>
      </c>
      <c r="M806" s="227">
        <v>135.68</v>
      </c>
      <c r="N806" s="227">
        <v>94.784999999999997</v>
      </c>
      <c r="O806" s="227">
        <v>100.68</v>
      </c>
      <c r="P806" s="227">
        <v>117.46</v>
      </c>
      <c r="Q806" s="227">
        <v>108.17</v>
      </c>
      <c r="R806" s="227">
        <v>113.55</v>
      </c>
      <c r="S806" s="227"/>
      <c r="T806" s="227">
        <v>79.5</v>
      </c>
      <c r="U806" s="227">
        <v>79.5</v>
      </c>
      <c r="V806" s="227">
        <v>79.5</v>
      </c>
      <c r="W806" s="227">
        <v>79.5</v>
      </c>
      <c r="X806" s="227">
        <v>79.5</v>
      </c>
      <c r="Y806" s="227">
        <v>79.5</v>
      </c>
      <c r="Z806" s="227">
        <v>79.5</v>
      </c>
      <c r="AA806" s="227">
        <v>79.5</v>
      </c>
      <c r="AB806" s="227">
        <v>21.187999999999999</v>
      </c>
      <c r="AC806" s="227">
        <v>774.65</v>
      </c>
      <c r="AD806" s="230">
        <v>2.4523148148148147E-4</v>
      </c>
      <c r="AE806" s="230">
        <v>127.128</v>
      </c>
      <c r="AF806" s="230">
        <v>3816</v>
      </c>
      <c r="AG806" s="230">
        <v>478435.01689991966</v>
      </c>
      <c r="AH806" s="230">
        <v>2864611.6542056487</v>
      </c>
      <c r="AI806" s="230">
        <v>4647.8999999999996</v>
      </c>
    </row>
    <row r="807" spans="5:35" x14ac:dyDescent="0.35">
      <c r="E807" s="226">
        <v>2.48664</v>
      </c>
      <c r="F807" s="227">
        <v>13.02318904109589</v>
      </c>
      <c r="G807" s="227">
        <v>4753.4639999999999</v>
      </c>
      <c r="H807" s="227">
        <v>0.96679999999999999</v>
      </c>
      <c r="I807" s="227">
        <v>3.1825999999999999</v>
      </c>
      <c r="J807" s="227">
        <v>0.55389097557861078</v>
      </c>
      <c r="K807" s="227">
        <v>138.63</v>
      </c>
      <c r="L807" s="227">
        <v>137.4</v>
      </c>
      <c r="M807" s="227">
        <v>135.65</v>
      </c>
      <c r="N807" s="227">
        <v>94.766999999999996</v>
      </c>
      <c r="O807" s="227">
        <v>100.66</v>
      </c>
      <c r="P807" s="227">
        <v>117.44</v>
      </c>
      <c r="Q807" s="227">
        <v>108.15</v>
      </c>
      <c r="R807" s="227">
        <v>113.54</v>
      </c>
      <c r="S807" s="227"/>
      <c r="T807" s="227">
        <v>79.5</v>
      </c>
      <c r="U807" s="227">
        <v>79.5</v>
      </c>
      <c r="V807" s="227">
        <v>79.5</v>
      </c>
      <c r="W807" s="227">
        <v>79.5</v>
      </c>
      <c r="X807" s="227">
        <v>79.5</v>
      </c>
      <c r="Y807" s="227">
        <v>79.5</v>
      </c>
      <c r="Z807" s="227">
        <v>79.5</v>
      </c>
      <c r="AA807" s="227">
        <v>79.5</v>
      </c>
      <c r="AB807" s="227">
        <v>21.131</v>
      </c>
      <c r="AC807" s="227">
        <v>774.65</v>
      </c>
      <c r="AD807" s="230">
        <v>2.4457175925925926E-4</v>
      </c>
      <c r="AE807" s="230">
        <v>126.786</v>
      </c>
      <c r="AF807" s="230">
        <v>3816</v>
      </c>
      <c r="AG807" s="230">
        <v>478561.80289991968</v>
      </c>
      <c r="AH807" s="230">
        <v>2868427.6542056487</v>
      </c>
      <c r="AI807" s="230">
        <v>4647.8999999999996</v>
      </c>
    </row>
    <row r="808" spans="5:35" x14ac:dyDescent="0.35">
      <c r="E808" s="226">
        <v>2.49064</v>
      </c>
      <c r="F808" s="227">
        <v>13.039627397260274</v>
      </c>
      <c r="G808" s="227">
        <v>4759.4639999999999</v>
      </c>
      <c r="H808" s="227">
        <v>0.96689999999999998</v>
      </c>
      <c r="I808" s="227">
        <v>3.1865999999999999</v>
      </c>
      <c r="J808" s="227">
        <v>0.55403732280083295</v>
      </c>
      <c r="K808" s="227">
        <v>138.6</v>
      </c>
      <c r="L808" s="227">
        <v>137.38</v>
      </c>
      <c r="M808" s="227">
        <v>135.62</v>
      </c>
      <c r="N808" s="227">
        <v>94.751000000000005</v>
      </c>
      <c r="O808" s="227">
        <v>100.65</v>
      </c>
      <c r="P808" s="227">
        <v>117.42</v>
      </c>
      <c r="Q808" s="227">
        <v>108.14</v>
      </c>
      <c r="R808" s="227">
        <v>113.52</v>
      </c>
      <c r="S808" s="227"/>
      <c r="T808" s="227">
        <v>79.5</v>
      </c>
      <c r="U808" s="227">
        <v>79.5</v>
      </c>
      <c r="V808" s="227">
        <v>79.5</v>
      </c>
      <c r="W808" s="227">
        <v>79.5</v>
      </c>
      <c r="X808" s="227">
        <v>79.5</v>
      </c>
      <c r="Y808" s="227">
        <v>79.5</v>
      </c>
      <c r="Z808" s="227">
        <v>79.5</v>
      </c>
      <c r="AA808" s="227">
        <v>79.5</v>
      </c>
      <c r="AB808" s="227">
        <v>21.074000000000002</v>
      </c>
      <c r="AC808" s="227">
        <v>774.65</v>
      </c>
      <c r="AD808" s="230">
        <v>2.4391203703703706E-4</v>
      </c>
      <c r="AE808" s="230">
        <v>126.44400000000002</v>
      </c>
      <c r="AF808" s="230">
        <v>3816</v>
      </c>
      <c r="AG808" s="230">
        <v>478688.2468999197</v>
      </c>
      <c r="AH808" s="230">
        <v>2872243.6542056487</v>
      </c>
      <c r="AI808" s="230">
        <v>4647.8999999999996</v>
      </c>
    </row>
    <row r="809" spans="5:35" x14ac:dyDescent="0.35">
      <c r="E809" s="226">
        <v>2.4947400000000002</v>
      </c>
      <c r="F809" s="227">
        <v>13.056065753424658</v>
      </c>
      <c r="G809" s="227">
        <v>4765.4639999999999</v>
      </c>
      <c r="H809" s="227">
        <v>0.96699999999999997</v>
      </c>
      <c r="I809" s="227">
        <v>3.1907000000000001</v>
      </c>
      <c r="J809" s="227">
        <v>0.55418327418972191</v>
      </c>
      <c r="K809" s="227">
        <v>138.57</v>
      </c>
      <c r="L809" s="227">
        <v>137.36000000000001</v>
      </c>
      <c r="M809" s="227">
        <v>135.59</v>
      </c>
      <c r="N809" s="227">
        <v>94.733000000000004</v>
      </c>
      <c r="O809" s="227">
        <v>100.63</v>
      </c>
      <c r="P809" s="227">
        <v>117.4</v>
      </c>
      <c r="Q809" s="227">
        <v>108.13</v>
      </c>
      <c r="R809" s="227">
        <v>113.51</v>
      </c>
      <c r="S809" s="227"/>
      <c r="T809" s="227">
        <v>79.5</v>
      </c>
      <c r="U809" s="227">
        <v>79.5</v>
      </c>
      <c r="V809" s="227">
        <v>79.5</v>
      </c>
      <c r="W809" s="227">
        <v>79.5</v>
      </c>
      <c r="X809" s="227">
        <v>79.5</v>
      </c>
      <c r="Y809" s="227">
        <v>79.5</v>
      </c>
      <c r="Z809" s="227">
        <v>79.5</v>
      </c>
      <c r="AA809" s="227">
        <v>79.5</v>
      </c>
      <c r="AB809" s="227">
        <v>21.016999999999999</v>
      </c>
      <c r="AC809" s="227">
        <v>774.65</v>
      </c>
      <c r="AD809" s="230">
        <v>2.432523148148148E-4</v>
      </c>
      <c r="AE809" s="230">
        <v>126.10199999999998</v>
      </c>
      <c r="AF809" s="230">
        <v>3816</v>
      </c>
      <c r="AG809" s="230">
        <v>478814.34889991971</v>
      </c>
      <c r="AH809" s="230">
        <v>2876059.6542056487</v>
      </c>
      <c r="AI809" s="230">
        <v>4647.8999999999996</v>
      </c>
    </row>
    <row r="810" spans="5:35" x14ac:dyDescent="0.35">
      <c r="E810" s="226">
        <v>2.4987400000000002</v>
      </c>
      <c r="F810" s="227">
        <v>13.07250410958904</v>
      </c>
      <c r="G810" s="227">
        <v>4771.4639999999999</v>
      </c>
      <c r="H810" s="227">
        <v>0.96699999999999997</v>
      </c>
      <c r="I810" s="227">
        <v>3.1947000000000001</v>
      </c>
      <c r="J810" s="227">
        <v>0.55432883668972188</v>
      </c>
      <c r="K810" s="227">
        <v>138.53</v>
      </c>
      <c r="L810" s="227">
        <v>137.33000000000001</v>
      </c>
      <c r="M810" s="227">
        <v>135.56</v>
      </c>
      <c r="N810" s="227">
        <v>94.715999999999994</v>
      </c>
      <c r="O810" s="227">
        <v>100.62</v>
      </c>
      <c r="P810" s="227">
        <v>117.38</v>
      </c>
      <c r="Q810" s="227">
        <v>108.12</v>
      </c>
      <c r="R810" s="227">
        <v>113.49</v>
      </c>
      <c r="S810" s="227"/>
      <c r="T810" s="227">
        <v>79.5</v>
      </c>
      <c r="U810" s="227">
        <v>79.5</v>
      </c>
      <c r="V810" s="227">
        <v>79.5</v>
      </c>
      <c r="W810" s="227">
        <v>79.5</v>
      </c>
      <c r="X810" s="227">
        <v>79.5</v>
      </c>
      <c r="Y810" s="227">
        <v>79.5</v>
      </c>
      <c r="Z810" s="227">
        <v>79.5</v>
      </c>
      <c r="AA810" s="227">
        <v>79.5</v>
      </c>
      <c r="AB810" s="227">
        <v>20.960999999999999</v>
      </c>
      <c r="AC810" s="227">
        <v>774.65</v>
      </c>
      <c r="AD810" s="230">
        <v>2.4260416666666666E-4</v>
      </c>
      <c r="AE810" s="230">
        <v>125.76599999999999</v>
      </c>
      <c r="AF810" s="230">
        <v>3816</v>
      </c>
      <c r="AG810" s="230">
        <v>478940.11489991972</v>
      </c>
      <c r="AH810" s="230">
        <v>2879875.6542056487</v>
      </c>
      <c r="AI810" s="230">
        <v>4647.8999999999996</v>
      </c>
    </row>
    <row r="811" spans="5:35" x14ac:dyDescent="0.35">
      <c r="E811" s="226">
        <v>2.5027400000000002</v>
      </c>
      <c r="F811" s="227">
        <v>13.088942465753425</v>
      </c>
      <c r="G811" s="227">
        <v>4777.4639999999999</v>
      </c>
      <c r="H811" s="227">
        <v>0.96709999999999996</v>
      </c>
      <c r="I811" s="227">
        <v>3.1987000000000001</v>
      </c>
      <c r="J811" s="227">
        <v>0.55447401030083299</v>
      </c>
      <c r="K811" s="227">
        <v>138.5</v>
      </c>
      <c r="L811" s="227">
        <v>137.31</v>
      </c>
      <c r="M811" s="227">
        <v>135.53</v>
      </c>
      <c r="N811" s="227">
        <v>94.697999999999993</v>
      </c>
      <c r="O811" s="227">
        <v>100.61</v>
      </c>
      <c r="P811" s="227">
        <v>117.36</v>
      </c>
      <c r="Q811" s="227">
        <v>108.1</v>
      </c>
      <c r="R811" s="227">
        <v>113.48</v>
      </c>
      <c r="S811" s="227"/>
      <c r="T811" s="227">
        <v>79.5</v>
      </c>
      <c r="U811" s="227">
        <v>79.5</v>
      </c>
      <c r="V811" s="227">
        <v>79.5</v>
      </c>
      <c r="W811" s="227">
        <v>79.5</v>
      </c>
      <c r="X811" s="227">
        <v>79.5</v>
      </c>
      <c r="Y811" s="227">
        <v>79.5</v>
      </c>
      <c r="Z811" s="227">
        <v>79.5</v>
      </c>
      <c r="AA811" s="227">
        <v>79.5</v>
      </c>
      <c r="AB811" s="227">
        <v>20.905000000000001</v>
      </c>
      <c r="AC811" s="227">
        <v>774.65</v>
      </c>
      <c r="AD811" s="230">
        <v>2.4195601851851852E-4</v>
      </c>
      <c r="AE811" s="230">
        <v>125.43</v>
      </c>
      <c r="AF811" s="230">
        <v>3816</v>
      </c>
      <c r="AG811" s="230">
        <v>479065.54489991971</v>
      </c>
      <c r="AH811" s="230">
        <v>2883691.6542056487</v>
      </c>
      <c r="AI811" s="230">
        <v>4647.8999999999996</v>
      </c>
    </row>
    <row r="812" spans="5:35" x14ac:dyDescent="0.35">
      <c r="E812" s="226">
        <v>2.5067400000000002</v>
      </c>
      <c r="F812" s="227">
        <v>13.105380821917809</v>
      </c>
      <c r="G812" s="227">
        <v>4783.4639999999999</v>
      </c>
      <c r="H812" s="227">
        <v>0.96719999999999995</v>
      </c>
      <c r="I812" s="227">
        <v>3.2027000000000001</v>
      </c>
      <c r="J812" s="227">
        <v>0.55461879502305522</v>
      </c>
      <c r="K812" s="227">
        <v>138.47</v>
      </c>
      <c r="L812" s="227">
        <v>137.28</v>
      </c>
      <c r="M812" s="227">
        <v>135.5</v>
      </c>
      <c r="N812" s="227">
        <v>94.682000000000002</v>
      </c>
      <c r="O812" s="227">
        <v>100.59</v>
      </c>
      <c r="P812" s="227">
        <v>117.34</v>
      </c>
      <c r="Q812" s="227">
        <v>108.09</v>
      </c>
      <c r="R812" s="227">
        <v>113.46</v>
      </c>
      <c r="S812" s="227"/>
      <c r="T812" s="227">
        <v>79.5</v>
      </c>
      <c r="U812" s="227">
        <v>79.5</v>
      </c>
      <c r="V812" s="227">
        <v>79.5</v>
      </c>
      <c r="W812" s="227">
        <v>79.5</v>
      </c>
      <c r="X812" s="227">
        <v>79.5</v>
      </c>
      <c r="Y812" s="227">
        <v>79.5</v>
      </c>
      <c r="Z812" s="227">
        <v>79.5</v>
      </c>
      <c r="AA812" s="227">
        <v>79.5</v>
      </c>
      <c r="AB812" s="227">
        <v>20.849</v>
      </c>
      <c r="AC812" s="227">
        <v>774.65</v>
      </c>
      <c r="AD812" s="230">
        <v>2.4130787037037038E-4</v>
      </c>
      <c r="AE812" s="230">
        <v>125.09400000000001</v>
      </c>
      <c r="AF812" s="230">
        <v>3816</v>
      </c>
      <c r="AG812" s="230">
        <v>479190.63889991969</v>
      </c>
      <c r="AH812" s="230">
        <v>2887507.6542056487</v>
      </c>
      <c r="AI812" s="230">
        <v>4647.8999999999996</v>
      </c>
    </row>
    <row r="813" spans="5:35" x14ac:dyDescent="0.35">
      <c r="E813" s="226">
        <v>2.5107400000000002</v>
      </c>
      <c r="F813" s="227">
        <v>13.121819178082191</v>
      </c>
      <c r="G813" s="227">
        <v>4789.4639999999999</v>
      </c>
      <c r="H813" s="227">
        <v>0.96730000000000005</v>
      </c>
      <c r="I813" s="227">
        <v>3.2067000000000001</v>
      </c>
      <c r="J813" s="227">
        <v>0.55476319085638848</v>
      </c>
      <c r="K813" s="227">
        <v>138.43</v>
      </c>
      <c r="L813" s="227">
        <v>137.26</v>
      </c>
      <c r="M813" s="227">
        <v>135.47</v>
      </c>
      <c r="N813" s="227">
        <v>94.665000000000006</v>
      </c>
      <c r="O813" s="227">
        <v>100.58</v>
      </c>
      <c r="P813" s="227">
        <v>117.32</v>
      </c>
      <c r="Q813" s="227">
        <v>108.08</v>
      </c>
      <c r="R813" s="227">
        <v>113.45</v>
      </c>
      <c r="S813" s="227"/>
      <c r="T813" s="227">
        <v>79.5</v>
      </c>
      <c r="U813" s="227">
        <v>79.5</v>
      </c>
      <c r="V813" s="227">
        <v>79.5</v>
      </c>
      <c r="W813" s="227">
        <v>79.5</v>
      </c>
      <c r="X813" s="227">
        <v>79.5</v>
      </c>
      <c r="Y813" s="227">
        <v>79.5</v>
      </c>
      <c r="Z813" s="227">
        <v>79.5</v>
      </c>
      <c r="AA813" s="227">
        <v>79.5</v>
      </c>
      <c r="AB813" s="227">
        <v>20.792999999999999</v>
      </c>
      <c r="AC813" s="227">
        <v>774.65</v>
      </c>
      <c r="AD813" s="230">
        <v>2.4065972222222221E-4</v>
      </c>
      <c r="AE813" s="230">
        <v>124.758</v>
      </c>
      <c r="AF813" s="230">
        <v>3816</v>
      </c>
      <c r="AG813" s="230">
        <v>479315.39689991967</v>
      </c>
      <c r="AH813" s="230">
        <v>2891323.6542056487</v>
      </c>
      <c r="AI813" s="230">
        <v>4647.8999999999996</v>
      </c>
    </row>
    <row r="814" spans="5:35" x14ac:dyDescent="0.35">
      <c r="E814" s="226">
        <v>2.5147400000000002</v>
      </c>
      <c r="F814" s="227">
        <v>13.138257534246575</v>
      </c>
      <c r="G814" s="227">
        <v>4795.4639999999999</v>
      </c>
      <c r="H814" s="227">
        <v>0.96740000000000004</v>
      </c>
      <c r="I814" s="227">
        <v>3.2107000000000001</v>
      </c>
      <c r="J814" s="227">
        <v>0.55490720474527744</v>
      </c>
      <c r="K814" s="227">
        <v>138.4</v>
      </c>
      <c r="L814" s="227">
        <v>137.22999999999999</v>
      </c>
      <c r="M814" s="227">
        <v>135.44</v>
      </c>
      <c r="N814" s="227">
        <v>94.647999999999996</v>
      </c>
      <c r="O814" s="227">
        <v>100.56</v>
      </c>
      <c r="P814" s="227">
        <v>117.3</v>
      </c>
      <c r="Q814" s="227">
        <v>108.07</v>
      </c>
      <c r="R814" s="227">
        <v>113.43</v>
      </c>
      <c r="S814" s="227"/>
      <c r="T814" s="227">
        <v>79.5</v>
      </c>
      <c r="U814" s="227">
        <v>79.5</v>
      </c>
      <c r="V814" s="227">
        <v>79.5</v>
      </c>
      <c r="W814" s="227">
        <v>79.5</v>
      </c>
      <c r="X814" s="227">
        <v>79.5</v>
      </c>
      <c r="Y814" s="227">
        <v>79.5</v>
      </c>
      <c r="Z814" s="227">
        <v>79.5</v>
      </c>
      <c r="AA814" s="227">
        <v>79.5</v>
      </c>
      <c r="AB814" s="227">
        <v>20.738</v>
      </c>
      <c r="AC814" s="227">
        <v>774.65</v>
      </c>
      <c r="AD814" s="230">
        <v>2.4002314814814814E-4</v>
      </c>
      <c r="AE814" s="230">
        <v>124.428</v>
      </c>
      <c r="AF814" s="230">
        <v>3816</v>
      </c>
      <c r="AG814" s="230">
        <v>479439.82489991968</v>
      </c>
      <c r="AH814" s="230">
        <v>2895139.6542056487</v>
      </c>
      <c r="AI814" s="230">
        <v>4647.8999999999996</v>
      </c>
    </row>
    <row r="815" spans="5:35" x14ac:dyDescent="0.35">
      <c r="E815" s="226">
        <v>2.51884</v>
      </c>
      <c r="F815" s="227">
        <v>13.154695890410959</v>
      </c>
      <c r="G815" s="227">
        <v>4801.4639999999999</v>
      </c>
      <c r="H815" s="227">
        <v>0.96750000000000003</v>
      </c>
      <c r="I815" s="227">
        <v>3.2147999999999999</v>
      </c>
      <c r="J815" s="227">
        <v>0.55505082974527742</v>
      </c>
      <c r="K815" s="227">
        <v>138.36000000000001</v>
      </c>
      <c r="L815" s="227">
        <v>137.21</v>
      </c>
      <c r="M815" s="227">
        <v>135.41</v>
      </c>
      <c r="N815" s="227">
        <v>94.631</v>
      </c>
      <c r="O815" s="227">
        <v>100.55</v>
      </c>
      <c r="P815" s="227">
        <v>117.28</v>
      </c>
      <c r="Q815" s="227">
        <v>108.05</v>
      </c>
      <c r="R815" s="227">
        <v>113.42</v>
      </c>
      <c r="S815" s="227"/>
      <c r="T815" s="227">
        <v>79.5</v>
      </c>
      <c r="U815" s="227">
        <v>79.5</v>
      </c>
      <c r="V815" s="227">
        <v>79.5</v>
      </c>
      <c r="W815" s="227">
        <v>79.5</v>
      </c>
      <c r="X815" s="227">
        <v>79.5</v>
      </c>
      <c r="Y815" s="227">
        <v>79.5</v>
      </c>
      <c r="Z815" s="227">
        <v>79.5</v>
      </c>
      <c r="AA815" s="227">
        <v>79.5</v>
      </c>
      <c r="AB815" s="227">
        <v>20.681999999999999</v>
      </c>
      <c r="AC815" s="227">
        <v>774.65</v>
      </c>
      <c r="AD815" s="230">
        <v>2.3937499999999998E-4</v>
      </c>
      <c r="AE815" s="230">
        <v>124.09199999999998</v>
      </c>
      <c r="AF815" s="230">
        <v>3816</v>
      </c>
      <c r="AG815" s="230">
        <v>479563.91689991968</v>
      </c>
      <c r="AH815" s="230">
        <v>2898955.6542056487</v>
      </c>
      <c r="AI815" s="230">
        <v>4647.8999999999996</v>
      </c>
    </row>
    <row r="816" spans="5:35" x14ac:dyDescent="0.35">
      <c r="E816" s="226">
        <v>2.52284</v>
      </c>
      <c r="F816" s="227">
        <v>13.171134246575342</v>
      </c>
      <c r="G816" s="227">
        <v>4807.4639999999999</v>
      </c>
      <c r="H816" s="227">
        <v>0.96760000000000002</v>
      </c>
      <c r="I816" s="227">
        <v>3.2187999999999999</v>
      </c>
      <c r="J816" s="227">
        <v>0.55519407280083299</v>
      </c>
      <c r="K816" s="227">
        <v>138.33000000000001</v>
      </c>
      <c r="L816" s="227">
        <v>137.18</v>
      </c>
      <c r="M816" s="227">
        <v>135.38</v>
      </c>
      <c r="N816" s="227">
        <v>94.614000000000004</v>
      </c>
      <c r="O816" s="227">
        <v>100.53</v>
      </c>
      <c r="P816" s="227">
        <v>117.26</v>
      </c>
      <c r="Q816" s="227">
        <v>108.04</v>
      </c>
      <c r="R816" s="227">
        <v>113.4</v>
      </c>
      <c r="S816" s="227"/>
      <c r="T816" s="227">
        <v>79.5</v>
      </c>
      <c r="U816" s="227">
        <v>79.5</v>
      </c>
      <c r="V816" s="227">
        <v>79.5</v>
      </c>
      <c r="W816" s="227">
        <v>79.5</v>
      </c>
      <c r="X816" s="227">
        <v>79.5</v>
      </c>
      <c r="Y816" s="227">
        <v>79.5</v>
      </c>
      <c r="Z816" s="227">
        <v>79.5</v>
      </c>
      <c r="AA816" s="227">
        <v>79.5</v>
      </c>
      <c r="AB816" s="227">
        <v>20.626999999999999</v>
      </c>
      <c r="AC816" s="227">
        <v>774.65</v>
      </c>
      <c r="AD816" s="230">
        <v>2.3873842592592591E-4</v>
      </c>
      <c r="AE816" s="230">
        <v>123.762</v>
      </c>
      <c r="AF816" s="230">
        <v>3816</v>
      </c>
      <c r="AG816" s="230">
        <v>479687.67889991967</v>
      </c>
      <c r="AH816" s="230">
        <v>2902771.6542056487</v>
      </c>
      <c r="AI816" s="230">
        <v>4647.8999999999996</v>
      </c>
    </row>
    <row r="817" spans="5:35" x14ac:dyDescent="0.35">
      <c r="E817" s="226">
        <v>2.52684</v>
      </c>
      <c r="F817" s="227">
        <v>13.187572602739726</v>
      </c>
      <c r="G817" s="227">
        <v>4813.4639999999999</v>
      </c>
      <c r="H817" s="227">
        <v>0.9677</v>
      </c>
      <c r="I817" s="227">
        <v>3.2227999999999999</v>
      </c>
      <c r="J817" s="227">
        <v>0.55533693391194405</v>
      </c>
      <c r="K817" s="227">
        <v>138.30000000000001</v>
      </c>
      <c r="L817" s="227">
        <v>137.16</v>
      </c>
      <c r="M817" s="227">
        <v>135.36000000000001</v>
      </c>
      <c r="N817" s="227">
        <v>94.597999999999999</v>
      </c>
      <c r="O817" s="227">
        <v>100.52</v>
      </c>
      <c r="P817" s="227">
        <v>117.24</v>
      </c>
      <c r="Q817" s="227">
        <v>108.03</v>
      </c>
      <c r="R817" s="227">
        <v>113.39</v>
      </c>
      <c r="S817" s="227"/>
      <c r="T817" s="227">
        <v>79.5</v>
      </c>
      <c r="U817" s="227">
        <v>79.5</v>
      </c>
      <c r="V817" s="227">
        <v>79.5</v>
      </c>
      <c r="W817" s="227">
        <v>79.5</v>
      </c>
      <c r="X817" s="227">
        <v>79.5</v>
      </c>
      <c r="Y817" s="227">
        <v>79.5</v>
      </c>
      <c r="Z817" s="227">
        <v>79.5</v>
      </c>
      <c r="AA817" s="227">
        <v>79.5</v>
      </c>
      <c r="AB817" s="227">
        <v>20.571999999999999</v>
      </c>
      <c r="AC817" s="227">
        <v>774.65</v>
      </c>
      <c r="AD817" s="230">
        <v>2.3810185185185184E-4</v>
      </c>
      <c r="AE817" s="230">
        <v>123.43199999999999</v>
      </c>
      <c r="AF817" s="230">
        <v>3816</v>
      </c>
      <c r="AG817" s="230">
        <v>479811.11089991964</v>
      </c>
      <c r="AH817" s="230">
        <v>2906587.6542056487</v>
      </c>
      <c r="AI817" s="230">
        <v>4647.8999999999996</v>
      </c>
    </row>
    <row r="818" spans="5:35" x14ac:dyDescent="0.35">
      <c r="E818" s="226">
        <v>2.53084</v>
      </c>
      <c r="F818" s="227">
        <v>13.20401095890411</v>
      </c>
      <c r="G818" s="227">
        <v>4819.4639999999999</v>
      </c>
      <c r="H818" s="227">
        <v>0.9677</v>
      </c>
      <c r="I818" s="227">
        <v>3.2267999999999999</v>
      </c>
      <c r="J818" s="227">
        <v>0.55547942002305517</v>
      </c>
      <c r="K818" s="227">
        <v>138.27000000000001</v>
      </c>
      <c r="L818" s="227">
        <v>137.13999999999999</v>
      </c>
      <c r="M818" s="227">
        <v>135.33000000000001</v>
      </c>
      <c r="N818" s="227">
        <v>94.581000000000003</v>
      </c>
      <c r="O818" s="227">
        <v>100.51</v>
      </c>
      <c r="P818" s="227">
        <v>117.22</v>
      </c>
      <c r="Q818" s="227">
        <v>108.02</v>
      </c>
      <c r="R818" s="227">
        <v>113.37</v>
      </c>
      <c r="S818" s="227"/>
      <c r="T818" s="227">
        <v>79.5</v>
      </c>
      <c r="U818" s="227">
        <v>79.5</v>
      </c>
      <c r="V818" s="227">
        <v>79.5</v>
      </c>
      <c r="W818" s="227">
        <v>79.5</v>
      </c>
      <c r="X818" s="227">
        <v>79.5</v>
      </c>
      <c r="Y818" s="227">
        <v>79.5</v>
      </c>
      <c r="Z818" s="227">
        <v>79.5</v>
      </c>
      <c r="AA818" s="227">
        <v>79.5</v>
      </c>
      <c r="AB818" s="227">
        <v>20.518000000000001</v>
      </c>
      <c r="AC818" s="227">
        <v>774.65</v>
      </c>
      <c r="AD818" s="230">
        <v>2.3747685185185186E-4</v>
      </c>
      <c r="AE818" s="230">
        <v>123.108</v>
      </c>
      <c r="AF818" s="230">
        <v>3816</v>
      </c>
      <c r="AG818" s="230">
        <v>479934.21889991965</v>
      </c>
      <c r="AH818" s="230">
        <v>2910403.6542056487</v>
      </c>
      <c r="AI818" s="230">
        <v>4647.8999999999996</v>
      </c>
    </row>
    <row r="819" spans="5:35" x14ac:dyDescent="0.35">
      <c r="E819" s="226">
        <v>2.53484</v>
      </c>
      <c r="F819" s="227">
        <v>13.220449315068493</v>
      </c>
      <c r="G819" s="227">
        <v>4825.4639999999999</v>
      </c>
      <c r="H819" s="227">
        <v>0.96779999999999999</v>
      </c>
      <c r="I819" s="227">
        <v>3.2307999999999999</v>
      </c>
      <c r="J819" s="227">
        <v>0.55562153113416624</v>
      </c>
      <c r="K819" s="227">
        <v>138.22999999999999</v>
      </c>
      <c r="L819" s="227">
        <v>137.11000000000001</v>
      </c>
      <c r="M819" s="227">
        <v>135.30000000000001</v>
      </c>
      <c r="N819" s="227">
        <v>94.563999999999993</v>
      </c>
      <c r="O819" s="227">
        <v>100.49</v>
      </c>
      <c r="P819" s="227">
        <v>117.2</v>
      </c>
      <c r="Q819" s="227">
        <v>108.01</v>
      </c>
      <c r="R819" s="227">
        <v>113.35</v>
      </c>
      <c r="S819" s="227"/>
      <c r="T819" s="227">
        <v>79.5</v>
      </c>
      <c r="U819" s="227">
        <v>79.5</v>
      </c>
      <c r="V819" s="227">
        <v>79.5</v>
      </c>
      <c r="W819" s="227">
        <v>79.5</v>
      </c>
      <c r="X819" s="227">
        <v>79.5</v>
      </c>
      <c r="Y819" s="227">
        <v>79.5</v>
      </c>
      <c r="Z819" s="227">
        <v>79.5</v>
      </c>
      <c r="AA819" s="227">
        <v>79.5</v>
      </c>
      <c r="AB819" s="227">
        <v>20.463999999999999</v>
      </c>
      <c r="AC819" s="227">
        <v>774.65</v>
      </c>
      <c r="AD819" s="230">
        <v>2.3685185185185183E-4</v>
      </c>
      <c r="AE819" s="230">
        <v>122.78399999999999</v>
      </c>
      <c r="AF819" s="230">
        <v>3816</v>
      </c>
      <c r="AG819" s="230">
        <v>480057.00289991964</v>
      </c>
      <c r="AH819" s="230">
        <v>2914219.6542056487</v>
      </c>
      <c r="AI819" s="230">
        <v>4647.8999999999996</v>
      </c>
    </row>
    <row r="820" spans="5:35" x14ac:dyDescent="0.35">
      <c r="E820" s="226">
        <v>2.53884</v>
      </c>
      <c r="F820" s="227">
        <v>13.236887671232877</v>
      </c>
      <c r="G820" s="227">
        <v>4831.4639999999999</v>
      </c>
      <c r="H820" s="227">
        <v>0.96789999999999998</v>
      </c>
      <c r="I820" s="227">
        <v>3.2347999999999999</v>
      </c>
      <c r="J820" s="227">
        <v>0.5557632603008329</v>
      </c>
      <c r="K820" s="227">
        <v>138.19</v>
      </c>
      <c r="L820" s="227">
        <v>137.09</v>
      </c>
      <c r="M820" s="227">
        <v>135.27000000000001</v>
      </c>
      <c r="N820" s="227">
        <v>94.548000000000002</v>
      </c>
      <c r="O820" s="227">
        <v>100.48</v>
      </c>
      <c r="P820" s="227">
        <v>117.18</v>
      </c>
      <c r="Q820" s="227">
        <v>107.99</v>
      </c>
      <c r="R820" s="227">
        <v>113.34</v>
      </c>
      <c r="S820" s="227"/>
      <c r="T820" s="227">
        <v>79.5</v>
      </c>
      <c r="U820" s="227">
        <v>79.5</v>
      </c>
      <c r="V820" s="227">
        <v>79.5</v>
      </c>
      <c r="W820" s="227">
        <v>79.5</v>
      </c>
      <c r="X820" s="227">
        <v>79.5</v>
      </c>
      <c r="Y820" s="227">
        <v>79.5</v>
      </c>
      <c r="Z820" s="227">
        <v>79.5</v>
      </c>
      <c r="AA820" s="227">
        <v>79.5</v>
      </c>
      <c r="AB820" s="227">
        <v>20.408999999999999</v>
      </c>
      <c r="AC820" s="227">
        <v>774.65</v>
      </c>
      <c r="AD820" s="230">
        <v>2.3621527777777776E-4</v>
      </c>
      <c r="AE820" s="230">
        <v>122.45399999999999</v>
      </c>
      <c r="AF820" s="230">
        <v>3816</v>
      </c>
      <c r="AG820" s="230">
        <v>480179.45689991966</v>
      </c>
      <c r="AH820" s="230">
        <v>2918035.6542056487</v>
      </c>
      <c r="AI820" s="230">
        <v>4647.8999999999996</v>
      </c>
    </row>
    <row r="821" spans="5:35" x14ac:dyDescent="0.35">
      <c r="E821" s="226">
        <v>2.5429400000000002</v>
      </c>
      <c r="F821" s="227">
        <v>13.253326027397261</v>
      </c>
      <c r="G821" s="227">
        <v>4837.4639999999999</v>
      </c>
      <c r="H821" s="227">
        <v>0.96799999999999997</v>
      </c>
      <c r="I821" s="227">
        <v>3.2389000000000001</v>
      </c>
      <c r="J821" s="227">
        <v>0.55590461446749961</v>
      </c>
      <c r="K821" s="227">
        <v>138.16</v>
      </c>
      <c r="L821" s="227">
        <v>137.06</v>
      </c>
      <c r="M821" s="227">
        <v>135.24</v>
      </c>
      <c r="N821" s="227">
        <v>94.531000000000006</v>
      </c>
      <c r="O821" s="227">
        <v>100.46</v>
      </c>
      <c r="P821" s="227">
        <v>117.16</v>
      </c>
      <c r="Q821" s="227">
        <v>107.98</v>
      </c>
      <c r="R821" s="227">
        <v>113.32</v>
      </c>
      <c r="S821" s="227"/>
      <c r="T821" s="227">
        <v>79.5</v>
      </c>
      <c r="U821" s="227">
        <v>79.5</v>
      </c>
      <c r="V821" s="227">
        <v>79.5</v>
      </c>
      <c r="W821" s="227">
        <v>79.5</v>
      </c>
      <c r="X821" s="227">
        <v>79.5</v>
      </c>
      <c r="Y821" s="227">
        <v>79.5</v>
      </c>
      <c r="Z821" s="227">
        <v>79.5</v>
      </c>
      <c r="AA821" s="227">
        <v>79.5</v>
      </c>
      <c r="AB821" s="227">
        <v>20.355</v>
      </c>
      <c r="AC821" s="227">
        <v>774.65</v>
      </c>
      <c r="AD821" s="230">
        <v>2.3559027777777779E-4</v>
      </c>
      <c r="AE821" s="230">
        <v>122.13</v>
      </c>
      <c r="AF821" s="230">
        <v>3816</v>
      </c>
      <c r="AG821" s="230">
        <v>480301.58689991967</v>
      </c>
      <c r="AH821" s="230">
        <v>2921851.6542056487</v>
      </c>
      <c r="AI821" s="230">
        <v>4647.8999999999996</v>
      </c>
    </row>
    <row r="822" spans="5:35" x14ac:dyDescent="0.35">
      <c r="E822" s="226">
        <v>2.5469400000000002</v>
      </c>
      <c r="F822" s="227">
        <v>13.269764383561643</v>
      </c>
      <c r="G822" s="227">
        <v>4843.4639999999999</v>
      </c>
      <c r="H822" s="227">
        <v>0.96809999999999996</v>
      </c>
      <c r="I822" s="227">
        <v>3.2429000000000001</v>
      </c>
      <c r="J822" s="227">
        <v>0.55604560057861074</v>
      </c>
      <c r="K822" s="227">
        <v>138.13</v>
      </c>
      <c r="L822" s="227">
        <v>137.04</v>
      </c>
      <c r="M822" s="227">
        <v>135.21</v>
      </c>
      <c r="N822" s="227">
        <v>94.513999999999996</v>
      </c>
      <c r="O822" s="227">
        <v>100.45</v>
      </c>
      <c r="P822" s="227">
        <v>117.14</v>
      </c>
      <c r="Q822" s="227">
        <v>107.97</v>
      </c>
      <c r="R822" s="227">
        <v>113.31</v>
      </c>
      <c r="S822" s="227"/>
      <c r="T822" s="227">
        <v>79.5</v>
      </c>
      <c r="U822" s="227">
        <v>79.5</v>
      </c>
      <c r="V822" s="227">
        <v>79.5</v>
      </c>
      <c r="W822" s="227">
        <v>79.5</v>
      </c>
      <c r="X822" s="227">
        <v>79.5</v>
      </c>
      <c r="Y822" s="227">
        <v>79.5</v>
      </c>
      <c r="Z822" s="227">
        <v>79.5</v>
      </c>
      <c r="AA822" s="227">
        <v>79.5</v>
      </c>
      <c r="AB822" s="227">
        <v>20.302</v>
      </c>
      <c r="AC822" s="227">
        <v>774.65</v>
      </c>
      <c r="AD822" s="230">
        <v>2.3497685185185186E-4</v>
      </c>
      <c r="AE822" s="230">
        <v>121.812</v>
      </c>
      <c r="AF822" s="230">
        <v>3816</v>
      </c>
      <c r="AG822" s="230">
        <v>480423.39889991964</v>
      </c>
      <c r="AH822" s="230">
        <v>2925667.6542056487</v>
      </c>
      <c r="AI822" s="230">
        <v>4647.8999999999996</v>
      </c>
    </row>
    <row r="823" spans="5:35" x14ac:dyDescent="0.35">
      <c r="E823" s="226">
        <v>2.5509400000000002</v>
      </c>
      <c r="F823" s="227">
        <v>13.286202739726027</v>
      </c>
      <c r="G823" s="227">
        <v>4849.4639999999999</v>
      </c>
      <c r="H823" s="227">
        <v>0.96819999999999995</v>
      </c>
      <c r="I823" s="227">
        <v>3.2469000000000001</v>
      </c>
      <c r="J823" s="227">
        <v>0.55618621168972182</v>
      </c>
      <c r="K823" s="227">
        <v>138.1</v>
      </c>
      <c r="L823" s="227">
        <v>137.02000000000001</v>
      </c>
      <c r="M823" s="227">
        <v>135.18</v>
      </c>
      <c r="N823" s="227">
        <v>94.498000000000005</v>
      </c>
      <c r="O823" s="227">
        <v>100.43</v>
      </c>
      <c r="P823" s="227">
        <v>117.12</v>
      </c>
      <c r="Q823" s="227">
        <v>107.96</v>
      </c>
      <c r="R823" s="227">
        <v>113.29</v>
      </c>
      <c r="S823" s="227"/>
      <c r="T823" s="227">
        <v>79.5</v>
      </c>
      <c r="U823" s="227">
        <v>79.5</v>
      </c>
      <c r="V823" s="227">
        <v>79.5</v>
      </c>
      <c r="W823" s="227">
        <v>79.5</v>
      </c>
      <c r="X823" s="227">
        <v>79.5</v>
      </c>
      <c r="Y823" s="227">
        <v>79.5</v>
      </c>
      <c r="Z823" s="227">
        <v>79.5</v>
      </c>
      <c r="AA823" s="227">
        <v>79.5</v>
      </c>
      <c r="AB823" s="227">
        <v>20.248000000000001</v>
      </c>
      <c r="AC823" s="227">
        <v>774.65</v>
      </c>
      <c r="AD823" s="230">
        <v>2.3435185185185185E-4</v>
      </c>
      <c r="AE823" s="230">
        <v>121.48799999999999</v>
      </c>
      <c r="AF823" s="230">
        <v>3816</v>
      </c>
      <c r="AG823" s="230">
        <v>480544.88689991966</v>
      </c>
      <c r="AH823" s="230">
        <v>2929483.6542056487</v>
      </c>
      <c r="AI823" s="230">
        <v>4647.8999999999996</v>
      </c>
    </row>
    <row r="824" spans="5:35" x14ac:dyDescent="0.35">
      <c r="E824" s="226">
        <v>2.5549400000000002</v>
      </c>
      <c r="F824" s="227">
        <v>13.302641095890412</v>
      </c>
      <c r="G824" s="227">
        <v>4855.4639999999999</v>
      </c>
      <c r="H824" s="227">
        <v>0.96819999999999995</v>
      </c>
      <c r="I824" s="227">
        <v>3.2509000000000001</v>
      </c>
      <c r="J824" s="227">
        <v>0.55632646168972177</v>
      </c>
      <c r="K824" s="227">
        <v>138.07</v>
      </c>
      <c r="L824" s="227">
        <v>136.99</v>
      </c>
      <c r="M824" s="227">
        <v>135.15</v>
      </c>
      <c r="N824" s="227">
        <v>94.481999999999999</v>
      </c>
      <c r="O824" s="227">
        <v>100.42</v>
      </c>
      <c r="P824" s="227">
        <v>117.1</v>
      </c>
      <c r="Q824" s="227">
        <v>107.94</v>
      </c>
      <c r="R824" s="227">
        <v>113.28</v>
      </c>
      <c r="S824" s="227"/>
      <c r="T824" s="227">
        <v>79.5</v>
      </c>
      <c r="U824" s="227">
        <v>79.5</v>
      </c>
      <c r="V824" s="227">
        <v>79.5</v>
      </c>
      <c r="W824" s="227">
        <v>79.5</v>
      </c>
      <c r="X824" s="227">
        <v>79.5</v>
      </c>
      <c r="Y824" s="227">
        <v>79.5</v>
      </c>
      <c r="Z824" s="227">
        <v>79.5</v>
      </c>
      <c r="AA824" s="227">
        <v>79.5</v>
      </c>
      <c r="AB824" s="227">
        <v>20.196000000000002</v>
      </c>
      <c r="AC824" s="227">
        <v>774.65</v>
      </c>
      <c r="AD824" s="230">
        <v>2.3375000000000002E-4</v>
      </c>
      <c r="AE824" s="230">
        <v>121.176</v>
      </c>
      <c r="AF824" s="230">
        <v>3816</v>
      </c>
      <c r="AG824" s="230">
        <v>480666.06289991963</v>
      </c>
      <c r="AH824" s="230">
        <v>2933299.6542056487</v>
      </c>
      <c r="AI824" s="230">
        <v>4647.8999999999996</v>
      </c>
    </row>
    <row r="825" spans="5:35" x14ac:dyDescent="0.35">
      <c r="E825" s="226">
        <v>2.5589400000000002</v>
      </c>
      <c r="F825" s="227">
        <v>13.319079452054794</v>
      </c>
      <c r="G825" s="227">
        <v>4861.4639999999999</v>
      </c>
      <c r="H825" s="227">
        <v>0.96830000000000005</v>
      </c>
      <c r="I825" s="227">
        <v>3.2549000000000001</v>
      </c>
      <c r="J825" s="227">
        <v>0.55646633668972179</v>
      </c>
      <c r="K825" s="227">
        <v>138.03</v>
      </c>
      <c r="L825" s="227">
        <v>136.97</v>
      </c>
      <c r="M825" s="227">
        <v>135.12</v>
      </c>
      <c r="N825" s="227">
        <v>94.465000000000003</v>
      </c>
      <c r="O825" s="227">
        <v>100.41</v>
      </c>
      <c r="P825" s="227">
        <v>117.08</v>
      </c>
      <c r="Q825" s="227">
        <v>107.93</v>
      </c>
      <c r="R825" s="227">
        <v>113.27</v>
      </c>
      <c r="S825" s="227"/>
      <c r="T825" s="227">
        <v>79.5</v>
      </c>
      <c r="U825" s="227">
        <v>79.5</v>
      </c>
      <c r="V825" s="227">
        <v>79.5</v>
      </c>
      <c r="W825" s="227">
        <v>79.5</v>
      </c>
      <c r="X825" s="227">
        <v>79.5</v>
      </c>
      <c r="Y825" s="227">
        <v>79.5</v>
      </c>
      <c r="Z825" s="227">
        <v>79.5</v>
      </c>
      <c r="AA825" s="227">
        <v>79.5</v>
      </c>
      <c r="AB825" s="227">
        <v>20.141999999999999</v>
      </c>
      <c r="AC825" s="227">
        <v>774.65</v>
      </c>
      <c r="AD825" s="230">
        <v>2.3312499999999999E-4</v>
      </c>
      <c r="AE825" s="230">
        <v>120.85199999999999</v>
      </c>
      <c r="AF825" s="230">
        <v>3816</v>
      </c>
      <c r="AG825" s="230">
        <v>480786.91489991965</v>
      </c>
      <c r="AH825" s="230">
        <v>2937115.6542056487</v>
      </c>
      <c r="AI825" s="230">
        <v>4647.8999999999996</v>
      </c>
    </row>
    <row r="826" spans="5:35" x14ac:dyDescent="0.35">
      <c r="E826" s="226">
        <v>2.5629400000000002</v>
      </c>
      <c r="F826" s="227">
        <v>13.335517808219178</v>
      </c>
      <c r="G826" s="227">
        <v>4867.4639999999999</v>
      </c>
      <c r="H826" s="227">
        <v>0.96840000000000004</v>
      </c>
      <c r="I826" s="227">
        <v>3.2589000000000001</v>
      </c>
      <c r="J826" s="227">
        <v>0.55660584363416621</v>
      </c>
      <c r="K826" s="227">
        <v>138</v>
      </c>
      <c r="L826" s="227">
        <v>136.94</v>
      </c>
      <c r="M826" s="227">
        <v>135.1</v>
      </c>
      <c r="N826" s="227">
        <v>94.448999999999998</v>
      </c>
      <c r="O826" s="227">
        <v>100.39</v>
      </c>
      <c r="P826" s="227">
        <v>117.06</v>
      </c>
      <c r="Q826" s="227">
        <v>107.92</v>
      </c>
      <c r="R826" s="227">
        <v>113.25</v>
      </c>
      <c r="S826" s="227"/>
      <c r="T826" s="227">
        <v>79.5</v>
      </c>
      <c r="U826" s="227">
        <v>79.5</v>
      </c>
      <c r="V826" s="227">
        <v>79.5</v>
      </c>
      <c r="W826" s="227">
        <v>79.5</v>
      </c>
      <c r="X826" s="227">
        <v>79.5</v>
      </c>
      <c r="Y826" s="227">
        <v>79.5</v>
      </c>
      <c r="Z826" s="227">
        <v>79.5</v>
      </c>
      <c r="AA826" s="227">
        <v>79.5</v>
      </c>
      <c r="AB826" s="227">
        <v>20.088999999999999</v>
      </c>
      <c r="AC826" s="227">
        <v>774.65</v>
      </c>
      <c r="AD826" s="230">
        <v>2.3251157407407405E-4</v>
      </c>
      <c r="AE826" s="230">
        <v>120.53400000000001</v>
      </c>
      <c r="AF826" s="230">
        <v>3816</v>
      </c>
      <c r="AG826" s="230">
        <v>480907.44889991963</v>
      </c>
      <c r="AH826" s="230">
        <v>2940931.6542056487</v>
      </c>
      <c r="AI826" s="230">
        <v>4647.8999999999996</v>
      </c>
    </row>
    <row r="827" spans="5:35" x14ac:dyDescent="0.35">
      <c r="E827" s="226">
        <v>2.56704</v>
      </c>
      <c r="F827" s="227">
        <v>13.351956164383562</v>
      </c>
      <c r="G827" s="227">
        <v>4873.4639999999999</v>
      </c>
      <c r="H827" s="227">
        <v>0.96850000000000003</v>
      </c>
      <c r="I827" s="227">
        <v>3.2629999999999999</v>
      </c>
      <c r="J827" s="227">
        <v>0.55674498946749962</v>
      </c>
      <c r="K827" s="227">
        <v>137.97</v>
      </c>
      <c r="L827" s="227">
        <v>136.91999999999999</v>
      </c>
      <c r="M827" s="227">
        <v>135.07</v>
      </c>
      <c r="N827" s="227">
        <v>94.433000000000007</v>
      </c>
      <c r="O827" s="227">
        <v>100.38</v>
      </c>
      <c r="P827" s="227">
        <v>117.04</v>
      </c>
      <c r="Q827" s="227">
        <v>107.91</v>
      </c>
      <c r="R827" s="227">
        <v>113.24</v>
      </c>
      <c r="S827" s="227"/>
      <c r="T827" s="227">
        <v>79.5</v>
      </c>
      <c r="U827" s="227">
        <v>79.5</v>
      </c>
      <c r="V827" s="227">
        <v>79.5</v>
      </c>
      <c r="W827" s="227">
        <v>79.5</v>
      </c>
      <c r="X827" s="227">
        <v>79.5</v>
      </c>
      <c r="Y827" s="227">
        <v>79.5</v>
      </c>
      <c r="Z827" s="227">
        <v>79.5</v>
      </c>
      <c r="AA827" s="227">
        <v>79.5</v>
      </c>
      <c r="AB827" s="227">
        <v>20.036999999999999</v>
      </c>
      <c r="AC827" s="227">
        <v>774.65</v>
      </c>
      <c r="AD827" s="230">
        <v>2.3190972222222222E-4</v>
      </c>
      <c r="AE827" s="230">
        <v>120.22199999999999</v>
      </c>
      <c r="AF827" s="230">
        <v>3816</v>
      </c>
      <c r="AG827" s="230">
        <v>481027.67089991964</v>
      </c>
      <c r="AH827" s="230">
        <v>2944747.6542056487</v>
      </c>
      <c r="AI827" s="230">
        <v>4647.8999999999996</v>
      </c>
    </row>
    <row r="828" spans="5:35" x14ac:dyDescent="0.35">
      <c r="E828" s="226">
        <v>2.57104</v>
      </c>
      <c r="F828" s="227">
        <v>13.368394520547945</v>
      </c>
      <c r="G828" s="227">
        <v>4879.4639999999999</v>
      </c>
      <c r="H828" s="227">
        <v>0.96860000000000002</v>
      </c>
      <c r="I828" s="227">
        <v>3.2669999999999999</v>
      </c>
      <c r="J828" s="227">
        <v>0.55688376724527733</v>
      </c>
      <c r="K828" s="227">
        <v>137.93</v>
      </c>
      <c r="L828" s="227">
        <v>136.9</v>
      </c>
      <c r="M828" s="227">
        <v>135.04</v>
      </c>
      <c r="N828" s="227">
        <v>94.417000000000002</v>
      </c>
      <c r="O828" s="227">
        <v>100.36</v>
      </c>
      <c r="P828" s="227">
        <v>117.02</v>
      </c>
      <c r="Q828" s="227">
        <v>107.9</v>
      </c>
      <c r="R828" s="227">
        <v>113.22</v>
      </c>
      <c r="S828" s="227"/>
      <c r="T828" s="227">
        <v>79.5</v>
      </c>
      <c r="U828" s="227">
        <v>79.5</v>
      </c>
      <c r="V828" s="227">
        <v>79.5</v>
      </c>
      <c r="W828" s="227">
        <v>79.5</v>
      </c>
      <c r="X828" s="227">
        <v>79.5</v>
      </c>
      <c r="Y828" s="227">
        <v>79.5</v>
      </c>
      <c r="Z828" s="227">
        <v>79.5</v>
      </c>
      <c r="AA828" s="227">
        <v>79.5</v>
      </c>
      <c r="AB828" s="227">
        <v>19.984000000000002</v>
      </c>
      <c r="AC828" s="227">
        <v>774.65</v>
      </c>
      <c r="AD828" s="230">
        <v>2.3129629629629631E-4</v>
      </c>
      <c r="AE828" s="230">
        <v>119.90400000000001</v>
      </c>
      <c r="AF828" s="230">
        <v>3816</v>
      </c>
      <c r="AG828" s="230">
        <v>481147.57489991962</v>
      </c>
      <c r="AH828" s="230">
        <v>2948563.6542056487</v>
      </c>
      <c r="AI828" s="230">
        <v>4647.8999999999996</v>
      </c>
    </row>
    <row r="829" spans="5:35" x14ac:dyDescent="0.35">
      <c r="E829" s="226">
        <v>2.57504</v>
      </c>
      <c r="F829" s="227">
        <v>13.384832876712329</v>
      </c>
      <c r="G829" s="227">
        <v>4885.4639999999999</v>
      </c>
      <c r="H829" s="227">
        <v>0.96870000000000001</v>
      </c>
      <c r="I829" s="227">
        <v>3.2709999999999999</v>
      </c>
      <c r="J829" s="227">
        <v>0.55702218391194402</v>
      </c>
      <c r="K829" s="227">
        <v>137.9</v>
      </c>
      <c r="L829" s="227">
        <v>136.87</v>
      </c>
      <c r="M829" s="227">
        <v>135.01</v>
      </c>
      <c r="N829" s="227">
        <v>94.400999999999996</v>
      </c>
      <c r="O829" s="227">
        <v>100.35</v>
      </c>
      <c r="P829" s="227">
        <v>117.01</v>
      </c>
      <c r="Q829" s="227">
        <v>107.88</v>
      </c>
      <c r="R829" s="227">
        <v>113.21</v>
      </c>
      <c r="S829" s="227"/>
      <c r="T829" s="227">
        <v>79.5</v>
      </c>
      <c r="U829" s="227">
        <v>79.5</v>
      </c>
      <c r="V829" s="227">
        <v>79.5</v>
      </c>
      <c r="W829" s="227">
        <v>79.5</v>
      </c>
      <c r="X829" s="227">
        <v>79.5</v>
      </c>
      <c r="Y829" s="227">
        <v>79.5</v>
      </c>
      <c r="Z829" s="227">
        <v>79.5</v>
      </c>
      <c r="AA829" s="227">
        <v>79.5</v>
      </c>
      <c r="AB829" s="227">
        <v>19.931999999999999</v>
      </c>
      <c r="AC829" s="227">
        <v>774.65</v>
      </c>
      <c r="AD829" s="230">
        <v>2.3069444444444442E-4</v>
      </c>
      <c r="AE829" s="230">
        <v>119.592</v>
      </c>
      <c r="AF829" s="230">
        <v>3816</v>
      </c>
      <c r="AG829" s="230">
        <v>481267.16689991963</v>
      </c>
      <c r="AH829" s="230">
        <v>2952379.6542056487</v>
      </c>
      <c r="AI829" s="230">
        <v>4647.8999999999996</v>
      </c>
    </row>
    <row r="830" spans="5:35" x14ac:dyDescent="0.35">
      <c r="E830" s="226">
        <v>2.57904</v>
      </c>
      <c r="F830" s="227">
        <v>13.401271232876713</v>
      </c>
      <c r="G830" s="227">
        <v>4891.4639999999999</v>
      </c>
      <c r="H830" s="227">
        <v>0.96870000000000001</v>
      </c>
      <c r="I830" s="227">
        <v>3.2749999999999999</v>
      </c>
      <c r="J830" s="227">
        <v>0.5571602394674996</v>
      </c>
      <c r="K830" s="227">
        <v>137.87</v>
      </c>
      <c r="L830" s="227">
        <v>136.85</v>
      </c>
      <c r="M830" s="227">
        <v>134.97999999999999</v>
      </c>
      <c r="N830" s="227">
        <v>94.384</v>
      </c>
      <c r="O830" s="227">
        <v>100.34</v>
      </c>
      <c r="P830" s="227">
        <v>116.99</v>
      </c>
      <c r="Q830" s="227">
        <v>107.87</v>
      </c>
      <c r="R830" s="227">
        <v>113.19</v>
      </c>
      <c r="S830" s="227"/>
      <c r="T830" s="227">
        <v>79.5</v>
      </c>
      <c r="U830" s="227">
        <v>79.5</v>
      </c>
      <c r="V830" s="227">
        <v>79.5</v>
      </c>
      <c r="W830" s="227">
        <v>79.5</v>
      </c>
      <c r="X830" s="227">
        <v>79.5</v>
      </c>
      <c r="Y830" s="227">
        <v>79.5</v>
      </c>
      <c r="Z830" s="227">
        <v>79.5</v>
      </c>
      <c r="AA830" s="227">
        <v>79.5</v>
      </c>
      <c r="AB830" s="227">
        <v>19.88</v>
      </c>
      <c r="AC830" s="227">
        <v>774.65</v>
      </c>
      <c r="AD830" s="230">
        <v>2.3009259259259258E-4</v>
      </c>
      <c r="AE830" s="230">
        <v>119.27999999999999</v>
      </c>
      <c r="AF830" s="230">
        <v>3816</v>
      </c>
      <c r="AG830" s="230">
        <v>481386.44689991965</v>
      </c>
      <c r="AH830" s="230">
        <v>2956195.6542056487</v>
      </c>
      <c r="AI830" s="230">
        <v>4647.8999999999996</v>
      </c>
    </row>
    <row r="831" spans="5:35" x14ac:dyDescent="0.35">
      <c r="E831" s="226">
        <v>2.58304</v>
      </c>
      <c r="F831" s="227">
        <v>13.417709589041095</v>
      </c>
      <c r="G831" s="227">
        <v>4897.4639999999999</v>
      </c>
      <c r="H831" s="227">
        <v>0.96879999999999999</v>
      </c>
      <c r="I831" s="227">
        <v>3.2789999999999999</v>
      </c>
      <c r="J831" s="227">
        <v>0.55729793391194404</v>
      </c>
      <c r="K831" s="227">
        <v>137.83000000000001</v>
      </c>
      <c r="L831" s="227">
        <v>136.82</v>
      </c>
      <c r="M831" s="227">
        <v>134.94999999999999</v>
      </c>
      <c r="N831" s="227">
        <v>94.367999999999995</v>
      </c>
      <c r="O831" s="227">
        <v>100.32</v>
      </c>
      <c r="P831" s="227">
        <v>116.97</v>
      </c>
      <c r="Q831" s="227">
        <v>107.86</v>
      </c>
      <c r="R831" s="227">
        <v>113.18</v>
      </c>
      <c r="S831" s="227"/>
      <c r="T831" s="227">
        <v>79.5</v>
      </c>
      <c r="U831" s="227">
        <v>79.5</v>
      </c>
      <c r="V831" s="227">
        <v>79.5</v>
      </c>
      <c r="W831" s="227">
        <v>79.5</v>
      </c>
      <c r="X831" s="227">
        <v>79.5</v>
      </c>
      <c r="Y831" s="227">
        <v>79.5</v>
      </c>
      <c r="Z831" s="227">
        <v>79.5</v>
      </c>
      <c r="AA831" s="227">
        <v>79.5</v>
      </c>
      <c r="AB831" s="227">
        <v>19.827999999999999</v>
      </c>
      <c r="AC831" s="227">
        <v>774.65</v>
      </c>
      <c r="AD831" s="230">
        <v>2.2949074074074075E-4</v>
      </c>
      <c r="AE831" s="230">
        <v>118.968</v>
      </c>
      <c r="AF831" s="230">
        <v>3816</v>
      </c>
      <c r="AG831" s="230">
        <v>481505.41489991965</v>
      </c>
      <c r="AH831" s="230">
        <v>2960011.6542056487</v>
      </c>
      <c r="AI831" s="230">
        <v>4647.8999999999996</v>
      </c>
    </row>
    <row r="832" spans="5:35" x14ac:dyDescent="0.35">
      <c r="E832" s="226">
        <v>2.5871400000000002</v>
      </c>
      <c r="F832" s="227">
        <v>13.43414794520548</v>
      </c>
      <c r="G832" s="227">
        <v>4903.4639999999999</v>
      </c>
      <c r="H832" s="227">
        <v>0.96889999999999998</v>
      </c>
      <c r="I832" s="227">
        <v>3.2831000000000001</v>
      </c>
      <c r="J832" s="227">
        <v>0.55743526724527737</v>
      </c>
      <c r="K832" s="227">
        <v>137.81</v>
      </c>
      <c r="L832" s="227">
        <v>136.80000000000001</v>
      </c>
      <c r="M832" s="227">
        <v>134.93</v>
      </c>
      <c r="N832" s="227">
        <v>94.352000000000004</v>
      </c>
      <c r="O832" s="227">
        <v>100.31</v>
      </c>
      <c r="P832" s="227">
        <v>116.95</v>
      </c>
      <c r="Q832" s="227">
        <v>107.85</v>
      </c>
      <c r="R832" s="227">
        <v>113.16</v>
      </c>
      <c r="S832" s="227"/>
      <c r="T832" s="227">
        <v>79.5</v>
      </c>
      <c r="U832" s="227">
        <v>79.5</v>
      </c>
      <c r="V832" s="227">
        <v>79.5</v>
      </c>
      <c r="W832" s="227">
        <v>79.5</v>
      </c>
      <c r="X832" s="227">
        <v>79.5</v>
      </c>
      <c r="Y832" s="227">
        <v>79.5</v>
      </c>
      <c r="Z832" s="227">
        <v>79.5</v>
      </c>
      <c r="AA832" s="227">
        <v>79.5</v>
      </c>
      <c r="AB832" s="227">
        <v>19.776</v>
      </c>
      <c r="AC832" s="227">
        <v>774.65</v>
      </c>
      <c r="AD832" s="230">
        <v>2.2888888888888888E-4</v>
      </c>
      <c r="AE832" s="230">
        <v>118.65599999999999</v>
      </c>
      <c r="AF832" s="230">
        <v>3816</v>
      </c>
      <c r="AG832" s="230">
        <v>481624.07089991966</v>
      </c>
      <c r="AH832" s="230">
        <v>2963827.6542056487</v>
      </c>
      <c r="AI832" s="230">
        <v>4647.8999999999996</v>
      </c>
    </row>
    <row r="833" spans="5:35" x14ac:dyDescent="0.35">
      <c r="E833" s="226">
        <v>2.5911400000000002</v>
      </c>
      <c r="F833" s="227">
        <v>13.450586301369864</v>
      </c>
      <c r="G833" s="227">
        <v>4909.4639999999999</v>
      </c>
      <c r="H833" s="227">
        <v>0.96899999999999997</v>
      </c>
      <c r="I833" s="227">
        <v>3.2871000000000001</v>
      </c>
      <c r="J833" s="227">
        <v>0.55757224641194403</v>
      </c>
      <c r="K833" s="227">
        <v>137.77000000000001</v>
      </c>
      <c r="L833" s="227">
        <v>136.78</v>
      </c>
      <c r="M833" s="227">
        <v>134.9</v>
      </c>
      <c r="N833" s="227">
        <v>94.335999999999999</v>
      </c>
      <c r="O833" s="227">
        <v>100.3</v>
      </c>
      <c r="P833" s="227">
        <v>116.93</v>
      </c>
      <c r="Q833" s="227">
        <v>107.84</v>
      </c>
      <c r="R833" s="227">
        <v>113.15</v>
      </c>
      <c r="S833" s="227"/>
      <c r="T833" s="227">
        <v>79.5</v>
      </c>
      <c r="U833" s="227">
        <v>79.5</v>
      </c>
      <c r="V833" s="227">
        <v>79.5</v>
      </c>
      <c r="W833" s="227">
        <v>79.5</v>
      </c>
      <c r="X833" s="227">
        <v>79.5</v>
      </c>
      <c r="Y833" s="227">
        <v>79.5</v>
      </c>
      <c r="Z833" s="227">
        <v>79.5</v>
      </c>
      <c r="AA833" s="227">
        <v>79.5</v>
      </c>
      <c r="AB833" s="227">
        <v>19.725000000000001</v>
      </c>
      <c r="AC833" s="227">
        <v>774.65</v>
      </c>
      <c r="AD833" s="230">
        <v>2.2829861111111114E-4</v>
      </c>
      <c r="AE833" s="230">
        <v>118.35000000000001</v>
      </c>
      <c r="AF833" s="230">
        <v>3816</v>
      </c>
      <c r="AG833" s="230">
        <v>481742.42089991964</v>
      </c>
      <c r="AH833" s="230">
        <v>2967643.6542056487</v>
      </c>
      <c r="AI833" s="230">
        <v>4647.8999999999996</v>
      </c>
    </row>
    <row r="834" spans="5:35" x14ac:dyDescent="0.35">
      <c r="E834" s="226">
        <v>2.5951400000000002</v>
      </c>
      <c r="F834" s="227">
        <v>13.467024657534246</v>
      </c>
      <c r="G834" s="227">
        <v>4915.4639999999999</v>
      </c>
      <c r="H834" s="227">
        <v>0.96909999999999996</v>
      </c>
      <c r="I834" s="227">
        <v>3.2911000000000001</v>
      </c>
      <c r="J834" s="227">
        <v>0.55770887141194403</v>
      </c>
      <c r="K834" s="227">
        <v>137.74</v>
      </c>
      <c r="L834" s="227">
        <v>136.76</v>
      </c>
      <c r="M834" s="227">
        <v>134.87</v>
      </c>
      <c r="N834" s="227">
        <v>94.319000000000003</v>
      </c>
      <c r="O834" s="227">
        <v>100.28</v>
      </c>
      <c r="P834" s="227">
        <v>116.91</v>
      </c>
      <c r="Q834" s="227">
        <v>107.83</v>
      </c>
      <c r="R834" s="227">
        <v>113.13</v>
      </c>
      <c r="S834" s="227"/>
      <c r="T834" s="227">
        <v>79.5</v>
      </c>
      <c r="U834" s="227">
        <v>79.5</v>
      </c>
      <c r="V834" s="227">
        <v>79.5</v>
      </c>
      <c r="W834" s="227">
        <v>79.5</v>
      </c>
      <c r="X834" s="227">
        <v>79.5</v>
      </c>
      <c r="Y834" s="227">
        <v>79.5</v>
      </c>
      <c r="Z834" s="227">
        <v>79.5</v>
      </c>
      <c r="AA834" s="227">
        <v>79.5</v>
      </c>
      <c r="AB834" s="227">
        <v>19.673999999999999</v>
      </c>
      <c r="AC834" s="227">
        <v>774.65</v>
      </c>
      <c r="AD834" s="230">
        <v>2.2770833333333332E-4</v>
      </c>
      <c r="AE834" s="230">
        <v>118.04399999999998</v>
      </c>
      <c r="AF834" s="230">
        <v>3816</v>
      </c>
      <c r="AG834" s="230">
        <v>481860.46489991964</v>
      </c>
      <c r="AH834" s="230">
        <v>2971459.6542056487</v>
      </c>
      <c r="AI834" s="230">
        <v>4647.8999999999996</v>
      </c>
    </row>
    <row r="835" spans="5:35" x14ac:dyDescent="0.35">
      <c r="E835" s="226">
        <v>2.5991400000000002</v>
      </c>
      <c r="F835" s="227">
        <v>13.48346301369863</v>
      </c>
      <c r="G835" s="227">
        <v>4921.4639999999999</v>
      </c>
      <c r="H835" s="227">
        <v>0.96909999999999996</v>
      </c>
      <c r="I835" s="227">
        <v>3.2951000000000001</v>
      </c>
      <c r="J835" s="227">
        <v>0.55784514224527737</v>
      </c>
      <c r="K835" s="227">
        <v>137.71</v>
      </c>
      <c r="L835" s="227">
        <v>136.72999999999999</v>
      </c>
      <c r="M835" s="227">
        <v>134.84</v>
      </c>
      <c r="N835" s="227">
        <v>94.304000000000002</v>
      </c>
      <c r="O835" s="227">
        <v>100.27</v>
      </c>
      <c r="P835" s="227">
        <v>116.89</v>
      </c>
      <c r="Q835" s="227">
        <v>107.82</v>
      </c>
      <c r="R835" s="227">
        <v>113.12</v>
      </c>
      <c r="S835" s="227"/>
      <c r="T835" s="227">
        <v>79.5</v>
      </c>
      <c r="U835" s="227">
        <v>79.5</v>
      </c>
      <c r="V835" s="227">
        <v>79.5</v>
      </c>
      <c r="W835" s="227">
        <v>79.5</v>
      </c>
      <c r="X835" s="227">
        <v>79.5</v>
      </c>
      <c r="Y835" s="227">
        <v>79.5</v>
      </c>
      <c r="Z835" s="227">
        <v>79.5</v>
      </c>
      <c r="AA835" s="227">
        <v>79.5</v>
      </c>
      <c r="AB835" s="227">
        <v>19.623000000000001</v>
      </c>
      <c r="AC835" s="227">
        <v>774.65</v>
      </c>
      <c r="AD835" s="230">
        <v>2.2711805555555557E-4</v>
      </c>
      <c r="AE835" s="230">
        <v>117.738</v>
      </c>
      <c r="AF835" s="230">
        <v>3816</v>
      </c>
      <c r="AG835" s="230">
        <v>481978.20289991965</v>
      </c>
      <c r="AH835" s="230">
        <v>2975275.6542056487</v>
      </c>
      <c r="AI835" s="230">
        <v>4647.8999999999996</v>
      </c>
    </row>
    <row r="836" spans="5:35" x14ac:dyDescent="0.35">
      <c r="E836" s="226">
        <v>2.6031400000000002</v>
      </c>
      <c r="F836" s="227">
        <v>13.499901369863014</v>
      </c>
      <c r="G836" s="227">
        <v>4927.4639999999999</v>
      </c>
      <c r="H836" s="227">
        <v>0.96919999999999995</v>
      </c>
      <c r="I836" s="227">
        <v>3.2991000000000001</v>
      </c>
      <c r="J836" s="227">
        <v>0.55798106585638851</v>
      </c>
      <c r="K836" s="227">
        <v>137.68</v>
      </c>
      <c r="L836" s="227">
        <v>136.71</v>
      </c>
      <c r="M836" s="227">
        <v>134.81</v>
      </c>
      <c r="N836" s="227">
        <v>94.287999999999997</v>
      </c>
      <c r="O836" s="227">
        <v>100.26</v>
      </c>
      <c r="P836" s="227">
        <v>116.87</v>
      </c>
      <c r="Q836" s="227">
        <v>107.8</v>
      </c>
      <c r="R836" s="227">
        <v>113.1</v>
      </c>
      <c r="S836" s="227"/>
      <c r="T836" s="227">
        <v>79.5</v>
      </c>
      <c r="U836" s="227">
        <v>79.5</v>
      </c>
      <c r="V836" s="227">
        <v>79.5</v>
      </c>
      <c r="W836" s="227">
        <v>79.5</v>
      </c>
      <c r="X836" s="227">
        <v>79.5</v>
      </c>
      <c r="Y836" s="227">
        <v>79.5</v>
      </c>
      <c r="Z836" s="227">
        <v>79.5</v>
      </c>
      <c r="AA836" s="227">
        <v>79.5</v>
      </c>
      <c r="AB836" s="227">
        <v>19.573</v>
      </c>
      <c r="AC836" s="227">
        <v>774.65</v>
      </c>
      <c r="AD836" s="230">
        <v>2.2653935185185185E-4</v>
      </c>
      <c r="AE836" s="230">
        <v>117.43799999999999</v>
      </c>
      <c r="AF836" s="230">
        <v>3816</v>
      </c>
      <c r="AG836" s="230">
        <v>482095.64089991967</v>
      </c>
      <c r="AH836" s="230">
        <v>2979091.6542056487</v>
      </c>
      <c r="AI836" s="230">
        <v>4647.8999999999996</v>
      </c>
    </row>
    <row r="837" spans="5:35" x14ac:dyDescent="0.35">
      <c r="E837" s="226">
        <v>2.6071400000000002</v>
      </c>
      <c r="F837" s="227">
        <v>13.516339726027397</v>
      </c>
      <c r="G837" s="227">
        <v>4933.4639999999999</v>
      </c>
      <c r="H837" s="227">
        <v>0.96930000000000005</v>
      </c>
      <c r="I837" s="227">
        <v>3.3031000000000001</v>
      </c>
      <c r="J837" s="227">
        <v>0.55811663530083289</v>
      </c>
      <c r="K837" s="227">
        <v>137.65</v>
      </c>
      <c r="L837" s="227">
        <v>136.69</v>
      </c>
      <c r="M837" s="227">
        <v>134.79</v>
      </c>
      <c r="N837" s="227">
        <v>94.272000000000006</v>
      </c>
      <c r="O837" s="227">
        <v>100.24</v>
      </c>
      <c r="P837" s="227">
        <v>116.86</v>
      </c>
      <c r="Q837" s="227">
        <v>107.79</v>
      </c>
      <c r="R837" s="227">
        <v>113.09</v>
      </c>
      <c r="S837" s="227"/>
      <c r="T837" s="227">
        <v>79.5</v>
      </c>
      <c r="U837" s="227">
        <v>79.5</v>
      </c>
      <c r="V837" s="227">
        <v>79.5</v>
      </c>
      <c r="W837" s="227">
        <v>79.5</v>
      </c>
      <c r="X837" s="227">
        <v>79.5</v>
      </c>
      <c r="Y837" s="227">
        <v>79.5</v>
      </c>
      <c r="Z837" s="227">
        <v>79.5</v>
      </c>
      <c r="AA837" s="227">
        <v>79.5</v>
      </c>
      <c r="AB837" s="227">
        <v>19.521999999999998</v>
      </c>
      <c r="AC837" s="227">
        <v>774.65</v>
      </c>
      <c r="AD837" s="230">
        <v>2.2594907407407405E-4</v>
      </c>
      <c r="AE837" s="230">
        <v>117.13199999999999</v>
      </c>
      <c r="AF837" s="230">
        <v>3816</v>
      </c>
      <c r="AG837" s="230">
        <v>482212.77289991966</v>
      </c>
      <c r="AH837" s="230">
        <v>2982907.6542056487</v>
      </c>
      <c r="AI837" s="230">
        <v>4647.8999999999996</v>
      </c>
    </row>
    <row r="838" spans="5:35" x14ac:dyDescent="0.35">
      <c r="E838" s="226">
        <v>2.61124</v>
      </c>
      <c r="F838" s="227">
        <v>13.532778082191781</v>
      </c>
      <c r="G838" s="227">
        <v>4939.4639999999999</v>
      </c>
      <c r="H838" s="227">
        <v>0.96940000000000004</v>
      </c>
      <c r="I838" s="227">
        <v>3.3071999999999999</v>
      </c>
      <c r="J838" s="227">
        <v>0.55825185752305517</v>
      </c>
      <c r="K838" s="227">
        <v>137.62</v>
      </c>
      <c r="L838" s="227">
        <v>136.66999999999999</v>
      </c>
      <c r="M838" s="227">
        <v>134.76</v>
      </c>
      <c r="N838" s="227">
        <v>94.256</v>
      </c>
      <c r="O838" s="227">
        <v>100.23</v>
      </c>
      <c r="P838" s="227">
        <v>116.84</v>
      </c>
      <c r="Q838" s="227">
        <v>107.78</v>
      </c>
      <c r="R838" s="227">
        <v>113.08</v>
      </c>
      <c r="S838" s="227"/>
      <c r="T838" s="227">
        <v>79.5</v>
      </c>
      <c r="U838" s="227">
        <v>79.5</v>
      </c>
      <c r="V838" s="227">
        <v>79.5</v>
      </c>
      <c r="W838" s="227">
        <v>79.5</v>
      </c>
      <c r="X838" s="227">
        <v>79.5</v>
      </c>
      <c r="Y838" s="227">
        <v>79.5</v>
      </c>
      <c r="Z838" s="227">
        <v>79.5</v>
      </c>
      <c r="AA838" s="227">
        <v>79.5</v>
      </c>
      <c r="AB838" s="227">
        <v>19.472000000000001</v>
      </c>
      <c r="AC838" s="227">
        <v>774.65</v>
      </c>
      <c r="AD838" s="230">
        <v>2.2537037037037038E-4</v>
      </c>
      <c r="AE838" s="230">
        <v>116.83200000000001</v>
      </c>
      <c r="AF838" s="230">
        <v>3816</v>
      </c>
      <c r="AG838" s="230">
        <v>482329.60489991965</v>
      </c>
      <c r="AH838" s="230">
        <v>2986723.6542056487</v>
      </c>
      <c r="AI838" s="230">
        <v>4647.8999999999996</v>
      </c>
    </row>
    <row r="839" spans="5:35" x14ac:dyDescent="0.35">
      <c r="E839" s="226">
        <v>2.61524</v>
      </c>
      <c r="F839" s="227">
        <v>13.549216438356165</v>
      </c>
      <c r="G839" s="227">
        <v>4945.4639999999999</v>
      </c>
      <c r="H839" s="227">
        <v>0.96950000000000003</v>
      </c>
      <c r="I839" s="227">
        <v>3.3111999999999999</v>
      </c>
      <c r="J839" s="227">
        <v>0.55838673252305515</v>
      </c>
      <c r="K839" s="227">
        <v>137.58000000000001</v>
      </c>
      <c r="L839" s="227">
        <v>136.63999999999999</v>
      </c>
      <c r="M839" s="227">
        <v>134.72999999999999</v>
      </c>
      <c r="N839" s="227">
        <v>94.24</v>
      </c>
      <c r="O839" s="227">
        <v>100.22</v>
      </c>
      <c r="P839" s="227">
        <v>116.82</v>
      </c>
      <c r="Q839" s="227">
        <v>107.77</v>
      </c>
      <c r="R839" s="227">
        <v>113.06</v>
      </c>
      <c r="S839" s="227"/>
      <c r="T839" s="227">
        <v>79.5</v>
      </c>
      <c r="U839" s="227">
        <v>79.5</v>
      </c>
      <c r="V839" s="227">
        <v>79.5</v>
      </c>
      <c r="W839" s="227">
        <v>79.5</v>
      </c>
      <c r="X839" s="227">
        <v>79.5</v>
      </c>
      <c r="Y839" s="227">
        <v>79.5</v>
      </c>
      <c r="Z839" s="227">
        <v>79.5</v>
      </c>
      <c r="AA839" s="227">
        <v>79.5</v>
      </c>
      <c r="AB839" s="227">
        <v>19.422000000000001</v>
      </c>
      <c r="AC839" s="227">
        <v>774.65</v>
      </c>
      <c r="AD839" s="230">
        <v>2.2479166666666668E-4</v>
      </c>
      <c r="AE839" s="230">
        <v>116.53200000000001</v>
      </c>
      <c r="AF839" s="230">
        <v>3816</v>
      </c>
      <c r="AG839" s="230">
        <v>482446.13689991966</v>
      </c>
      <c r="AH839" s="230">
        <v>2990539.6542056487</v>
      </c>
      <c r="AI839" s="230">
        <v>4647.8999999999996</v>
      </c>
    </row>
    <row r="840" spans="5:35" x14ac:dyDescent="0.35">
      <c r="E840" s="226">
        <v>2.61924</v>
      </c>
      <c r="F840" s="227">
        <v>13.565654794520547</v>
      </c>
      <c r="G840" s="227">
        <v>4951.4639999999999</v>
      </c>
      <c r="H840" s="227">
        <v>0.96950000000000003</v>
      </c>
      <c r="I840" s="227">
        <v>3.3151999999999999</v>
      </c>
      <c r="J840" s="227">
        <v>0.55852126030083293</v>
      </c>
      <c r="K840" s="227">
        <v>137.56</v>
      </c>
      <c r="L840" s="227">
        <v>136.62</v>
      </c>
      <c r="M840" s="227">
        <v>134.71</v>
      </c>
      <c r="N840" s="227">
        <v>94.224999999999994</v>
      </c>
      <c r="O840" s="227">
        <v>100.2</v>
      </c>
      <c r="P840" s="227">
        <v>116.8</v>
      </c>
      <c r="Q840" s="227">
        <v>107.76</v>
      </c>
      <c r="R840" s="227">
        <v>113.05</v>
      </c>
      <c r="S840" s="227"/>
      <c r="T840" s="227">
        <v>79.5</v>
      </c>
      <c r="U840" s="227">
        <v>79.5</v>
      </c>
      <c r="V840" s="227">
        <v>79.5</v>
      </c>
      <c r="W840" s="227">
        <v>79.5</v>
      </c>
      <c r="X840" s="227">
        <v>79.5</v>
      </c>
      <c r="Y840" s="227">
        <v>79.5</v>
      </c>
      <c r="Z840" s="227">
        <v>79.5</v>
      </c>
      <c r="AA840" s="227">
        <v>79.5</v>
      </c>
      <c r="AB840" s="227">
        <v>19.372</v>
      </c>
      <c r="AC840" s="227">
        <v>774.65</v>
      </c>
      <c r="AD840" s="230">
        <v>2.2421296296296295E-4</v>
      </c>
      <c r="AE840" s="230">
        <v>116.232</v>
      </c>
      <c r="AF840" s="230">
        <v>3816</v>
      </c>
      <c r="AG840" s="230">
        <v>482562.36889991967</v>
      </c>
      <c r="AH840" s="230">
        <v>2994355.6542056487</v>
      </c>
      <c r="AI840" s="230">
        <v>4647.8999999999996</v>
      </c>
    </row>
    <row r="841" spans="5:35" x14ac:dyDescent="0.35">
      <c r="E841" s="226">
        <v>2.62324</v>
      </c>
      <c r="F841" s="227">
        <v>13.582093150684932</v>
      </c>
      <c r="G841" s="227">
        <v>4957.4639999999999</v>
      </c>
      <c r="H841" s="227">
        <v>0.96960000000000002</v>
      </c>
      <c r="I841" s="227">
        <v>3.3191999999999999</v>
      </c>
      <c r="J841" s="227">
        <v>0.55865544780083298</v>
      </c>
      <c r="K841" s="227">
        <v>137.53</v>
      </c>
      <c r="L841" s="227">
        <v>136.6</v>
      </c>
      <c r="M841" s="227">
        <v>134.68</v>
      </c>
      <c r="N841" s="227">
        <v>94.209000000000003</v>
      </c>
      <c r="O841" s="227">
        <v>100.19</v>
      </c>
      <c r="P841" s="227">
        <v>116.78</v>
      </c>
      <c r="Q841" s="227">
        <v>107.75</v>
      </c>
      <c r="R841" s="227">
        <v>113.03</v>
      </c>
      <c r="S841" s="227"/>
      <c r="T841" s="227">
        <v>79.5</v>
      </c>
      <c r="U841" s="227">
        <v>79.5</v>
      </c>
      <c r="V841" s="227">
        <v>79.5</v>
      </c>
      <c r="W841" s="227">
        <v>79.5</v>
      </c>
      <c r="X841" s="227">
        <v>79.5</v>
      </c>
      <c r="Y841" s="227">
        <v>79.5</v>
      </c>
      <c r="Z841" s="227">
        <v>79.5</v>
      </c>
      <c r="AA841" s="227">
        <v>79.5</v>
      </c>
      <c r="AB841" s="227">
        <v>19.323</v>
      </c>
      <c r="AC841" s="227">
        <v>774.65</v>
      </c>
      <c r="AD841" s="230">
        <v>2.2364583333333335E-4</v>
      </c>
      <c r="AE841" s="230">
        <v>115.93800000000002</v>
      </c>
      <c r="AF841" s="230">
        <v>3816</v>
      </c>
      <c r="AG841" s="230">
        <v>482678.3068999197</v>
      </c>
      <c r="AH841" s="230">
        <v>2998171.6542056487</v>
      </c>
      <c r="AI841" s="230">
        <v>4647.8999999999996</v>
      </c>
    </row>
    <row r="842" spans="5:35" x14ac:dyDescent="0.35">
      <c r="E842" s="226">
        <v>2.62724</v>
      </c>
      <c r="F842" s="227">
        <v>13.598531506849316</v>
      </c>
      <c r="G842" s="227">
        <v>4963.4639999999999</v>
      </c>
      <c r="H842" s="227">
        <v>0.96970000000000001</v>
      </c>
      <c r="I842" s="227">
        <v>3.3231999999999999</v>
      </c>
      <c r="J842" s="227">
        <v>0.55878928113416626</v>
      </c>
      <c r="K842" s="227">
        <v>137.49</v>
      </c>
      <c r="L842" s="227">
        <v>136.58000000000001</v>
      </c>
      <c r="M842" s="227">
        <v>134.65</v>
      </c>
      <c r="N842" s="227">
        <v>94.194000000000003</v>
      </c>
      <c r="O842" s="227">
        <v>100.17</v>
      </c>
      <c r="P842" s="227">
        <v>116.76</v>
      </c>
      <c r="Q842" s="227">
        <v>107.73</v>
      </c>
      <c r="R842" s="227">
        <v>113.02</v>
      </c>
      <c r="S842" s="227"/>
      <c r="T842" s="227">
        <v>79.5</v>
      </c>
      <c r="U842" s="227">
        <v>79.5</v>
      </c>
      <c r="V842" s="227">
        <v>79.5</v>
      </c>
      <c r="W842" s="227">
        <v>79.5</v>
      </c>
      <c r="X842" s="227">
        <v>79.5</v>
      </c>
      <c r="Y842" s="227">
        <v>79.5</v>
      </c>
      <c r="Z842" s="227">
        <v>79.5</v>
      </c>
      <c r="AA842" s="227">
        <v>79.5</v>
      </c>
      <c r="AB842" s="227">
        <v>19.271999999999998</v>
      </c>
      <c r="AC842" s="227">
        <v>774.65</v>
      </c>
      <c r="AD842" s="230">
        <v>2.2305555555555555E-4</v>
      </c>
      <c r="AE842" s="230">
        <v>115.63199999999999</v>
      </c>
      <c r="AF842" s="230">
        <v>3816</v>
      </c>
      <c r="AG842" s="230">
        <v>482793.93889991968</v>
      </c>
      <c r="AH842" s="230">
        <v>3001987.6542056487</v>
      </c>
      <c r="AI842" s="230">
        <v>4647.8999999999996</v>
      </c>
    </row>
    <row r="843" spans="5:35" x14ac:dyDescent="0.35">
      <c r="E843" s="226">
        <v>2.63124</v>
      </c>
      <c r="F843" s="227">
        <v>13.614969863013698</v>
      </c>
      <c r="G843" s="227">
        <v>4969.4639999999999</v>
      </c>
      <c r="H843" s="227">
        <v>0.9698</v>
      </c>
      <c r="I843" s="227">
        <v>3.3271999999999999</v>
      </c>
      <c r="J843" s="227">
        <v>0.5589227741897218</v>
      </c>
      <c r="K843" s="227">
        <v>137.46</v>
      </c>
      <c r="L843" s="227">
        <v>136.55000000000001</v>
      </c>
      <c r="M843" s="227">
        <v>134.62</v>
      </c>
      <c r="N843" s="227">
        <v>94.179000000000002</v>
      </c>
      <c r="O843" s="227">
        <v>100.16</v>
      </c>
      <c r="P843" s="227">
        <v>116.74</v>
      </c>
      <c r="Q843" s="227">
        <v>107.72</v>
      </c>
      <c r="R843" s="227">
        <v>113</v>
      </c>
      <c r="S843" s="227"/>
      <c r="T843" s="227">
        <v>79.5</v>
      </c>
      <c r="U843" s="227">
        <v>79.5</v>
      </c>
      <c r="V843" s="227">
        <v>79.5</v>
      </c>
      <c r="W843" s="227">
        <v>79.5</v>
      </c>
      <c r="X843" s="227">
        <v>79.5</v>
      </c>
      <c r="Y843" s="227">
        <v>79.5</v>
      </c>
      <c r="Z843" s="227">
        <v>79.5</v>
      </c>
      <c r="AA843" s="227">
        <v>79.5</v>
      </c>
      <c r="AB843" s="227">
        <v>19.222999999999999</v>
      </c>
      <c r="AC843" s="227">
        <v>774.65</v>
      </c>
      <c r="AD843" s="230">
        <v>2.2248842592592592E-4</v>
      </c>
      <c r="AE843" s="230">
        <v>115.33799999999999</v>
      </c>
      <c r="AF843" s="230">
        <v>3816</v>
      </c>
      <c r="AG843" s="230">
        <v>482909.27689991967</v>
      </c>
      <c r="AH843" s="230">
        <v>3005803.6542056487</v>
      </c>
      <c r="AI843" s="230">
        <v>4647.8999999999996</v>
      </c>
    </row>
    <row r="844" spans="5:35" x14ac:dyDescent="0.35">
      <c r="E844" s="226">
        <v>2.6353400000000002</v>
      </c>
      <c r="F844" s="227">
        <v>13.631408219178082</v>
      </c>
      <c r="G844" s="227">
        <v>4975.4639999999999</v>
      </c>
      <c r="H844" s="227">
        <v>0.96989999999999998</v>
      </c>
      <c r="I844" s="227">
        <v>3.3313000000000001</v>
      </c>
      <c r="J844" s="227">
        <v>0.55905592002305515</v>
      </c>
      <c r="K844" s="227">
        <v>137.43</v>
      </c>
      <c r="L844" s="227">
        <v>136.53</v>
      </c>
      <c r="M844" s="227">
        <v>134.59</v>
      </c>
      <c r="N844" s="227">
        <v>94.162999999999997</v>
      </c>
      <c r="O844" s="227">
        <v>100.15</v>
      </c>
      <c r="P844" s="227">
        <v>116.72</v>
      </c>
      <c r="Q844" s="227">
        <v>107.71</v>
      </c>
      <c r="R844" s="227">
        <v>112.99</v>
      </c>
      <c r="S844" s="227"/>
      <c r="T844" s="227">
        <v>79.5</v>
      </c>
      <c r="U844" s="227">
        <v>79.5</v>
      </c>
      <c r="V844" s="227">
        <v>79.5</v>
      </c>
      <c r="W844" s="227">
        <v>79.5</v>
      </c>
      <c r="X844" s="227">
        <v>79.5</v>
      </c>
      <c r="Y844" s="227">
        <v>79.5</v>
      </c>
      <c r="Z844" s="227">
        <v>79.5</v>
      </c>
      <c r="AA844" s="227">
        <v>79.5</v>
      </c>
      <c r="AB844" s="227">
        <v>19.172999999999998</v>
      </c>
      <c r="AC844" s="227">
        <v>774.65</v>
      </c>
      <c r="AD844" s="230">
        <v>2.2190972222222219E-4</v>
      </c>
      <c r="AE844" s="230">
        <v>115.03799999999998</v>
      </c>
      <c r="AF844" s="230">
        <v>3816</v>
      </c>
      <c r="AG844" s="230">
        <v>483024.31489991967</v>
      </c>
      <c r="AH844" s="230">
        <v>3009619.6542056487</v>
      </c>
      <c r="AI844" s="230">
        <v>4647.8999999999996</v>
      </c>
    </row>
    <row r="845" spans="5:35" x14ac:dyDescent="0.35">
      <c r="E845" s="226">
        <v>2.6393400000000002</v>
      </c>
      <c r="F845" s="227">
        <v>13.647846575342466</v>
      </c>
      <c r="G845" s="227">
        <v>4981.4639999999999</v>
      </c>
      <c r="H845" s="227">
        <v>0.96989999999999998</v>
      </c>
      <c r="I845" s="227">
        <v>3.3353000000000002</v>
      </c>
      <c r="J845" s="227">
        <v>0.55918873252305512</v>
      </c>
      <c r="K845" s="227">
        <v>137.4</v>
      </c>
      <c r="L845" s="227">
        <v>136.51</v>
      </c>
      <c r="M845" s="227">
        <v>134.57</v>
      </c>
      <c r="N845" s="227">
        <v>94.146000000000001</v>
      </c>
      <c r="O845" s="227">
        <v>100.14</v>
      </c>
      <c r="P845" s="227">
        <v>116.71</v>
      </c>
      <c r="Q845" s="227">
        <v>107.7</v>
      </c>
      <c r="R845" s="227">
        <v>112.98</v>
      </c>
      <c r="S845" s="227"/>
      <c r="T845" s="227">
        <v>79.5</v>
      </c>
      <c r="U845" s="227">
        <v>79.5</v>
      </c>
      <c r="V845" s="227">
        <v>79.5</v>
      </c>
      <c r="W845" s="227">
        <v>79.5</v>
      </c>
      <c r="X845" s="227">
        <v>79.5</v>
      </c>
      <c r="Y845" s="227">
        <v>79.5</v>
      </c>
      <c r="Z845" s="227">
        <v>79.5</v>
      </c>
      <c r="AA845" s="227">
        <v>79.5</v>
      </c>
      <c r="AB845" s="227">
        <v>19.125</v>
      </c>
      <c r="AC845" s="227">
        <v>774.65</v>
      </c>
      <c r="AD845" s="230">
        <v>2.2135416666666666E-4</v>
      </c>
      <c r="AE845" s="230">
        <v>114.74999999999999</v>
      </c>
      <c r="AF845" s="230">
        <v>3816</v>
      </c>
      <c r="AG845" s="230">
        <v>483139.06489991967</v>
      </c>
      <c r="AH845" s="230">
        <v>3013435.6542056487</v>
      </c>
      <c r="AI845" s="230">
        <v>4647.8999999999996</v>
      </c>
    </row>
    <row r="846" spans="5:35" x14ac:dyDescent="0.35">
      <c r="E846" s="226">
        <v>2.6433400000000002</v>
      </c>
      <c r="F846" s="227">
        <v>13.664284931506849</v>
      </c>
      <c r="G846" s="227">
        <v>4987.4639999999999</v>
      </c>
      <c r="H846" s="227">
        <v>0.97</v>
      </c>
      <c r="I846" s="227">
        <v>3.3393000000000002</v>
      </c>
      <c r="J846" s="227">
        <v>0.55932120474527736</v>
      </c>
      <c r="K846" s="227">
        <v>137.37</v>
      </c>
      <c r="L846" s="227">
        <v>136.47999999999999</v>
      </c>
      <c r="M846" s="227">
        <v>134.54</v>
      </c>
      <c r="N846" s="227">
        <v>94.131</v>
      </c>
      <c r="O846" s="227">
        <v>100.12</v>
      </c>
      <c r="P846" s="227">
        <v>116.69</v>
      </c>
      <c r="Q846" s="227">
        <v>107.69</v>
      </c>
      <c r="R846" s="227">
        <v>112.96</v>
      </c>
      <c r="S846" s="227"/>
      <c r="T846" s="227">
        <v>79.5</v>
      </c>
      <c r="U846" s="227">
        <v>79.5</v>
      </c>
      <c r="V846" s="227">
        <v>79.5</v>
      </c>
      <c r="W846" s="227">
        <v>79.5</v>
      </c>
      <c r="X846" s="227">
        <v>79.5</v>
      </c>
      <c r="Y846" s="227">
        <v>79.5</v>
      </c>
      <c r="Z846" s="227">
        <v>79.5</v>
      </c>
      <c r="AA846" s="227">
        <v>79.5</v>
      </c>
      <c r="AB846" s="227">
        <v>19.076000000000001</v>
      </c>
      <c r="AC846" s="227">
        <v>774.65</v>
      </c>
      <c r="AD846" s="230">
        <v>2.2078703703703705E-4</v>
      </c>
      <c r="AE846" s="230">
        <v>114.45600000000002</v>
      </c>
      <c r="AF846" s="230">
        <v>3816</v>
      </c>
      <c r="AG846" s="230">
        <v>483253.52089991968</v>
      </c>
      <c r="AH846" s="230">
        <v>3017251.6542056487</v>
      </c>
      <c r="AI846" s="230">
        <v>4647.8999999999996</v>
      </c>
    </row>
    <row r="847" spans="5:35" x14ac:dyDescent="0.35">
      <c r="E847" s="226">
        <v>2.6473400000000002</v>
      </c>
      <c r="F847" s="227">
        <v>13.680723287671233</v>
      </c>
      <c r="G847" s="227">
        <v>4993.4639999999999</v>
      </c>
      <c r="H847" s="227">
        <v>0.97009999999999996</v>
      </c>
      <c r="I847" s="227">
        <v>3.3433000000000002</v>
      </c>
      <c r="J847" s="227">
        <v>0.55945333668972186</v>
      </c>
      <c r="K847" s="227">
        <v>137.34</v>
      </c>
      <c r="L847" s="227">
        <v>136.46</v>
      </c>
      <c r="M847" s="227">
        <v>134.51</v>
      </c>
      <c r="N847" s="227">
        <v>94.116</v>
      </c>
      <c r="O847" s="227">
        <v>100.11</v>
      </c>
      <c r="P847" s="227">
        <v>116.67</v>
      </c>
      <c r="Q847" s="227">
        <v>107.68</v>
      </c>
      <c r="R847" s="227">
        <v>112.95</v>
      </c>
      <c r="S847" s="227"/>
      <c r="T847" s="227">
        <v>79.5</v>
      </c>
      <c r="U847" s="227">
        <v>79.5</v>
      </c>
      <c r="V847" s="227">
        <v>79.5</v>
      </c>
      <c r="W847" s="227">
        <v>79.5</v>
      </c>
      <c r="X847" s="227">
        <v>79.5</v>
      </c>
      <c r="Y847" s="227">
        <v>79.5</v>
      </c>
      <c r="Z847" s="227">
        <v>79.5</v>
      </c>
      <c r="AA847" s="227">
        <v>79.5</v>
      </c>
      <c r="AB847" s="227">
        <v>19.027000000000001</v>
      </c>
      <c r="AC847" s="227">
        <v>774.65</v>
      </c>
      <c r="AD847" s="230">
        <v>2.2021990740740742E-4</v>
      </c>
      <c r="AE847" s="230">
        <v>114.16199999999999</v>
      </c>
      <c r="AF847" s="230">
        <v>3816</v>
      </c>
      <c r="AG847" s="230">
        <v>483367.68289991969</v>
      </c>
      <c r="AH847" s="230">
        <v>3021067.6542056487</v>
      </c>
      <c r="AI847" s="230">
        <v>4647.8999999999996</v>
      </c>
    </row>
    <row r="848" spans="5:35" x14ac:dyDescent="0.35">
      <c r="E848" s="226">
        <v>2.6513400000000003</v>
      </c>
      <c r="F848" s="227">
        <v>13.697161643835615</v>
      </c>
      <c r="G848" s="227">
        <v>4999.4639999999999</v>
      </c>
      <c r="H848" s="227">
        <v>0.97019999999999995</v>
      </c>
      <c r="I848" s="227">
        <v>3.3473000000000002</v>
      </c>
      <c r="J848" s="227">
        <v>0.55958513530083298</v>
      </c>
      <c r="K848" s="227">
        <v>137.31</v>
      </c>
      <c r="L848" s="227">
        <v>136.44</v>
      </c>
      <c r="M848" s="227">
        <v>134.49</v>
      </c>
      <c r="N848" s="227">
        <v>94.100999999999999</v>
      </c>
      <c r="O848" s="227">
        <v>100.1</v>
      </c>
      <c r="P848" s="227">
        <v>116.66</v>
      </c>
      <c r="Q848" s="227">
        <v>107.67</v>
      </c>
      <c r="R848" s="227">
        <v>112.94</v>
      </c>
      <c r="S848" s="227"/>
      <c r="T848" s="227">
        <v>79.5</v>
      </c>
      <c r="U848" s="227">
        <v>79.5</v>
      </c>
      <c r="V848" s="227">
        <v>79.5</v>
      </c>
      <c r="W848" s="227">
        <v>79.5</v>
      </c>
      <c r="X848" s="227">
        <v>79.5</v>
      </c>
      <c r="Y848" s="227">
        <v>79.5</v>
      </c>
      <c r="Z848" s="227">
        <v>79.5</v>
      </c>
      <c r="AA848" s="227">
        <v>79.5</v>
      </c>
      <c r="AB848" s="227">
        <v>18.978999999999999</v>
      </c>
      <c r="AC848" s="227">
        <v>774.65</v>
      </c>
      <c r="AD848" s="230">
        <v>2.1966435185185183E-4</v>
      </c>
      <c r="AE848" s="230">
        <v>113.87399999999998</v>
      </c>
      <c r="AF848" s="230">
        <v>3816</v>
      </c>
      <c r="AG848" s="230">
        <v>483481.5568999197</v>
      </c>
      <c r="AH848" s="230">
        <v>3024883.6542056487</v>
      </c>
      <c r="AI848" s="230">
        <v>4647.8999999999996</v>
      </c>
    </row>
    <row r="849" spans="5:35" x14ac:dyDescent="0.35">
      <c r="E849" s="226">
        <v>2.6553400000000003</v>
      </c>
      <c r="F849" s="227">
        <v>13.7136</v>
      </c>
      <c r="G849" s="227">
        <v>5005.4639999999999</v>
      </c>
      <c r="H849" s="227">
        <v>0.97019999999999995</v>
      </c>
      <c r="I849" s="227">
        <v>3.3513000000000002</v>
      </c>
      <c r="J849" s="227">
        <v>0.55971659363416637</v>
      </c>
      <c r="K849" s="227">
        <v>137.28</v>
      </c>
      <c r="L849" s="227">
        <v>136.41999999999999</v>
      </c>
      <c r="M849" s="227">
        <v>134.46</v>
      </c>
      <c r="N849" s="227">
        <v>94.084999999999994</v>
      </c>
      <c r="O849" s="227">
        <v>100.08</v>
      </c>
      <c r="P849" s="227">
        <v>116.63</v>
      </c>
      <c r="Q849" s="227">
        <v>107.66</v>
      </c>
      <c r="R849" s="227">
        <v>112.92</v>
      </c>
      <c r="S849" s="227"/>
      <c r="T849" s="227">
        <v>79.5</v>
      </c>
      <c r="U849" s="227">
        <v>79.5</v>
      </c>
      <c r="V849" s="227">
        <v>79.5</v>
      </c>
      <c r="W849" s="227">
        <v>79.5</v>
      </c>
      <c r="X849" s="227">
        <v>79.5</v>
      </c>
      <c r="Y849" s="227">
        <v>79.5</v>
      </c>
      <c r="Z849" s="227">
        <v>79.5</v>
      </c>
      <c r="AA849" s="227">
        <v>79.5</v>
      </c>
      <c r="AB849" s="227">
        <v>18.93</v>
      </c>
      <c r="AC849" s="227">
        <v>774.65</v>
      </c>
      <c r="AD849" s="230">
        <v>2.1909722222222222E-4</v>
      </c>
      <c r="AE849" s="230">
        <v>113.58000000000001</v>
      </c>
      <c r="AF849" s="230">
        <v>3816</v>
      </c>
      <c r="AG849" s="230">
        <v>483595.13689991971</v>
      </c>
      <c r="AH849" s="230">
        <v>3028699.6542056487</v>
      </c>
      <c r="AI849" s="230">
        <v>4647.8999999999996</v>
      </c>
    </row>
    <row r="850" spans="5:35" x14ac:dyDescent="0.35">
      <c r="E850" s="226">
        <v>2.65944</v>
      </c>
      <c r="F850" s="227">
        <v>13.730038356164384</v>
      </c>
      <c r="G850" s="227">
        <v>5011.4639999999999</v>
      </c>
      <c r="H850" s="227">
        <v>0.97030000000000005</v>
      </c>
      <c r="I850" s="227">
        <v>3.3553999999999999</v>
      </c>
      <c r="J850" s="227">
        <v>0.55984772557861084</v>
      </c>
      <c r="K850" s="227">
        <v>137.25</v>
      </c>
      <c r="L850" s="227">
        <v>136.4</v>
      </c>
      <c r="M850" s="227">
        <v>134.44</v>
      </c>
      <c r="N850" s="227">
        <v>94.07</v>
      </c>
      <c r="O850" s="227">
        <v>100.07</v>
      </c>
      <c r="P850" s="227">
        <v>116.62</v>
      </c>
      <c r="Q850" s="227">
        <v>107.64</v>
      </c>
      <c r="R850" s="227">
        <v>112.91</v>
      </c>
      <c r="S850" s="227"/>
      <c r="T850" s="227">
        <v>79.5</v>
      </c>
      <c r="U850" s="227">
        <v>79.5</v>
      </c>
      <c r="V850" s="227">
        <v>79.5</v>
      </c>
      <c r="W850" s="227">
        <v>79.5</v>
      </c>
      <c r="X850" s="227">
        <v>79.5</v>
      </c>
      <c r="Y850" s="227">
        <v>79.5</v>
      </c>
      <c r="Z850" s="227">
        <v>79.5</v>
      </c>
      <c r="AA850" s="227">
        <v>79.5</v>
      </c>
      <c r="AB850" s="227">
        <v>18.882999999999999</v>
      </c>
      <c r="AC850" s="227">
        <v>774.65</v>
      </c>
      <c r="AD850" s="230">
        <v>2.1855324074074073E-4</v>
      </c>
      <c r="AE850" s="230">
        <v>113.29799999999999</v>
      </c>
      <c r="AF850" s="230">
        <v>3816</v>
      </c>
      <c r="AG850" s="230">
        <v>483708.43489991972</v>
      </c>
      <c r="AH850" s="230">
        <v>3032515.6542056487</v>
      </c>
      <c r="AI850" s="230">
        <v>4647.8999999999996</v>
      </c>
    </row>
    <row r="851" spans="5:35" x14ac:dyDescent="0.35">
      <c r="E851" s="226">
        <v>2.66344</v>
      </c>
      <c r="F851" s="227">
        <v>13.746476712328766</v>
      </c>
      <c r="G851" s="227">
        <v>5017.4639999999999</v>
      </c>
      <c r="H851" s="227">
        <v>0.97040000000000004</v>
      </c>
      <c r="I851" s="227">
        <v>3.3593999999999999</v>
      </c>
      <c r="J851" s="227">
        <v>0.55997852418972194</v>
      </c>
      <c r="K851" s="227">
        <v>137.22</v>
      </c>
      <c r="L851" s="227">
        <v>136.37</v>
      </c>
      <c r="M851" s="227">
        <v>134.41</v>
      </c>
      <c r="N851" s="227">
        <v>94.055999999999997</v>
      </c>
      <c r="O851" s="227">
        <v>100.06</v>
      </c>
      <c r="P851" s="227">
        <v>116.6</v>
      </c>
      <c r="Q851" s="227">
        <v>107.63</v>
      </c>
      <c r="R851" s="227">
        <v>112.89</v>
      </c>
      <c r="S851" s="227"/>
      <c r="T851" s="227">
        <v>79.5</v>
      </c>
      <c r="U851" s="227">
        <v>79.5</v>
      </c>
      <c r="V851" s="227">
        <v>79.5</v>
      </c>
      <c r="W851" s="227">
        <v>79.5</v>
      </c>
      <c r="X851" s="227">
        <v>79.5</v>
      </c>
      <c r="Y851" s="227">
        <v>79.5</v>
      </c>
      <c r="Z851" s="227">
        <v>79.5</v>
      </c>
      <c r="AA851" s="227">
        <v>79.5</v>
      </c>
      <c r="AB851" s="227">
        <v>18.835000000000001</v>
      </c>
      <c r="AC851" s="227">
        <v>774.65</v>
      </c>
      <c r="AD851" s="230">
        <v>2.1799768518518519E-4</v>
      </c>
      <c r="AE851" s="230">
        <v>113.01</v>
      </c>
      <c r="AF851" s="230">
        <v>3816</v>
      </c>
      <c r="AG851" s="230">
        <v>483821.44489991973</v>
      </c>
      <c r="AH851" s="230">
        <v>3036331.6542056487</v>
      </c>
      <c r="AI851" s="230">
        <v>4647.8999999999996</v>
      </c>
    </row>
    <row r="852" spans="5:35" x14ac:dyDescent="0.35">
      <c r="E852" s="226">
        <v>2.66744</v>
      </c>
      <c r="F852" s="227">
        <v>13.76291506849315</v>
      </c>
      <c r="G852" s="227">
        <v>5023.4639999999999</v>
      </c>
      <c r="H852" s="227">
        <v>0.97050000000000003</v>
      </c>
      <c r="I852" s="227">
        <v>3.3633999999999999</v>
      </c>
      <c r="J852" s="227">
        <v>0.56010898946749965</v>
      </c>
      <c r="K852" s="227">
        <v>137.19</v>
      </c>
      <c r="L852" s="227">
        <v>136.35</v>
      </c>
      <c r="M852" s="227">
        <v>134.38</v>
      </c>
      <c r="N852" s="227">
        <v>94.04</v>
      </c>
      <c r="O852" s="227">
        <v>100.04</v>
      </c>
      <c r="P852" s="227">
        <v>116.58</v>
      </c>
      <c r="Q852" s="227">
        <v>107.62</v>
      </c>
      <c r="R852" s="227">
        <v>112.88</v>
      </c>
      <c r="S852" s="227"/>
      <c r="T852" s="227">
        <v>79.5</v>
      </c>
      <c r="U852" s="227">
        <v>79.5</v>
      </c>
      <c r="V852" s="227">
        <v>79.5</v>
      </c>
      <c r="W852" s="227">
        <v>79.5</v>
      </c>
      <c r="X852" s="227">
        <v>79.5</v>
      </c>
      <c r="Y852" s="227">
        <v>79.5</v>
      </c>
      <c r="Z852" s="227">
        <v>79.5</v>
      </c>
      <c r="AA852" s="227">
        <v>79.5</v>
      </c>
      <c r="AB852" s="227">
        <v>18.786999999999999</v>
      </c>
      <c r="AC852" s="227">
        <v>774.65</v>
      </c>
      <c r="AD852" s="230">
        <v>2.1744212962962963E-4</v>
      </c>
      <c r="AE852" s="230">
        <v>112.72200000000001</v>
      </c>
      <c r="AF852" s="230">
        <v>3816</v>
      </c>
      <c r="AG852" s="230">
        <v>483934.16689991974</v>
      </c>
      <c r="AH852" s="230">
        <v>3040147.6542056487</v>
      </c>
      <c r="AI852" s="230">
        <v>4647.8999999999996</v>
      </c>
    </row>
    <row r="853" spans="5:35" x14ac:dyDescent="0.35">
      <c r="E853" s="226">
        <v>2.67144</v>
      </c>
      <c r="F853" s="227">
        <v>13.779353424657534</v>
      </c>
      <c r="G853" s="227">
        <v>5029.4639999999999</v>
      </c>
      <c r="H853" s="227">
        <v>0.97050000000000003</v>
      </c>
      <c r="I853" s="227">
        <v>3.3673999999999999</v>
      </c>
      <c r="J853" s="227">
        <v>0.56023912835638856</v>
      </c>
      <c r="K853" s="227">
        <v>137.16</v>
      </c>
      <c r="L853" s="227">
        <v>136.33000000000001</v>
      </c>
      <c r="M853" s="227">
        <v>134.35</v>
      </c>
      <c r="N853" s="227">
        <v>94.025000000000006</v>
      </c>
      <c r="O853" s="227">
        <v>100.03</v>
      </c>
      <c r="P853" s="227">
        <v>116.56</v>
      </c>
      <c r="Q853" s="227">
        <v>107.61</v>
      </c>
      <c r="R853" s="227">
        <v>112.86</v>
      </c>
      <c r="S853" s="227"/>
      <c r="T853" s="227">
        <v>79.5</v>
      </c>
      <c r="U853" s="227">
        <v>79.5</v>
      </c>
      <c r="V853" s="227">
        <v>79.5</v>
      </c>
      <c r="W853" s="227">
        <v>79.5</v>
      </c>
      <c r="X853" s="227">
        <v>79.5</v>
      </c>
      <c r="Y853" s="227">
        <v>79.5</v>
      </c>
      <c r="Z853" s="227">
        <v>79.5</v>
      </c>
      <c r="AA853" s="227">
        <v>79.5</v>
      </c>
      <c r="AB853" s="227">
        <v>18.739999999999998</v>
      </c>
      <c r="AC853" s="227">
        <v>774.65</v>
      </c>
      <c r="AD853" s="230">
        <v>2.1689814814814814E-4</v>
      </c>
      <c r="AE853" s="230">
        <v>112.44</v>
      </c>
      <c r="AF853" s="230">
        <v>3816</v>
      </c>
      <c r="AG853" s="230">
        <v>484046.60689991975</v>
      </c>
      <c r="AH853" s="230">
        <v>3043963.6542056487</v>
      </c>
      <c r="AI853" s="230">
        <v>4647.8999999999996</v>
      </c>
    </row>
    <row r="854" spans="5:35" x14ac:dyDescent="0.35">
      <c r="E854" s="226">
        <v>2.67544</v>
      </c>
      <c r="F854" s="227">
        <v>13.795791780821917</v>
      </c>
      <c r="G854" s="227">
        <v>5035.4639999999999</v>
      </c>
      <c r="H854" s="227">
        <v>0.97060000000000002</v>
      </c>
      <c r="I854" s="227">
        <v>3.3714</v>
      </c>
      <c r="J854" s="227">
        <v>0.5603689339119442</v>
      </c>
      <c r="K854" s="227">
        <v>137.13</v>
      </c>
      <c r="L854" s="227">
        <v>136.31</v>
      </c>
      <c r="M854" s="227">
        <v>134.33000000000001</v>
      </c>
      <c r="N854" s="227">
        <v>94.01</v>
      </c>
      <c r="O854" s="227">
        <v>100.02</v>
      </c>
      <c r="P854" s="227">
        <v>116.55</v>
      </c>
      <c r="Q854" s="227">
        <v>107.6</v>
      </c>
      <c r="R854" s="227">
        <v>112.85</v>
      </c>
      <c r="S854" s="227"/>
      <c r="T854" s="227">
        <v>79.5</v>
      </c>
      <c r="U854" s="227">
        <v>79.5</v>
      </c>
      <c r="V854" s="227">
        <v>79.5</v>
      </c>
      <c r="W854" s="227">
        <v>79.5</v>
      </c>
      <c r="X854" s="227">
        <v>79.5</v>
      </c>
      <c r="Y854" s="227">
        <v>79.5</v>
      </c>
      <c r="Z854" s="227">
        <v>79.5</v>
      </c>
      <c r="AA854" s="227">
        <v>79.5</v>
      </c>
      <c r="AB854" s="227">
        <v>18.692</v>
      </c>
      <c r="AC854" s="227">
        <v>774.65</v>
      </c>
      <c r="AD854" s="230">
        <v>2.163425925925926E-4</v>
      </c>
      <c r="AE854" s="230">
        <v>112.152</v>
      </c>
      <c r="AF854" s="230">
        <v>3816</v>
      </c>
      <c r="AG854" s="230">
        <v>484158.75889991975</v>
      </c>
      <c r="AH854" s="230">
        <v>3047779.6542056487</v>
      </c>
      <c r="AI854" s="230">
        <v>4647.8999999999996</v>
      </c>
    </row>
    <row r="855" spans="5:35" x14ac:dyDescent="0.35">
      <c r="E855" s="226">
        <v>2.67944</v>
      </c>
      <c r="F855" s="227">
        <v>13.812230136986301</v>
      </c>
      <c r="G855" s="227">
        <v>5041.4639999999999</v>
      </c>
      <c r="H855" s="227">
        <v>0.97070000000000001</v>
      </c>
      <c r="I855" s="227">
        <v>3.3754</v>
      </c>
      <c r="J855" s="227">
        <v>0.56049841307861081</v>
      </c>
      <c r="K855" s="227">
        <v>137.1</v>
      </c>
      <c r="L855" s="227">
        <v>136.29</v>
      </c>
      <c r="M855" s="227">
        <v>134.30000000000001</v>
      </c>
      <c r="N855" s="227">
        <v>93.995000000000005</v>
      </c>
      <c r="O855" s="227">
        <v>100</v>
      </c>
      <c r="P855" s="227">
        <v>116.53</v>
      </c>
      <c r="Q855" s="227">
        <v>107.59</v>
      </c>
      <c r="R855" s="227">
        <v>112.84</v>
      </c>
      <c r="S855" s="227"/>
      <c r="T855" s="227">
        <v>79.5</v>
      </c>
      <c r="U855" s="227">
        <v>79.5</v>
      </c>
      <c r="V855" s="227">
        <v>79.5</v>
      </c>
      <c r="W855" s="227">
        <v>79.5</v>
      </c>
      <c r="X855" s="227">
        <v>79.5</v>
      </c>
      <c r="Y855" s="227">
        <v>79.5</v>
      </c>
      <c r="Z855" s="227">
        <v>79.5</v>
      </c>
      <c r="AA855" s="227">
        <v>79.5</v>
      </c>
      <c r="AB855" s="227">
        <v>18.645</v>
      </c>
      <c r="AC855" s="227">
        <v>774.65</v>
      </c>
      <c r="AD855" s="230">
        <v>2.1579861111111111E-4</v>
      </c>
      <c r="AE855" s="230">
        <v>111.87</v>
      </c>
      <c r="AF855" s="230">
        <v>3816</v>
      </c>
      <c r="AG855" s="230">
        <v>484270.62889991974</v>
      </c>
      <c r="AH855" s="230">
        <v>3051595.6542056487</v>
      </c>
      <c r="AI855" s="230">
        <v>4647.8999999999996</v>
      </c>
    </row>
    <row r="856" spans="5:35" x14ac:dyDescent="0.35">
      <c r="E856" s="226">
        <v>2.6835400000000003</v>
      </c>
      <c r="F856" s="227">
        <v>13.828668493150685</v>
      </c>
      <c r="G856" s="227">
        <v>5047.4639999999999</v>
      </c>
      <c r="H856" s="227">
        <v>0.9708</v>
      </c>
      <c r="I856" s="227">
        <v>3.3795000000000002</v>
      </c>
      <c r="J856" s="227">
        <v>0.56062756585638862</v>
      </c>
      <c r="K856" s="227">
        <v>137.07</v>
      </c>
      <c r="L856" s="227">
        <v>136.26</v>
      </c>
      <c r="M856" s="227">
        <v>134.27000000000001</v>
      </c>
      <c r="N856" s="227">
        <v>93.98</v>
      </c>
      <c r="O856" s="227">
        <v>99.991</v>
      </c>
      <c r="P856" s="227">
        <v>116.51</v>
      </c>
      <c r="Q856" s="227">
        <v>107.58</v>
      </c>
      <c r="R856" s="227">
        <v>112.82</v>
      </c>
      <c r="S856" s="227"/>
      <c r="T856" s="227">
        <v>79.5</v>
      </c>
      <c r="U856" s="227">
        <v>79.5</v>
      </c>
      <c r="V856" s="227">
        <v>79.5</v>
      </c>
      <c r="W856" s="227">
        <v>79.5</v>
      </c>
      <c r="X856" s="227">
        <v>79.5</v>
      </c>
      <c r="Y856" s="227">
        <v>79.5</v>
      </c>
      <c r="Z856" s="227">
        <v>79.5</v>
      </c>
      <c r="AA856" s="227">
        <v>79.5</v>
      </c>
      <c r="AB856" s="227">
        <v>18.597999999999999</v>
      </c>
      <c r="AC856" s="227">
        <v>774.65</v>
      </c>
      <c r="AD856" s="230">
        <v>2.1525462962962961E-4</v>
      </c>
      <c r="AE856" s="230">
        <v>111.58799999999999</v>
      </c>
      <c r="AF856" s="230">
        <v>3816</v>
      </c>
      <c r="AG856" s="230">
        <v>484382.21689991973</v>
      </c>
      <c r="AH856" s="230">
        <v>3055411.6542056487</v>
      </c>
      <c r="AI856" s="230">
        <v>4647.8999999999996</v>
      </c>
    </row>
    <row r="857" spans="5:35" x14ac:dyDescent="0.35">
      <c r="E857" s="226">
        <v>2.6875400000000003</v>
      </c>
      <c r="F857" s="227">
        <v>13.845106849315068</v>
      </c>
      <c r="G857" s="227">
        <v>5053.4639999999999</v>
      </c>
      <c r="H857" s="227">
        <v>0.9708</v>
      </c>
      <c r="I857" s="227">
        <v>3.3835000000000002</v>
      </c>
      <c r="J857" s="227">
        <v>0.56075639918972187</v>
      </c>
      <c r="K857" s="227">
        <v>137.04</v>
      </c>
      <c r="L857" s="227">
        <v>136.24</v>
      </c>
      <c r="M857" s="227">
        <v>134.25</v>
      </c>
      <c r="N857" s="227">
        <v>93.965000000000003</v>
      </c>
      <c r="O857" s="227">
        <v>99.98</v>
      </c>
      <c r="P857" s="227">
        <v>116.49</v>
      </c>
      <c r="Q857" s="227">
        <v>107.57</v>
      </c>
      <c r="R857" s="227">
        <v>112.81</v>
      </c>
      <c r="S857" s="227"/>
      <c r="T857" s="227">
        <v>79.5</v>
      </c>
      <c r="U857" s="227">
        <v>79.5</v>
      </c>
      <c r="V857" s="227">
        <v>79.5</v>
      </c>
      <c r="W857" s="227">
        <v>79.5</v>
      </c>
      <c r="X857" s="227">
        <v>79.5</v>
      </c>
      <c r="Y857" s="227">
        <v>79.5</v>
      </c>
      <c r="Z857" s="227">
        <v>79.5</v>
      </c>
      <c r="AA857" s="227">
        <v>79.5</v>
      </c>
      <c r="AB857" s="227">
        <v>18.552</v>
      </c>
      <c r="AC857" s="227">
        <v>774.65</v>
      </c>
      <c r="AD857" s="230">
        <v>2.1472222222222221E-4</v>
      </c>
      <c r="AE857" s="230">
        <v>111.31199999999998</v>
      </c>
      <c r="AF857" s="230">
        <v>3816</v>
      </c>
      <c r="AG857" s="230">
        <v>484493.52889991971</v>
      </c>
      <c r="AH857" s="230">
        <v>3059227.6542056487</v>
      </c>
      <c r="AI857" s="230">
        <v>4647.8999999999996</v>
      </c>
    </row>
    <row r="858" spans="5:35" x14ac:dyDescent="0.35">
      <c r="E858" s="226">
        <v>2.6915400000000003</v>
      </c>
      <c r="F858" s="227">
        <v>13.861545205479452</v>
      </c>
      <c r="G858" s="227">
        <v>5059.4639999999999</v>
      </c>
      <c r="H858" s="227">
        <v>0.97089999999999999</v>
      </c>
      <c r="I858" s="227">
        <v>3.3875000000000002</v>
      </c>
      <c r="J858" s="227">
        <v>0.56088490613416631</v>
      </c>
      <c r="K858" s="227">
        <v>137.01</v>
      </c>
      <c r="L858" s="227">
        <v>136.22</v>
      </c>
      <c r="M858" s="227">
        <v>134.22</v>
      </c>
      <c r="N858" s="227">
        <v>93.95</v>
      </c>
      <c r="O858" s="227">
        <v>99.965000000000003</v>
      </c>
      <c r="P858" s="227">
        <v>116.47</v>
      </c>
      <c r="Q858" s="227">
        <v>107.56</v>
      </c>
      <c r="R858" s="227">
        <v>112.79</v>
      </c>
      <c r="S858" s="227"/>
      <c r="T858" s="227">
        <v>79.5</v>
      </c>
      <c r="U858" s="227">
        <v>79.5</v>
      </c>
      <c r="V858" s="227">
        <v>79.5</v>
      </c>
      <c r="W858" s="227">
        <v>79.5</v>
      </c>
      <c r="X858" s="227">
        <v>79.5</v>
      </c>
      <c r="Y858" s="227">
        <v>79.5</v>
      </c>
      <c r="Z858" s="227">
        <v>79.5</v>
      </c>
      <c r="AA858" s="227">
        <v>79.5</v>
      </c>
      <c r="AB858" s="227">
        <v>18.504999999999999</v>
      </c>
      <c r="AC858" s="227">
        <v>774.65</v>
      </c>
      <c r="AD858" s="230">
        <v>2.1417824074074072E-4</v>
      </c>
      <c r="AE858" s="230">
        <v>111.02999999999999</v>
      </c>
      <c r="AF858" s="230">
        <v>3816</v>
      </c>
      <c r="AG858" s="230">
        <v>484604.55889991974</v>
      </c>
      <c r="AH858" s="230">
        <v>3063043.6542056487</v>
      </c>
      <c r="AI858" s="230">
        <v>4647.8999999999996</v>
      </c>
    </row>
    <row r="859" spans="5:35" x14ac:dyDescent="0.35">
      <c r="E859" s="226">
        <v>2.6955400000000003</v>
      </c>
      <c r="F859" s="227">
        <v>13.877983561643836</v>
      </c>
      <c r="G859" s="227">
        <v>5065.4639999999999</v>
      </c>
      <c r="H859" s="227">
        <v>0.97099999999999997</v>
      </c>
      <c r="I859" s="227">
        <v>3.3915000000000002</v>
      </c>
      <c r="J859" s="227">
        <v>0.5610130936341664</v>
      </c>
      <c r="K859" s="227">
        <v>136.97999999999999</v>
      </c>
      <c r="L859" s="227">
        <v>136.19999999999999</v>
      </c>
      <c r="M859" s="227">
        <v>134.19</v>
      </c>
      <c r="N859" s="227">
        <v>93.936000000000007</v>
      </c>
      <c r="O859" s="227">
        <v>99.953000000000003</v>
      </c>
      <c r="P859" s="227">
        <v>116.46</v>
      </c>
      <c r="Q859" s="227">
        <v>107.55</v>
      </c>
      <c r="R859" s="227">
        <v>112.78</v>
      </c>
      <c r="S859" s="227"/>
      <c r="T859" s="227">
        <v>79.5</v>
      </c>
      <c r="U859" s="227">
        <v>79.5</v>
      </c>
      <c r="V859" s="227">
        <v>79.5</v>
      </c>
      <c r="W859" s="227">
        <v>79.5</v>
      </c>
      <c r="X859" s="227">
        <v>79.5</v>
      </c>
      <c r="Y859" s="227">
        <v>79.5</v>
      </c>
      <c r="Z859" s="227">
        <v>79.5</v>
      </c>
      <c r="AA859" s="227">
        <v>79.5</v>
      </c>
      <c r="AB859" s="227">
        <v>18.459</v>
      </c>
      <c r="AC859" s="227">
        <v>774.65</v>
      </c>
      <c r="AD859" s="230">
        <v>2.1364583333333332E-4</v>
      </c>
      <c r="AE859" s="230">
        <v>110.754</v>
      </c>
      <c r="AF859" s="230">
        <v>3816</v>
      </c>
      <c r="AG859" s="230">
        <v>484715.31289991975</v>
      </c>
      <c r="AH859" s="230">
        <v>3066859.6542056487</v>
      </c>
      <c r="AI859" s="230">
        <v>4647.8999999999996</v>
      </c>
    </row>
    <row r="860" spans="5:35" x14ac:dyDescent="0.35">
      <c r="E860" s="226">
        <v>2.6995400000000003</v>
      </c>
      <c r="F860" s="227">
        <v>13.894421917808218</v>
      </c>
      <c r="G860" s="227">
        <v>5071.4639999999999</v>
      </c>
      <c r="H860" s="227">
        <v>0.97099999999999997</v>
      </c>
      <c r="I860" s="227">
        <v>3.3955000000000002</v>
      </c>
      <c r="J860" s="227">
        <v>0.56114096168972194</v>
      </c>
      <c r="K860" s="227">
        <v>136.94999999999999</v>
      </c>
      <c r="L860" s="227">
        <v>136.18</v>
      </c>
      <c r="M860" s="227">
        <v>134.16999999999999</v>
      </c>
      <c r="N860" s="227">
        <v>93.921000000000006</v>
      </c>
      <c r="O860" s="227">
        <v>99.94</v>
      </c>
      <c r="P860" s="227">
        <v>116.44</v>
      </c>
      <c r="Q860" s="227">
        <v>107.53</v>
      </c>
      <c r="R860" s="227">
        <v>112.77</v>
      </c>
      <c r="S860" s="227"/>
      <c r="T860" s="227">
        <v>79.5</v>
      </c>
      <c r="U860" s="227">
        <v>79.5</v>
      </c>
      <c r="V860" s="227">
        <v>79.5</v>
      </c>
      <c r="W860" s="227">
        <v>79.5</v>
      </c>
      <c r="X860" s="227">
        <v>79.5</v>
      </c>
      <c r="Y860" s="227">
        <v>79.5</v>
      </c>
      <c r="Z860" s="227">
        <v>79.5</v>
      </c>
      <c r="AA860" s="227">
        <v>79.5</v>
      </c>
      <c r="AB860" s="227">
        <v>18.413</v>
      </c>
      <c r="AC860" s="227">
        <v>774.65</v>
      </c>
      <c r="AD860" s="230">
        <v>2.1311342592592592E-4</v>
      </c>
      <c r="AE860" s="230">
        <v>110.47799999999999</v>
      </c>
      <c r="AF860" s="230">
        <v>3816</v>
      </c>
      <c r="AG860" s="230">
        <v>484825.79089991975</v>
      </c>
      <c r="AH860" s="230">
        <v>3070675.6542056487</v>
      </c>
      <c r="AI860" s="230">
        <v>4647.8999999999996</v>
      </c>
    </row>
    <row r="861" spans="5:35" x14ac:dyDescent="0.35">
      <c r="E861" s="226">
        <v>2.70364</v>
      </c>
      <c r="F861" s="227">
        <v>13.910860273972602</v>
      </c>
      <c r="G861" s="227">
        <v>5077.4639999999999</v>
      </c>
      <c r="H861" s="227">
        <v>0.97109999999999996</v>
      </c>
      <c r="I861" s="227">
        <v>3.3996</v>
      </c>
      <c r="J861" s="227">
        <v>0.56126851030083302</v>
      </c>
      <c r="K861" s="227">
        <v>136.91999999999999</v>
      </c>
      <c r="L861" s="227">
        <v>136.16</v>
      </c>
      <c r="M861" s="227">
        <v>134.13999999999999</v>
      </c>
      <c r="N861" s="227">
        <v>93.906000000000006</v>
      </c>
      <c r="O861" s="227">
        <v>99.927000000000007</v>
      </c>
      <c r="P861" s="227">
        <v>116.42</v>
      </c>
      <c r="Q861" s="227">
        <v>107.52</v>
      </c>
      <c r="R861" s="227">
        <v>112.76</v>
      </c>
      <c r="S861" s="227"/>
      <c r="T861" s="227">
        <v>79.5</v>
      </c>
      <c r="U861" s="227">
        <v>79.5</v>
      </c>
      <c r="V861" s="227">
        <v>79.5</v>
      </c>
      <c r="W861" s="227">
        <v>79.5</v>
      </c>
      <c r="X861" s="227">
        <v>79.5</v>
      </c>
      <c r="Y861" s="227">
        <v>79.5</v>
      </c>
      <c r="Z861" s="227">
        <v>79.5</v>
      </c>
      <c r="AA861" s="227">
        <v>79.5</v>
      </c>
      <c r="AB861" s="227">
        <v>18.367000000000001</v>
      </c>
      <c r="AC861" s="227">
        <v>774.65</v>
      </c>
      <c r="AD861" s="230">
        <v>2.1258101851851852E-4</v>
      </c>
      <c r="AE861" s="230">
        <v>110.202</v>
      </c>
      <c r="AF861" s="230">
        <v>3816</v>
      </c>
      <c r="AG861" s="230">
        <v>484935.99289991974</v>
      </c>
      <c r="AH861" s="230">
        <v>3074491.6542056487</v>
      </c>
      <c r="AI861" s="230">
        <v>4647.8999999999996</v>
      </c>
    </row>
    <row r="862" spans="5:35" x14ac:dyDescent="0.35">
      <c r="E862" s="226">
        <v>2.70764</v>
      </c>
      <c r="F862" s="227">
        <v>13.927298630136987</v>
      </c>
      <c r="G862" s="227">
        <v>5083.4639999999999</v>
      </c>
      <c r="H862" s="227">
        <v>0.97119999999999995</v>
      </c>
      <c r="I862" s="227">
        <v>3.4036</v>
      </c>
      <c r="J862" s="227">
        <v>0.56139573946749965</v>
      </c>
      <c r="K862" s="227">
        <v>136.88999999999999</v>
      </c>
      <c r="L862" s="227">
        <v>136.13</v>
      </c>
      <c r="M862" s="227">
        <v>134.12</v>
      </c>
      <c r="N862" s="227">
        <v>93.891000000000005</v>
      </c>
      <c r="O862" s="227">
        <v>99.915000000000006</v>
      </c>
      <c r="P862" s="227">
        <v>116.4</v>
      </c>
      <c r="Q862" s="227">
        <v>107.51</v>
      </c>
      <c r="R862" s="227">
        <v>112.74</v>
      </c>
      <c r="S862" s="227"/>
      <c r="T862" s="227">
        <v>79.5</v>
      </c>
      <c r="U862" s="227">
        <v>79.5</v>
      </c>
      <c r="V862" s="227">
        <v>79.5</v>
      </c>
      <c r="W862" s="227">
        <v>79.5</v>
      </c>
      <c r="X862" s="227">
        <v>79.5</v>
      </c>
      <c r="Y862" s="227">
        <v>79.5</v>
      </c>
      <c r="Z862" s="227">
        <v>79.5</v>
      </c>
      <c r="AA862" s="227">
        <v>79.5</v>
      </c>
      <c r="AB862" s="227">
        <v>18.321000000000002</v>
      </c>
      <c r="AC862" s="227">
        <v>774.65</v>
      </c>
      <c r="AD862" s="230">
        <v>2.1204861111111112E-4</v>
      </c>
      <c r="AE862" s="230">
        <v>109.92600000000002</v>
      </c>
      <c r="AF862" s="230">
        <v>3816</v>
      </c>
      <c r="AG862" s="230">
        <v>485045.91889991972</v>
      </c>
      <c r="AH862" s="230">
        <v>3078307.6542056487</v>
      </c>
      <c r="AI862" s="230">
        <v>4647.8999999999996</v>
      </c>
    </row>
    <row r="863" spans="5:35" x14ac:dyDescent="0.35">
      <c r="E863" s="226">
        <v>2.7116400000000001</v>
      </c>
      <c r="F863" s="227">
        <v>13.943736986301369</v>
      </c>
      <c r="G863" s="227">
        <v>5089.4639999999999</v>
      </c>
      <c r="H863" s="227">
        <v>0.97130000000000005</v>
      </c>
      <c r="I863" s="227">
        <v>3.4076</v>
      </c>
      <c r="J863" s="227">
        <v>0.56152265613416641</v>
      </c>
      <c r="K863" s="227">
        <v>136.86000000000001</v>
      </c>
      <c r="L863" s="227">
        <v>136.11000000000001</v>
      </c>
      <c r="M863" s="227">
        <v>134.09</v>
      </c>
      <c r="N863" s="227">
        <v>93.876000000000005</v>
      </c>
      <c r="O863" s="227">
        <v>99.902000000000001</v>
      </c>
      <c r="P863" s="227">
        <v>116.39</v>
      </c>
      <c r="Q863" s="227">
        <v>107.5</v>
      </c>
      <c r="R863" s="227">
        <v>112.73</v>
      </c>
      <c r="S863" s="227"/>
      <c r="T863" s="227">
        <v>79.5</v>
      </c>
      <c r="U863" s="227">
        <v>79.5</v>
      </c>
      <c r="V863" s="227">
        <v>79.5</v>
      </c>
      <c r="W863" s="227">
        <v>79.5</v>
      </c>
      <c r="X863" s="227">
        <v>79.5</v>
      </c>
      <c r="Y863" s="227">
        <v>79.5</v>
      </c>
      <c r="Z863" s="227">
        <v>79.5</v>
      </c>
      <c r="AA863" s="227">
        <v>79.5</v>
      </c>
      <c r="AB863" s="227">
        <v>18.276</v>
      </c>
      <c r="AC863" s="227">
        <v>774.65</v>
      </c>
      <c r="AD863" s="230">
        <v>2.1152777777777777E-4</v>
      </c>
      <c r="AE863" s="230">
        <v>109.65600000000001</v>
      </c>
      <c r="AF863" s="230">
        <v>3816</v>
      </c>
      <c r="AG863" s="230">
        <v>485155.57489991974</v>
      </c>
      <c r="AH863" s="230">
        <v>3082123.6542056487</v>
      </c>
      <c r="AI863" s="230">
        <v>4647.8999999999996</v>
      </c>
    </row>
    <row r="864" spans="5:35" x14ac:dyDescent="0.35">
      <c r="E864" s="226">
        <v>2.7156400000000001</v>
      </c>
      <c r="F864" s="227">
        <v>13.960175342465753</v>
      </c>
      <c r="G864" s="227">
        <v>5095.4639999999999</v>
      </c>
      <c r="H864" s="227">
        <v>0.97130000000000005</v>
      </c>
      <c r="I864" s="227">
        <v>3.4116</v>
      </c>
      <c r="J864" s="227">
        <v>0.56164926030083306</v>
      </c>
      <c r="K864" s="227">
        <v>136.83000000000001</v>
      </c>
      <c r="L864" s="227">
        <v>136.09</v>
      </c>
      <c r="M864" s="227">
        <v>134.07</v>
      </c>
      <c r="N864" s="227">
        <v>93.861999999999995</v>
      </c>
      <c r="O864" s="227">
        <v>99.89</v>
      </c>
      <c r="P864" s="227">
        <v>116.37</v>
      </c>
      <c r="Q864" s="227">
        <v>107.49</v>
      </c>
      <c r="R864" s="227">
        <v>112.72</v>
      </c>
      <c r="S864" s="227"/>
      <c r="T864" s="227">
        <v>79.5</v>
      </c>
      <c r="U864" s="227">
        <v>79.5</v>
      </c>
      <c r="V864" s="227">
        <v>79.5</v>
      </c>
      <c r="W864" s="227">
        <v>79.5</v>
      </c>
      <c r="X864" s="227">
        <v>79.5</v>
      </c>
      <c r="Y864" s="227">
        <v>79.5</v>
      </c>
      <c r="Z864" s="227">
        <v>79.5</v>
      </c>
      <c r="AA864" s="227">
        <v>79.5</v>
      </c>
      <c r="AB864" s="227">
        <v>18.231000000000002</v>
      </c>
      <c r="AC864" s="227">
        <v>774.65</v>
      </c>
      <c r="AD864" s="230">
        <v>2.1100694444444446E-4</v>
      </c>
      <c r="AE864" s="230">
        <v>109.38600000000001</v>
      </c>
      <c r="AF864" s="230">
        <v>3816</v>
      </c>
      <c r="AG864" s="230">
        <v>485264.96089991974</v>
      </c>
      <c r="AH864" s="230">
        <v>3085939.6542056487</v>
      </c>
      <c r="AI864" s="230">
        <v>4647.8999999999996</v>
      </c>
    </row>
    <row r="865" spans="5:35" x14ac:dyDescent="0.35">
      <c r="E865" s="226">
        <v>2.7196400000000001</v>
      </c>
      <c r="F865" s="227">
        <v>13.976613698630137</v>
      </c>
      <c r="G865" s="227">
        <v>5101.4639999999999</v>
      </c>
      <c r="H865" s="227">
        <v>0.97140000000000004</v>
      </c>
      <c r="I865" s="227">
        <v>3.4156</v>
      </c>
      <c r="J865" s="227">
        <v>0.56177554502305527</v>
      </c>
      <c r="K865" s="227">
        <v>136.80000000000001</v>
      </c>
      <c r="L865" s="227">
        <v>136.07</v>
      </c>
      <c r="M865" s="227">
        <v>134.04</v>
      </c>
      <c r="N865" s="227">
        <v>93.846999999999994</v>
      </c>
      <c r="O865" s="227">
        <v>99.876000000000005</v>
      </c>
      <c r="P865" s="227">
        <v>116.35</v>
      </c>
      <c r="Q865" s="227">
        <v>107.48</v>
      </c>
      <c r="R865" s="227">
        <v>112.7</v>
      </c>
      <c r="S865" s="227"/>
      <c r="T865" s="227">
        <v>79.5</v>
      </c>
      <c r="U865" s="227">
        <v>79.5</v>
      </c>
      <c r="V865" s="227">
        <v>79.5</v>
      </c>
      <c r="W865" s="227">
        <v>79.5</v>
      </c>
      <c r="X865" s="227">
        <v>79.5</v>
      </c>
      <c r="Y865" s="227">
        <v>79.5</v>
      </c>
      <c r="Z865" s="227">
        <v>79.5</v>
      </c>
      <c r="AA865" s="227">
        <v>79.5</v>
      </c>
      <c r="AB865" s="227">
        <v>18.184999999999999</v>
      </c>
      <c r="AC865" s="227">
        <v>774.65</v>
      </c>
      <c r="AD865" s="230">
        <v>2.1047453703703701E-4</v>
      </c>
      <c r="AE865" s="230">
        <v>109.10999999999999</v>
      </c>
      <c r="AF865" s="230">
        <v>3816</v>
      </c>
      <c r="AG865" s="230">
        <v>485374.07089991972</v>
      </c>
      <c r="AH865" s="230">
        <v>3089755.6542056487</v>
      </c>
      <c r="AI865" s="230">
        <v>4647.8999999999996</v>
      </c>
    </row>
    <row r="866" spans="5:35" x14ac:dyDescent="0.35">
      <c r="E866" s="226">
        <v>2.7236400000000001</v>
      </c>
      <c r="F866" s="227">
        <v>13.99305205479452</v>
      </c>
      <c r="G866" s="227">
        <v>5107.4639999999999</v>
      </c>
      <c r="H866" s="227">
        <v>0.97150000000000003</v>
      </c>
      <c r="I866" s="227">
        <v>3.4196</v>
      </c>
      <c r="J866" s="227">
        <v>0.56190151724527748</v>
      </c>
      <c r="K866" s="227">
        <v>136.78</v>
      </c>
      <c r="L866" s="227">
        <v>136.05000000000001</v>
      </c>
      <c r="M866" s="227">
        <v>134.01</v>
      </c>
      <c r="N866" s="227">
        <v>93.832999999999998</v>
      </c>
      <c r="O866" s="227">
        <v>99.864999999999995</v>
      </c>
      <c r="P866" s="227">
        <v>116.33</v>
      </c>
      <c r="Q866" s="227">
        <v>107.47</v>
      </c>
      <c r="R866" s="227">
        <v>112.69</v>
      </c>
      <c r="S866" s="227"/>
      <c r="T866" s="227">
        <v>79.5</v>
      </c>
      <c r="U866" s="227">
        <v>79.5</v>
      </c>
      <c r="V866" s="227">
        <v>79.5</v>
      </c>
      <c r="W866" s="227">
        <v>79.5</v>
      </c>
      <c r="X866" s="227">
        <v>79.5</v>
      </c>
      <c r="Y866" s="227">
        <v>79.5</v>
      </c>
      <c r="Z866" s="227">
        <v>79.5</v>
      </c>
      <c r="AA866" s="227">
        <v>79.5</v>
      </c>
      <c r="AB866" s="227">
        <v>18.14</v>
      </c>
      <c r="AC866" s="227">
        <v>774.65</v>
      </c>
      <c r="AD866" s="230">
        <v>2.0995370370370371E-4</v>
      </c>
      <c r="AE866" s="230">
        <v>108.84</v>
      </c>
      <c r="AF866" s="230">
        <v>3816</v>
      </c>
      <c r="AG866" s="230">
        <v>485482.91089991975</v>
      </c>
      <c r="AH866" s="230">
        <v>3093571.6542056487</v>
      </c>
      <c r="AI866" s="230">
        <v>4647.8999999999996</v>
      </c>
    </row>
    <row r="867" spans="5:35" x14ac:dyDescent="0.35">
      <c r="E867" s="226">
        <v>2.7277400000000003</v>
      </c>
      <c r="F867" s="227">
        <v>14.009490410958904</v>
      </c>
      <c r="G867" s="227">
        <v>5113.4639999999999</v>
      </c>
      <c r="H867" s="227">
        <v>0.97150000000000003</v>
      </c>
      <c r="I867" s="227">
        <v>3.4237000000000002</v>
      </c>
      <c r="J867" s="227">
        <v>0.56202718391194417</v>
      </c>
      <c r="K867" s="227">
        <v>136.75</v>
      </c>
      <c r="L867" s="227">
        <v>136.03</v>
      </c>
      <c r="M867" s="227">
        <v>133.99</v>
      </c>
      <c r="N867" s="227">
        <v>93.817999999999998</v>
      </c>
      <c r="O867" s="227">
        <v>99.852000000000004</v>
      </c>
      <c r="P867" s="227">
        <v>116.32</v>
      </c>
      <c r="Q867" s="227">
        <v>107.46</v>
      </c>
      <c r="R867" s="227">
        <v>112.68</v>
      </c>
      <c r="S867" s="227"/>
      <c r="T867" s="227">
        <v>79.5</v>
      </c>
      <c r="U867" s="227">
        <v>79.5</v>
      </c>
      <c r="V867" s="227">
        <v>79.5</v>
      </c>
      <c r="W867" s="227">
        <v>79.5</v>
      </c>
      <c r="X867" s="227">
        <v>79.5</v>
      </c>
      <c r="Y867" s="227">
        <v>79.5</v>
      </c>
      <c r="Z867" s="227">
        <v>79.5</v>
      </c>
      <c r="AA867" s="227">
        <v>79.5</v>
      </c>
      <c r="AB867" s="227">
        <v>18.096</v>
      </c>
      <c r="AC867" s="227">
        <v>774.65</v>
      </c>
      <c r="AD867" s="230">
        <v>2.0944444444444445E-4</v>
      </c>
      <c r="AE867" s="230">
        <v>108.57600000000001</v>
      </c>
      <c r="AF867" s="230">
        <v>3816</v>
      </c>
      <c r="AG867" s="230">
        <v>485591.48689991975</v>
      </c>
      <c r="AH867" s="230">
        <v>3097387.6542056487</v>
      </c>
      <c r="AI867" s="230">
        <v>4647.8999999999996</v>
      </c>
    </row>
    <row r="868" spans="5:35" x14ac:dyDescent="0.35">
      <c r="E868" s="226">
        <v>2.7317400000000003</v>
      </c>
      <c r="F868" s="227">
        <v>14.025928767123288</v>
      </c>
      <c r="G868" s="227">
        <v>5119.4639999999999</v>
      </c>
      <c r="H868" s="227">
        <v>0.97160000000000002</v>
      </c>
      <c r="I868" s="227">
        <v>3.4277000000000002</v>
      </c>
      <c r="J868" s="227">
        <v>0.56215253807861076</v>
      </c>
      <c r="K868" s="227">
        <v>136.72</v>
      </c>
      <c r="L868" s="227">
        <v>136.01</v>
      </c>
      <c r="M868" s="227">
        <v>133.96</v>
      </c>
      <c r="N868" s="227">
        <v>93.802999999999997</v>
      </c>
      <c r="O868" s="227">
        <v>99.84</v>
      </c>
      <c r="P868" s="227">
        <v>116.3</v>
      </c>
      <c r="Q868" s="227">
        <v>107.45</v>
      </c>
      <c r="R868" s="227">
        <v>112.66</v>
      </c>
      <c r="S868" s="227"/>
      <c r="T868" s="227">
        <v>79.5</v>
      </c>
      <c r="U868" s="227">
        <v>79.5</v>
      </c>
      <c r="V868" s="227">
        <v>79.5</v>
      </c>
      <c r="W868" s="227">
        <v>79.5</v>
      </c>
      <c r="X868" s="227">
        <v>79.5</v>
      </c>
      <c r="Y868" s="227">
        <v>79.5</v>
      </c>
      <c r="Z868" s="227">
        <v>79.5</v>
      </c>
      <c r="AA868" s="227">
        <v>79.5</v>
      </c>
      <c r="AB868" s="227">
        <v>18.050999999999998</v>
      </c>
      <c r="AC868" s="227">
        <v>774.65</v>
      </c>
      <c r="AD868" s="230">
        <v>2.0892361111111109E-4</v>
      </c>
      <c r="AE868" s="230">
        <v>108.30599999999998</v>
      </c>
      <c r="AF868" s="230">
        <v>3816</v>
      </c>
      <c r="AG868" s="230">
        <v>485699.79289991973</v>
      </c>
      <c r="AH868" s="230">
        <v>3101203.6542056487</v>
      </c>
      <c r="AI868" s="230">
        <v>4647.8999999999996</v>
      </c>
    </row>
    <row r="869" spans="5:35" x14ac:dyDescent="0.35">
      <c r="E869" s="226">
        <v>2.7357400000000003</v>
      </c>
      <c r="F869" s="227">
        <v>14.04236712328767</v>
      </c>
      <c r="G869" s="227">
        <v>5125.4639999999999</v>
      </c>
      <c r="H869" s="227">
        <v>0.97170000000000001</v>
      </c>
      <c r="I869" s="227">
        <v>3.4317000000000002</v>
      </c>
      <c r="J869" s="227">
        <v>0.56227758668972194</v>
      </c>
      <c r="K869" s="227">
        <v>136.69</v>
      </c>
      <c r="L869" s="227">
        <v>135.99</v>
      </c>
      <c r="M869" s="227">
        <v>133.94</v>
      </c>
      <c r="N869" s="227">
        <v>93.789000000000001</v>
      </c>
      <c r="O869" s="227">
        <v>99.828000000000003</v>
      </c>
      <c r="P869" s="227">
        <v>116.28</v>
      </c>
      <c r="Q869" s="227">
        <v>107.44</v>
      </c>
      <c r="R869" s="227">
        <v>112.65</v>
      </c>
      <c r="S869" s="227"/>
      <c r="T869" s="227">
        <v>79.5</v>
      </c>
      <c r="U869" s="227">
        <v>79.5</v>
      </c>
      <c r="V869" s="227">
        <v>79.5</v>
      </c>
      <c r="W869" s="227">
        <v>79.5</v>
      </c>
      <c r="X869" s="227">
        <v>79.5</v>
      </c>
      <c r="Y869" s="227">
        <v>79.5</v>
      </c>
      <c r="Z869" s="227">
        <v>79.5</v>
      </c>
      <c r="AA869" s="227">
        <v>79.5</v>
      </c>
      <c r="AB869" s="227">
        <v>18.007000000000001</v>
      </c>
      <c r="AC869" s="227">
        <v>774.65</v>
      </c>
      <c r="AD869" s="230">
        <v>2.0841435185185188E-4</v>
      </c>
      <c r="AE869" s="230">
        <v>108.04200000000002</v>
      </c>
      <c r="AF869" s="230">
        <v>3816</v>
      </c>
      <c r="AG869" s="230">
        <v>485807.83489991975</v>
      </c>
      <c r="AH869" s="230">
        <v>3105019.6542056487</v>
      </c>
      <c r="AI869" s="230">
        <v>4647.8999999999996</v>
      </c>
    </row>
    <row r="870" spans="5:35" x14ac:dyDescent="0.35">
      <c r="E870" s="226">
        <v>2.7397400000000003</v>
      </c>
      <c r="F870" s="227">
        <v>14.058805479452054</v>
      </c>
      <c r="G870" s="227">
        <v>5131.4639999999999</v>
      </c>
      <c r="H870" s="227">
        <v>0.9718</v>
      </c>
      <c r="I870" s="227">
        <v>3.4357000000000002</v>
      </c>
      <c r="J870" s="227">
        <v>0.56240232974527748</v>
      </c>
      <c r="K870" s="227">
        <v>136.66</v>
      </c>
      <c r="L870" s="227">
        <v>135.97</v>
      </c>
      <c r="M870" s="227">
        <v>133.91999999999999</v>
      </c>
      <c r="N870" s="227">
        <v>93.775000000000006</v>
      </c>
      <c r="O870" s="227">
        <v>99.816999999999993</v>
      </c>
      <c r="P870" s="227">
        <v>116.27</v>
      </c>
      <c r="Q870" s="227">
        <v>107.43</v>
      </c>
      <c r="R870" s="227">
        <v>112.64</v>
      </c>
      <c r="S870" s="227"/>
      <c r="T870" s="227">
        <v>79.5</v>
      </c>
      <c r="U870" s="227">
        <v>79.5</v>
      </c>
      <c r="V870" s="227">
        <v>79.5</v>
      </c>
      <c r="W870" s="227">
        <v>79.5</v>
      </c>
      <c r="X870" s="227">
        <v>79.5</v>
      </c>
      <c r="Y870" s="227">
        <v>79.5</v>
      </c>
      <c r="Z870" s="227">
        <v>79.5</v>
      </c>
      <c r="AA870" s="227">
        <v>79.5</v>
      </c>
      <c r="AB870" s="227">
        <v>17.963000000000001</v>
      </c>
      <c r="AC870" s="227">
        <v>774.65</v>
      </c>
      <c r="AD870" s="230">
        <v>2.0790509259259259E-4</v>
      </c>
      <c r="AE870" s="230">
        <v>107.77799999999999</v>
      </c>
      <c r="AF870" s="230">
        <v>3816</v>
      </c>
      <c r="AG870" s="230">
        <v>485915.61289991974</v>
      </c>
      <c r="AH870" s="230">
        <v>3108835.6542056487</v>
      </c>
      <c r="AI870" s="230">
        <v>4647.8999999999996</v>
      </c>
    </row>
    <row r="871" spans="5:35" x14ac:dyDescent="0.35">
      <c r="E871" s="226">
        <v>2.7437400000000003</v>
      </c>
      <c r="F871" s="227">
        <v>14.075243835616439</v>
      </c>
      <c r="G871" s="227">
        <v>5137.4639999999999</v>
      </c>
      <c r="H871" s="227">
        <v>0.9718</v>
      </c>
      <c r="I871" s="227">
        <v>3.4397000000000002</v>
      </c>
      <c r="J871" s="227">
        <v>0.5625267672452775</v>
      </c>
      <c r="K871" s="227">
        <v>136.63999999999999</v>
      </c>
      <c r="L871" s="227">
        <v>135.94999999999999</v>
      </c>
      <c r="M871" s="227">
        <v>133.88999999999999</v>
      </c>
      <c r="N871" s="227">
        <v>93.76</v>
      </c>
      <c r="O871" s="227">
        <v>99.804000000000002</v>
      </c>
      <c r="P871" s="227">
        <v>116.25</v>
      </c>
      <c r="Q871" s="227">
        <v>107.42</v>
      </c>
      <c r="R871" s="227">
        <v>112.62</v>
      </c>
      <c r="S871" s="227"/>
      <c r="T871" s="227">
        <v>79.5</v>
      </c>
      <c r="U871" s="227">
        <v>79.5</v>
      </c>
      <c r="V871" s="227">
        <v>79.5</v>
      </c>
      <c r="W871" s="227">
        <v>79.5</v>
      </c>
      <c r="X871" s="227">
        <v>79.5</v>
      </c>
      <c r="Y871" s="227">
        <v>79.5</v>
      </c>
      <c r="Z871" s="227">
        <v>79.5</v>
      </c>
      <c r="AA871" s="227">
        <v>79.5</v>
      </c>
      <c r="AB871" s="227">
        <v>17.919</v>
      </c>
      <c r="AC871" s="227">
        <v>774.65</v>
      </c>
      <c r="AD871" s="230">
        <v>2.0739583333333333E-4</v>
      </c>
      <c r="AE871" s="230">
        <v>107.51400000000001</v>
      </c>
      <c r="AF871" s="230">
        <v>3816</v>
      </c>
      <c r="AG871" s="230">
        <v>486023.12689991976</v>
      </c>
      <c r="AH871" s="230">
        <v>3112651.6542056487</v>
      </c>
      <c r="AI871" s="230">
        <v>4647.8999999999996</v>
      </c>
    </row>
    <row r="872" spans="5:35" x14ac:dyDescent="0.35">
      <c r="E872" s="226">
        <v>2.7477400000000003</v>
      </c>
      <c r="F872" s="227">
        <v>14.091682191780821</v>
      </c>
      <c r="G872" s="227">
        <v>5143.4639999999999</v>
      </c>
      <c r="H872" s="227">
        <v>0.97189999999999999</v>
      </c>
      <c r="I872" s="227">
        <v>3.4437000000000002</v>
      </c>
      <c r="J872" s="227">
        <v>0.562650899189722</v>
      </c>
      <c r="K872" s="227">
        <v>136.61000000000001</v>
      </c>
      <c r="L872" s="227">
        <v>135.91999999999999</v>
      </c>
      <c r="M872" s="227">
        <v>133.87</v>
      </c>
      <c r="N872" s="227">
        <v>93.745999999999995</v>
      </c>
      <c r="O872" s="227">
        <v>99.792000000000002</v>
      </c>
      <c r="P872" s="227">
        <v>116.23</v>
      </c>
      <c r="Q872" s="227">
        <v>107.41</v>
      </c>
      <c r="R872" s="227">
        <v>112.61</v>
      </c>
      <c r="S872" s="227"/>
      <c r="T872" s="227">
        <v>79.5</v>
      </c>
      <c r="U872" s="227">
        <v>79.5</v>
      </c>
      <c r="V872" s="227">
        <v>79.5</v>
      </c>
      <c r="W872" s="227">
        <v>79.5</v>
      </c>
      <c r="X872" s="227">
        <v>79.5</v>
      </c>
      <c r="Y872" s="227">
        <v>79.5</v>
      </c>
      <c r="Z872" s="227">
        <v>79.5</v>
      </c>
      <c r="AA872" s="227">
        <v>79.5</v>
      </c>
      <c r="AB872" s="227">
        <v>17.875</v>
      </c>
      <c r="AC872" s="227">
        <v>774.65</v>
      </c>
      <c r="AD872" s="230">
        <v>2.0688657407407407E-4</v>
      </c>
      <c r="AE872" s="230">
        <v>107.25</v>
      </c>
      <c r="AF872" s="230">
        <v>3816</v>
      </c>
      <c r="AG872" s="230">
        <v>486130.37689991976</v>
      </c>
      <c r="AH872" s="230">
        <v>3116467.6542056487</v>
      </c>
      <c r="AI872" s="230">
        <v>4647.8999999999996</v>
      </c>
    </row>
    <row r="873" spans="5:35" x14ac:dyDescent="0.35">
      <c r="E873" s="226">
        <v>2.7518400000000001</v>
      </c>
      <c r="F873" s="227">
        <v>14.108120547945205</v>
      </c>
      <c r="G873" s="227">
        <v>5149.4639999999999</v>
      </c>
      <c r="H873" s="227">
        <v>0.97199999999999998</v>
      </c>
      <c r="I873" s="227">
        <v>3.4478</v>
      </c>
      <c r="J873" s="227">
        <v>0.56277473252305532</v>
      </c>
      <c r="K873" s="227">
        <v>136.58000000000001</v>
      </c>
      <c r="L873" s="227">
        <v>135.91</v>
      </c>
      <c r="M873" s="227">
        <v>133.84</v>
      </c>
      <c r="N873" s="227">
        <v>93.730999999999995</v>
      </c>
      <c r="O873" s="227">
        <v>99.78</v>
      </c>
      <c r="P873" s="227">
        <v>116.22</v>
      </c>
      <c r="Q873" s="227">
        <v>107.4</v>
      </c>
      <c r="R873" s="227">
        <v>112.6</v>
      </c>
      <c r="S873" s="227"/>
      <c r="T873" s="227">
        <v>79.5</v>
      </c>
      <c r="U873" s="227">
        <v>79.5</v>
      </c>
      <c r="V873" s="227">
        <v>79.5</v>
      </c>
      <c r="W873" s="227">
        <v>79.5</v>
      </c>
      <c r="X873" s="227">
        <v>79.5</v>
      </c>
      <c r="Y873" s="227">
        <v>79.5</v>
      </c>
      <c r="Z873" s="227">
        <v>79.5</v>
      </c>
      <c r="AA873" s="227">
        <v>79.5</v>
      </c>
      <c r="AB873" s="227">
        <v>17.832000000000001</v>
      </c>
      <c r="AC873" s="227">
        <v>774.65</v>
      </c>
      <c r="AD873" s="230">
        <v>2.063888888888889E-4</v>
      </c>
      <c r="AE873" s="230">
        <v>106.99200000000002</v>
      </c>
      <c r="AF873" s="230">
        <v>3816</v>
      </c>
      <c r="AG873" s="230">
        <v>486237.36889991979</v>
      </c>
      <c r="AH873" s="230">
        <v>3120283.6542056487</v>
      </c>
      <c r="AI873" s="230">
        <v>4647.8999999999996</v>
      </c>
    </row>
    <row r="874" spans="5:35" x14ac:dyDescent="0.35">
      <c r="E874" s="226">
        <v>2.7558400000000001</v>
      </c>
      <c r="F874" s="227">
        <v>14.124558904109589</v>
      </c>
      <c r="G874" s="227">
        <v>5155.4639999999999</v>
      </c>
      <c r="H874" s="227">
        <v>0.97199999999999998</v>
      </c>
      <c r="I874" s="227">
        <v>3.4518</v>
      </c>
      <c r="J874" s="227">
        <v>0.56289826030083312</v>
      </c>
      <c r="K874" s="227">
        <v>136.55000000000001</v>
      </c>
      <c r="L874" s="227">
        <v>135.88</v>
      </c>
      <c r="M874" s="227">
        <v>133.82</v>
      </c>
      <c r="N874" s="227">
        <v>93.718000000000004</v>
      </c>
      <c r="O874" s="227">
        <v>99.768000000000001</v>
      </c>
      <c r="P874" s="227">
        <v>116.2</v>
      </c>
      <c r="Q874" s="227">
        <v>107.38</v>
      </c>
      <c r="R874" s="227">
        <v>112.58</v>
      </c>
      <c r="S874" s="227"/>
      <c r="T874" s="227">
        <v>79.5</v>
      </c>
      <c r="U874" s="227">
        <v>79.5</v>
      </c>
      <c r="V874" s="227">
        <v>79.5</v>
      </c>
      <c r="W874" s="227">
        <v>79.5</v>
      </c>
      <c r="X874" s="227">
        <v>79.5</v>
      </c>
      <c r="Y874" s="227">
        <v>79.5</v>
      </c>
      <c r="Z874" s="227">
        <v>79.5</v>
      </c>
      <c r="AA874" s="227">
        <v>79.5</v>
      </c>
      <c r="AB874" s="227">
        <v>17.788</v>
      </c>
      <c r="AC874" s="227">
        <v>774.65</v>
      </c>
      <c r="AD874" s="230">
        <v>2.0587962962962964E-4</v>
      </c>
      <c r="AE874" s="230">
        <v>106.72800000000001</v>
      </c>
      <c r="AF874" s="230">
        <v>3816</v>
      </c>
      <c r="AG874" s="230">
        <v>486344.09689991979</v>
      </c>
      <c r="AH874" s="230">
        <v>3124099.6542056487</v>
      </c>
      <c r="AI874" s="230">
        <v>4647.8999999999996</v>
      </c>
    </row>
    <row r="875" spans="5:35" x14ac:dyDescent="0.35">
      <c r="E875" s="226">
        <v>2.7598400000000001</v>
      </c>
      <c r="F875" s="227">
        <v>14.140997260273972</v>
      </c>
      <c r="G875" s="227">
        <v>5161.4639999999999</v>
      </c>
      <c r="H875" s="227">
        <v>0.97209999999999996</v>
      </c>
      <c r="I875" s="227">
        <v>3.4558</v>
      </c>
      <c r="J875" s="227">
        <v>0.56302148252305528</v>
      </c>
      <c r="K875" s="227">
        <v>136.52000000000001</v>
      </c>
      <c r="L875" s="227">
        <v>135.86000000000001</v>
      </c>
      <c r="M875" s="227">
        <v>133.79</v>
      </c>
      <c r="N875" s="227">
        <v>93.703999999999994</v>
      </c>
      <c r="O875" s="227">
        <v>99.754000000000005</v>
      </c>
      <c r="P875" s="227">
        <v>116.18</v>
      </c>
      <c r="Q875" s="227">
        <v>107.37</v>
      </c>
      <c r="R875" s="227">
        <v>112.57</v>
      </c>
      <c r="S875" s="227"/>
      <c r="T875" s="227">
        <v>79.5</v>
      </c>
      <c r="U875" s="227">
        <v>79.5</v>
      </c>
      <c r="V875" s="227">
        <v>79.5</v>
      </c>
      <c r="W875" s="227">
        <v>79.5</v>
      </c>
      <c r="X875" s="227">
        <v>79.5</v>
      </c>
      <c r="Y875" s="227">
        <v>79.5</v>
      </c>
      <c r="Z875" s="227">
        <v>79.5</v>
      </c>
      <c r="AA875" s="227">
        <v>79.5</v>
      </c>
      <c r="AB875" s="227">
        <v>17.744</v>
      </c>
      <c r="AC875" s="227">
        <v>774.65</v>
      </c>
      <c r="AD875" s="230">
        <v>2.0537037037037038E-4</v>
      </c>
      <c r="AE875" s="230">
        <v>106.464</v>
      </c>
      <c r="AF875" s="230">
        <v>3816</v>
      </c>
      <c r="AG875" s="230">
        <v>486450.56089991977</v>
      </c>
      <c r="AH875" s="230">
        <v>3127915.6542056487</v>
      </c>
      <c r="AI875" s="230">
        <v>4647.8999999999996</v>
      </c>
    </row>
    <row r="876" spans="5:35" x14ac:dyDescent="0.35">
      <c r="E876" s="226">
        <v>2.7638400000000001</v>
      </c>
      <c r="F876" s="227">
        <v>14.157435616438356</v>
      </c>
      <c r="G876" s="227">
        <v>5167.4639999999999</v>
      </c>
      <c r="H876" s="227">
        <v>0.97219999999999995</v>
      </c>
      <c r="I876" s="227">
        <v>3.4598</v>
      </c>
      <c r="J876" s="227">
        <v>0.56314440613416639</v>
      </c>
      <c r="K876" s="227">
        <v>136.49</v>
      </c>
      <c r="L876" s="227">
        <v>135.84</v>
      </c>
      <c r="M876" s="227">
        <v>133.76</v>
      </c>
      <c r="N876" s="227">
        <v>93.688999999999993</v>
      </c>
      <c r="O876" s="227">
        <v>99.742999999999995</v>
      </c>
      <c r="P876" s="227">
        <v>116.16</v>
      </c>
      <c r="Q876" s="227">
        <v>107.36</v>
      </c>
      <c r="R876" s="227">
        <v>112.56</v>
      </c>
      <c r="S876" s="227"/>
      <c r="T876" s="227">
        <v>79.5</v>
      </c>
      <c r="U876" s="227">
        <v>79.5</v>
      </c>
      <c r="V876" s="227">
        <v>79.5</v>
      </c>
      <c r="W876" s="227">
        <v>79.5</v>
      </c>
      <c r="X876" s="227">
        <v>79.5</v>
      </c>
      <c r="Y876" s="227">
        <v>79.5</v>
      </c>
      <c r="Z876" s="227">
        <v>79.5</v>
      </c>
      <c r="AA876" s="227">
        <v>79.5</v>
      </c>
      <c r="AB876" s="227">
        <v>17.701000000000001</v>
      </c>
      <c r="AC876" s="227">
        <v>774.65</v>
      </c>
      <c r="AD876" s="230">
        <v>2.0487268518518519E-4</v>
      </c>
      <c r="AE876" s="230">
        <v>106.206</v>
      </c>
      <c r="AF876" s="230">
        <v>3816</v>
      </c>
      <c r="AG876" s="230">
        <v>486556.76689991978</v>
      </c>
      <c r="AH876" s="230">
        <v>3131731.6542056487</v>
      </c>
      <c r="AI876" s="230">
        <v>4647.8999999999996</v>
      </c>
    </row>
    <row r="877" spans="5:35" x14ac:dyDescent="0.35">
      <c r="E877" s="226">
        <v>2.7678400000000001</v>
      </c>
      <c r="F877" s="227">
        <v>14.17387397260274</v>
      </c>
      <c r="G877" s="227">
        <v>5173.4639999999999</v>
      </c>
      <c r="H877" s="227">
        <v>0.97219999999999995</v>
      </c>
      <c r="I877" s="227">
        <v>3.4638</v>
      </c>
      <c r="J877" s="227">
        <v>0.56326703113416643</v>
      </c>
      <c r="K877" s="227">
        <v>136.46</v>
      </c>
      <c r="L877" s="227">
        <v>135.82</v>
      </c>
      <c r="M877" s="227">
        <v>133.74</v>
      </c>
      <c r="N877" s="227">
        <v>93.676000000000002</v>
      </c>
      <c r="O877" s="227">
        <v>99.728999999999999</v>
      </c>
      <c r="P877" s="227">
        <v>116.14</v>
      </c>
      <c r="Q877" s="227">
        <v>107.35</v>
      </c>
      <c r="R877" s="227">
        <v>112.54</v>
      </c>
      <c r="S877" s="227"/>
      <c r="T877" s="227">
        <v>79.5</v>
      </c>
      <c r="U877" s="227">
        <v>79.5</v>
      </c>
      <c r="V877" s="227">
        <v>79.5</v>
      </c>
      <c r="W877" s="227">
        <v>79.5</v>
      </c>
      <c r="X877" s="227">
        <v>79.5</v>
      </c>
      <c r="Y877" s="227">
        <v>79.5</v>
      </c>
      <c r="Z877" s="227">
        <v>79.5</v>
      </c>
      <c r="AA877" s="227">
        <v>79.5</v>
      </c>
      <c r="AB877" s="227">
        <v>17.658000000000001</v>
      </c>
      <c r="AC877" s="227">
        <v>774.65</v>
      </c>
      <c r="AD877" s="230">
        <v>2.0437500000000002E-4</v>
      </c>
      <c r="AE877" s="230">
        <v>105.94800000000001</v>
      </c>
      <c r="AF877" s="230">
        <v>3816</v>
      </c>
      <c r="AG877" s="230">
        <v>486662.71489991975</v>
      </c>
      <c r="AH877" s="230">
        <v>3135547.6542056487</v>
      </c>
      <c r="AI877" s="230">
        <v>4647.8999999999996</v>
      </c>
    </row>
    <row r="878" spans="5:35" x14ac:dyDescent="0.35">
      <c r="E878" s="226">
        <v>2.7718400000000001</v>
      </c>
      <c r="F878" s="227">
        <v>14.190312328767122</v>
      </c>
      <c r="G878" s="227">
        <v>5179.4639999999999</v>
      </c>
      <c r="H878" s="227">
        <v>0.97230000000000005</v>
      </c>
      <c r="I878" s="227">
        <v>3.4678</v>
      </c>
      <c r="J878" s="227">
        <v>0.5633893575230553</v>
      </c>
      <c r="K878" s="227">
        <v>136.44</v>
      </c>
      <c r="L878" s="227">
        <v>135.80000000000001</v>
      </c>
      <c r="M878" s="227">
        <v>133.71</v>
      </c>
      <c r="N878" s="227">
        <v>93.662000000000006</v>
      </c>
      <c r="O878" s="227">
        <v>99.718999999999994</v>
      </c>
      <c r="P878" s="227">
        <v>116.13</v>
      </c>
      <c r="Q878" s="227">
        <v>107.34</v>
      </c>
      <c r="R878" s="227">
        <v>112.53</v>
      </c>
      <c r="S878" s="227"/>
      <c r="T878" s="227">
        <v>79.5</v>
      </c>
      <c r="U878" s="227">
        <v>79.5</v>
      </c>
      <c r="V878" s="227">
        <v>79.5</v>
      </c>
      <c r="W878" s="227">
        <v>79.5</v>
      </c>
      <c r="X878" s="227">
        <v>79.5</v>
      </c>
      <c r="Y878" s="227">
        <v>79.5</v>
      </c>
      <c r="Z878" s="227">
        <v>79.5</v>
      </c>
      <c r="AA878" s="227">
        <v>79.5</v>
      </c>
      <c r="AB878" s="227">
        <v>17.614999999999998</v>
      </c>
      <c r="AC878" s="227">
        <v>774.65</v>
      </c>
      <c r="AD878" s="230">
        <v>2.038773148148148E-4</v>
      </c>
      <c r="AE878" s="230">
        <v>105.68999999999998</v>
      </c>
      <c r="AF878" s="230">
        <v>3816</v>
      </c>
      <c r="AG878" s="230">
        <v>486768.40489991975</v>
      </c>
      <c r="AH878" s="230">
        <v>3139363.6542056487</v>
      </c>
      <c r="AI878" s="230">
        <v>4647.8999999999996</v>
      </c>
    </row>
    <row r="879" spans="5:35" x14ac:dyDescent="0.35">
      <c r="E879" s="226">
        <v>2.7759400000000003</v>
      </c>
      <c r="F879" s="227">
        <v>14.206750684931507</v>
      </c>
      <c r="G879" s="227">
        <v>5185.4639999999999</v>
      </c>
      <c r="H879" s="227">
        <v>0.97240000000000004</v>
      </c>
      <c r="I879" s="227">
        <v>3.4719000000000002</v>
      </c>
      <c r="J879" s="227">
        <v>0.56351139224527758</v>
      </c>
      <c r="K879" s="227">
        <v>136.41</v>
      </c>
      <c r="L879" s="227">
        <v>135.78</v>
      </c>
      <c r="M879" s="227">
        <v>133.69</v>
      </c>
      <c r="N879" s="227">
        <v>93.647000000000006</v>
      </c>
      <c r="O879" s="227">
        <v>99.706999999999994</v>
      </c>
      <c r="P879" s="227">
        <v>116.11</v>
      </c>
      <c r="Q879" s="227">
        <v>107.33</v>
      </c>
      <c r="R879" s="227">
        <v>112.52</v>
      </c>
      <c r="S879" s="227"/>
      <c r="T879" s="227">
        <v>79.5</v>
      </c>
      <c r="U879" s="227">
        <v>79.5</v>
      </c>
      <c r="V879" s="227">
        <v>79.5</v>
      </c>
      <c r="W879" s="227">
        <v>79.5</v>
      </c>
      <c r="X879" s="227">
        <v>79.5</v>
      </c>
      <c r="Y879" s="227">
        <v>79.5</v>
      </c>
      <c r="Z879" s="227">
        <v>79.5</v>
      </c>
      <c r="AA879" s="227">
        <v>79.5</v>
      </c>
      <c r="AB879" s="227">
        <v>17.573</v>
      </c>
      <c r="AC879" s="227">
        <v>774.65</v>
      </c>
      <c r="AD879" s="230">
        <v>2.033912037037037E-4</v>
      </c>
      <c r="AE879" s="230">
        <v>105.438</v>
      </c>
      <c r="AF879" s="230">
        <v>3816</v>
      </c>
      <c r="AG879" s="230">
        <v>486873.84289991978</v>
      </c>
      <c r="AH879" s="230">
        <v>3143179.6542056487</v>
      </c>
      <c r="AI879" s="230">
        <v>4647.8999999999996</v>
      </c>
    </row>
    <row r="880" spans="5:35" x14ac:dyDescent="0.35">
      <c r="E880" s="226">
        <v>2.7799400000000003</v>
      </c>
      <c r="F880" s="227">
        <v>14.223189041095891</v>
      </c>
      <c r="G880" s="227">
        <v>5191.4639999999999</v>
      </c>
      <c r="H880" s="227">
        <v>0.97240000000000004</v>
      </c>
      <c r="I880" s="227">
        <v>3.4759000000000002</v>
      </c>
      <c r="J880" s="227">
        <v>0.56363313530083303</v>
      </c>
      <c r="K880" s="227">
        <v>136.38</v>
      </c>
      <c r="L880" s="227">
        <v>135.76</v>
      </c>
      <c r="M880" s="227">
        <v>133.66999999999999</v>
      </c>
      <c r="N880" s="227">
        <v>93.634</v>
      </c>
      <c r="O880" s="227">
        <v>99.694999999999993</v>
      </c>
      <c r="P880" s="227">
        <v>116.1</v>
      </c>
      <c r="Q880" s="227">
        <v>107.32</v>
      </c>
      <c r="R880" s="227">
        <v>112.51</v>
      </c>
      <c r="S880" s="227"/>
      <c r="T880" s="227">
        <v>79.5</v>
      </c>
      <c r="U880" s="227">
        <v>79.5</v>
      </c>
      <c r="V880" s="227">
        <v>79.5</v>
      </c>
      <c r="W880" s="227">
        <v>79.5</v>
      </c>
      <c r="X880" s="227">
        <v>79.5</v>
      </c>
      <c r="Y880" s="227">
        <v>79.5</v>
      </c>
      <c r="Z880" s="227">
        <v>79.5</v>
      </c>
      <c r="AA880" s="227">
        <v>79.5</v>
      </c>
      <c r="AB880" s="227">
        <v>17.530999999999999</v>
      </c>
      <c r="AC880" s="227">
        <v>774.65</v>
      </c>
      <c r="AD880" s="230">
        <v>2.0290509259259258E-4</v>
      </c>
      <c r="AE880" s="230">
        <v>105.18599999999998</v>
      </c>
      <c r="AF880" s="230">
        <v>3816</v>
      </c>
      <c r="AG880" s="230">
        <v>486979.02889991977</v>
      </c>
      <c r="AH880" s="230">
        <v>3146995.6542056487</v>
      </c>
      <c r="AI880" s="230">
        <v>4647.8999999999996</v>
      </c>
    </row>
    <row r="881" spans="5:35" x14ac:dyDescent="0.35">
      <c r="E881" s="226">
        <v>2.7839400000000003</v>
      </c>
      <c r="F881" s="227">
        <v>14.239627397260273</v>
      </c>
      <c r="G881" s="227">
        <v>5197.4639999999999</v>
      </c>
      <c r="H881" s="227">
        <v>0.97250000000000003</v>
      </c>
      <c r="I881" s="227">
        <v>3.4799000000000002</v>
      </c>
      <c r="J881" s="227">
        <v>0.563754586689722</v>
      </c>
      <c r="K881" s="227">
        <v>136.35</v>
      </c>
      <c r="L881" s="227">
        <v>135.74</v>
      </c>
      <c r="M881" s="227">
        <v>133.63999999999999</v>
      </c>
      <c r="N881" s="227">
        <v>93.62</v>
      </c>
      <c r="O881" s="227">
        <v>99.682000000000002</v>
      </c>
      <c r="P881" s="227">
        <v>116.08</v>
      </c>
      <c r="Q881" s="227">
        <v>107.31</v>
      </c>
      <c r="R881" s="227">
        <v>112.49</v>
      </c>
      <c r="S881" s="227"/>
      <c r="T881" s="227">
        <v>79.5</v>
      </c>
      <c r="U881" s="227">
        <v>79.5</v>
      </c>
      <c r="V881" s="227">
        <v>79.5</v>
      </c>
      <c r="W881" s="227">
        <v>79.5</v>
      </c>
      <c r="X881" s="227">
        <v>79.5</v>
      </c>
      <c r="Y881" s="227">
        <v>79.5</v>
      </c>
      <c r="Z881" s="227">
        <v>79.5</v>
      </c>
      <c r="AA881" s="227">
        <v>79.5</v>
      </c>
      <c r="AB881" s="227">
        <v>17.489000000000001</v>
      </c>
      <c r="AC881" s="227">
        <v>774.65</v>
      </c>
      <c r="AD881" s="230">
        <v>2.0241898148148148E-4</v>
      </c>
      <c r="AE881" s="230">
        <v>104.934</v>
      </c>
      <c r="AF881" s="230">
        <v>3816</v>
      </c>
      <c r="AG881" s="230">
        <v>487083.96289991977</v>
      </c>
      <c r="AH881" s="230">
        <v>3150811.6542056487</v>
      </c>
      <c r="AI881" s="230">
        <v>4647.8999999999996</v>
      </c>
    </row>
    <row r="882" spans="5:35" x14ac:dyDescent="0.35">
      <c r="E882" s="226">
        <v>2.7879400000000003</v>
      </c>
      <c r="F882" s="227">
        <v>14.256065753424657</v>
      </c>
      <c r="G882" s="227">
        <v>5203.4639999999999</v>
      </c>
      <c r="H882" s="227">
        <v>0.97260000000000002</v>
      </c>
      <c r="I882" s="227">
        <v>3.4839000000000002</v>
      </c>
      <c r="J882" s="227">
        <v>0.56387573946749969</v>
      </c>
      <c r="K882" s="227">
        <v>136.33000000000001</v>
      </c>
      <c r="L882" s="227">
        <v>135.72</v>
      </c>
      <c r="M882" s="227">
        <v>133.62</v>
      </c>
      <c r="N882" s="227">
        <v>93.605999999999995</v>
      </c>
      <c r="O882" s="227">
        <v>99.671000000000006</v>
      </c>
      <c r="P882" s="227">
        <v>116.06</v>
      </c>
      <c r="Q882" s="227">
        <v>107.3</v>
      </c>
      <c r="R882" s="227">
        <v>112.48</v>
      </c>
      <c r="S882" s="227"/>
      <c r="T882" s="227">
        <v>79.5</v>
      </c>
      <c r="U882" s="227">
        <v>79.5</v>
      </c>
      <c r="V882" s="227">
        <v>79.5</v>
      </c>
      <c r="W882" s="227">
        <v>79.5</v>
      </c>
      <c r="X882" s="227">
        <v>79.5</v>
      </c>
      <c r="Y882" s="227">
        <v>79.5</v>
      </c>
      <c r="Z882" s="227">
        <v>79.5</v>
      </c>
      <c r="AA882" s="227">
        <v>79.5</v>
      </c>
      <c r="AB882" s="227">
        <v>17.446000000000002</v>
      </c>
      <c r="AC882" s="227">
        <v>774.65</v>
      </c>
      <c r="AD882" s="230">
        <v>2.0192129629629632E-4</v>
      </c>
      <c r="AE882" s="230">
        <v>104.67600000000002</v>
      </c>
      <c r="AF882" s="230">
        <v>3816</v>
      </c>
      <c r="AG882" s="230">
        <v>487188.63889991975</v>
      </c>
      <c r="AH882" s="230">
        <v>3154627.6542056487</v>
      </c>
      <c r="AI882" s="230">
        <v>4647.8999999999996</v>
      </c>
    </row>
    <row r="883" spans="5:35" x14ac:dyDescent="0.35">
      <c r="E883" s="226">
        <v>2.7919399999999999</v>
      </c>
      <c r="F883" s="227">
        <v>14.272504109589041</v>
      </c>
      <c r="G883" s="227">
        <v>5209.4639999999999</v>
      </c>
      <c r="H883" s="227">
        <v>0.97260000000000002</v>
      </c>
      <c r="I883" s="227">
        <v>3.4878999999999998</v>
      </c>
      <c r="J883" s="227">
        <v>0.56399660057861078</v>
      </c>
      <c r="K883" s="227">
        <v>136.30000000000001</v>
      </c>
      <c r="L883" s="227">
        <v>135.69999999999999</v>
      </c>
      <c r="M883" s="227">
        <v>133.59</v>
      </c>
      <c r="N883" s="227">
        <v>93.591999999999999</v>
      </c>
      <c r="O883" s="227">
        <v>99.658000000000001</v>
      </c>
      <c r="P883" s="227">
        <v>116.04</v>
      </c>
      <c r="Q883" s="227">
        <v>107.29</v>
      </c>
      <c r="R883" s="227">
        <v>112.47</v>
      </c>
      <c r="S883" s="227"/>
      <c r="T883" s="227">
        <v>79.5</v>
      </c>
      <c r="U883" s="227">
        <v>79.5</v>
      </c>
      <c r="V883" s="227">
        <v>79.5</v>
      </c>
      <c r="W883" s="227">
        <v>79.5</v>
      </c>
      <c r="X883" s="227">
        <v>79.5</v>
      </c>
      <c r="Y883" s="227">
        <v>79.5</v>
      </c>
      <c r="Z883" s="227">
        <v>79.5</v>
      </c>
      <c r="AA883" s="227">
        <v>79.5</v>
      </c>
      <c r="AB883" s="227">
        <v>17.404</v>
      </c>
      <c r="AC883" s="227">
        <v>774.65</v>
      </c>
      <c r="AD883" s="230">
        <v>2.0143518518518519E-4</v>
      </c>
      <c r="AE883" s="230">
        <v>104.42400000000001</v>
      </c>
      <c r="AF883" s="230">
        <v>3816</v>
      </c>
      <c r="AG883" s="230">
        <v>487293.06289991975</v>
      </c>
      <c r="AH883" s="230">
        <v>3158443.6542056487</v>
      </c>
      <c r="AI883" s="230">
        <v>4647.8999999999996</v>
      </c>
    </row>
    <row r="884" spans="5:35" x14ac:dyDescent="0.35">
      <c r="E884" s="226">
        <v>2.7959399999999999</v>
      </c>
      <c r="F884" s="227">
        <v>14.288942465753424</v>
      </c>
      <c r="G884" s="227">
        <v>5215.4639999999999</v>
      </c>
      <c r="H884" s="227">
        <v>0.97270000000000001</v>
      </c>
      <c r="I884" s="227">
        <v>3.4918999999999998</v>
      </c>
      <c r="J884" s="227">
        <v>0.56411717002305528</v>
      </c>
      <c r="K884" s="227">
        <v>136.27000000000001</v>
      </c>
      <c r="L884" s="227">
        <v>135.68</v>
      </c>
      <c r="M884" s="227">
        <v>133.57</v>
      </c>
      <c r="N884" s="227">
        <v>93.578000000000003</v>
      </c>
      <c r="O884" s="227">
        <v>99.647000000000006</v>
      </c>
      <c r="P884" s="227">
        <v>116.03</v>
      </c>
      <c r="Q884" s="227">
        <v>107.28</v>
      </c>
      <c r="R884" s="227">
        <v>112.46</v>
      </c>
      <c r="S884" s="227"/>
      <c r="T884" s="227">
        <v>79.5</v>
      </c>
      <c r="U884" s="227">
        <v>79.5</v>
      </c>
      <c r="V884" s="227">
        <v>79.5</v>
      </c>
      <c r="W884" s="227">
        <v>79.5</v>
      </c>
      <c r="X884" s="227">
        <v>79.5</v>
      </c>
      <c r="Y884" s="227">
        <v>79.5</v>
      </c>
      <c r="Z884" s="227">
        <v>79.5</v>
      </c>
      <c r="AA884" s="227">
        <v>79.5</v>
      </c>
      <c r="AB884" s="227">
        <v>17.361999999999998</v>
      </c>
      <c r="AC884" s="227">
        <v>774.65</v>
      </c>
      <c r="AD884" s="230">
        <v>2.0094907407407407E-4</v>
      </c>
      <c r="AE884" s="230">
        <v>104.172</v>
      </c>
      <c r="AF884" s="230">
        <v>3816</v>
      </c>
      <c r="AG884" s="230">
        <v>487397.23489991977</v>
      </c>
      <c r="AH884" s="230">
        <v>3162259.6542056487</v>
      </c>
      <c r="AI884" s="230">
        <v>4647.8999999999996</v>
      </c>
    </row>
    <row r="885" spans="5:35" x14ac:dyDescent="0.35">
      <c r="E885" s="226">
        <v>2.8000400000000001</v>
      </c>
      <c r="F885" s="227">
        <v>14.305380821917808</v>
      </c>
      <c r="G885" s="227">
        <v>5221.4639999999999</v>
      </c>
      <c r="H885" s="227">
        <v>0.9728</v>
      </c>
      <c r="I885" s="227">
        <v>3.496</v>
      </c>
      <c r="J885" s="227">
        <v>0.56423745474527753</v>
      </c>
      <c r="K885" s="227">
        <v>136.24</v>
      </c>
      <c r="L885" s="227">
        <v>135.66</v>
      </c>
      <c r="M885" s="227">
        <v>133.54</v>
      </c>
      <c r="N885" s="227">
        <v>93.563999999999993</v>
      </c>
      <c r="O885" s="227">
        <v>99.635000000000005</v>
      </c>
      <c r="P885" s="227">
        <v>116.01</v>
      </c>
      <c r="Q885" s="227">
        <v>107.27</v>
      </c>
      <c r="R885" s="227">
        <v>112.44</v>
      </c>
      <c r="S885" s="227"/>
      <c r="T885" s="227">
        <v>79.5</v>
      </c>
      <c r="U885" s="227">
        <v>79.5</v>
      </c>
      <c r="V885" s="227">
        <v>79.5</v>
      </c>
      <c r="W885" s="227">
        <v>79.5</v>
      </c>
      <c r="X885" s="227">
        <v>79.5</v>
      </c>
      <c r="Y885" s="227">
        <v>79.5</v>
      </c>
      <c r="Z885" s="227">
        <v>79.5</v>
      </c>
      <c r="AA885" s="227">
        <v>79.5</v>
      </c>
      <c r="AB885" s="227">
        <v>17.321000000000002</v>
      </c>
      <c r="AC885" s="227">
        <v>774.65</v>
      </c>
      <c r="AD885" s="230">
        <v>2.0047453703703707E-4</v>
      </c>
      <c r="AE885" s="230">
        <v>103.92600000000002</v>
      </c>
      <c r="AF885" s="230">
        <v>3816</v>
      </c>
      <c r="AG885" s="230">
        <v>487501.16089991975</v>
      </c>
      <c r="AH885" s="230">
        <v>3166075.6542056487</v>
      </c>
      <c r="AI885" s="230">
        <v>4647.8999999999996</v>
      </c>
    </row>
    <row r="886" spans="5:35" x14ac:dyDescent="0.35">
      <c r="E886" s="226">
        <v>2.8040400000000001</v>
      </c>
      <c r="F886" s="227">
        <v>14.321819178082192</v>
      </c>
      <c r="G886" s="227">
        <v>5227.4639999999999</v>
      </c>
      <c r="H886" s="227">
        <v>0.9728</v>
      </c>
      <c r="I886" s="227">
        <v>3.5</v>
      </c>
      <c r="J886" s="227">
        <v>0.56435744780083308</v>
      </c>
      <c r="K886" s="227">
        <v>136.21</v>
      </c>
      <c r="L886" s="227">
        <v>135.63999999999999</v>
      </c>
      <c r="M886" s="227">
        <v>133.52000000000001</v>
      </c>
      <c r="N886" s="227">
        <v>93.551000000000002</v>
      </c>
      <c r="O886" s="227">
        <v>99.622</v>
      </c>
      <c r="P886" s="227">
        <v>115.99</v>
      </c>
      <c r="Q886" s="227">
        <v>107.26</v>
      </c>
      <c r="R886" s="227">
        <v>112.43</v>
      </c>
      <c r="S886" s="227"/>
      <c r="T886" s="227">
        <v>79.5</v>
      </c>
      <c r="U886" s="227">
        <v>79.5</v>
      </c>
      <c r="V886" s="227">
        <v>79.5</v>
      </c>
      <c r="W886" s="227">
        <v>79.5</v>
      </c>
      <c r="X886" s="227">
        <v>79.5</v>
      </c>
      <c r="Y886" s="227">
        <v>79.5</v>
      </c>
      <c r="Z886" s="227">
        <v>79.5</v>
      </c>
      <c r="AA886" s="227">
        <v>79.5</v>
      </c>
      <c r="AB886" s="227">
        <v>17.279</v>
      </c>
      <c r="AC886" s="227">
        <v>774.65</v>
      </c>
      <c r="AD886" s="230">
        <v>1.9998842592592591E-4</v>
      </c>
      <c r="AE886" s="230">
        <v>103.67399999999999</v>
      </c>
      <c r="AF886" s="230">
        <v>3816</v>
      </c>
      <c r="AG886" s="230">
        <v>487604.83489991975</v>
      </c>
      <c r="AH886" s="230">
        <v>3169891.6542056487</v>
      </c>
      <c r="AI886" s="230">
        <v>4647.8999999999996</v>
      </c>
    </row>
    <row r="887" spans="5:35" x14ac:dyDescent="0.35">
      <c r="E887" s="226">
        <v>2.8080400000000001</v>
      </c>
      <c r="F887" s="227">
        <v>14.338257534246575</v>
      </c>
      <c r="G887" s="227">
        <v>5233.4639999999999</v>
      </c>
      <c r="H887" s="227">
        <v>0.97289999999999999</v>
      </c>
      <c r="I887" s="227">
        <v>3.504</v>
      </c>
      <c r="J887" s="227">
        <v>0.56447715613416638</v>
      </c>
      <c r="K887" s="227">
        <v>136.19</v>
      </c>
      <c r="L887" s="227">
        <v>135.62</v>
      </c>
      <c r="M887" s="227">
        <v>133.49</v>
      </c>
      <c r="N887" s="227">
        <v>93.537000000000006</v>
      </c>
      <c r="O887" s="227">
        <v>99.611999999999995</v>
      </c>
      <c r="P887" s="227">
        <v>115.98</v>
      </c>
      <c r="Q887" s="227">
        <v>107.25</v>
      </c>
      <c r="R887" s="227">
        <v>112.42</v>
      </c>
      <c r="S887" s="227"/>
      <c r="T887" s="227">
        <v>79.5</v>
      </c>
      <c r="U887" s="227">
        <v>79.5</v>
      </c>
      <c r="V887" s="227">
        <v>79.5</v>
      </c>
      <c r="W887" s="227">
        <v>79.5</v>
      </c>
      <c r="X887" s="227">
        <v>79.5</v>
      </c>
      <c r="Y887" s="227">
        <v>79.5</v>
      </c>
      <c r="Z887" s="227">
        <v>79.5</v>
      </c>
      <c r="AA887" s="227">
        <v>79.5</v>
      </c>
      <c r="AB887" s="227">
        <v>17.238</v>
      </c>
      <c r="AC887" s="227">
        <v>774.65</v>
      </c>
      <c r="AD887" s="230">
        <v>1.9951388888888889E-4</v>
      </c>
      <c r="AE887" s="230">
        <v>103.42800000000001</v>
      </c>
      <c r="AF887" s="230">
        <v>3816</v>
      </c>
      <c r="AG887" s="230">
        <v>487708.26289991976</v>
      </c>
      <c r="AH887" s="230">
        <v>3173707.6542056487</v>
      </c>
      <c r="AI887" s="230">
        <v>4647.8999999999996</v>
      </c>
    </row>
    <row r="888" spans="5:35" x14ac:dyDescent="0.35">
      <c r="E888" s="226">
        <v>2.8120400000000001</v>
      </c>
      <c r="F888" s="227">
        <v>14.354695890410959</v>
      </c>
      <c r="G888" s="227">
        <v>5239.4639999999999</v>
      </c>
      <c r="H888" s="227">
        <v>0.97299999999999998</v>
      </c>
      <c r="I888" s="227">
        <v>3.508</v>
      </c>
      <c r="J888" s="227">
        <v>0.56459657974527744</v>
      </c>
      <c r="K888" s="227">
        <v>136.16</v>
      </c>
      <c r="L888" s="227">
        <v>135.6</v>
      </c>
      <c r="M888" s="227">
        <v>133.47</v>
      </c>
      <c r="N888" s="227">
        <v>93.522999999999996</v>
      </c>
      <c r="O888" s="227">
        <v>99.599000000000004</v>
      </c>
      <c r="P888" s="227">
        <v>115.96</v>
      </c>
      <c r="Q888" s="227">
        <v>107.24</v>
      </c>
      <c r="R888" s="227">
        <v>112.41</v>
      </c>
      <c r="S888" s="227"/>
      <c r="T888" s="227">
        <v>79.5</v>
      </c>
      <c r="U888" s="227">
        <v>79.5</v>
      </c>
      <c r="V888" s="227">
        <v>79.5</v>
      </c>
      <c r="W888" s="227">
        <v>79.5</v>
      </c>
      <c r="X888" s="227">
        <v>79.5</v>
      </c>
      <c r="Y888" s="227">
        <v>79.5</v>
      </c>
      <c r="Z888" s="227">
        <v>79.5</v>
      </c>
      <c r="AA888" s="227">
        <v>79.5</v>
      </c>
      <c r="AB888" s="227">
        <v>17.196999999999999</v>
      </c>
      <c r="AC888" s="227">
        <v>774.65</v>
      </c>
      <c r="AD888" s="230">
        <v>1.9903935185185183E-4</v>
      </c>
      <c r="AE888" s="230">
        <v>103.18199999999999</v>
      </c>
      <c r="AF888" s="230">
        <v>3816</v>
      </c>
      <c r="AG888" s="230">
        <v>487811.44489991973</v>
      </c>
      <c r="AH888" s="230">
        <v>3177523.6542056487</v>
      </c>
      <c r="AI888" s="230">
        <v>4647.8999999999996</v>
      </c>
    </row>
    <row r="889" spans="5:35" x14ac:dyDescent="0.35">
      <c r="E889" s="226">
        <v>2.8160400000000001</v>
      </c>
      <c r="F889" s="227">
        <v>14.371134246575343</v>
      </c>
      <c r="G889" s="227">
        <v>5245.4639999999999</v>
      </c>
      <c r="H889" s="227">
        <v>0.97299999999999998</v>
      </c>
      <c r="I889" s="227">
        <v>3.512</v>
      </c>
      <c r="J889" s="227">
        <v>0.56471571863416636</v>
      </c>
      <c r="K889" s="227">
        <v>136.13999999999999</v>
      </c>
      <c r="L889" s="227">
        <v>135.58000000000001</v>
      </c>
      <c r="M889" s="227">
        <v>133.44999999999999</v>
      </c>
      <c r="N889" s="227">
        <v>93.51</v>
      </c>
      <c r="O889" s="227">
        <v>99.587999999999994</v>
      </c>
      <c r="P889" s="227">
        <v>115.94</v>
      </c>
      <c r="Q889" s="227">
        <v>107.23</v>
      </c>
      <c r="R889" s="227">
        <v>112.39</v>
      </c>
      <c r="S889" s="227"/>
      <c r="T889" s="227">
        <v>79.5</v>
      </c>
      <c r="U889" s="227">
        <v>79.5</v>
      </c>
      <c r="V889" s="227">
        <v>79.5</v>
      </c>
      <c r="W889" s="227">
        <v>79.5</v>
      </c>
      <c r="X889" s="227">
        <v>79.5</v>
      </c>
      <c r="Y889" s="227">
        <v>79.5</v>
      </c>
      <c r="Z889" s="227">
        <v>79.5</v>
      </c>
      <c r="AA889" s="227">
        <v>79.5</v>
      </c>
      <c r="AB889" s="227">
        <v>17.155999999999999</v>
      </c>
      <c r="AC889" s="227">
        <v>774.65</v>
      </c>
      <c r="AD889" s="230">
        <v>1.985648148148148E-4</v>
      </c>
      <c r="AE889" s="230">
        <v>102.93599999999999</v>
      </c>
      <c r="AF889" s="230">
        <v>3816</v>
      </c>
      <c r="AG889" s="230">
        <v>487914.38089991972</v>
      </c>
      <c r="AH889" s="230">
        <v>3181339.6542056487</v>
      </c>
      <c r="AI889" s="230">
        <v>4647.8999999999996</v>
      </c>
    </row>
    <row r="890" spans="5:35" x14ac:dyDescent="0.35">
      <c r="E890" s="226">
        <v>2.8200400000000001</v>
      </c>
      <c r="F890" s="227">
        <v>14.387572602739725</v>
      </c>
      <c r="G890" s="227">
        <v>5251.4639999999999</v>
      </c>
      <c r="H890" s="227">
        <v>0.97309999999999997</v>
      </c>
      <c r="I890" s="227">
        <v>3.516</v>
      </c>
      <c r="J890" s="227">
        <v>0.56483457280083305</v>
      </c>
      <c r="K890" s="227">
        <v>136.11000000000001</v>
      </c>
      <c r="L890" s="227">
        <v>135.56</v>
      </c>
      <c r="M890" s="227">
        <v>133.41999999999999</v>
      </c>
      <c r="N890" s="227">
        <v>93.495999999999995</v>
      </c>
      <c r="O890" s="227">
        <v>99.576999999999998</v>
      </c>
      <c r="P890" s="227">
        <v>115.93</v>
      </c>
      <c r="Q890" s="227">
        <v>107.22</v>
      </c>
      <c r="R890" s="227">
        <v>112.38</v>
      </c>
      <c r="S890" s="227"/>
      <c r="T890" s="227">
        <v>79.5</v>
      </c>
      <c r="U890" s="227">
        <v>79.5</v>
      </c>
      <c r="V890" s="227">
        <v>79.5</v>
      </c>
      <c r="W890" s="227">
        <v>79.5</v>
      </c>
      <c r="X890" s="227">
        <v>79.5</v>
      </c>
      <c r="Y890" s="227">
        <v>79.5</v>
      </c>
      <c r="Z890" s="227">
        <v>79.5</v>
      </c>
      <c r="AA890" s="227">
        <v>79.5</v>
      </c>
      <c r="AB890" s="227">
        <v>17.114999999999998</v>
      </c>
      <c r="AC890" s="227">
        <v>774.65</v>
      </c>
      <c r="AD890" s="230">
        <v>1.9809027777777777E-4</v>
      </c>
      <c r="AE890" s="230">
        <v>102.69000000000001</v>
      </c>
      <c r="AF890" s="230">
        <v>3816</v>
      </c>
      <c r="AG890" s="230">
        <v>488017.07089991972</v>
      </c>
      <c r="AH890" s="230">
        <v>3185155.6542056487</v>
      </c>
      <c r="AI890" s="230">
        <v>4647.8999999999996</v>
      </c>
    </row>
    <row r="891" spans="5:35" x14ac:dyDescent="0.35">
      <c r="E891" s="226">
        <v>2.8241399999999999</v>
      </c>
      <c r="F891" s="227">
        <v>14.404010958904109</v>
      </c>
      <c r="G891" s="227">
        <v>5257.4639999999999</v>
      </c>
      <c r="H891" s="227">
        <v>0.97319999999999995</v>
      </c>
      <c r="I891" s="227">
        <v>3.5200999999999998</v>
      </c>
      <c r="J891" s="227">
        <v>0.56495314224527748</v>
      </c>
      <c r="K891" s="227">
        <v>136.08000000000001</v>
      </c>
      <c r="L891" s="227">
        <v>135.54</v>
      </c>
      <c r="M891" s="227">
        <v>133.4</v>
      </c>
      <c r="N891" s="227">
        <v>93.483000000000004</v>
      </c>
      <c r="O891" s="227">
        <v>99.564999999999998</v>
      </c>
      <c r="P891" s="227">
        <v>115.91</v>
      </c>
      <c r="Q891" s="227">
        <v>107.21</v>
      </c>
      <c r="R891" s="227">
        <v>112.37</v>
      </c>
      <c r="S891" s="227"/>
      <c r="T891" s="227">
        <v>79.5</v>
      </c>
      <c r="U891" s="227">
        <v>79.5</v>
      </c>
      <c r="V891" s="227">
        <v>79.5</v>
      </c>
      <c r="W891" s="227">
        <v>79.5</v>
      </c>
      <c r="X891" s="227">
        <v>79.5</v>
      </c>
      <c r="Y891" s="227">
        <v>79.5</v>
      </c>
      <c r="Z891" s="227">
        <v>79.5</v>
      </c>
      <c r="AA891" s="227">
        <v>79.5</v>
      </c>
      <c r="AB891" s="227">
        <v>17.074000000000002</v>
      </c>
      <c r="AC891" s="227">
        <v>774.65</v>
      </c>
      <c r="AD891" s="230">
        <v>1.9761574074074077E-4</v>
      </c>
      <c r="AE891" s="230">
        <v>102.444</v>
      </c>
      <c r="AF891" s="230">
        <v>3816</v>
      </c>
      <c r="AG891" s="230">
        <v>488119.51489991974</v>
      </c>
      <c r="AH891" s="230">
        <v>3188971.6542056487</v>
      </c>
      <c r="AI891" s="230">
        <v>4647.8999999999996</v>
      </c>
    </row>
    <row r="892" spans="5:35" x14ac:dyDescent="0.35">
      <c r="E892" s="226">
        <v>2.8281399999999999</v>
      </c>
      <c r="F892" s="227">
        <v>14.420449315068494</v>
      </c>
      <c r="G892" s="227">
        <v>5263.4639999999999</v>
      </c>
      <c r="H892" s="227">
        <v>0.97319999999999995</v>
      </c>
      <c r="I892" s="227">
        <v>3.5240999999999998</v>
      </c>
      <c r="J892" s="227">
        <v>0.56507143391194414</v>
      </c>
      <c r="K892" s="227">
        <v>136.05000000000001</v>
      </c>
      <c r="L892" s="227">
        <v>135.52000000000001</v>
      </c>
      <c r="M892" s="227">
        <v>133.37</v>
      </c>
      <c r="N892" s="227">
        <v>93.468999999999994</v>
      </c>
      <c r="O892" s="227">
        <v>99.552999999999997</v>
      </c>
      <c r="P892" s="227">
        <v>115.9</v>
      </c>
      <c r="Q892" s="227">
        <v>107.2</v>
      </c>
      <c r="R892" s="227">
        <v>112.36</v>
      </c>
      <c r="S892" s="227"/>
      <c r="T892" s="227">
        <v>79.5</v>
      </c>
      <c r="U892" s="227">
        <v>79.5</v>
      </c>
      <c r="V892" s="227">
        <v>79.5</v>
      </c>
      <c r="W892" s="227">
        <v>79.5</v>
      </c>
      <c r="X892" s="227">
        <v>79.5</v>
      </c>
      <c r="Y892" s="227">
        <v>79.5</v>
      </c>
      <c r="Z892" s="227">
        <v>79.5</v>
      </c>
      <c r="AA892" s="227">
        <v>79.5</v>
      </c>
      <c r="AB892" s="227">
        <v>17.033999999999999</v>
      </c>
      <c r="AC892" s="227">
        <v>774.65</v>
      </c>
      <c r="AD892" s="230">
        <v>1.9715277777777776E-4</v>
      </c>
      <c r="AE892" s="230">
        <v>102.20399999999999</v>
      </c>
      <c r="AF892" s="230">
        <v>3816</v>
      </c>
      <c r="AG892" s="230">
        <v>488221.71889991977</v>
      </c>
      <c r="AH892" s="230">
        <v>3192787.6542056487</v>
      </c>
      <c r="AI892" s="230">
        <v>4647.8999999999996</v>
      </c>
    </row>
    <row r="893" spans="5:35" x14ac:dyDescent="0.35">
      <c r="E893" s="226">
        <v>2.8321399999999999</v>
      </c>
      <c r="F893" s="227">
        <v>14.436887671232876</v>
      </c>
      <c r="G893" s="227">
        <v>5269.4639999999999</v>
      </c>
      <c r="H893" s="227">
        <v>0.97330000000000005</v>
      </c>
      <c r="I893" s="227">
        <v>3.5280999999999998</v>
      </c>
      <c r="J893" s="227">
        <v>0.56518944085638856</v>
      </c>
      <c r="K893" s="227">
        <v>136.03</v>
      </c>
      <c r="L893" s="227">
        <v>135.5</v>
      </c>
      <c r="M893" s="227">
        <v>133.35</v>
      </c>
      <c r="N893" s="227">
        <v>93.456000000000003</v>
      </c>
      <c r="O893" s="227">
        <v>99.542000000000002</v>
      </c>
      <c r="P893" s="227">
        <v>115.88</v>
      </c>
      <c r="Q893" s="227">
        <v>107.19</v>
      </c>
      <c r="R893" s="227">
        <v>112.34</v>
      </c>
      <c r="S893" s="227"/>
      <c r="T893" s="227">
        <v>79.5</v>
      </c>
      <c r="U893" s="227">
        <v>79.5</v>
      </c>
      <c r="V893" s="227">
        <v>79.5</v>
      </c>
      <c r="W893" s="227">
        <v>79.5</v>
      </c>
      <c r="X893" s="227">
        <v>79.5</v>
      </c>
      <c r="Y893" s="227">
        <v>79.5</v>
      </c>
      <c r="Z893" s="227">
        <v>79.5</v>
      </c>
      <c r="AA893" s="227">
        <v>79.5</v>
      </c>
      <c r="AB893" s="227">
        <v>16.992999999999999</v>
      </c>
      <c r="AC893" s="227">
        <v>774.65</v>
      </c>
      <c r="AD893" s="230">
        <v>1.9667824074074073E-4</v>
      </c>
      <c r="AE893" s="230">
        <v>101.95799999999998</v>
      </c>
      <c r="AF893" s="230">
        <v>3816</v>
      </c>
      <c r="AG893" s="230">
        <v>488323.67689991975</v>
      </c>
      <c r="AH893" s="230">
        <v>3196603.6542056487</v>
      </c>
      <c r="AI893" s="230">
        <v>4647.8999999999996</v>
      </c>
    </row>
    <row r="894" spans="5:35" x14ac:dyDescent="0.35">
      <c r="E894" s="226">
        <v>2.8361399999999999</v>
      </c>
      <c r="F894" s="227">
        <v>14.45332602739726</v>
      </c>
      <c r="G894" s="227">
        <v>5275.4639999999999</v>
      </c>
      <c r="H894" s="227">
        <v>0.97330000000000005</v>
      </c>
      <c r="I894" s="227">
        <v>3.5320999999999998</v>
      </c>
      <c r="J894" s="227">
        <v>0.56530717002305531</v>
      </c>
      <c r="K894" s="227">
        <v>136</v>
      </c>
      <c r="L894" s="227">
        <v>135.47999999999999</v>
      </c>
      <c r="M894" s="227">
        <v>133.33000000000001</v>
      </c>
      <c r="N894" s="227">
        <v>93.442999999999998</v>
      </c>
      <c r="O894" s="227">
        <v>99.53</v>
      </c>
      <c r="P894" s="227">
        <v>115.86</v>
      </c>
      <c r="Q894" s="227">
        <v>107.18</v>
      </c>
      <c r="R894" s="227">
        <v>112.33</v>
      </c>
      <c r="S894" s="227"/>
      <c r="T894" s="227">
        <v>79.5</v>
      </c>
      <c r="U894" s="227">
        <v>79.5</v>
      </c>
      <c r="V894" s="227">
        <v>79.5</v>
      </c>
      <c r="W894" s="227">
        <v>79.5</v>
      </c>
      <c r="X894" s="227">
        <v>79.5</v>
      </c>
      <c r="Y894" s="227">
        <v>79.5</v>
      </c>
      <c r="Z894" s="227">
        <v>79.5</v>
      </c>
      <c r="AA894" s="227">
        <v>79.5</v>
      </c>
      <c r="AB894" s="227">
        <v>16.952999999999999</v>
      </c>
      <c r="AC894" s="227">
        <v>774.65</v>
      </c>
      <c r="AD894" s="230">
        <v>1.9621527777777777E-4</v>
      </c>
      <c r="AE894" s="230">
        <v>101.71799999999999</v>
      </c>
      <c r="AF894" s="230">
        <v>3816</v>
      </c>
      <c r="AG894" s="230">
        <v>488425.39489991975</v>
      </c>
      <c r="AH894" s="230">
        <v>3200419.6542056487</v>
      </c>
      <c r="AI894" s="230">
        <v>4647.8999999999996</v>
      </c>
    </row>
    <row r="895" spans="5:35" x14ac:dyDescent="0.35">
      <c r="E895" s="226">
        <v>2.8401399999999999</v>
      </c>
      <c r="F895" s="227">
        <v>14.469764383561644</v>
      </c>
      <c r="G895" s="227">
        <v>5281.4639999999999</v>
      </c>
      <c r="H895" s="227">
        <v>0.97340000000000004</v>
      </c>
      <c r="I895" s="227">
        <v>3.5360999999999998</v>
      </c>
      <c r="J895" s="227">
        <v>0.56542462835638863</v>
      </c>
      <c r="K895" s="227">
        <v>135.97999999999999</v>
      </c>
      <c r="L895" s="227">
        <v>135.46</v>
      </c>
      <c r="M895" s="227">
        <v>133.30000000000001</v>
      </c>
      <c r="N895" s="227">
        <v>93.429000000000002</v>
      </c>
      <c r="O895" s="227">
        <v>99.52</v>
      </c>
      <c r="P895" s="227">
        <v>115.85</v>
      </c>
      <c r="Q895" s="227">
        <v>107.17</v>
      </c>
      <c r="R895" s="227">
        <v>112.32</v>
      </c>
      <c r="S895" s="227"/>
      <c r="T895" s="227">
        <v>79.5</v>
      </c>
      <c r="U895" s="227">
        <v>79.5</v>
      </c>
      <c r="V895" s="227">
        <v>79.5</v>
      </c>
      <c r="W895" s="227">
        <v>79.5</v>
      </c>
      <c r="X895" s="227">
        <v>79.5</v>
      </c>
      <c r="Y895" s="227">
        <v>79.5</v>
      </c>
      <c r="Z895" s="227">
        <v>79.5</v>
      </c>
      <c r="AA895" s="227">
        <v>79.5</v>
      </c>
      <c r="AB895" s="227">
        <v>16.914000000000001</v>
      </c>
      <c r="AC895" s="227">
        <v>774.65</v>
      </c>
      <c r="AD895" s="230">
        <v>1.957638888888889E-4</v>
      </c>
      <c r="AE895" s="230">
        <v>101.48400000000001</v>
      </c>
      <c r="AF895" s="230">
        <v>3816</v>
      </c>
      <c r="AG895" s="230">
        <v>488526.87889991974</v>
      </c>
      <c r="AH895" s="230">
        <v>3204235.6542056487</v>
      </c>
      <c r="AI895" s="230">
        <v>4647.8999999999996</v>
      </c>
    </row>
    <row r="896" spans="5:35" x14ac:dyDescent="0.35">
      <c r="E896" s="226">
        <v>2.8442400000000001</v>
      </c>
      <c r="F896" s="227">
        <v>14.486202739726027</v>
      </c>
      <c r="G896" s="227">
        <v>5287.4639999999999</v>
      </c>
      <c r="H896" s="227">
        <v>0.97350000000000003</v>
      </c>
      <c r="I896" s="227">
        <v>3.5402</v>
      </c>
      <c r="J896" s="227">
        <v>0.56554180891194417</v>
      </c>
      <c r="K896" s="227">
        <v>135.94999999999999</v>
      </c>
      <c r="L896" s="227">
        <v>135.44</v>
      </c>
      <c r="M896" s="227">
        <v>133.28</v>
      </c>
      <c r="N896" s="227">
        <v>93.415000000000006</v>
      </c>
      <c r="O896" s="227">
        <v>99.51</v>
      </c>
      <c r="P896" s="227">
        <v>115.83</v>
      </c>
      <c r="Q896" s="227">
        <v>107.16</v>
      </c>
      <c r="R896" s="227">
        <v>112.31</v>
      </c>
      <c r="S896" s="227"/>
      <c r="T896" s="227">
        <v>79.5</v>
      </c>
      <c r="U896" s="227">
        <v>79.5</v>
      </c>
      <c r="V896" s="227">
        <v>79.5</v>
      </c>
      <c r="W896" s="227">
        <v>79.5</v>
      </c>
      <c r="X896" s="227">
        <v>79.5</v>
      </c>
      <c r="Y896" s="227">
        <v>79.5</v>
      </c>
      <c r="Z896" s="227">
        <v>79.5</v>
      </c>
      <c r="AA896" s="227">
        <v>79.5</v>
      </c>
      <c r="AB896" s="227">
        <v>16.873999999999999</v>
      </c>
      <c r="AC896" s="227">
        <v>774.65</v>
      </c>
      <c r="AD896" s="230">
        <v>1.9530092592592592E-4</v>
      </c>
      <c r="AE896" s="230">
        <v>101.244</v>
      </c>
      <c r="AF896" s="230">
        <v>3816</v>
      </c>
      <c r="AG896" s="230">
        <v>488628.12289991975</v>
      </c>
      <c r="AH896" s="230">
        <v>3208051.6542056487</v>
      </c>
      <c r="AI896" s="230">
        <v>4647.8999999999996</v>
      </c>
    </row>
    <row r="897" spans="5:35" x14ac:dyDescent="0.35">
      <c r="E897" s="226">
        <v>2.8482400000000001</v>
      </c>
      <c r="F897" s="227">
        <v>14.502641095890411</v>
      </c>
      <c r="G897" s="227">
        <v>5293.4639999999999</v>
      </c>
      <c r="H897" s="227">
        <v>0.97350000000000003</v>
      </c>
      <c r="I897" s="227">
        <v>3.5442</v>
      </c>
      <c r="J897" s="227">
        <v>0.56565871168972193</v>
      </c>
      <c r="K897" s="227">
        <v>135.91999999999999</v>
      </c>
      <c r="L897" s="227">
        <v>135.41999999999999</v>
      </c>
      <c r="M897" s="227">
        <v>133.26</v>
      </c>
      <c r="N897" s="227">
        <v>93.403000000000006</v>
      </c>
      <c r="O897" s="227">
        <v>99.495999999999995</v>
      </c>
      <c r="P897" s="227">
        <v>115.81</v>
      </c>
      <c r="Q897" s="227">
        <v>107.15</v>
      </c>
      <c r="R897" s="227">
        <v>112.29</v>
      </c>
      <c r="S897" s="227"/>
      <c r="T897" s="227">
        <v>79.5</v>
      </c>
      <c r="U897" s="227">
        <v>79.5</v>
      </c>
      <c r="V897" s="227">
        <v>79.5</v>
      </c>
      <c r="W897" s="227">
        <v>79.5</v>
      </c>
      <c r="X897" s="227">
        <v>79.5</v>
      </c>
      <c r="Y897" s="227">
        <v>79.5</v>
      </c>
      <c r="Z897" s="227">
        <v>79.5</v>
      </c>
      <c r="AA897" s="227">
        <v>79.5</v>
      </c>
      <c r="AB897" s="227">
        <v>16.834</v>
      </c>
      <c r="AC897" s="227">
        <v>774.65</v>
      </c>
      <c r="AD897" s="230">
        <v>1.9483796296296295E-4</v>
      </c>
      <c r="AE897" s="230">
        <v>101.00399999999999</v>
      </c>
      <c r="AF897" s="230">
        <v>3816</v>
      </c>
      <c r="AG897" s="230">
        <v>488729.12689991976</v>
      </c>
      <c r="AH897" s="230">
        <v>3211867.6542056487</v>
      </c>
      <c r="AI897" s="230">
        <v>4647.8999999999996</v>
      </c>
    </row>
    <row r="898" spans="5:35" x14ac:dyDescent="0.35">
      <c r="E898" s="226">
        <v>2.8522400000000001</v>
      </c>
      <c r="F898" s="227">
        <v>14.519079452054795</v>
      </c>
      <c r="G898" s="227">
        <v>5299.4639999999999</v>
      </c>
      <c r="H898" s="227">
        <v>0.97360000000000002</v>
      </c>
      <c r="I898" s="227">
        <v>3.5482</v>
      </c>
      <c r="J898" s="227">
        <v>0.56577534363416637</v>
      </c>
      <c r="K898" s="227">
        <v>135.9</v>
      </c>
      <c r="L898" s="227">
        <v>135.4</v>
      </c>
      <c r="M898" s="227">
        <v>133.22999999999999</v>
      </c>
      <c r="N898" s="227">
        <v>93.388999999999996</v>
      </c>
      <c r="O898" s="227">
        <v>99.486000000000004</v>
      </c>
      <c r="P898" s="227">
        <v>115.8</v>
      </c>
      <c r="Q898" s="227">
        <v>107.14</v>
      </c>
      <c r="R898" s="227">
        <v>112.28</v>
      </c>
      <c r="S898" s="227"/>
      <c r="T898" s="227">
        <v>79.5</v>
      </c>
      <c r="U898" s="227">
        <v>79.5</v>
      </c>
      <c r="V898" s="227">
        <v>79.5</v>
      </c>
      <c r="W898" s="227">
        <v>79.5</v>
      </c>
      <c r="X898" s="227">
        <v>79.5</v>
      </c>
      <c r="Y898" s="227">
        <v>79.5</v>
      </c>
      <c r="Z898" s="227">
        <v>79.5</v>
      </c>
      <c r="AA898" s="227">
        <v>79.5</v>
      </c>
      <c r="AB898" s="227">
        <v>16.795000000000002</v>
      </c>
      <c r="AC898" s="227">
        <v>774.65</v>
      </c>
      <c r="AD898" s="230">
        <v>1.9438657407407409E-4</v>
      </c>
      <c r="AE898" s="230">
        <v>100.77000000000002</v>
      </c>
      <c r="AF898" s="230">
        <v>3816</v>
      </c>
      <c r="AG898" s="230">
        <v>488829.89689991978</v>
      </c>
      <c r="AH898" s="230">
        <v>3215683.6542056487</v>
      </c>
      <c r="AI898" s="230">
        <v>4647.8999999999996</v>
      </c>
    </row>
    <row r="899" spans="5:35" x14ac:dyDescent="0.35">
      <c r="E899" s="226">
        <v>2.8562400000000001</v>
      </c>
      <c r="F899" s="227">
        <v>14.535517808219177</v>
      </c>
      <c r="G899" s="227">
        <v>5305.4639999999999</v>
      </c>
      <c r="H899" s="227">
        <v>0.97370000000000001</v>
      </c>
      <c r="I899" s="227">
        <v>3.5522</v>
      </c>
      <c r="J899" s="227">
        <v>0.56589169780083315</v>
      </c>
      <c r="K899" s="227">
        <v>135.87</v>
      </c>
      <c r="L899" s="227">
        <v>135.38</v>
      </c>
      <c r="M899" s="227">
        <v>133.21</v>
      </c>
      <c r="N899" s="227">
        <v>93.376000000000005</v>
      </c>
      <c r="O899" s="227">
        <v>99.474000000000004</v>
      </c>
      <c r="P899" s="227">
        <v>115.78</v>
      </c>
      <c r="Q899" s="227">
        <v>107.13</v>
      </c>
      <c r="R899" s="227">
        <v>112.27</v>
      </c>
      <c r="S899" s="227"/>
      <c r="T899" s="227">
        <v>79.5</v>
      </c>
      <c r="U899" s="227">
        <v>79.5</v>
      </c>
      <c r="V899" s="227">
        <v>79.5</v>
      </c>
      <c r="W899" s="227">
        <v>79.5</v>
      </c>
      <c r="X899" s="227">
        <v>79.5</v>
      </c>
      <c r="Y899" s="227">
        <v>79.5</v>
      </c>
      <c r="Z899" s="227">
        <v>79.5</v>
      </c>
      <c r="AA899" s="227">
        <v>79.5</v>
      </c>
      <c r="AB899" s="227">
        <v>16.754999999999999</v>
      </c>
      <c r="AC899" s="227">
        <v>774.65</v>
      </c>
      <c r="AD899" s="230">
        <v>1.939236111111111E-4</v>
      </c>
      <c r="AE899" s="230">
        <v>100.53</v>
      </c>
      <c r="AF899" s="230">
        <v>3816</v>
      </c>
      <c r="AG899" s="230">
        <v>488930.42689991981</v>
      </c>
      <c r="AH899" s="230">
        <v>3219499.6542056487</v>
      </c>
      <c r="AI899" s="230">
        <v>4647.8999999999996</v>
      </c>
    </row>
    <row r="900" spans="5:35" x14ac:dyDescent="0.35">
      <c r="E900" s="226">
        <v>2.8602400000000001</v>
      </c>
      <c r="F900" s="227">
        <v>14.551956164383562</v>
      </c>
      <c r="G900" s="227">
        <v>5311.4639999999999</v>
      </c>
      <c r="H900" s="227">
        <v>0.97370000000000001</v>
      </c>
      <c r="I900" s="227">
        <v>3.5562</v>
      </c>
      <c r="J900" s="227">
        <v>0.56600778113416639</v>
      </c>
      <c r="K900" s="227">
        <v>135.84</v>
      </c>
      <c r="L900" s="227">
        <v>135.36000000000001</v>
      </c>
      <c r="M900" s="227">
        <v>133.19</v>
      </c>
      <c r="N900" s="227">
        <v>93.363</v>
      </c>
      <c r="O900" s="227">
        <v>99.462000000000003</v>
      </c>
      <c r="P900" s="227">
        <v>115.77</v>
      </c>
      <c r="Q900" s="227">
        <v>107.12</v>
      </c>
      <c r="R900" s="227">
        <v>112.26</v>
      </c>
      <c r="S900" s="227"/>
      <c r="T900" s="227">
        <v>79.5</v>
      </c>
      <c r="U900" s="227">
        <v>79.5</v>
      </c>
      <c r="V900" s="227">
        <v>79.5</v>
      </c>
      <c r="W900" s="227">
        <v>79.5</v>
      </c>
      <c r="X900" s="227">
        <v>79.5</v>
      </c>
      <c r="Y900" s="227">
        <v>79.5</v>
      </c>
      <c r="Z900" s="227">
        <v>79.5</v>
      </c>
      <c r="AA900" s="227">
        <v>79.5</v>
      </c>
      <c r="AB900" s="227">
        <v>16.716000000000001</v>
      </c>
      <c r="AC900" s="227">
        <v>774.65</v>
      </c>
      <c r="AD900" s="230">
        <v>1.9347222222222224E-4</v>
      </c>
      <c r="AE900" s="230">
        <v>100.29600000000001</v>
      </c>
      <c r="AF900" s="230">
        <v>3816</v>
      </c>
      <c r="AG900" s="230">
        <v>489030.72289991978</v>
      </c>
      <c r="AH900" s="230">
        <v>3223315.6542056487</v>
      </c>
      <c r="AI900" s="230">
        <v>4647.8999999999996</v>
      </c>
    </row>
    <row r="901" spans="5:35" x14ac:dyDescent="0.35">
      <c r="E901" s="226">
        <v>2.8642400000000001</v>
      </c>
      <c r="F901" s="227">
        <v>14.568394520547946</v>
      </c>
      <c r="G901" s="227">
        <v>5317.4639999999999</v>
      </c>
      <c r="H901" s="227">
        <v>0.9738</v>
      </c>
      <c r="I901" s="227">
        <v>3.5602</v>
      </c>
      <c r="J901" s="227">
        <v>0.56612359363416642</v>
      </c>
      <c r="K901" s="227">
        <v>135.82</v>
      </c>
      <c r="L901" s="227">
        <v>135.34</v>
      </c>
      <c r="M901" s="227">
        <v>133.16</v>
      </c>
      <c r="N901" s="227">
        <v>93.35</v>
      </c>
      <c r="O901" s="227">
        <v>99.450999999999993</v>
      </c>
      <c r="P901" s="227">
        <v>115.75</v>
      </c>
      <c r="Q901" s="227">
        <v>107.11</v>
      </c>
      <c r="R901" s="227">
        <v>112.25</v>
      </c>
      <c r="S901" s="227"/>
      <c r="T901" s="227">
        <v>79.5</v>
      </c>
      <c r="U901" s="227">
        <v>79.5</v>
      </c>
      <c r="V901" s="227">
        <v>79.5</v>
      </c>
      <c r="W901" s="227">
        <v>79.5</v>
      </c>
      <c r="X901" s="227">
        <v>79.5</v>
      </c>
      <c r="Y901" s="227">
        <v>79.5</v>
      </c>
      <c r="Z901" s="227">
        <v>79.5</v>
      </c>
      <c r="AA901" s="227">
        <v>79.5</v>
      </c>
      <c r="AB901" s="227">
        <v>16.677</v>
      </c>
      <c r="AC901" s="227">
        <v>774.65</v>
      </c>
      <c r="AD901" s="230">
        <v>1.9302083333333332E-4</v>
      </c>
      <c r="AE901" s="230">
        <v>100.06199999999998</v>
      </c>
      <c r="AF901" s="230">
        <v>3816</v>
      </c>
      <c r="AG901" s="230">
        <v>489130.78489991976</v>
      </c>
      <c r="AH901" s="230">
        <v>3227131.6542056487</v>
      </c>
      <c r="AI901" s="230">
        <v>4647.8999999999996</v>
      </c>
    </row>
    <row r="902" spans="5:35" x14ac:dyDescent="0.35">
      <c r="E902" s="226">
        <v>2.8683399999999999</v>
      </c>
      <c r="F902" s="227">
        <v>14.584832876712328</v>
      </c>
      <c r="G902" s="227">
        <v>5323.4639999999999</v>
      </c>
      <c r="H902" s="227">
        <v>0.9738</v>
      </c>
      <c r="I902" s="227">
        <v>3.5642999999999998</v>
      </c>
      <c r="J902" s="227">
        <v>0.56623913530083303</v>
      </c>
      <c r="K902" s="227">
        <v>135.79</v>
      </c>
      <c r="L902" s="227">
        <v>135.32</v>
      </c>
      <c r="M902" s="227">
        <v>133.13999999999999</v>
      </c>
      <c r="N902" s="227">
        <v>93.337000000000003</v>
      </c>
      <c r="O902" s="227">
        <v>99.44</v>
      </c>
      <c r="P902" s="227">
        <v>115.73</v>
      </c>
      <c r="Q902" s="227">
        <v>107.1</v>
      </c>
      <c r="R902" s="227">
        <v>112.24</v>
      </c>
      <c r="S902" s="227"/>
      <c r="T902" s="227">
        <v>79.5</v>
      </c>
      <c r="U902" s="227">
        <v>79.5</v>
      </c>
      <c r="V902" s="227">
        <v>79.5</v>
      </c>
      <c r="W902" s="227">
        <v>79.5</v>
      </c>
      <c r="X902" s="227">
        <v>79.5</v>
      </c>
      <c r="Y902" s="227">
        <v>79.5</v>
      </c>
      <c r="Z902" s="227">
        <v>79.5</v>
      </c>
      <c r="AA902" s="227">
        <v>79.5</v>
      </c>
      <c r="AB902" s="227">
        <v>16.638000000000002</v>
      </c>
      <c r="AC902" s="227">
        <v>774.65</v>
      </c>
      <c r="AD902" s="230">
        <v>1.9256944444444446E-4</v>
      </c>
      <c r="AE902" s="230">
        <v>99.828000000000017</v>
      </c>
      <c r="AF902" s="230">
        <v>3816</v>
      </c>
      <c r="AG902" s="230">
        <v>489230.61289991974</v>
      </c>
      <c r="AH902" s="230">
        <v>3230947.6542056487</v>
      </c>
      <c r="AI902" s="230">
        <v>4647.8999999999996</v>
      </c>
    </row>
    <row r="903" spans="5:35" x14ac:dyDescent="0.35">
      <c r="E903" s="226">
        <v>2.8723399999999999</v>
      </c>
      <c r="F903" s="227">
        <v>14.601271232876712</v>
      </c>
      <c r="G903" s="227">
        <v>5329.4639999999999</v>
      </c>
      <c r="H903" s="227">
        <v>0.97389999999999999</v>
      </c>
      <c r="I903" s="227">
        <v>3.5682999999999998</v>
      </c>
      <c r="J903" s="227">
        <v>0.56635440613416632</v>
      </c>
      <c r="K903" s="227">
        <v>135.77000000000001</v>
      </c>
      <c r="L903" s="227">
        <v>135.30000000000001</v>
      </c>
      <c r="M903" s="227">
        <v>133.12</v>
      </c>
      <c r="N903" s="227">
        <v>93.323999999999998</v>
      </c>
      <c r="O903" s="227">
        <v>99.429000000000002</v>
      </c>
      <c r="P903" s="227">
        <v>115.72</v>
      </c>
      <c r="Q903" s="227">
        <v>107.09</v>
      </c>
      <c r="R903" s="227">
        <v>112.22</v>
      </c>
      <c r="S903" s="227"/>
      <c r="T903" s="227">
        <v>79.5</v>
      </c>
      <c r="U903" s="227">
        <v>79.5</v>
      </c>
      <c r="V903" s="227">
        <v>79.5</v>
      </c>
      <c r="W903" s="227">
        <v>79.5</v>
      </c>
      <c r="X903" s="227">
        <v>79.5</v>
      </c>
      <c r="Y903" s="227">
        <v>79.5</v>
      </c>
      <c r="Z903" s="227">
        <v>79.5</v>
      </c>
      <c r="AA903" s="227">
        <v>79.5</v>
      </c>
      <c r="AB903" s="227">
        <v>16.599</v>
      </c>
      <c r="AC903" s="227">
        <v>774.65</v>
      </c>
      <c r="AD903" s="230">
        <v>1.9211805555555556E-4</v>
      </c>
      <c r="AE903" s="230">
        <v>99.593999999999994</v>
      </c>
      <c r="AF903" s="230">
        <v>3816</v>
      </c>
      <c r="AG903" s="230">
        <v>489330.20689991972</v>
      </c>
      <c r="AH903" s="230">
        <v>3234763.6542056487</v>
      </c>
      <c r="AI903" s="230">
        <v>4647.8999999999996</v>
      </c>
    </row>
    <row r="904" spans="5:35" x14ac:dyDescent="0.35">
      <c r="E904" s="226">
        <v>2.8763399999999999</v>
      </c>
      <c r="F904" s="227">
        <v>14.617709589041096</v>
      </c>
      <c r="G904" s="227">
        <v>5335.4639999999999</v>
      </c>
      <c r="H904" s="227">
        <v>0.97399999999999998</v>
      </c>
      <c r="I904" s="227">
        <v>3.5722999999999998</v>
      </c>
      <c r="J904" s="227">
        <v>0.56646941307861076</v>
      </c>
      <c r="K904" s="227">
        <v>135.74</v>
      </c>
      <c r="L904" s="227">
        <v>135.29</v>
      </c>
      <c r="M904" s="227">
        <v>133.09</v>
      </c>
      <c r="N904" s="227">
        <v>93.311000000000007</v>
      </c>
      <c r="O904" s="227">
        <v>99.418000000000006</v>
      </c>
      <c r="P904" s="227">
        <v>115.7</v>
      </c>
      <c r="Q904" s="227">
        <v>107.08</v>
      </c>
      <c r="R904" s="227">
        <v>112.21</v>
      </c>
      <c r="S904" s="227"/>
      <c r="T904" s="227">
        <v>79.5</v>
      </c>
      <c r="U904" s="227">
        <v>79.5</v>
      </c>
      <c r="V904" s="227">
        <v>79.5</v>
      </c>
      <c r="W904" s="227">
        <v>79.5</v>
      </c>
      <c r="X904" s="227">
        <v>79.5</v>
      </c>
      <c r="Y904" s="227">
        <v>79.5</v>
      </c>
      <c r="Z904" s="227">
        <v>79.5</v>
      </c>
      <c r="AA904" s="227">
        <v>79.5</v>
      </c>
      <c r="AB904" s="227">
        <v>16.561</v>
      </c>
      <c r="AC904" s="227">
        <v>774.65</v>
      </c>
      <c r="AD904" s="230">
        <v>1.9167824074074074E-4</v>
      </c>
      <c r="AE904" s="230">
        <v>99.366</v>
      </c>
      <c r="AF904" s="230">
        <v>3816</v>
      </c>
      <c r="AG904" s="230">
        <v>489429.5728999197</v>
      </c>
      <c r="AH904" s="230">
        <v>3238579.6542056487</v>
      </c>
      <c r="AI904" s="230">
        <v>4647.8999999999996</v>
      </c>
    </row>
    <row r="905" spans="5:35" x14ac:dyDescent="0.35">
      <c r="E905" s="226">
        <v>2.8803399999999999</v>
      </c>
      <c r="F905" s="227">
        <v>14.634147945205479</v>
      </c>
      <c r="G905" s="227">
        <v>5341.4639999999999</v>
      </c>
      <c r="H905" s="227">
        <v>0.97399999999999998</v>
      </c>
      <c r="I905" s="227">
        <v>3.5762999999999998</v>
      </c>
      <c r="J905" s="227">
        <v>0.56658414918972189</v>
      </c>
      <c r="K905" s="227">
        <v>135.71</v>
      </c>
      <c r="L905" s="227">
        <v>135.27000000000001</v>
      </c>
      <c r="M905" s="227">
        <v>133.07</v>
      </c>
      <c r="N905" s="227">
        <v>93.298000000000002</v>
      </c>
      <c r="O905" s="227">
        <v>99.406999999999996</v>
      </c>
      <c r="P905" s="227">
        <v>115.69</v>
      </c>
      <c r="Q905" s="227">
        <v>107.07</v>
      </c>
      <c r="R905" s="227">
        <v>112.2</v>
      </c>
      <c r="S905" s="227"/>
      <c r="T905" s="227">
        <v>79.5</v>
      </c>
      <c r="U905" s="227">
        <v>79.5</v>
      </c>
      <c r="V905" s="227">
        <v>79.5</v>
      </c>
      <c r="W905" s="227">
        <v>79.5</v>
      </c>
      <c r="X905" s="227">
        <v>79.5</v>
      </c>
      <c r="Y905" s="227">
        <v>79.5</v>
      </c>
      <c r="Z905" s="227">
        <v>79.5</v>
      </c>
      <c r="AA905" s="227">
        <v>79.5</v>
      </c>
      <c r="AB905" s="227">
        <v>16.521999999999998</v>
      </c>
      <c r="AC905" s="227">
        <v>774.65</v>
      </c>
      <c r="AD905" s="230">
        <v>1.9122685185185182E-4</v>
      </c>
      <c r="AE905" s="230">
        <v>99.131999999999991</v>
      </c>
      <c r="AF905" s="230">
        <v>3816</v>
      </c>
      <c r="AG905" s="230">
        <v>489528.70489991968</v>
      </c>
      <c r="AH905" s="230">
        <v>3242395.6542056487</v>
      </c>
      <c r="AI905" s="230">
        <v>4647.8999999999996</v>
      </c>
    </row>
    <row r="906" spans="5:35" x14ac:dyDescent="0.35">
      <c r="E906" s="226">
        <v>2.8843399999999999</v>
      </c>
      <c r="F906" s="227">
        <v>14.650586301369863</v>
      </c>
      <c r="G906" s="227">
        <v>5347.4639999999999</v>
      </c>
      <c r="H906" s="227">
        <v>0.97409999999999997</v>
      </c>
      <c r="I906" s="227">
        <v>3.5802999999999998</v>
      </c>
      <c r="J906" s="227">
        <v>0.56669862141194405</v>
      </c>
      <c r="K906" s="227">
        <v>135.69</v>
      </c>
      <c r="L906" s="227">
        <v>135.25</v>
      </c>
      <c r="M906" s="227">
        <v>133.05000000000001</v>
      </c>
      <c r="N906" s="227">
        <v>93.284999999999997</v>
      </c>
      <c r="O906" s="227">
        <v>99.394999999999996</v>
      </c>
      <c r="P906" s="227">
        <v>115.67</v>
      </c>
      <c r="Q906" s="227">
        <v>107.07</v>
      </c>
      <c r="R906" s="227">
        <v>112.19</v>
      </c>
      <c r="S906" s="227"/>
      <c r="T906" s="227">
        <v>79.5</v>
      </c>
      <c r="U906" s="227">
        <v>79.5</v>
      </c>
      <c r="V906" s="227">
        <v>79.5</v>
      </c>
      <c r="W906" s="227">
        <v>79.5</v>
      </c>
      <c r="X906" s="227">
        <v>79.5</v>
      </c>
      <c r="Y906" s="227">
        <v>79.5</v>
      </c>
      <c r="Z906" s="227">
        <v>79.5</v>
      </c>
      <c r="AA906" s="227">
        <v>79.5</v>
      </c>
      <c r="AB906" s="227">
        <v>16.484000000000002</v>
      </c>
      <c r="AC906" s="227">
        <v>774.65</v>
      </c>
      <c r="AD906" s="230">
        <v>1.9078703703703705E-4</v>
      </c>
      <c r="AE906" s="230">
        <v>98.904000000000011</v>
      </c>
      <c r="AF906" s="230">
        <v>3816</v>
      </c>
      <c r="AG906" s="230">
        <v>489627.60889991967</v>
      </c>
      <c r="AH906" s="230">
        <v>3246211.6542056487</v>
      </c>
      <c r="AI906" s="230">
        <v>4647.8999999999996</v>
      </c>
    </row>
    <row r="907" spans="5:35" x14ac:dyDescent="0.35">
      <c r="E907" s="226">
        <v>2.8883399999999999</v>
      </c>
      <c r="F907" s="227">
        <v>14.667024657534247</v>
      </c>
      <c r="G907" s="227">
        <v>5353.4639999999999</v>
      </c>
      <c r="H907" s="227">
        <v>0.97409999999999997</v>
      </c>
      <c r="I907" s="227">
        <v>3.5842999999999998</v>
      </c>
      <c r="J907" s="227">
        <v>0.56681282974527736</v>
      </c>
      <c r="K907" s="227">
        <v>135.66</v>
      </c>
      <c r="L907" s="227">
        <v>135.22999999999999</v>
      </c>
      <c r="M907" s="227">
        <v>133.03</v>
      </c>
      <c r="N907" s="227">
        <v>93.272000000000006</v>
      </c>
      <c r="O907" s="227">
        <v>99.385000000000005</v>
      </c>
      <c r="P907" s="227">
        <v>115.66</v>
      </c>
      <c r="Q907" s="227">
        <v>107.06</v>
      </c>
      <c r="R907" s="227">
        <v>112.18</v>
      </c>
      <c r="S907" s="227"/>
      <c r="T907" s="227">
        <v>79.5</v>
      </c>
      <c r="U907" s="227">
        <v>79.5</v>
      </c>
      <c r="V907" s="227">
        <v>79.5</v>
      </c>
      <c r="W907" s="227">
        <v>79.5</v>
      </c>
      <c r="X907" s="227">
        <v>79.5</v>
      </c>
      <c r="Y907" s="227">
        <v>79.5</v>
      </c>
      <c r="Z907" s="227">
        <v>79.5</v>
      </c>
      <c r="AA907" s="227">
        <v>79.5</v>
      </c>
      <c r="AB907" s="227">
        <v>16.446000000000002</v>
      </c>
      <c r="AC907" s="227">
        <v>774.65</v>
      </c>
      <c r="AD907" s="230">
        <v>1.9034722222222223E-4</v>
      </c>
      <c r="AE907" s="230">
        <v>98.676000000000016</v>
      </c>
      <c r="AF907" s="230">
        <v>3816</v>
      </c>
      <c r="AG907" s="230">
        <v>489726.28489991964</v>
      </c>
      <c r="AH907" s="230">
        <v>3250027.6542056487</v>
      </c>
      <c r="AI907" s="230">
        <v>4647.8999999999996</v>
      </c>
    </row>
    <row r="908" spans="5:35" x14ac:dyDescent="0.35">
      <c r="E908" s="226">
        <v>2.8924400000000001</v>
      </c>
      <c r="F908" s="227">
        <v>14.683463013698629</v>
      </c>
      <c r="G908" s="227">
        <v>5359.4639999999999</v>
      </c>
      <c r="H908" s="227">
        <v>0.97419999999999995</v>
      </c>
      <c r="I908" s="227">
        <v>3.5884</v>
      </c>
      <c r="J908" s="227">
        <v>0.56692677418972182</v>
      </c>
      <c r="K908" s="227">
        <v>135.63999999999999</v>
      </c>
      <c r="L908" s="227">
        <v>135.21</v>
      </c>
      <c r="M908" s="227">
        <v>133</v>
      </c>
      <c r="N908" s="227">
        <v>93.259</v>
      </c>
      <c r="O908" s="227">
        <v>99.373000000000005</v>
      </c>
      <c r="P908" s="227">
        <v>115.64</v>
      </c>
      <c r="Q908" s="227">
        <v>107.05</v>
      </c>
      <c r="R908" s="227">
        <v>112.17</v>
      </c>
      <c r="S908" s="227"/>
      <c r="T908" s="227">
        <v>79.5</v>
      </c>
      <c r="U908" s="227">
        <v>79.5</v>
      </c>
      <c r="V908" s="227">
        <v>79.5</v>
      </c>
      <c r="W908" s="227">
        <v>79.5</v>
      </c>
      <c r="X908" s="227">
        <v>79.5</v>
      </c>
      <c r="Y908" s="227">
        <v>79.5</v>
      </c>
      <c r="Z908" s="227">
        <v>79.5</v>
      </c>
      <c r="AA908" s="227">
        <v>79.5</v>
      </c>
      <c r="AB908" s="227">
        <v>16.408000000000001</v>
      </c>
      <c r="AC908" s="227">
        <v>774.65</v>
      </c>
      <c r="AD908" s="230">
        <v>1.8990740740740743E-4</v>
      </c>
      <c r="AE908" s="230">
        <v>98.448000000000022</v>
      </c>
      <c r="AF908" s="230">
        <v>3816</v>
      </c>
      <c r="AG908" s="230">
        <v>489824.73289991962</v>
      </c>
      <c r="AH908" s="230">
        <v>3253843.6542056487</v>
      </c>
      <c r="AI908" s="230">
        <v>4647.8999999999996</v>
      </c>
    </row>
    <row r="909" spans="5:35" x14ac:dyDescent="0.35">
      <c r="E909" s="226">
        <v>2.8964400000000001</v>
      </c>
      <c r="F909" s="227">
        <v>14.699901369863014</v>
      </c>
      <c r="G909" s="227">
        <v>5365.4639999999999</v>
      </c>
      <c r="H909" s="227">
        <v>0.97430000000000005</v>
      </c>
      <c r="I909" s="227">
        <v>3.5924</v>
      </c>
      <c r="J909" s="227">
        <v>0.56704045474527731</v>
      </c>
      <c r="K909" s="227">
        <v>135.61000000000001</v>
      </c>
      <c r="L909" s="227">
        <v>135.19</v>
      </c>
      <c r="M909" s="227">
        <v>132.97999999999999</v>
      </c>
      <c r="N909" s="227">
        <v>93.245999999999995</v>
      </c>
      <c r="O909" s="227">
        <v>99.363</v>
      </c>
      <c r="P909" s="227">
        <v>115.62</v>
      </c>
      <c r="Q909" s="227">
        <v>107.04</v>
      </c>
      <c r="R909" s="227">
        <v>112.15</v>
      </c>
      <c r="S909" s="227"/>
      <c r="T909" s="227">
        <v>79.5</v>
      </c>
      <c r="U909" s="227">
        <v>79.5</v>
      </c>
      <c r="V909" s="227">
        <v>79.5</v>
      </c>
      <c r="W909" s="227">
        <v>79.5</v>
      </c>
      <c r="X909" s="227">
        <v>79.5</v>
      </c>
      <c r="Y909" s="227">
        <v>79.5</v>
      </c>
      <c r="Z909" s="227">
        <v>79.5</v>
      </c>
      <c r="AA909" s="227">
        <v>79.5</v>
      </c>
      <c r="AB909" s="227">
        <v>16.37</v>
      </c>
      <c r="AC909" s="227">
        <v>774.65</v>
      </c>
      <c r="AD909" s="230">
        <v>1.8946759259259261E-4</v>
      </c>
      <c r="AE909" s="230">
        <v>98.22</v>
      </c>
      <c r="AF909" s="230">
        <v>3816</v>
      </c>
      <c r="AG909" s="230">
        <v>489922.95289991959</v>
      </c>
      <c r="AH909" s="230">
        <v>3257659.6542056487</v>
      </c>
      <c r="AI909" s="230">
        <v>4647.8999999999996</v>
      </c>
    </row>
    <row r="910" spans="5:35" x14ac:dyDescent="0.35">
      <c r="E910" s="226">
        <v>2.9004400000000001</v>
      </c>
      <c r="F910" s="227">
        <v>14.716339726027398</v>
      </c>
      <c r="G910" s="227">
        <v>5371.4639999999999</v>
      </c>
      <c r="H910" s="227">
        <v>0.97430000000000005</v>
      </c>
      <c r="I910" s="227">
        <v>3.5964</v>
      </c>
      <c r="J910" s="227">
        <v>0.56715387141194396</v>
      </c>
      <c r="K910" s="227">
        <v>135.59</v>
      </c>
      <c r="L910" s="227">
        <v>135.16999999999999</v>
      </c>
      <c r="M910" s="227">
        <v>132.96</v>
      </c>
      <c r="N910" s="227">
        <v>93.233000000000004</v>
      </c>
      <c r="O910" s="227">
        <v>99.352000000000004</v>
      </c>
      <c r="P910" s="227">
        <v>115.61</v>
      </c>
      <c r="Q910" s="227">
        <v>107.03</v>
      </c>
      <c r="R910" s="227">
        <v>112.14</v>
      </c>
      <c r="S910" s="227"/>
      <c r="T910" s="227">
        <v>79.5</v>
      </c>
      <c r="U910" s="227">
        <v>79.5</v>
      </c>
      <c r="V910" s="227">
        <v>79.5</v>
      </c>
      <c r="W910" s="227">
        <v>79.5</v>
      </c>
      <c r="X910" s="227">
        <v>79.5</v>
      </c>
      <c r="Y910" s="227">
        <v>79.5</v>
      </c>
      <c r="Z910" s="227">
        <v>79.5</v>
      </c>
      <c r="AA910" s="227">
        <v>79.5</v>
      </c>
      <c r="AB910" s="227">
        <v>16.332000000000001</v>
      </c>
      <c r="AC910" s="227">
        <v>774.65</v>
      </c>
      <c r="AD910" s="230">
        <v>1.8902777777777779E-4</v>
      </c>
      <c r="AE910" s="230">
        <v>97.992000000000004</v>
      </c>
      <c r="AF910" s="230">
        <v>3816</v>
      </c>
      <c r="AG910" s="230">
        <v>490020.94489991962</v>
      </c>
      <c r="AH910" s="230">
        <v>3261475.6542056487</v>
      </c>
      <c r="AI910" s="230">
        <v>4647.8999999999996</v>
      </c>
    </row>
    <row r="911" spans="5:35" x14ac:dyDescent="0.35">
      <c r="E911" s="226">
        <v>2.9044400000000001</v>
      </c>
      <c r="F911" s="227">
        <v>14.73277808219178</v>
      </c>
      <c r="G911" s="227">
        <v>5377.4639999999999</v>
      </c>
      <c r="H911" s="227">
        <v>0.97440000000000004</v>
      </c>
      <c r="I911" s="227">
        <v>3.6004</v>
      </c>
      <c r="J911" s="227">
        <v>0.56726702418972186</v>
      </c>
      <c r="K911" s="227">
        <v>135.56</v>
      </c>
      <c r="L911" s="227">
        <v>135.15</v>
      </c>
      <c r="M911" s="227">
        <v>132.93</v>
      </c>
      <c r="N911" s="227">
        <v>93.221000000000004</v>
      </c>
      <c r="O911" s="227">
        <v>99.340999999999994</v>
      </c>
      <c r="P911" s="227">
        <v>115.59</v>
      </c>
      <c r="Q911" s="227">
        <v>107.02</v>
      </c>
      <c r="R911" s="227">
        <v>112.13</v>
      </c>
      <c r="S911" s="227"/>
      <c r="T911" s="227">
        <v>79.5</v>
      </c>
      <c r="U911" s="227">
        <v>79.5</v>
      </c>
      <c r="V911" s="227">
        <v>79.5</v>
      </c>
      <c r="W911" s="227">
        <v>79.5</v>
      </c>
      <c r="X911" s="227">
        <v>79.5</v>
      </c>
      <c r="Y911" s="227">
        <v>79.5</v>
      </c>
      <c r="Z911" s="227">
        <v>79.5</v>
      </c>
      <c r="AA911" s="227">
        <v>79.5</v>
      </c>
      <c r="AB911" s="227">
        <v>16.294</v>
      </c>
      <c r="AC911" s="227">
        <v>774.65</v>
      </c>
      <c r="AD911" s="230">
        <v>1.8858796296296297E-4</v>
      </c>
      <c r="AE911" s="230">
        <v>97.763999999999996</v>
      </c>
      <c r="AF911" s="230">
        <v>3816</v>
      </c>
      <c r="AG911" s="230">
        <v>490118.70889991964</v>
      </c>
      <c r="AH911" s="230">
        <v>3265291.6542056487</v>
      </c>
      <c r="AI911" s="230">
        <v>4647.8999999999996</v>
      </c>
    </row>
    <row r="912" spans="5:35" x14ac:dyDescent="0.35">
      <c r="E912" s="226">
        <v>2.9084400000000001</v>
      </c>
      <c r="F912" s="227">
        <v>14.749216438356164</v>
      </c>
      <c r="G912" s="227">
        <v>5383.4639999999999</v>
      </c>
      <c r="H912" s="227">
        <v>0.97440000000000004</v>
      </c>
      <c r="I912" s="227">
        <v>3.6044</v>
      </c>
      <c r="J912" s="227">
        <v>0.56737992002305515</v>
      </c>
      <c r="K912" s="227">
        <v>135.54</v>
      </c>
      <c r="L912" s="227">
        <v>135.13</v>
      </c>
      <c r="M912" s="227">
        <v>132.91</v>
      </c>
      <c r="N912" s="227">
        <v>93.207999999999998</v>
      </c>
      <c r="O912" s="227">
        <v>99.33</v>
      </c>
      <c r="P912" s="227">
        <v>115.58</v>
      </c>
      <c r="Q912" s="227">
        <v>107.01</v>
      </c>
      <c r="R912" s="227">
        <v>112.12</v>
      </c>
      <c r="S912" s="227"/>
      <c r="T912" s="227">
        <v>79.5</v>
      </c>
      <c r="U912" s="227">
        <v>79.5</v>
      </c>
      <c r="V912" s="227">
        <v>79.5</v>
      </c>
      <c r="W912" s="227">
        <v>79.5</v>
      </c>
      <c r="X912" s="227">
        <v>79.5</v>
      </c>
      <c r="Y912" s="227">
        <v>79.5</v>
      </c>
      <c r="Z912" s="227">
        <v>79.5</v>
      </c>
      <c r="AA912" s="227">
        <v>79.5</v>
      </c>
      <c r="AB912" s="227">
        <v>16.257000000000001</v>
      </c>
      <c r="AC912" s="227">
        <v>774.65</v>
      </c>
      <c r="AD912" s="230">
        <v>1.8815972222222224E-4</v>
      </c>
      <c r="AE912" s="230">
        <v>97.542000000000002</v>
      </c>
      <c r="AF912" s="230">
        <v>3816</v>
      </c>
      <c r="AG912" s="230">
        <v>490216.25089991966</v>
      </c>
      <c r="AH912" s="230">
        <v>3269107.6542056487</v>
      </c>
      <c r="AI912" s="230">
        <v>4647.8999999999996</v>
      </c>
    </row>
    <row r="913" spans="5:35" x14ac:dyDescent="0.35">
      <c r="E913" s="226">
        <v>2.9124400000000001</v>
      </c>
      <c r="F913" s="227">
        <v>14.765654794520549</v>
      </c>
      <c r="G913" s="227">
        <v>5389.4639999999999</v>
      </c>
      <c r="H913" s="227">
        <v>0.97450000000000003</v>
      </c>
      <c r="I913" s="227">
        <v>3.6084000000000001</v>
      </c>
      <c r="J913" s="227">
        <v>0.56749255891194406</v>
      </c>
      <c r="K913" s="227">
        <v>135.51</v>
      </c>
      <c r="L913" s="227">
        <v>135.12</v>
      </c>
      <c r="M913" s="227">
        <v>132.88999999999999</v>
      </c>
      <c r="N913" s="227">
        <v>93.194999999999993</v>
      </c>
      <c r="O913" s="227">
        <v>99.32</v>
      </c>
      <c r="P913" s="227">
        <v>115.56</v>
      </c>
      <c r="Q913" s="227">
        <v>107</v>
      </c>
      <c r="R913" s="227">
        <v>112.11</v>
      </c>
      <c r="S913" s="227"/>
      <c r="T913" s="227">
        <v>79.5</v>
      </c>
      <c r="U913" s="227">
        <v>79.5</v>
      </c>
      <c r="V913" s="227">
        <v>79.5</v>
      </c>
      <c r="W913" s="227">
        <v>79.5</v>
      </c>
      <c r="X913" s="227">
        <v>79.5</v>
      </c>
      <c r="Y913" s="227">
        <v>79.5</v>
      </c>
      <c r="Z913" s="227">
        <v>79.5</v>
      </c>
      <c r="AA913" s="227">
        <v>79.5</v>
      </c>
      <c r="AB913" s="227">
        <v>16.22</v>
      </c>
      <c r="AC913" s="227">
        <v>774.65</v>
      </c>
      <c r="AD913" s="230">
        <v>1.8773148148148146E-4</v>
      </c>
      <c r="AE913" s="230">
        <v>97.32</v>
      </c>
      <c r="AF913" s="230">
        <v>3816</v>
      </c>
      <c r="AG913" s="230">
        <v>490313.57089991966</v>
      </c>
      <c r="AH913" s="230">
        <v>3272923.6542056487</v>
      </c>
      <c r="AI913" s="230">
        <v>4647.8999999999996</v>
      </c>
    </row>
    <row r="914" spans="5:35" x14ac:dyDescent="0.35">
      <c r="E914" s="226">
        <v>2.9165399999999999</v>
      </c>
      <c r="F914" s="227">
        <v>14.782093150684931</v>
      </c>
      <c r="G914" s="227">
        <v>5395.4639999999999</v>
      </c>
      <c r="H914" s="227">
        <v>0.97460000000000002</v>
      </c>
      <c r="I914" s="227">
        <v>3.6124999999999998</v>
      </c>
      <c r="J914" s="227">
        <v>0.56760494085638846</v>
      </c>
      <c r="K914" s="227">
        <v>135.49</v>
      </c>
      <c r="L914" s="227">
        <v>135.1</v>
      </c>
      <c r="M914" s="227">
        <v>132.87</v>
      </c>
      <c r="N914" s="227">
        <v>93.183000000000007</v>
      </c>
      <c r="O914" s="227">
        <v>99.308999999999997</v>
      </c>
      <c r="P914" s="227">
        <v>115.55</v>
      </c>
      <c r="Q914" s="227">
        <v>106.99</v>
      </c>
      <c r="R914" s="227">
        <v>112.1</v>
      </c>
      <c r="S914" s="227"/>
      <c r="T914" s="227">
        <v>79.5</v>
      </c>
      <c r="U914" s="227">
        <v>79.5</v>
      </c>
      <c r="V914" s="227">
        <v>79.5</v>
      </c>
      <c r="W914" s="227">
        <v>79.5</v>
      </c>
      <c r="X914" s="227">
        <v>79.5</v>
      </c>
      <c r="Y914" s="227">
        <v>79.5</v>
      </c>
      <c r="Z914" s="227">
        <v>79.5</v>
      </c>
      <c r="AA914" s="227">
        <v>79.5</v>
      </c>
      <c r="AB914" s="227">
        <v>16.183</v>
      </c>
      <c r="AC914" s="227">
        <v>774.65</v>
      </c>
      <c r="AD914" s="230">
        <v>1.8730324074074073E-4</v>
      </c>
      <c r="AE914" s="230">
        <v>97.097999999999999</v>
      </c>
      <c r="AF914" s="230">
        <v>3816</v>
      </c>
      <c r="AG914" s="230">
        <v>490410.66889991966</v>
      </c>
      <c r="AH914" s="230">
        <v>3276739.6542056487</v>
      </c>
      <c r="AI914" s="230">
        <v>4647.8999999999996</v>
      </c>
    </row>
    <row r="915" spans="5:35" x14ac:dyDescent="0.35">
      <c r="E915" s="226">
        <v>2.9205399999999999</v>
      </c>
      <c r="F915" s="227">
        <v>14.798531506849315</v>
      </c>
      <c r="G915" s="227">
        <v>5401.4639999999999</v>
      </c>
      <c r="H915" s="227">
        <v>0.97460000000000002</v>
      </c>
      <c r="I915" s="227">
        <v>3.6164999999999998</v>
      </c>
      <c r="J915" s="227">
        <v>0.56771706585638848</v>
      </c>
      <c r="K915" s="227">
        <v>135.46</v>
      </c>
      <c r="L915" s="227">
        <v>135.08000000000001</v>
      </c>
      <c r="M915" s="227">
        <v>132.84</v>
      </c>
      <c r="N915" s="227">
        <v>93.17</v>
      </c>
      <c r="O915" s="227">
        <v>99.296999999999997</v>
      </c>
      <c r="P915" s="227">
        <v>115.53</v>
      </c>
      <c r="Q915" s="227">
        <v>106.98</v>
      </c>
      <c r="R915" s="227">
        <v>112.08</v>
      </c>
      <c r="S915" s="227"/>
      <c r="T915" s="227">
        <v>79.5</v>
      </c>
      <c r="U915" s="227">
        <v>79.5</v>
      </c>
      <c r="V915" s="227">
        <v>79.5</v>
      </c>
      <c r="W915" s="227">
        <v>79.5</v>
      </c>
      <c r="X915" s="227">
        <v>79.5</v>
      </c>
      <c r="Y915" s="227">
        <v>79.5</v>
      </c>
      <c r="Z915" s="227">
        <v>79.5</v>
      </c>
      <c r="AA915" s="227">
        <v>79.5</v>
      </c>
      <c r="AB915" s="227">
        <v>16.146000000000001</v>
      </c>
      <c r="AC915" s="227">
        <v>774.65</v>
      </c>
      <c r="AD915" s="230">
        <v>1.86875E-4</v>
      </c>
      <c r="AE915" s="230">
        <v>96.876000000000005</v>
      </c>
      <c r="AF915" s="230">
        <v>3816</v>
      </c>
      <c r="AG915" s="230">
        <v>490507.54489991965</v>
      </c>
      <c r="AH915" s="230">
        <v>3280555.6542056487</v>
      </c>
      <c r="AI915" s="230">
        <v>4647.8999999999996</v>
      </c>
    </row>
    <row r="916" spans="5:35" x14ac:dyDescent="0.35">
      <c r="E916" s="226">
        <v>2.9245399999999999</v>
      </c>
      <c r="F916" s="227">
        <v>14.814969863013699</v>
      </c>
      <c r="G916" s="227">
        <v>5407.4639999999999</v>
      </c>
      <c r="H916" s="227">
        <v>0.97470000000000001</v>
      </c>
      <c r="I916" s="227">
        <v>3.6204999999999998</v>
      </c>
      <c r="J916" s="227">
        <v>0.567828933911944</v>
      </c>
      <c r="K916" s="227">
        <v>135.44</v>
      </c>
      <c r="L916" s="227">
        <v>135.06</v>
      </c>
      <c r="M916" s="227">
        <v>132.82</v>
      </c>
      <c r="N916" s="227">
        <v>93.158000000000001</v>
      </c>
      <c r="O916" s="227">
        <v>99.287000000000006</v>
      </c>
      <c r="P916" s="227">
        <v>115.52</v>
      </c>
      <c r="Q916" s="227">
        <v>106.97</v>
      </c>
      <c r="R916" s="227">
        <v>112.07</v>
      </c>
      <c r="S916" s="227"/>
      <c r="T916" s="227">
        <v>79.5</v>
      </c>
      <c r="U916" s="227">
        <v>79.5</v>
      </c>
      <c r="V916" s="227">
        <v>79.5</v>
      </c>
      <c r="W916" s="227">
        <v>79.5</v>
      </c>
      <c r="X916" s="227">
        <v>79.5</v>
      </c>
      <c r="Y916" s="227">
        <v>79.5</v>
      </c>
      <c r="Z916" s="227">
        <v>79.5</v>
      </c>
      <c r="AA916" s="227">
        <v>79.5</v>
      </c>
      <c r="AB916" s="227">
        <v>16.109000000000002</v>
      </c>
      <c r="AC916" s="227">
        <v>774.65</v>
      </c>
      <c r="AD916" s="230">
        <v>1.8644675925925927E-4</v>
      </c>
      <c r="AE916" s="230">
        <v>96.654000000000011</v>
      </c>
      <c r="AF916" s="230">
        <v>3816</v>
      </c>
      <c r="AG916" s="230">
        <v>490604.19889991963</v>
      </c>
      <c r="AH916" s="230">
        <v>3284371.6542056487</v>
      </c>
      <c r="AI916" s="230">
        <v>4647.8999999999996</v>
      </c>
    </row>
    <row r="917" spans="5:35" x14ac:dyDescent="0.35">
      <c r="E917" s="226">
        <v>2.9285399999999999</v>
      </c>
      <c r="F917" s="227">
        <v>14.831408219178082</v>
      </c>
      <c r="G917" s="227">
        <v>5413.4639999999999</v>
      </c>
      <c r="H917" s="227">
        <v>0.97470000000000001</v>
      </c>
      <c r="I917" s="227">
        <v>3.6244999999999998</v>
      </c>
      <c r="J917" s="227">
        <v>0.56794054502305513</v>
      </c>
      <c r="K917" s="227">
        <v>135.41</v>
      </c>
      <c r="L917" s="227">
        <v>135.04</v>
      </c>
      <c r="M917" s="227">
        <v>132.80000000000001</v>
      </c>
      <c r="N917" s="227">
        <v>93.144999999999996</v>
      </c>
      <c r="O917" s="227">
        <v>99.275999999999996</v>
      </c>
      <c r="P917" s="227">
        <v>115.5</v>
      </c>
      <c r="Q917" s="227">
        <v>106.96</v>
      </c>
      <c r="R917" s="227">
        <v>112.06</v>
      </c>
      <c r="S917" s="227"/>
      <c r="T917" s="227">
        <v>79.5</v>
      </c>
      <c r="U917" s="227">
        <v>79.5</v>
      </c>
      <c r="V917" s="227">
        <v>79.5</v>
      </c>
      <c r="W917" s="227">
        <v>79.5</v>
      </c>
      <c r="X917" s="227">
        <v>79.5</v>
      </c>
      <c r="Y917" s="227">
        <v>79.5</v>
      </c>
      <c r="Z917" s="227">
        <v>79.5</v>
      </c>
      <c r="AA917" s="227">
        <v>79.5</v>
      </c>
      <c r="AB917" s="227">
        <v>16.071999999999999</v>
      </c>
      <c r="AC917" s="227">
        <v>774.65</v>
      </c>
      <c r="AD917" s="230">
        <v>1.8601851851851852E-4</v>
      </c>
      <c r="AE917" s="230">
        <v>96.432000000000002</v>
      </c>
      <c r="AF917" s="230">
        <v>3816</v>
      </c>
      <c r="AG917" s="230">
        <v>490700.6308999196</v>
      </c>
      <c r="AH917" s="230">
        <v>3288187.6542056487</v>
      </c>
      <c r="AI917" s="230">
        <v>4647.8999999999996</v>
      </c>
    </row>
    <row r="918" spans="5:35" x14ac:dyDescent="0.35">
      <c r="E918" s="226">
        <v>2.9325399999999999</v>
      </c>
      <c r="F918" s="227">
        <v>14.847846575342466</v>
      </c>
      <c r="G918" s="227">
        <v>5419.4639999999999</v>
      </c>
      <c r="H918" s="227">
        <v>0.9748</v>
      </c>
      <c r="I918" s="227">
        <v>3.6284999999999998</v>
      </c>
      <c r="J918" s="227">
        <v>0.56805190613416623</v>
      </c>
      <c r="K918" s="227">
        <v>135.38999999999999</v>
      </c>
      <c r="L918" s="227">
        <v>135.02000000000001</v>
      </c>
      <c r="M918" s="227">
        <v>132.78</v>
      </c>
      <c r="N918" s="227">
        <v>93.132999999999996</v>
      </c>
      <c r="O918" s="227">
        <v>99.266000000000005</v>
      </c>
      <c r="P918" s="227">
        <v>115.49</v>
      </c>
      <c r="Q918" s="227">
        <v>106.95</v>
      </c>
      <c r="R918" s="227">
        <v>112.05</v>
      </c>
      <c r="S918" s="227"/>
      <c r="T918" s="227">
        <v>79.5</v>
      </c>
      <c r="U918" s="227">
        <v>79.5</v>
      </c>
      <c r="V918" s="227">
        <v>79.5</v>
      </c>
      <c r="W918" s="227">
        <v>79.5</v>
      </c>
      <c r="X918" s="227">
        <v>79.5</v>
      </c>
      <c r="Y918" s="227">
        <v>79.5</v>
      </c>
      <c r="Z918" s="227">
        <v>79.5</v>
      </c>
      <c r="AA918" s="227">
        <v>79.5</v>
      </c>
      <c r="AB918" s="227">
        <v>16.036000000000001</v>
      </c>
      <c r="AC918" s="227">
        <v>774.65</v>
      </c>
      <c r="AD918" s="230">
        <v>1.8560185185185186E-4</v>
      </c>
      <c r="AE918" s="230">
        <v>96.216000000000008</v>
      </c>
      <c r="AF918" s="230">
        <v>3816</v>
      </c>
      <c r="AG918" s="230">
        <v>490796.84689991962</v>
      </c>
      <c r="AH918" s="230">
        <v>3292003.6542056487</v>
      </c>
      <c r="AI918" s="230">
        <v>4647.8999999999996</v>
      </c>
    </row>
    <row r="919" spans="5:35" x14ac:dyDescent="0.35">
      <c r="E919" s="226">
        <v>2.9365399999999999</v>
      </c>
      <c r="F919" s="227">
        <v>14.86428493150685</v>
      </c>
      <c r="G919" s="227">
        <v>5425.4639999999999</v>
      </c>
      <c r="H919" s="227">
        <v>0.9748</v>
      </c>
      <c r="I919" s="227">
        <v>3.6324999999999998</v>
      </c>
      <c r="J919" s="227">
        <v>0.56816301030083294</v>
      </c>
      <c r="K919" s="227">
        <v>135.36000000000001</v>
      </c>
      <c r="L919" s="227">
        <v>135</v>
      </c>
      <c r="M919" s="227">
        <v>132.76</v>
      </c>
      <c r="N919" s="227">
        <v>93.12</v>
      </c>
      <c r="O919" s="227">
        <v>99.254999999999995</v>
      </c>
      <c r="P919" s="227">
        <v>115.47</v>
      </c>
      <c r="Q919" s="227">
        <v>106.94</v>
      </c>
      <c r="R919" s="227">
        <v>112.04</v>
      </c>
      <c r="S919" s="227"/>
      <c r="T919" s="227">
        <v>79.5</v>
      </c>
      <c r="U919" s="227">
        <v>79.5</v>
      </c>
      <c r="V919" s="227">
        <v>79.5</v>
      </c>
      <c r="W919" s="227">
        <v>79.5</v>
      </c>
      <c r="X919" s="227">
        <v>79.5</v>
      </c>
      <c r="Y919" s="227">
        <v>79.5</v>
      </c>
      <c r="Z919" s="227">
        <v>79.5</v>
      </c>
      <c r="AA919" s="227">
        <v>79.5</v>
      </c>
      <c r="AB919" s="227">
        <v>15.999000000000001</v>
      </c>
      <c r="AC919" s="227">
        <v>774.65</v>
      </c>
      <c r="AD919" s="230">
        <v>1.8517361111111111E-4</v>
      </c>
      <c r="AE919" s="230">
        <v>95.994</v>
      </c>
      <c r="AF919" s="230">
        <v>3816</v>
      </c>
      <c r="AG919" s="230">
        <v>490892.84089991963</v>
      </c>
      <c r="AH919" s="230">
        <v>3295819.6542056487</v>
      </c>
      <c r="AI919" s="230">
        <v>4647.8999999999996</v>
      </c>
    </row>
    <row r="920" spans="5:35" x14ac:dyDescent="0.35">
      <c r="E920" s="226">
        <v>2.9406400000000001</v>
      </c>
      <c r="F920" s="227">
        <v>14.880723287671232</v>
      </c>
      <c r="G920" s="227">
        <v>5431.4639999999999</v>
      </c>
      <c r="H920" s="227">
        <v>0.97489999999999999</v>
      </c>
      <c r="I920" s="227">
        <v>3.6366000000000001</v>
      </c>
      <c r="J920" s="227">
        <v>0.5682738644674995</v>
      </c>
      <c r="K920" s="227">
        <v>135.34</v>
      </c>
      <c r="L920" s="227">
        <v>134.99</v>
      </c>
      <c r="M920" s="227">
        <v>132.72999999999999</v>
      </c>
      <c r="N920" s="227">
        <v>93.108000000000004</v>
      </c>
      <c r="O920" s="227">
        <v>99.245000000000005</v>
      </c>
      <c r="P920" s="227">
        <v>115.46</v>
      </c>
      <c r="Q920" s="227">
        <v>106.93</v>
      </c>
      <c r="R920" s="227">
        <v>112.03</v>
      </c>
      <c r="S920" s="227"/>
      <c r="T920" s="227">
        <v>79.5</v>
      </c>
      <c r="U920" s="227">
        <v>79.5</v>
      </c>
      <c r="V920" s="227">
        <v>79.5</v>
      </c>
      <c r="W920" s="227">
        <v>79.5</v>
      </c>
      <c r="X920" s="227">
        <v>79.5</v>
      </c>
      <c r="Y920" s="227">
        <v>79.5</v>
      </c>
      <c r="Z920" s="227">
        <v>79.5</v>
      </c>
      <c r="AA920" s="227">
        <v>79.5</v>
      </c>
      <c r="AB920" s="227">
        <v>15.962999999999999</v>
      </c>
      <c r="AC920" s="227">
        <v>774.65</v>
      </c>
      <c r="AD920" s="230">
        <v>1.8475694444444442E-4</v>
      </c>
      <c r="AE920" s="230">
        <v>95.777999999999992</v>
      </c>
      <c r="AF920" s="230">
        <v>3816</v>
      </c>
      <c r="AG920" s="230">
        <v>490988.61889991962</v>
      </c>
      <c r="AH920" s="230">
        <v>3299635.6542056487</v>
      </c>
      <c r="AI920" s="230">
        <v>4647.8999999999996</v>
      </c>
    </row>
    <row r="921" spans="5:35" x14ac:dyDescent="0.35">
      <c r="E921" s="226">
        <v>2.9446400000000001</v>
      </c>
      <c r="F921" s="227">
        <v>14.897161643835616</v>
      </c>
      <c r="G921" s="227">
        <v>5437.4639999999999</v>
      </c>
      <c r="H921" s="227">
        <v>0.97499999999999998</v>
      </c>
      <c r="I921" s="227">
        <v>3.6406000000000001</v>
      </c>
      <c r="J921" s="227">
        <v>0.56838446863416614</v>
      </c>
      <c r="K921" s="227">
        <v>135.31</v>
      </c>
      <c r="L921" s="227">
        <v>134.97</v>
      </c>
      <c r="M921" s="227">
        <v>132.71</v>
      </c>
      <c r="N921" s="227">
        <v>93.094999999999999</v>
      </c>
      <c r="O921" s="227">
        <v>99.233999999999995</v>
      </c>
      <c r="P921" s="227">
        <v>115.44</v>
      </c>
      <c r="Q921" s="227">
        <v>106.92</v>
      </c>
      <c r="R921" s="227">
        <v>112.02</v>
      </c>
      <c r="S921" s="227"/>
      <c r="T921" s="227">
        <v>79.5</v>
      </c>
      <c r="U921" s="227">
        <v>79.5</v>
      </c>
      <c r="V921" s="227">
        <v>79.5</v>
      </c>
      <c r="W921" s="227">
        <v>79.5</v>
      </c>
      <c r="X921" s="227">
        <v>79.5</v>
      </c>
      <c r="Y921" s="227">
        <v>79.5</v>
      </c>
      <c r="Z921" s="227">
        <v>79.5</v>
      </c>
      <c r="AA921" s="227">
        <v>79.5</v>
      </c>
      <c r="AB921" s="227">
        <v>15.927</v>
      </c>
      <c r="AC921" s="227">
        <v>774.65</v>
      </c>
      <c r="AD921" s="230">
        <v>1.8434027777777776E-4</v>
      </c>
      <c r="AE921" s="230">
        <v>95.561999999999998</v>
      </c>
      <c r="AF921" s="230">
        <v>3816</v>
      </c>
      <c r="AG921" s="230">
        <v>491084.18089991959</v>
      </c>
      <c r="AH921" s="230">
        <v>3303451.6542056487</v>
      </c>
      <c r="AI921" s="230">
        <v>4647.8999999999996</v>
      </c>
    </row>
    <row r="922" spans="5:35" x14ac:dyDescent="0.35">
      <c r="E922" s="226">
        <v>2.9486400000000001</v>
      </c>
      <c r="F922" s="227">
        <v>14.913600000000001</v>
      </c>
      <c r="G922" s="227">
        <v>5443.4639999999999</v>
      </c>
      <c r="H922" s="227">
        <v>0.97499999999999998</v>
      </c>
      <c r="I922" s="227">
        <v>3.6446000000000001</v>
      </c>
      <c r="J922" s="227">
        <v>0.56849482974527732</v>
      </c>
      <c r="K922" s="227">
        <v>135.29</v>
      </c>
      <c r="L922" s="227">
        <v>134.94999999999999</v>
      </c>
      <c r="M922" s="227">
        <v>132.69</v>
      </c>
      <c r="N922" s="227">
        <v>93.082999999999998</v>
      </c>
      <c r="O922" s="227">
        <v>99.224999999999994</v>
      </c>
      <c r="P922" s="227">
        <v>115.43</v>
      </c>
      <c r="Q922" s="227">
        <v>106.92</v>
      </c>
      <c r="R922" s="227">
        <v>112.01</v>
      </c>
      <c r="S922" s="227"/>
      <c r="T922" s="227">
        <v>79.5</v>
      </c>
      <c r="U922" s="227">
        <v>79.5</v>
      </c>
      <c r="V922" s="227">
        <v>79.5</v>
      </c>
      <c r="W922" s="227">
        <v>79.5</v>
      </c>
      <c r="X922" s="227">
        <v>79.5</v>
      </c>
      <c r="Y922" s="227">
        <v>79.5</v>
      </c>
      <c r="Z922" s="227">
        <v>79.5</v>
      </c>
      <c r="AA922" s="227">
        <v>79.5</v>
      </c>
      <c r="AB922" s="227">
        <v>15.891999999999999</v>
      </c>
      <c r="AC922" s="227">
        <v>774.65</v>
      </c>
      <c r="AD922" s="230">
        <v>1.8393518518518517E-4</v>
      </c>
      <c r="AE922" s="230">
        <v>95.35199999999999</v>
      </c>
      <c r="AF922" s="230">
        <v>3816</v>
      </c>
      <c r="AG922" s="230">
        <v>491179.53289991961</v>
      </c>
      <c r="AH922" s="230">
        <v>3307267.6542056487</v>
      </c>
      <c r="AI922" s="230">
        <v>4647.8999999999996</v>
      </c>
    </row>
    <row r="923" spans="5:35" x14ac:dyDescent="0.35">
      <c r="E923" s="226">
        <v>2.9526400000000002</v>
      </c>
      <c r="F923" s="227">
        <v>14.930038356164383</v>
      </c>
      <c r="G923" s="227">
        <v>5449.4639999999999</v>
      </c>
      <c r="H923" s="227">
        <v>0.97509999999999997</v>
      </c>
      <c r="I923" s="227">
        <v>3.6486000000000001</v>
      </c>
      <c r="J923" s="227">
        <v>0.568604933911944</v>
      </c>
      <c r="K923" s="227">
        <v>135.26</v>
      </c>
      <c r="L923" s="227">
        <v>134.93</v>
      </c>
      <c r="M923" s="227">
        <v>132.66999999999999</v>
      </c>
      <c r="N923" s="227">
        <v>93.070999999999998</v>
      </c>
      <c r="O923" s="227">
        <v>99.212000000000003</v>
      </c>
      <c r="P923" s="227">
        <v>115.41</v>
      </c>
      <c r="Q923" s="227">
        <v>106.91</v>
      </c>
      <c r="R923" s="227">
        <v>111.99</v>
      </c>
      <c r="S923" s="227"/>
      <c r="T923" s="227">
        <v>79.5</v>
      </c>
      <c r="U923" s="227">
        <v>79.5</v>
      </c>
      <c r="V923" s="227">
        <v>79.5</v>
      </c>
      <c r="W923" s="227">
        <v>79.5</v>
      </c>
      <c r="X923" s="227">
        <v>79.5</v>
      </c>
      <c r="Y923" s="227">
        <v>79.5</v>
      </c>
      <c r="Z923" s="227">
        <v>79.5</v>
      </c>
      <c r="AA923" s="227">
        <v>79.5</v>
      </c>
      <c r="AB923" s="227">
        <v>15.855</v>
      </c>
      <c r="AC923" s="227">
        <v>774.65</v>
      </c>
      <c r="AD923" s="230">
        <v>1.8350694444444445E-4</v>
      </c>
      <c r="AE923" s="230">
        <v>95.13</v>
      </c>
      <c r="AF923" s="230">
        <v>3816</v>
      </c>
      <c r="AG923" s="230">
        <v>491274.66289991961</v>
      </c>
      <c r="AH923" s="230">
        <v>3311083.6542056487</v>
      </c>
      <c r="AI923" s="230">
        <v>4647.8999999999996</v>
      </c>
    </row>
    <row r="924" spans="5:35" x14ac:dyDescent="0.35">
      <c r="E924" s="226">
        <v>2.9566400000000002</v>
      </c>
      <c r="F924" s="227">
        <v>14.946476712328767</v>
      </c>
      <c r="G924" s="227">
        <v>5455.4639999999999</v>
      </c>
      <c r="H924" s="227">
        <v>0.97509999999999997</v>
      </c>
      <c r="I924" s="227">
        <v>3.6526000000000001</v>
      </c>
      <c r="J924" s="227">
        <v>0.56871478807861064</v>
      </c>
      <c r="K924" s="227">
        <v>135.24</v>
      </c>
      <c r="L924" s="227">
        <v>134.91</v>
      </c>
      <c r="M924" s="227">
        <v>132.65</v>
      </c>
      <c r="N924" s="227">
        <v>93.058000000000007</v>
      </c>
      <c r="O924" s="227">
        <v>99.203000000000003</v>
      </c>
      <c r="P924" s="227">
        <v>115.4</v>
      </c>
      <c r="Q924" s="227">
        <v>106.9</v>
      </c>
      <c r="R924" s="227">
        <v>111.98</v>
      </c>
      <c r="S924" s="227"/>
      <c r="T924" s="227">
        <v>79.5</v>
      </c>
      <c r="U924" s="227">
        <v>79.5</v>
      </c>
      <c r="V924" s="227">
        <v>79.5</v>
      </c>
      <c r="W924" s="227">
        <v>79.5</v>
      </c>
      <c r="X924" s="227">
        <v>79.5</v>
      </c>
      <c r="Y924" s="227">
        <v>79.5</v>
      </c>
      <c r="Z924" s="227">
        <v>79.5</v>
      </c>
      <c r="AA924" s="227">
        <v>79.5</v>
      </c>
      <c r="AB924" s="227">
        <v>15.819000000000001</v>
      </c>
      <c r="AC924" s="227">
        <v>774.65</v>
      </c>
      <c r="AD924" s="230">
        <v>1.8309027777777779E-4</v>
      </c>
      <c r="AE924" s="230">
        <v>94.914000000000001</v>
      </c>
      <c r="AF924" s="230">
        <v>3816</v>
      </c>
      <c r="AG924" s="230">
        <v>491369.5768999196</v>
      </c>
      <c r="AH924" s="230">
        <v>3314899.6542056487</v>
      </c>
      <c r="AI924" s="230">
        <v>4647.8999999999996</v>
      </c>
    </row>
    <row r="925" spans="5:35" x14ac:dyDescent="0.35">
      <c r="E925" s="226">
        <v>2.9607399999999999</v>
      </c>
      <c r="F925" s="227">
        <v>14.962915068493151</v>
      </c>
      <c r="G925" s="227">
        <v>5461.4639999999999</v>
      </c>
      <c r="H925" s="227">
        <v>0.97519999999999996</v>
      </c>
      <c r="I925" s="227">
        <v>3.6566999999999998</v>
      </c>
      <c r="J925" s="227">
        <v>0.56882439918972183</v>
      </c>
      <c r="K925" s="227">
        <v>135.22</v>
      </c>
      <c r="L925" s="227">
        <v>134.9</v>
      </c>
      <c r="M925" s="227">
        <v>132.63</v>
      </c>
      <c r="N925" s="227">
        <v>93.046000000000006</v>
      </c>
      <c r="O925" s="227">
        <v>99.191999999999993</v>
      </c>
      <c r="P925" s="227">
        <v>115.38</v>
      </c>
      <c r="Q925" s="227">
        <v>106.89</v>
      </c>
      <c r="R925" s="227">
        <v>111.97</v>
      </c>
      <c r="S925" s="227"/>
      <c r="T925" s="227">
        <v>79.5</v>
      </c>
      <c r="U925" s="227">
        <v>79.5</v>
      </c>
      <c r="V925" s="227">
        <v>79.5</v>
      </c>
      <c r="W925" s="227">
        <v>79.5</v>
      </c>
      <c r="X925" s="227">
        <v>79.5</v>
      </c>
      <c r="Y925" s="227">
        <v>79.5</v>
      </c>
      <c r="Z925" s="227">
        <v>79.5</v>
      </c>
      <c r="AA925" s="227">
        <v>79.5</v>
      </c>
      <c r="AB925" s="227">
        <v>15.784000000000001</v>
      </c>
      <c r="AC925" s="227">
        <v>774.65</v>
      </c>
      <c r="AD925" s="230">
        <v>1.826851851851852E-4</v>
      </c>
      <c r="AE925" s="230">
        <v>94.703999999999994</v>
      </c>
      <c r="AF925" s="230">
        <v>3816</v>
      </c>
      <c r="AG925" s="230">
        <v>491464.28089991963</v>
      </c>
      <c r="AH925" s="230">
        <v>3318715.6542056487</v>
      </c>
      <c r="AI925" s="230">
        <v>4647.8999999999996</v>
      </c>
    </row>
    <row r="926" spans="5:35" x14ac:dyDescent="0.35">
      <c r="E926" s="226">
        <v>2.9647399999999999</v>
      </c>
      <c r="F926" s="227">
        <v>14.979353424657534</v>
      </c>
      <c r="G926" s="227">
        <v>5467.4639999999999</v>
      </c>
      <c r="H926" s="227">
        <v>0.97519999999999996</v>
      </c>
      <c r="I926" s="227">
        <v>3.6606999999999998</v>
      </c>
      <c r="J926" s="227">
        <v>0.56893376724527733</v>
      </c>
      <c r="K926" s="227">
        <v>135.19</v>
      </c>
      <c r="L926" s="227">
        <v>134.88</v>
      </c>
      <c r="M926" s="227">
        <v>132.6</v>
      </c>
      <c r="N926" s="227">
        <v>93.034000000000006</v>
      </c>
      <c r="O926" s="227">
        <v>99.182000000000002</v>
      </c>
      <c r="P926" s="227">
        <v>115.37</v>
      </c>
      <c r="Q926" s="227">
        <v>106.88</v>
      </c>
      <c r="R926" s="227">
        <v>111.96</v>
      </c>
      <c r="S926" s="227"/>
      <c r="T926" s="227">
        <v>79.5</v>
      </c>
      <c r="U926" s="227">
        <v>79.5</v>
      </c>
      <c r="V926" s="227">
        <v>79.5</v>
      </c>
      <c r="W926" s="227">
        <v>79.5</v>
      </c>
      <c r="X926" s="227">
        <v>79.5</v>
      </c>
      <c r="Y926" s="227">
        <v>79.5</v>
      </c>
      <c r="Z926" s="227">
        <v>79.5</v>
      </c>
      <c r="AA926" s="227">
        <v>79.5</v>
      </c>
      <c r="AB926" s="227">
        <v>15.749000000000001</v>
      </c>
      <c r="AC926" s="227">
        <v>774.65</v>
      </c>
      <c r="AD926" s="230">
        <v>1.8228009259259261E-4</v>
      </c>
      <c r="AE926" s="230">
        <v>94.494000000000014</v>
      </c>
      <c r="AF926" s="230">
        <v>3816</v>
      </c>
      <c r="AG926" s="230">
        <v>491558.77489991963</v>
      </c>
      <c r="AH926" s="230">
        <v>3322531.6542056487</v>
      </c>
      <c r="AI926" s="230">
        <v>4647.8999999999996</v>
      </c>
    </row>
    <row r="927" spans="5:35" x14ac:dyDescent="0.35">
      <c r="E927" s="226">
        <v>2.9687399999999999</v>
      </c>
      <c r="F927" s="227">
        <v>14.995791780821918</v>
      </c>
      <c r="G927" s="227">
        <v>5473.4639999999999</v>
      </c>
      <c r="H927" s="227">
        <v>0.97529999999999994</v>
      </c>
      <c r="I927" s="227">
        <v>3.6646999999999998</v>
      </c>
      <c r="J927" s="227">
        <v>0.56904288530083291</v>
      </c>
      <c r="K927" s="227">
        <v>135.16999999999999</v>
      </c>
      <c r="L927" s="227">
        <v>134.86000000000001</v>
      </c>
      <c r="M927" s="227">
        <v>132.58000000000001</v>
      </c>
      <c r="N927" s="227">
        <v>93.022000000000006</v>
      </c>
      <c r="O927" s="227">
        <v>99.171000000000006</v>
      </c>
      <c r="P927" s="227">
        <v>115.35</v>
      </c>
      <c r="Q927" s="227">
        <v>106.87</v>
      </c>
      <c r="R927" s="227">
        <v>111.95</v>
      </c>
      <c r="S927" s="227"/>
      <c r="T927" s="227">
        <v>79.5</v>
      </c>
      <c r="U927" s="227">
        <v>79.5</v>
      </c>
      <c r="V927" s="227">
        <v>79.5</v>
      </c>
      <c r="W927" s="227">
        <v>79.5</v>
      </c>
      <c r="X927" s="227">
        <v>79.5</v>
      </c>
      <c r="Y927" s="227">
        <v>79.5</v>
      </c>
      <c r="Z927" s="227">
        <v>79.5</v>
      </c>
      <c r="AA927" s="227">
        <v>79.5</v>
      </c>
      <c r="AB927" s="227">
        <v>15.712999999999999</v>
      </c>
      <c r="AC927" s="227">
        <v>774.65</v>
      </c>
      <c r="AD927" s="230">
        <v>1.8186342592592592E-4</v>
      </c>
      <c r="AE927" s="230">
        <v>94.277999999999992</v>
      </c>
      <c r="AF927" s="230">
        <v>3816</v>
      </c>
      <c r="AG927" s="230">
        <v>491653.05289991962</v>
      </c>
      <c r="AH927" s="230">
        <v>3326347.6542056487</v>
      </c>
      <c r="AI927" s="230">
        <v>4647.8999999999996</v>
      </c>
    </row>
    <row r="928" spans="5:35" x14ac:dyDescent="0.35">
      <c r="E928" s="226">
        <v>2.9727399999999999</v>
      </c>
      <c r="F928" s="227">
        <v>15.012230136986302</v>
      </c>
      <c r="G928" s="227">
        <v>5479.4639999999999</v>
      </c>
      <c r="H928" s="227">
        <v>0.97529999999999994</v>
      </c>
      <c r="I928" s="227">
        <v>3.6686999999999999</v>
      </c>
      <c r="J928" s="227">
        <v>0.56915176030083292</v>
      </c>
      <c r="K928" s="227">
        <v>135.13999999999999</v>
      </c>
      <c r="L928" s="227">
        <v>134.84</v>
      </c>
      <c r="M928" s="227">
        <v>132.56</v>
      </c>
      <c r="N928" s="227">
        <v>93.01</v>
      </c>
      <c r="O928" s="227">
        <v>99.161000000000001</v>
      </c>
      <c r="P928" s="227">
        <v>115.34</v>
      </c>
      <c r="Q928" s="227">
        <v>106.86</v>
      </c>
      <c r="R928" s="227">
        <v>111.94</v>
      </c>
      <c r="S928" s="227"/>
      <c r="T928" s="227">
        <v>79.5</v>
      </c>
      <c r="U928" s="227">
        <v>79.5</v>
      </c>
      <c r="V928" s="227">
        <v>79.5</v>
      </c>
      <c r="W928" s="227">
        <v>79.5</v>
      </c>
      <c r="X928" s="227">
        <v>79.5</v>
      </c>
      <c r="Y928" s="227">
        <v>79.5</v>
      </c>
      <c r="Z928" s="227">
        <v>79.5</v>
      </c>
      <c r="AA928" s="227">
        <v>79.5</v>
      </c>
      <c r="AB928" s="227">
        <v>15.678000000000001</v>
      </c>
      <c r="AC928" s="227">
        <v>774.65</v>
      </c>
      <c r="AD928" s="230">
        <v>1.8145833333333333E-4</v>
      </c>
      <c r="AE928" s="230">
        <v>94.067999999999984</v>
      </c>
      <c r="AF928" s="230">
        <v>3816</v>
      </c>
      <c r="AG928" s="230">
        <v>491747.12089991965</v>
      </c>
      <c r="AH928" s="230">
        <v>3330163.6542056487</v>
      </c>
      <c r="AI928" s="230">
        <v>4647.8999999999996</v>
      </c>
    </row>
    <row r="929" spans="5:35" x14ac:dyDescent="0.35">
      <c r="E929" s="226">
        <v>2.9767399999999999</v>
      </c>
      <c r="F929" s="227">
        <v>15.028668493150684</v>
      </c>
      <c r="G929" s="227">
        <v>5485.4639999999999</v>
      </c>
      <c r="H929" s="227">
        <v>0.97540000000000004</v>
      </c>
      <c r="I929" s="227">
        <v>3.6726999999999999</v>
      </c>
      <c r="J929" s="227">
        <v>0.56926039224527736</v>
      </c>
      <c r="K929" s="227">
        <v>135.12</v>
      </c>
      <c r="L929" s="227">
        <v>134.82</v>
      </c>
      <c r="M929" s="227">
        <v>132.54</v>
      </c>
      <c r="N929" s="227">
        <v>92.998000000000005</v>
      </c>
      <c r="O929" s="227">
        <v>99.149000000000001</v>
      </c>
      <c r="P929" s="227">
        <v>115.32</v>
      </c>
      <c r="Q929" s="227">
        <v>106.85</v>
      </c>
      <c r="R929" s="227">
        <v>111.93</v>
      </c>
      <c r="S929" s="227"/>
      <c r="T929" s="227">
        <v>79.5</v>
      </c>
      <c r="U929" s="227">
        <v>79.5</v>
      </c>
      <c r="V929" s="227">
        <v>79.5</v>
      </c>
      <c r="W929" s="227">
        <v>79.5</v>
      </c>
      <c r="X929" s="227">
        <v>79.5</v>
      </c>
      <c r="Y929" s="227">
        <v>79.5</v>
      </c>
      <c r="Z929" s="227">
        <v>79.5</v>
      </c>
      <c r="AA929" s="227">
        <v>79.5</v>
      </c>
      <c r="AB929" s="227">
        <v>15.643000000000001</v>
      </c>
      <c r="AC929" s="227">
        <v>774.65</v>
      </c>
      <c r="AD929" s="230">
        <v>1.8105324074074074E-4</v>
      </c>
      <c r="AE929" s="230">
        <v>93.858000000000004</v>
      </c>
      <c r="AF929" s="230">
        <v>3816</v>
      </c>
      <c r="AG929" s="230">
        <v>491840.97889991966</v>
      </c>
      <c r="AH929" s="230">
        <v>3333979.6542056487</v>
      </c>
      <c r="AI929" s="230">
        <v>4647.8999999999996</v>
      </c>
    </row>
    <row r="930" spans="5:35" x14ac:dyDescent="0.35">
      <c r="E930" s="226">
        <v>2.9807399999999999</v>
      </c>
      <c r="F930" s="227">
        <v>15.045106849315069</v>
      </c>
      <c r="G930" s="227">
        <v>5491.4639999999999</v>
      </c>
      <c r="H930" s="227">
        <v>0.97550000000000003</v>
      </c>
      <c r="I930" s="227">
        <v>3.6766999999999999</v>
      </c>
      <c r="J930" s="227">
        <v>0.56936878807861069</v>
      </c>
      <c r="K930" s="227">
        <v>135.1</v>
      </c>
      <c r="L930" s="227">
        <v>134.81</v>
      </c>
      <c r="M930" s="227">
        <v>132.52000000000001</v>
      </c>
      <c r="N930" s="227">
        <v>92.986000000000004</v>
      </c>
      <c r="O930" s="227">
        <v>99.141999999999996</v>
      </c>
      <c r="P930" s="227">
        <v>115.31</v>
      </c>
      <c r="Q930" s="227">
        <v>106.84</v>
      </c>
      <c r="R930" s="227">
        <v>111.92</v>
      </c>
      <c r="S930" s="227"/>
      <c r="T930" s="227">
        <v>79.5</v>
      </c>
      <c r="U930" s="227">
        <v>79.5</v>
      </c>
      <c r="V930" s="227">
        <v>79.5</v>
      </c>
      <c r="W930" s="227">
        <v>79.5</v>
      </c>
      <c r="X930" s="227">
        <v>79.5</v>
      </c>
      <c r="Y930" s="227">
        <v>79.5</v>
      </c>
      <c r="Z930" s="227">
        <v>79.5</v>
      </c>
      <c r="AA930" s="227">
        <v>79.5</v>
      </c>
      <c r="AB930" s="227">
        <v>15.609</v>
      </c>
      <c r="AC930" s="227">
        <v>774.65</v>
      </c>
      <c r="AD930" s="230">
        <v>1.8065972222222222E-4</v>
      </c>
      <c r="AE930" s="230">
        <v>93.653999999999996</v>
      </c>
      <c r="AF930" s="230">
        <v>3816</v>
      </c>
      <c r="AG930" s="230">
        <v>491934.63289991964</v>
      </c>
      <c r="AH930" s="230">
        <v>3337795.6542056487</v>
      </c>
      <c r="AI930" s="230">
        <v>4647.8999999999996</v>
      </c>
    </row>
    <row r="931" spans="5:35" x14ac:dyDescent="0.35">
      <c r="E931" s="226">
        <v>2.9848400000000002</v>
      </c>
      <c r="F931" s="227">
        <v>15.061545205479453</v>
      </c>
      <c r="G931" s="227">
        <v>5497.4639999999999</v>
      </c>
      <c r="H931" s="227">
        <v>0.97550000000000003</v>
      </c>
      <c r="I931" s="227">
        <v>3.6808000000000001</v>
      </c>
      <c r="J931" s="227">
        <v>0.56947693391194409</v>
      </c>
      <c r="K931" s="227">
        <v>135.07</v>
      </c>
      <c r="L931" s="227">
        <v>134.79</v>
      </c>
      <c r="M931" s="227">
        <v>132.5</v>
      </c>
      <c r="N931" s="227">
        <v>92.974000000000004</v>
      </c>
      <c r="O931" s="227">
        <v>99.13</v>
      </c>
      <c r="P931" s="227">
        <v>115.29</v>
      </c>
      <c r="Q931" s="227">
        <v>106.83</v>
      </c>
      <c r="R931" s="227">
        <v>111.9</v>
      </c>
      <c r="S931" s="227"/>
      <c r="T931" s="227">
        <v>79.5</v>
      </c>
      <c r="U931" s="227">
        <v>79.5</v>
      </c>
      <c r="V931" s="227">
        <v>79.5</v>
      </c>
      <c r="W931" s="227">
        <v>79.5</v>
      </c>
      <c r="X931" s="227">
        <v>79.5</v>
      </c>
      <c r="Y931" s="227">
        <v>79.5</v>
      </c>
      <c r="Z931" s="227">
        <v>79.5</v>
      </c>
      <c r="AA931" s="227">
        <v>79.5</v>
      </c>
      <c r="AB931" s="227">
        <v>15.573</v>
      </c>
      <c r="AC931" s="227">
        <v>774.65</v>
      </c>
      <c r="AD931" s="230">
        <v>1.8024305555555556E-4</v>
      </c>
      <c r="AE931" s="230">
        <v>93.438000000000002</v>
      </c>
      <c r="AF931" s="230">
        <v>3816</v>
      </c>
      <c r="AG931" s="230">
        <v>492028.07089991966</v>
      </c>
      <c r="AH931" s="230">
        <v>3341611.6542056487</v>
      </c>
      <c r="AI931" s="230">
        <v>4647.8999999999996</v>
      </c>
    </row>
    <row r="932" spans="5:35" x14ac:dyDescent="0.35">
      <c r="E932" s="226">
        <v>2.9888400000000002</v>
      </c>
      <c r="F932" s="227">
        <v>15.077983561643835</v>
      </c>
      <c r="G932" s="227">
        <v>5503.4639999999999</v>
      </c>
      <c r="H932" s="227">
        <v>0.97560000000000002</v>
      </c>
      <c r="I932" s="227">
        <v>3.6848000000000001</v>
      </c>
      <c r="J932" s="227">
        <v>0.56958484363416628</v>
      </c>
      <c r="K932" s="227">
        <v>135.05000000000001</v>
      </c>
      <c r="L932" s="227">
        <v>134.77000000000001</v>
      </c>
      <c r="M932" s="227">
        <v>132.47</v>
      </c>
      <c r="N932" s="227">
        <v>92.962000000000003</v>
      </c>
      <c r="O932" s="227">
        <v>99.12</v>
      </c>
      <c r="P932" s="227">
        <v>115.28</v>
      </c>
      <c r="Q932" s="227">
        <v>106.83</v>
      </c>
      <c r="R932" s="227">
        <v>111.89</v>
      </c>
      <c r="S932" s="227"/>
      <c r="T932" s="227">
        <v>79.5</v>
      </c>
      <c r="U932" s="227">
        <v>79.5</v>
      </c>
      <c r="V932" s="227">
        <v>79.5</v>
      </c>
      <c r="W932" s="227">
        <v>79.5</v>
      </c>
      <c r="X932" s="227">
        <v>79.5</v>
      </c>
      <c r="Y932" s="227">
        <v>79.5</v>
      </c>
      <c r="Z932" s="227">
        <v>79.5</v>
      </c>
      <c r="AA932" s="227">
        <v>79.5</v>
      </c>
      <c r="AB932" s="227">
        <v>15.539</v>
      </c>
      <c r="AC932" s="227">
        <v>774.65</v>
      </c>
      <c r="AD932" s="230">
        <v>1.7984953703703704E-4</v>
      </c>
      <c r="AE932" s="230">
        <v>93.233999999999995</v>
      </c>
      <c r="AF932" s="230">
        <v>3816</v>
      </c>
      <c r="AG932" s="230">
        <v>492121.30489991966</v>
      </c>
      <c r="AH932" s="230">
        <v>3345427.6542056487</v>
      </c>
      <c r="AI932" s="230">
        <v>4647.8999999999996</v>
      </c>
    </row>
    <row r="933" spans="5:35" x14ac:dyDescent="0.35">
      <c r="E933" s="226">
        <v>2.9928400000000002</v>
      </c>
      <c r="F933" s="227">
        <v>15.094421917808219</v>
      </c>
      <c r="G933" s="227">
        <v>5509.4639999999999</v>
      </c>
      <c r="H933" s="227">
        <v>0.97560000000000002</v>
      </c>
      <c r="I933" s="227">
        <v>3.6888000000000001</v>
      </c>
      <c r="J933" s="227">
        <v>0.5696925103008329</v>
      </c>
      <c r="K933" s="227">
        <v>135.02000000000001</v>
      </c>
      <c r="L933" s="227">
        <v>134.75</v>
      </c>
      <c r="M933" s="227">
        <v>132.44999999999999</v>
      </c>
      <c r="N933" s="227">
        <v>92.95</v>
      </c>
      <c r="O933" s="227">
        <v>99.108999999999995</v>
      </c>
      <c r="P933" s="227">
        <v>115.26</v>
      </c>
      <c r="Q933" s="227">
        <v>106.82</v>
      </c>
      <c r="R933" s="227">
        <v>111.88</v>
      </c>
      <c r="S933" s="227"/>
      <c r="T933" s="227">
        <v>79.5</v>
      </c>
      <c r="U933" s="227">
        <v>79.5</v>
      </c>
      <c r="V933" s="227">
        <v>79.5</v>
      </c>
      <c r="W933" s="227">
        <v>79.5</v>
      </c>
      <c r="X933" s="227">
        <v>79.5</v>
      </c>
      <c r="Y933" s="227">
        <v>79.5</v>
      </c>
      <c r="Z933" s="227">
        <v>79.5</v>
      </c>
      <c r="AA933" s="227">
        <v>79.5</v>
      </c>
      <c r="AB933" s="227">
        <v>15.504</v>
      </c>
      <c r="AC933" s="227">
        <v>774.65</v>
      </c>
      <c r="AD933" s="230">
        <v>1.7944444444444445E-4</v>
      </c>
      <c r="AE933" s="230">
        <v>93.024000000000001</v>
      </c>
      <c r="AF933" s="230">
        <v>3816</v>
      </c>
      <c r="AG933" s="230">
        <v>492214.32889991964</v>
      </c>
      <c r="AH933" s="230">
        <v>3349243.6542056487</v>
      </c>
      <c r="AI933" s="230">
        <v>4647.8999999999996</v>
      </c>
    </row>
    <row r="934" spans="5:35" x14ac:dyDescent="0.35">
      <c r="E934" s="226">
        <v>2.9968400000000002</v>
      </c>
      <c r="F934" s="227">
        <v>15.110860273972603</v>
      </c>
      <c r="G934" s="227">
        <v>5515.4639999999999</v>
      </c>
      <c r="H934" s="227">
        <v>0.97570000000000001</v>
      </c>
      <c r="I934" s="227">
        <v>3.6928000000000001</v>
      </c>
      <c r="J934" s="227">
        <v>0.56979994085638852</v>
      </c>
      <c r="K934" s="227">
        <v>135</v>
      </c>
      <c r="L934" s="227">
        <v>134.74</v>
      </c>
      <c r="M934" s="227">
        <v>132.43</v>
      </c>
      <c r="N934" s="227">
        <v>92.938000000000002</v>
      </c>
      <c r="O934" s="227">
        <v>99.099000000000004</v>
      </c>
      <c r="P934" s="227">
        <v>115.25</v>
      </c>
      <c r="Q934" s="227">
        <v>106.81</v>
      </c>
      <c r="R934" s="227">
        <v>111.87</v>
      </c>
      <c r="S934" s="227"/>
      <c r="T934" s="227">
        <v>79.5</v>
      </c>
      <c r="U934" s="227">
        <v>79.5</v>
      </c>
      <c r="V934" s="227">
        <v>79.5</v>
      </c>
      <c r="W934" s="227">
        <v>79.5</v>
      </c>
      <c r="X934" s="227">
        <v>79.5</v>
      </c>
      <c r="Y934" s="227">
        <v>79.5</v>
      </c>
      <c r="Z934" s="227">
        <v>79.5</v>
      </c>
      <c r="AA934" s="227">
        <v>79.5</v>
      </c>
      <c r="AB934" s="227">
        <v>15.47</v>
      </c>
      <c r="AC934" s="227">
        <v>774.65</v>
      </c>
      <c r="AD934" s="230">
        <v>1.7905092592592593E-4</v>
      </c>
      <c r="AE934" s="230">
        <v>92.820000000000007</v>
      </c>
      <c r="AF934" s="230">
        <v>3816</v>
      </c>
      <c r="AG934" s="230">
        <v>492307.14889991964</v>
      </c>
      <c r="AH934" s="230">
        <v>3353059.6542056487</v>
      </c>
      <c r="AI934" s="230">
        <v>4647.8999999999996</v>
      </c>
    </row>
    <row r="935" spans="5:35" x14ac:dyDescent="0.35">
      <c r="E935" s="226">
        <v>3.0008400000000002</v>
      </c>
      <c r="F935" s="227">
        <v>15.127298630136986</v>
      </c>
      <c r="G935" s="227">
        <v>5521.4639999999999</v>
      </c>
      <c r="H935" s="227">
        <v>0.97570000000000001</v>
      </c>
      <c r="I935" s="227">
        <v>3.6968000000000001</v>
      </c>
      <c r="J935" s="227">
        <v>0.56990713530083292</v>
      </c>
      <c r="K935" s="227">
        <v>134.97999999999999</v>
      </c>
      <c r="L935" s="227">
        <v>134.72</v>
      </c>
      <c r="M935" s="227">
        <v>132.41</v>
      </c>
      <c r="N935" s="227">
        <v>92.927000000000007</v>
      </c>
      <c r="O935" s="227">
        <v>99.088999999999999</v>
      </c>
      <c r="P935" s="227">
        <v>115.23</v>
      </c>
      <c r="Q935" s="227">
        <v>106.8</v>
      </c>
      <c r="R935" s="227">
        <v>111.86</v>
      </c>
      <c r="S935" s="227"/>
      <c r="T935" s="227">
        <v>79.5</v>
      </c>
      <c r="U935" s="227">
        <v>79.5</v>
      </c>
      <c r="V935" s="227">
        <v>79.5</v>
      </c>
      <c r="W935" s="227">
        <v>79.5</v>
      </c>
      <c r="X935" s="227">
        <v>79.5</v>
      </c>
      <c r="Y935" s="227">
        <v>79.5</v>
      </c>
      <c r="Z935" s="227">
        <v>79.5</v>
      </c>
      <c r="AA935" s="227">
        <v>79.5</v>
      </c>
      <c r="AB935" s="227">
        <v>15.436</v>
      </c>
      <c r="AC935" s="227">
        <v>774.65</v>
      </c>
      <c r="AD935" s="230">
        <v>1.7865740740740741E-4</v>
      </c>
      <c r="AE935" s="230">
        <v>92.616</v>
      </c>
      <c r="AF935" s="230">
        <v>3816</v>
      </c>
      <c r="AG935" s="230">
        <v>492399.76489991962</v>
      </c>
      <c r="AH935" s="230">
        <v>3356875.6542056487</v>
      </c>
      <c r="AI935" s="230">
        <v>4647.8999999999996</v>
      </c>
    </row>
    <row r="936" spans="5:35" x14ac:dyDescent="0.35">
      <c r="E936" s="226">
        <v>3.0048400000000002</v>
      </c>
      <c r="F936" s="227">
        <v>15.14373698630137</v>
      </c>
      <c r="G936" s="227">
        <v>5527.4639999999999</v>
      </c>
      <c r="H936" s="227">
        <v>0.9758</v>
      </c>
      <c r="I936" s="227">
        <v>3.7008000000000001</v>
      </c>
      <c r="J936" s="227">
        <v>0.57001408668972176</v>
      </c>
      <c r="K936" s="227">
        <v>134.94999999999999</v>
      </c>
      <c r="L936" s="227">
        <v>134.69999999999999</v>
      </c>
      <c r="M936" s="227">
        <v>132.38999999999999</v>
      </c>
      <c r="N936" s="227">
        <v>92.914000000000001</v>
      </c>
      <c r="O936" s="227">
        <v>99.078999999999994</v>
      </c>
      <c r="P936" s="227">
        <v>115.22</v>
      </c>
      <c r="Q936" s="227">
        <v>106.79</v>
      </c>
      <c r="R936" s="227">
        <v>111.85</v>
      </c>
      <c r="S936" s="227"/>
      <c r="T936" s="227">
        <v>79.5</v>
      </c>
      <c r="U936" s="227">
        <v>79.5</v>
      </c>
      <c r="V936" s="227">
        <v>79.5</v>
      </c>
      <c r="W936" s="227">
        <v>79.5</v>
      </c>
      <c r="X936" s="227">
        <v>79.5</v>
      </c>
      <c r="Y936" s="227">
        <v>79.5</v>
      </c>
      <c r="Z936" s="227">
        <v>79.5</v>
      </c>
      <c r="AA936" s="227">
        <v>79.5</v>
      </c>
      <c r="AB936" s="227">
        <v>15.401</v>
      </c>
      <c r="AC936" s="227">
        <v>774.65</v>
      </c>
      <c r="AD936" s="230">
        <v>1.7825231481481482E-4</v>
      </c>
      <c r="AE936" s="230">
        <v>92.406000000000006</v>
      </c>
      <c r="AF936" s="230">
        <v>3816</v>
      </c>
      <c r="AG936" s="230">
        <v>492492.17089991964</v>
      </c>
      <c r="AH936" s="230">
        <v>3360691.6542056487</v>
      </c>
      <c r="AI936" s="230">
        <v>4647.8999999999996</v>
      </c>
    </row>
    <row r="937" spans="5:35" x14ac:dyDescent="0.35">
      <c r="E937" s="226">
        <v>3.0089399999999999</v>
      </c>
      <c r="F937" s="227">
        <v>15.160175342465752</v>
      </c>
      <c r="G937" s="227">
        <v>5533.4639999999999</v>
      </c>
      <c r="H937" s="227">
        <v>0.9758</v>
      </c>
      <c r="I937" s="227">
        <v>3.7048999999999999</v>
      </c>
      <c r="J937" s="227">
        <v>0.57012080196749959</v>
      </c>
      <c r="K937" s="227">
        <v>134.93</v>
      </c>
      <c r="L937" s="227">
        <v>134.68</v>
      </c>
      <c r="M937" s="227">
        <v>132.37</v>
      </c>
      <c r="N937" s="227">
        <v>92.903000000000006</v>
      </c>
      <c r="O937" s="227">
        <v>99.067999999999998</v>
      </c>
      <c r="P937" s="227">
        <v>115.2</v>
      </c>
      <c r="Q937" s="227">
        <v>106.78</v>
      </c>
      <c r="R937" s="227">
        <v>111.84</v>
      </c>
      <c r="S937" s="227"/>
      <c r="T937" s="227">
        <v>79.5</v>
      </c>
      <c r="U937" s="227">
        <v>79.5</v>
      </c>
      <c r="V937" s="227">
        <v>79.5</v>
      </c>
      <c r="W937" s="227">
        <v>79.5</v>
      </c>
      <c r="X937" s="227">
        <v>79.5</v>
      </c>
      <c r="Y937" s="227">
        <v>79.5</v>
      </c>
      <c r="Z937" s="227">
        <v>79.5</v>
      </c>
      <c r="AA937" s="227">
        <v>79.5</v>
      </c>
      <c r="AB937" s="227">
        <v>15.367000000000001</v>
      </c>
      <c r="AC937" s="227">
        <v>774.65</v>
      </c>
      <c r="AD937" s="230">
        <v>1.7785879629629629E-4</v>
      </c>
      <c r="AE937" s="230">
        <v>92.201999999999998</v>
      </c>
      <c r="AF937" s="230">
        <v>3816</v>
      </c>
      <c r="AG937" s="230">
        <v>492584.37289991963</v>
      </c>
      <c r="AH937" s="230">
        <v>3364507.6542056487</v>
      </c>
      <c r="AI937" s="230">
        <v>4647.8999999999996</v>
      </c>
    </row>
    <row r="938" spans="5:35" x14ac:dyDescent="0.35">
      <c r="E938" s="226">
        <v>3.01294</v>
      </c>
      <c r="F938" s="227">
        <v>15.176613698630137</v>
      </c>
      <c r="G938" s="227">
        <v>5539.4639999999999</v>
      </c>
      <c r="H938" s="227">
        <v>0.97589999999999999</v>
      </c>
      <c r="I938" s="227">
        <v>3.7088999999999999</v>
      </c>
      <c r="J938" s="227">
        <v>0.57022728807861067</v>
      </c>
      <c r="K938" s="227">
        <v>134.91</v>
      </c>
      <c r="L938" s="227">
        <v>134.66999999999999</v>
      </c>
      <c r="M938" s="227">
        <v>132.35</v>
      </c>
      <c r="N938" s="227">
        <v>92.891000000000005</v>
      </c>
      <c r="O938" s="227">
        <v>99.058999999999997</v>
      </c>
      <c r="P938" s="227">
        <v>115.19</v>
      </c>
      <c r="Q938" s="227">
        <v>106.77</v>
      </c>
      <c r="R938" s="227">
        <v>111.83</v>
      </c>
      <c r="S938" s="227"/>
      <c r="T938" s="227">
        <v>79.5</v>
      </c>
      <c r="U938" s="227">
        <v>79.5</v>
      </c>
      <c r="V938" s="227">
        <v>79.5</v>
      </c>
      <c r="W938" s="227">
        <v>79.5</v>
      </c>
      <c r="X938" s="227">
        <v>79.5</v>
      </c>
      <c r="Y938" s="227">
        <v>79.5</v>
      </c>
      <c r="Z938" s="227">
        <v>79.5</v>
      </c>
      <c r="AA938" s="227">
        <v>79.5</v>
      </c>
      <c r="AB938" s="227">
        <v>15.334</v>
      </c>
      <c r="AC938" s="227">
        <v>774.65</v>
      </c>
      <c r="AD938" s="230">
        <v>1.7747685185185184E-4</v>
      </c>
      <c r="AE938" s="230">
        <v>92.003999999999991</v>
      </c>
      <c r="AF938" s="230">
        <v>3816</v>
      </c>
      <c r="AG938" s="230">
        <v>492676.37689991965</v>
      </c>
      <c r="AH938" s="230">
        <v>3368323.6542056487</v>
      </c>
      <c r="AI938" s="230">
        <v>4647.8999999999996</v>
      </c>
    </row>
    <row r="939" spans="5:35" x14ac:dyDescent="0.35">
      <c r="E939" s="226">
        <v>3.01694</v>
      </c>
      <c r="F939" s="227">
        <v>15.193052054794521</v>
      </c>
      <c r="G939" s="227">
        <v>5545.4639999999999</v>
      </c>
      <c r="H939" s="227">
        <v>0.97589999999999999</v>
      </c>
      <c r="I939" s="227">
        <v>3.7128999999999999</v>
      </c>
      <c r="J939" s="227">
        <v>0.57033353807861065</v>
      </c>
      <c r="K939" s="227">
        <v>134.88</v>
      </c>
      <c r="L939" s="227">
        <v>134.65</v>
      </c>
      <c r="M939" s="227">
        <v>132.33000000000001</v>
      </c>
      <c r="N939" s="227">
        <v>92.879000000000005</v>
      </c>
      <c r="O939" s="227">
        <v>99.049000000000007</v>
      </c>
      <c r="P939" s="227">
        <v>115.18</v>
      </c>
      <c r="Q939" s="227">
        <v>106.76</v>
      </c>
      <c r="R939" s="227">
        <v>111.82</v>
      </c>
      <c r="S939" s="227"/>
      <c r="T939" s="227">
        <v>79.5</v>
      </c>
      <c r="U939" s="227">
        <v>79.5</v>
      </c>
      <c r="V939" s="227">
        <v>79.5</v>
      </c>
      <c r="W939" s="227">
        <v>79.5</v>
      </c>
      <c r="X939" s="227">
        <v>79.5</v>
      </c>
      <c r="Y939" s="227">
        <v>79.5</v>
      </c>
      <c r="Z939" s="227">
        <v>79.5</v>
      </c>
      <c r="AA939" s="227">
        <v>79.5</v>
      </c>
      <c r="AB939" s="227">
        <v>15.3</v>
      </c>
      <c r="AC939" s="227">
        <v>774.65</v>
      </c>
      <c r="AD939" s="230">
        <v>1.7708333333333335E-4</v>
      </c>
      <c r="AE939" s="230">
        <v>91.800000000000011</v>
      </c>
      <c r="AF939" s="230">
        <v>3816</v>
      </c>
      <c r="AG939" s="230">
        <v>492768.17689991964</v>
      </c>
      <c r="AH939" s="230">
        <v>3372139.6542056487</v>
      </c>
      <c r="AI939" s="230">
        <v>4647.8999999999996</v>
      </c>
    </row>
    <row r="940" spans="5:35" x14ac:dyDescent="0.35">
      <c r="E940" s="226">
        <v>3.02094</v>
      </c>
      <c r="F940" s="227">
        <v>15.209490410958903</v>
      </c>
      <c r="G940" s="227">
        <v>5551.4639999999999</v>
      </c>
      <c r="H940" s="227">
        <v>0.97599999999999998</v>
      </c>
      <c r="I940" s="227">
        <v>3.7168999999999999</v>
      </c>
      <c r="J940" s="227">
        <v>0.57043955196749963</v>
      </c>
      <c r="K940" s="227">
        <v>134.86000000000001</v>
      </c>
      <c r="L940" s="227">
        <v>134.63</v>
      </c>
      <c r="M940" s="227">
        <v>132.31</v>
      </c>
      <c r="N940" s="227">
        <v>92.867000000000004</v>
      </c>
      <c r="O940" s="227">
        <v>99.039000000000001</v>
      </c>
      <c r="P940" s="227">
        <v>115.16</v>
      </c>
      <c r="Q940" s="227">
        <v>106.76</v>
      </c>
      <c r="R940" s="227">
        <v>111.81</v>
      </c>
      <c r="S940" s="227"/>
      <c r="T940" s="227">
        <v>79.5</v>
      </c>
      <c r="U940" s="227">
        <v>79.5</v>
      </c>
      <c r="V940" s="227">
        <v>79.5</v>
      </c>
      <c r="W940" s="227">
        <v>79.5</v>
      </c>
      <c r="X940" s="227">
        <v>79.5</v>
      </c>
      <c r="Y940" s="227">
        <v>79.5</v>
      </c>
      <c r="Z940" s="227">
        <v>79.5</v>
      </c>
      <c r="AA940" s="227">
        <v>79.5</v>
      </c>
      <c r="AB940" s="227">
        <v>15.266</v>
      </c>
      <c r="AC940" s="227">
        <v>774.65</v>
      </c>
      <c r="AD940" s="230">
        <v>1.7668981481481482E-4</v>
      </c>
      <c r="AE940" s="230">
        <v>91.596000000000004</v>
      </c>
      <c r="AF940" s="230">
        <v>3816</v>
      </c>
      <c r="AG940" s="230">
        <v>492859.77289991966</v>
      </c>
      <c r="AH940" s="230">
        <v>3375955.6542056487</v>
      </c>
      <c r="AI940" s="230">
        <v>4647.8999999999996</v>
      </c>
    </row>
    <row r="941" spans="5:35" x14ac:dyDescent="0.35">
      <c r="E941" s="226">
        <v>3.02494</v>
      </c>
      <c r="F941" s="227">
        <v>15.225928767123287</v>
      </c>
      <c r="G941" s="227">
        <v>5557.4639999999999</v>
      </c>
      <c r="H941" s="227">
        <v>0.97599999999999998</v>
      </c>
      <c r="I941" s="227">
        <v>3.7208999999999999</v>
      </c>
      <c r="J941" s="227">
        <v>0.57054533668972185</v>
      </c>
      <c r="K941" s="227">
        <v>134.84</v>
      </c>
      <c r="L941" s="227">
        <v>134.61000000000001</v>
      </c>
      <c r="M941" s="227">
        <v>132.29</v>
      </c>
      <c r="N941" s="227">
        <v>92.855999999999995</v>
      </c>
      <c r="O941" s="227">
        <v>99.028999999999996</v>
      </c>
      <c r="P941" s="227">
        <v>115.15</v>
      </c>
      <c r="Q941" s="227">
        <v>106.75</v>
      </c>
      <c r="R941" s="227">
        <v>111.8</v>
      </c>
      <c r="S941" s="227"/>
      <c r="T941" s="227">
        <v>79.5</v>
      </c>
      <c r="U941" s="227">
        <v>79.5</v>
      </c>
      <c r="V941" s="227">
        <v>79.5</v>
      </c>
      <c r="W941" s="227">
        <v>79.5</v>
      </c>
      <c r="X941" s="227">
        <v>79.5</v>
      </c>
      <c r="Y941" s="227">
        <v>79.5</v>
      </c>
      <c r="Z941" s="227">
        <v>79.5</v>
      </c>
      <c r="AA941" s="227">
        <v>79.5</v>
      </c>
      <c r="AB941" s="227">
        <v>15.233000000000001</v>
      </c>
      <c r="AC941" s="227">
        <v>774.65</v>
      </c>
      <c r="AD941" s="230">
        <v>1.7630787037037037E-4</v>
      </c>
      <c r="AE941" s="230">
        <v>91.397999999999996</v>
      </c>
      <c r="AF941" s="230">
        <v>3816</v>
      </c>
      <c r="AG941" s="230">
        <v>492951.17089991964</v>
      </c>
      <c r="AH941" s="230">
        <v>3379771.6542056487</v>
      </c>
      <c r="AI941" s="230">
        <v>4647.8999999999996</v>
      </c>
    </row>
    <row r="942" spans="5:35" x14ac:dyDescent="0.35">
      <c r="E942" s="226">
        <v>3.02894</v>
      </c>
      <c r="F942" s="227">
        <v>15.242367123287671</v>
      </c>
      <c r="G942" s="227">
        <v>5563.4639999999999</v>
      </c>
      <c r="H942" s="227">
        <v>0.97609999999999997</v>
      </c>
      <c r="I942" s="227">
        <v>3.7248999999999999</v>
      </c>
      <c r="J942" s="227">
        <v>0.57065089224527743</v>
      </c>
      <c r="K942" s="227">
        <v>134.81</v>
      </c>
      <c r="L942" s="227">
        <v>134.6</v>
      </c>
      <c r="M942" s="227">
        <v>132.27000000000001</v>
      </c>
      <c r="N942" s="227">
        <v>92.843999999999994</v>
      </c>
      <c r="O942" s="227">
        <v>99.019000000000005</v>
      </c>
      <c r="P942" s="227">
        <v>115.13</v>
      </c>
      <c r="Q942" s="227">
        <v>106.74</v>
      </c>
      <c r="R942" s="227">
        <v>111.79</v>
      </c>
      <c r="S942" s="227"/>
      <c r="T942" s="227">
        <v>79.5</v>
      </c>
      <c r="U942" s="227">
        <v>79.5</v>
      </c>
      <c r="V942" s="227">
        <v>79.5</v>
      </c>
      <c r="W942" s="227">
        <v>79.5</v>
      </c>
      <c r="X942" s="227">
        <v>79.5</v>
      </c>
      <c r="Y942" s="227">
        <v>79.5</v>
      </c>
      <c r="Z942" s="227">
        <v>79.5</v>
      </c>
      <c r="AA942" s="227">
        <v>79.5</v>
      </c>
      <c r="AB942" s="227">
        <v>15.2</v>
      </c>
      <c r="AC942" s="227">
        <v>774.65</v>
      </c>
      <c r="AD942" s="230">
        <v>1.7592592592592592E-4</v>
      </c>
      <c r="AE942" s="230">
        <v>91.199999999999989</v>
      </c>
      <c r="AF942" s="230">
        <v>3816</v>
      </c>
      <c r="AG942" s="230">
        <v>493042.37089991965</v>
      </c>
      <c r="AH942" s="230">
        <v>3383587.6542056487</v>
      </c>
      <c r="AI942" s="230">
        <v>4647.8999999999996</v>
      </c>
    </row>
    <row r="943" spans="5:35" x14ac:dyDescent="0.35">
      <c r="E943" s="226">
        <v>3.0330400000000002</v>
      </c>
      <c r="F943" s="227">
        <v>15.258805479452054</v>
      </c>
      <c r="G943" s="227">
        <v>5569.4639999999999</v>
      </c>
      <c r="H943" s="227">
        <v>0.97619999999999996</v>
      </c>
      <c r="I943" s="227">
        <v>3.7290000000000001</v>
      </c>
      <c r="J943" s="227">
        <v>0.57075621168972179</v>
      </c>
      <c r="K943" s="227">
        <v>134.79</v>
      </c>
      <c r="L943" s="227">
        <v>134.58000000000001</v>
      </c>
      <c r="M943" s="227">
        <v>132.25</v>
      </c>
      <c r="N943" s="227">
        <v>92.831999999999994</v>
      </c>
      <c r="O943" s="227">
        <v>99.01</v>
      </c>
      <c r="P943" s="227">
        <v>115.12</v>
      </c>
      <c r="Q943" s="227">
        <v>106.73</v>
      </c>
      <c r="R943" s="227">
        <v>111.77</v>
      </c>
      <c r="S943" s="227"/>
      <c r="T943" s="227">
        <v>79.5</v>
      </c>
      <c r="U943" s="227">
        <v>79.5</v>
      </c>
      <c r="V943" s="227">
        <v>79.5</v>
      </c>
      <c r="W943" s="227">
        <v>79.5</v>
      </c>
      <c r="X943" s="227">
        <v>79.5</v>
      </c>
      <c r="Y943" s="227">
        <v>79.5</v>
      </c>
      <c r="Z943" s="227">
        <v>79.5</v>
      </c>
      <c r="AA943" s="227">
        <v>79.5</v>
      </c>
      <c r="AB943" s="227">
        <v>15.166</v>
      </c>
      <c r="AC943" s="227">
        <v>774.65</v>
      </c>
      <c r="AD943" s="230">
        <v>1.7553240740740742E-4</v>
      </c>
      <c r="AE943" s="230">
        <v>90.996000000000009</v>
      </c>
      <c r="AF943" s="230">
        <v>3816</v>
      </c>
      <c r="AG943" s="230">
        <v>493133.36689991964</v>
      </c>
      <c r="AH943" s="230">
        <v>3387403.6542056487</v>
      </c>
      <c r="AI943" s="230">
        <v>4647.8999999999996</v>
      </c>
    </row>
    <row r="944" spans="5:35" x14ac:dyDescent="0.35">
      <c r="E944" s="226">
        <v>3.0370400000000002</v>
      </c>
      <c r="F944" s="227">
        <v>15.275243835616438</v>
      </c>
      <c r="G944" s="227">
        <v>5575.4639999999999</v>
      </c>
      <c r="H944" s="227">
        <v>0.97619999999999996</v>
      </c>
      <c r="I944" s="227">
        <v>3.7330000000000001</v>
      </c>
      <c r="J944" s="227">
        <v>0.57086130196749962</v>
      </c>
      <c r="K944" s="227">
        <v>134.77000000000001</v>
      </c>
      <c r="L944" s="227">
        <v>134.56</v>
      </c>
      <c r="M944" s="227">
        <v>132.22</v>
      </c>
      <c r="N944" s="227">
        <v>92.820999999999998</v>
      </c>
      <c r="O944" s="227">
        <v>98.998999999999995</v>
      </c>
      <c r="P944" s="227">
        <v>115.1</v>
      </c>
      <c r="Q944" s="227">
        <v>106.72</v>
      </c>
      <c r="R944" s="227">
        <v>111.76</v>
      </c>
      <c r="S944" s="227"/>
      <c r="T944" s="227">
        <v>79.5</v>
      </c>
      <c r="U944" s="227">
        <v>79.5</v>
      </c>
      <c r="V944" s="227">
        <v>79.5</v>
      </c>
      <c r="W944" s="227">
        <v>79.5</v>
      </c>
      <c r="X944" s="227">
        <v>79.5</v>
      </c>
      <c r="Y944" s="227">
        <v>79.5</v>
      </c>
      <c r="Z944" s="227">
        <v>79.5</v>
      </c>
      <c r="AA944" s="227">
        <v>79.5</v>
      </c>
      <c r="AB944" s="227">
        <v>15.132999999999999</v>
      </c>
      <c r="AC944" s="227">
        <v>774.65</v>
      </c>
      <c r="AD944" s="230">
        <v>1.7515046296296294E-4</v>
      </c>
      <c r="AE944" s="230">
        <v>90.798000000000002</v>
      </c>
      <c r="AF944" s="230">
        <v>3816</v>
      </c>
      <c r="AG944" s="230">
        <v>493224.16489991965</v>
      </c>
      <c r="AH944" s="230">
        <v>3391219.6542056487</v>
      </c>
      <c r="AI944" s="230">
        <v>4647.8999999999996</v>
      </c>
    </row>
    <row r="945" spans="5:35" x14ac:dyDescent="0.35">
      <c r="E945" s="226">
        <v>3.0410400000000002</v>
      </c>
      <c r="F945" s="227">
        <v>15.291682191780822</v>
      </c>
      <c r="G945" s="227">
        <v>5581.4639999999999</v>
      </c>
      <c r="H945" s="227">
        <v>0.97629999999999995</v>
      </c>
      <c r="I945" s="227">
        <v>3.7370000000000001</v>
      </c>
      <c r="J945" s="227">
        <v>0.5709661630786107</v>
      </c>
      <c r="K945" s="227">
        <v>134.74</v>
      </c>
      <c r="L945" s="227">
        <v>134.54</v>
      </c>
      <c r="M945" s="227">
        <v>132.19999999999999</v>
      </c>
      <c r="N945" s="227">
        <v>92.81</v>
      </c>
      <c r="O945" s="227">
        <v>98.989000000000004</v>
      </c>
      <c r="P945" s="227">
        <v>115.09</v>
      </c>
      <c r="Q945" s="227">
        <v>106.71</v>
      </c>
      <c r="R945" s="227">
        <v>111.75</v>
      </c>
      <c r="S945" s="227"/>
      <c r="T945" s="227">
        <v>79.5</v>
      </c>
      <c r="U945" s="227">
        <v>79.5</v>
      </c>
      <c r="V945" s="227">
        <v>79.5</v>
      </c>
      <c r="W945" s="227">
        <v>79.5</v>
      </c>
      <c r="X945" s="227">
        <v>79.5</v>
      </c>
      <c r="Y945" s="227">
        <v>79.5</v>
      </c>
      <c r="Z945" s="227">
        <v>79.5</v>
      </c>
      <c r="AA945" s="227">
        <v>79.5</v>
      </c>
      <c r="AB945" s="227">
        <v>15.1</v>
      </c>
      <c r="AC945" s="227">
        <v>774.65</v>
      </c>
      <c r="AD945" s="230">
        <v>1.7476851851851852E-4</v>
      </c>
      <c r="AE945" s="230">
        <v>90.6</v>
      </c>
      <c r="AF945" s="230">
        <v>3816</v>
      </c>
      <c r="AG945" s="230">
        <v>493314.76489991962</v>
      </c>
      <c r="AH945" s="230">
        <v>3395035.6542056487</v>
      </c>
      <c r="AI945" s="230">
        <v>4647.8999999999996</v>
      </c>
    </row>
    <row r="946" spans="5:35" x14ac:dyDescent="0.35">
      <c r="E946" s="226">
        <v>3.0450400000000002</v>
      </c>
      <c r="F946" s="227">
        <v>15.308120547945204</v>
      </c>
      <c r="G946" s="227">
        <v>5587.4639999999999</v>
      </c>
      <c r="H946" s="227">
        <v>0.97629999999999995</v>
      </c>
      <c r="I946" s="227">
        <v>3.7410000000000001</v>
      </c>
      <c r="J946" s="227">
        <v>0.57107079502305513</v>
      </c>
      <c r="K946" s="227">
        <v>134.72</v>
      </c>
      <c r="L946" s="227">
        <v>134.53</v>
      </c>
      <c r="M946" s="227">
        <v>132.18</v>
      </c>
      <c r="N946" s="227">
        <v>92.798000000000002</v>
      </c>
      <c r="O946" s="227">
        <v>98.978999999999999</v>
      </c>
      <c r="P946" s="227">
        <v>115.08</v>
      </c>
      <c r="Q946" s="227">
        <v>106.7</v>
      </c>
      <c r="R946" s="227">
        <v>111.74</v>
      </c>
      <c r="S946" s="227"/>
      <c r="T946" s="227">
        <v>79.5</v>
      </c>
      <c r="U946" s="227">
        <v>79.5</v>
      </c>
      <c r="V946" s="227">
        <v>79.5</v>
      </c>
      <c r="W946" s="227">
        <v>79.5</v>
      </c>
      <c r="X946" s="227">
        <v>79.5</v>
      </c>
      <c r="Y946" s="227">
        <v>79.5</v>
      </c>
      <c r="Z946" s="227">
        <v>79.5</v>
      </c>
      <c r="AA946" s="227">
        <v>79.5</v>
      </c>
      <c r="AB946" s="227">
        <v>15.067</v>
      </c>
      <c r="AC946" s="227">
        <v>774.65</v>
      </c>
      <c r="AD946" s="230">
        <v>1.7438657407407407E-4</v>
      </c>
      <c r="AE946" s="230">
        <v>90.401999999999987</v>
      </c>
      <c r="AF946" s="230">
        <v>3816</v>
      </c>
      <c r="AG946" s="230">
        <v>493405.16689991963</v>
      </c>
      <c r="AH946" s="230">
        <v>3398851.6542056487</v>
      </c>
      <c r="AI946" s="230">
        <v>4647.8999999999996</v>
      </c>
    </row>
    <row r="947" spans="5:35" x14ac:dyDescent="0.35">
      <c r="E947" s="226">
        <v>3.0490400000000002</v>
      </c>
      <c r="F947" s="227">
        <v>15.324558904109589</v>
      </c>
      <c r="G947" s="227">
        <v>5593.4639999999999</v>
      </c>
      <c r="H947" s="227">
        <v>0.97640000000000005</v>
      </c>
      <c r="I947" s="227">
        <v>3.7450000000000001</v>
      </c>
      <c r="J947" s="227">
        <v>0.57117520474527739</v>
      </c>
      <c r="K947" s="227">
        <v>134.69999999999999</v>
      </c>
      <c r="L947" s="227">
        <v>134.51</v>
      </c>
      <c r="M947" s="227">
        <v>132.16</v>
      </c>
      <c r="N947" s="227">
        <v>92.787000000000006</v>
      </c>
      <c r="O947" s="227">
        <v>98.968999999999994</v>
      </c>
      <c r="P947" s="227">
        <v>115.06</v>
      </c>
      <c r="Q947" s="227">
        <v>106.7</v>
      </c>
      <c r="R947" s="227">
        <v>111.73</v>
      </c>
      <c r="S947" s="227"/>
      <c r="T947" s="227">
        <v>79.5</v>
      </c>
      <c r="U947" s="227">
        <v>79.5</v>
      </c>
      <c r="V947" s="227">
        <v>79.5</v>
      </c>
      <c r="W947" s="227">
        <v>79.5</v>
      </c>
      <c r="X947" s="227">
        <v>79.5</v>
      </c>
      <c r="Y947" s="227">
        <v>79.5</v>
      </c>
      <c r="Z947" s="227">
        <v>79.5</v>
      </c>
      <c r="AA947" s="227">
        <v>79.5</v>
      </c>
      <c r="AB947" s="227">
        <v>15.035</v>
      </c>
      <c r="AC947" s="227">
        <v>774.65</v>
      </c>
      <c r="AD947" s="230">
        <v>1.7401620370370371E-4</v>
      </c>
      <c r="AE947" s="230">
        <v>90.210000000000008</v>
      </c>
      <c r="AF947" s="230">
        <v>3816</v>
      </c>
      <c r="AG947" s="230">
        <v>493495.37689991965</v>
      </c>
      <c r="AH947" s="230">
        <v>3402667.6542056487</v>
      </c>
      <c r="AI947" s="230">
        <v>4647.8999999999996</v>
      </c>
    </row>
    <row r="948" spans="5:35" x14ac:dyDescent="0.35">
      <c r="E948" s="226">
        <v>3.0530400000000002</v>
      </c>
      <c r="F948" s="227">
        <v>15.340997260273973</v>
      </c>
      <c r="G948" s="227">
        <v>5599.4639999999999</v>
      </c>
      <c r="H948" s="227">
        <v>0.97640000000000005</v>
      </c>
      <c r="I948" s="227">
        <v>3.7490000000000001</v>
      </c>
      <c r="J948" s="227">
        <v>0.57127938530083289</v>
      </c>
      <c r="K948" s="227">
        <v>134.68</v>
      </c>
      <c r="L948" s="227">
        <v>134.49</v>
      </c>
      <c r="M948" s="227">
        <v>132.13999999999999</v>
      </c>
      <c r="N948" s="227">
        <v>92.775000000000006</v>
      </c>
      <c r="O948" s="227">
        <v>98.96</v>
      </c>
      <c r="P948" s="227">
        <v>115.05</v>
      </c>
      <c r="Q948" s="227">
        <v>106.69</v>
      </c>
      <c r="R948" s="227">
        <v>111.72</v>
      </c>
      <c r="S948" s="227"/>
      <c r="T948" s="227">
        <v>79.5</v>
      </c>
      <c r="U948" s="227">
        <v>79.5</v>
      </c>
      <c r="V948" s="227">
        <v>79.5</v>
      </c>
      <c r="W948" s="227">
        <v>79.5</v>
      </c>
      <c r="X948" s="227">
        <v>79.5</v>
      </c>
      <c r="Y948" s="227">
        <v>79.5</v>
      </c>
      <c r="Z948" s="227">
        <v>79.5</v>
      </c>
      <c r="AA948" s="227">
        <v>79.5</v>
      </c>
      <c r="AB948" s="227">
        <v>15.002000000000001</v>
      </c>
      <c r="AC948" s="227">
        <v>774.65</v>
      </c>
      <c r="AD948" s="230">
        <v>1.7363425925925925E-4</v>
      </c>
      <c r="AE948" s="230">
        <v>90.012</v>
      </c>
      <c r="AF948" s="230">
        <v>3816</v>
      </c>
      <c r="AG948" s="230">
        <v>493585.38889991964</v>
      </c>
      <c r="AH948" s="230">
        <v>3406483.6542056487</v>
      </c>
      <c r="AI948" s="230">
        <v>4647.8999999999996</v>
      </c>
    </row>
    <row r="949" spans="5:35" x14ac:dyDescent="0.35">
      <c r="E949" s="226">
        <v>3.05714</v>
      </c>
      <c r="F949" s="227">
        <v>15.357435616438355</v>
      </c>
      <c r="G949" s="227">
        <v>5605.4639999999999</v>
      </c>
      <c r="H949" s="227">
        <v>0.97650000000000003</v>
      </c>
      <c r="I949" s="227">
        <v>3.7530999999999999</v>
      </c>
      <c r="J949" s="227">
        <v>0.57138334363416621</v>
      </c>
      <c r="K949" s="227">
        <v>134.65</v>
      </c>
      <c r="L949" s="227">
        <v>134.47999999999999</v>
      </c>
      <c r="M949" s="227">
        <v>132.12</v>
      </c>
      <c r="N949" s="227">
        <v>92.763999999999996</v>
      </c>
      <c r="O949" s="227">
        <v>98.95</v>
      </c>
      <c r="P949" s="227">
        <v>115.03</v>
      </c>
      <c r="Q949" s="227">
        <v>106.68</v>
      </c>
      <c r="R949" s="227">
        <v>111.71</v>
      </c>
      <c r="S949" s="227"/>
      <c r="T949" s="227">
        <v>79.5</v>
      </c>
      <c r="U949" s="227">
        <v>79.5</v>
      </c>
      <c r="V949" s="227">
        <v>79.5</v>
      </c>
      <c r="W949" s="227">
        <v>79.5</v>
      </c>
      <c r="X949" s="227">
        <v>79.5</v>
      </c>
      <c r="Y949" s="227">
        <v>79.5</v>
      </c>
      <c r="Z949" s="227">
        <v>79.5</v>
      </c>
      <c r="AA949" s="227">
        <v>79.5</v>
      </c>
      <c r="AB949" s="227">
        <v>14.97</v>
      </c>
      <c r="AC949" s="227">
        <v>774.65</v>
      </c>
      <c r="AD949" s="230">
        <v>1.732638888888889E-4</v>
      </c>
      <c r="AE949" s="230">
        <v>89.82</v>
      </c>
      <c r="AF949" s="230">
        <v>3816</v>
      </c>
      <c r="AG949" s="230">
        <v>493675.20889991964</v>
      </c>
      <c r="AH949" s="230">
        <v>3410299.6542056487</v>
      </c>
      <c r="AI949" s="230">
        <v>4647.8999999999996</v>
      </c>
    </row>
    <row r="950" spans="5:35" x14ac:dyDescent="0.35">
      <c r="E950" s="226">
        <v>3.06114</v>
      </c>
      <c r="F950" s="227">
        <v>15.373873972602739</v>
      </c>
      <c r="G950" s="227">
        <v>5611.4639999999999</v>
      </c>
      <c r="H950" s="227">
        <v>0.97650000000000003</v>
      </c>
      <c r="I950" s="227">
        <v>3.7570999999999999</v>
      </c>
      <c r="J950" s="227">
        <v>0.57148707280083288</v>
      </c>
      <c r="K950" s="227">
        <v>134.63</v>
      </c>
      <c r="L950" s="227">
        <v>134.46</v>
      </c>
      <c r="M950" s="227">
        <v>132.1</v>
      </c>
      <c r="N950" s="227">
        <v>92.751999999999995</v>
      </c>
      <c r="O950" s="227">
        <v>98.941000000000003</v>
      </c>
      <c r="P950" s="227">
        <v>115.02</v>
      </c>
      <c r="Q950" s="227">
        <v>106.67</v>
      </c>
      <c r="R950" s="227">
        <v>111.7</v>
      </c>
      <c r="S950" s="227"/>
      <c r="T950" s="227">
        <v>79.5</v>
      </c>
      <c r="U950" s="227">
        <v>79.5</v>
      </c>
      <c r="V950" s="227">
        <v>79.5</v>
      </c>
      <c r="W950" s="227">
        <v>79.5</v>
      </c>
      <c r="X950" s="227">
        <v>79.5</v>
      </c>
      <c r="Y950" s="227">
        <v>79.5</v>
      </c>
      <c r="Z950" s="227">
        <v>79.5</v>
      </c>
      <c r="AA950" s="227">
        <v>79.5</v>
      </c>
      <c r="AB950" s="227">
        <v>14.936999999999999</v>
      </c>
      <c r="AC950" s="227">
        <v>774.65</v>
      </c>
      <c r="AD950" s="230">
        <v>1.7288194444444444E-4</v>
      </c>
      <c r="AE950" s="230">
        <v>89.622</v>
      </c>
      <c r="AF950" s="230">
        <v>3816</v>
      </c>
      <c r="AG950" s="230">
        <v>493764.83089991962</v>
      </c>
      <c r="AH950" s="230">
        <v>3414115.6542056487</v>
      </c>
      <c r="AI950" s="230">
        <v>4647.8999999999996</v>
      </c>
    </row>
    <row r="951" spans="5:35" x14ac:dyDescent="0.35">
      <c r="E951" s="226">
        <v>3.06514</v>
      </c>
      <c r="F951" s="227">
        <v>15.390312328767124</v>
      </c>
      <c r="G951" s="227">
        <v>5617.4639999999999</v>
      </c>
      <c r="H951" s="227">
        <v>0.97660000000000002</v>
      </c>
      <c r="I951" s="227">
        <v>3.7610999999999999</v>
      </c>
      <c r="J951" s="227">
        <v>0.57159057974527727</v>
      </c>
      <c r="K951" s="227">
        <v>134.61000000000001</v>
      </c>
      <c r="L951" s="227">
        <v>134.44</v>
      </c>
      <c r="M951" s="227">
        <v>132.08000000000001</v>
      </c>
      <c r="N951" s="227">
        <v>92.742000000000004</v>
      </c>
      <c r="O951" s="227">
        <v>98.93</v>
      </c>
      <c r="P951" s="227">
        <v>115.01</v>
      </c>
      <c r="Q951" s="227">
        <v>106.66</v>
      </c>
      <c r="R951" s="227">
        <v>111.69</v>
      </c>
      <c r="S951" s="227"/>
      <c r="T951" s="227">
        <v>79.5</v>
      </c>
      <c r="U951" s="227">
        <v>79.5</v>
      </c>
      <c r="V951" s="227">
        <v>79.5</v>
      </c>
      <c r="W951" s="227">
        <v>79.5</v>
      </c>
      <c r="X951" s="227">
        <v>79.5</v>
      </c>
      <c r="Y951" s="227">
        <v>79.5</v>
      </c>
      <c r="Z951" s="227">
        <v>79.5</v>
      </c>
      <c r="AA951" s="227">
        <v>79.5</v>
      </c>
      <c r="AB951" s="227">
        <v>14.904999999999999</v>
      </c>
      <c r="AC951" s="227">
        <v>774.65</v>
      </c>
      <c r="AD951" s="230">
        <v>1.7251157407407406E-4</v>
      </c>
      <c r="AE951" s="230">
        <v>89.429999999999993</v>
      </c>
      <c r="AF951" s="230">
        <v>3816</v>
      </c>
      <c r="AG951" s="230">
        <v>493854.26089991961</v>
      </c>
      <c r="AH951" s="230">
        <v>3417931.6542056487</v>
      </c>
      <c r="AI951" s="230">
        <v>4647.8999999999996</v>
      </c>
    </row>
    <row r="952" spans="5:35" x14ac:dyDescent="0.35">
      <c r="E952" s="226">
        <v>3.06914</v>
      </c>
      <c r="F952" s="227">
        <v>15.406750684931506</v>
      </c>
      <c r="G952" s="227">
        <v>5623.4639999999999</v>
      </c>
      <c r="H952" s="227">
        <v>0.97660000000000002</v>
      </c>
      <c r="I952" s="227">
        <v>3.7650999999999999</v>
      </c>
      <c r="J952" s="227">
        <v>0.57169386446749959</v>
      </c>
      <c r="K952" s="227">
        <v>134.58000000000001</v>
      </c>
      <c r="L952" s="227">
        <v>134.43</v>
      </c>
      <c r="M952" s="227">
        <v>132.06</v>
      </c>
      <c r="N952" s="227">
        <v>92.730999999999995</v>
      </c>
      <c r="O952" s="227">
        <v>98.92</v>
      </c>
      <c r="P952" s="227">
        <v>114.99</v>
      </c>
      <c r="Q952" s="227">
        <v>106.65</v>
      </c>
      <c r="R952" s="227">
        <v>111.68</v>
      </c>
      <c r="S952" s="227"/>
      <c r="T952" s="227">
        <v>79.5</v>
      </c>
      <c r="U952" s="227">
        <v>79.5</v>
      </c>
      <c r="V952" s="227">
        <v>79.5</v>
      </c>
      <c r="W952" s="227">
        <v>79.5</v>
      </c>
      <c r="X952" s="227">
        <v>79.5</v>
      </c>
      <c r="Y952" s="227">
        <v>79.5</v>
      </c>
      <c r="Z952" s="227">
        <v>79.5</v>
      </c>
      <c r="AA952" s="227">
        <v>79.5</v>
      </c>
      <c r="AB952" s="227">
        <v>14.872999999999999</v>
      </c>
      <c r="AC952" s="227">
        <v>774.65</v>
      </c>
      <c r="AD952" s="230">
        <v>1.721412037037037E-4</v>
      </c>
      <c r="AE952" s="230">
        <v>89.238000000000014</v>
      </c>
      <c r="AF952" s="230">
        <v>3816</v>
      </c>
      <c r="AG952" s="230">
        <v>493943.49889991962</v>
      </c>
      <c r="AH952" s="230">
        <v>3421747.6542056487</v>
      </c>
      <c r="AI952" s="230">
        <v>4647.8999999999996</v>
      </c>
    </row>
    <row r="953" spans="5:35" x14ac:dyDescent="0.35">
      <c r="E953" s="226">
        <v>3.07314</v>
      </c>
      <c r="F953" s="227">
        <v>15.42318904109589</v>
      </c>
      <c r="G953" s="227">
        <v>5629.4639999999999</v>
      </c>
      <c r="H953" s="227">
        <v>0.97670000000000001</v>
      </c>
      <c r="I953" s="227">
        <v>3.7690999999999999</v>
      </c>
      <c r="J953" s="227">
        <v>0.57179692696749951</v>
      </c>
      <c r="K953" s="227">
        <v>134.56</v>
      </c>
      <c r="L953" s="227">
        <v>134.41</v>
      </c>
      <c r="M953" s="227">
        <v>132.04</v>
      </c>
      <c r="N953" s="227">
        <v>92.718000000000004</v>
      </c>
      <c r="O953" s="227">
        <v>98.912000000000006</v>
      </c>
      <c r="P953" s="227">
        <v>114.98</v>
      </c>
      <c r="Q953" s="227">
        <v>106.64</v>
      </c>
      <c r="R953" s="227">
        <v>111.67</v>
      </c>
      <c r="S953" s="227"/>
      <c r="T953" s="227">
        <v>79.5</v>
      </c>
      <c r="U953" s="227">
        <v>79.5</v>
      </c>
      <c r="V953" s="227">
        <v>79.5</v>
      </c>
      <c r="W953" s="227">
        <v>79.5</v>
      </c>
      <c r="X953" s="227">
        <v>79.5</v>
      </c>
      <c r="Y953" s="227">
        <v>79.5</v>
      </c>
      <c r="Z953" s="227">
        <v>79.5</v>
      </c>
      <c r="AA953" s="227">
        <v>79.5</v>
      </c>
      <c r="AB953" s="227">
        <v>14.840999999999999</v>
      </c>
      <c r="AC953" s="227">
        <v>774.65</v>
      </c>
      <c r="AD953" s="230">
        <v>1.7177083333333332E-4</v>
      </c>
      <c r="AE953" s="230">
        <v>89.045999999999992</v>
      </c>
      <c r="AF953" s="230">
        <v>3816</v>
      </c>
      <c r="AG953" s="230">
        <v>494032.54489991959</v>
      </c>
      <c r="AH953" s="230">
        <v>3425563.6542056487</v>
      </c>
      <c r="AI953" s="230">
        <v>4647.8999999999996</v>
      </c>
    </row>
    <row r="954" spans="5:35" x14ac:dyDescent="0.35">
      <c r="E954" s="226">
        <v>3.0772400000000002</v>
      </c>
      <c r="F954" s="227">
        <v>15.439627397260274</v>
      </c>
      <c r="G954" s="227">
        <v>5635.4639999999999</v>
      </c>
      <c r="H954" s="227">
        <v>0.97670000000000001</v>
      </c>
      <c r="I954" s="227">
        <v>3.7732000000000001</v>
      </c>
      <c r="J954" s="227">
        <v>0.57189976724527725</v>
      </c>
      <c r="K954" s="227">
        <v>134.54</v>
      </c>
      <c r="L954" s="227">
        <v>134.38999999999999</v>
      </c>
      <c r="M954" s="227">
        <v>132.02000000000001</v>
      </c>
      <c r="N954" s="227">
        <v>92.707999999999998</v>
      </c>
      <c r="O954" s="227">
        <v>98.900999999999996</v>
      </c>
      <c r="P954" s="227">
        <v>114.96</v>
      </c>
      <c r="Q954" s="227">
        <v>106.64</v>
      </c>
      <c r="R954" s="227">
        <v>111.66</v>
      </c>
      <c r="S954" s="227"/>
      <c r="T954" s="227">
        <v>79.5</v>
      </c>
      <c r="U954" s="227">
        <v>79.5</v>
      </c>
      <c r="V954" s="227">
        <v>79.5</v>
      </c>
      <c r="W954" s="227">
        <v>79.5</v>
      </c>
      <c r="X954" s="227">
        <v>79.5</v>
      </c>
      <c r="Y954" s="227">
        <v>79.5</v>
      </c>
      <c r="Z954" s="227">
        <v>79.5</v>
      </c>
      <c r="AA954" s="227">
        <v>79.5</v>
      </c>
      <c r="AB954" s="227">
        <v>14.808999999999999</v>
      </c>
      <c r="AC954" s="227">
        <v>774.65</v>
      </c>
      <c r="AD954" s="230">
        <v>1.7140046296296296E-4</v>
      </c>
      <c r="AE954" s="230">
        <v>88.853999999999999</v>
      </c>
      <c r="AF954" s="230">
        <v>3816</v>
      </c>
      <c r="AG954" s="230">
        <v>494121.39889991959</v>
      </c>
      <c r="AH954" s="230">
        <v>3429379.6542056487</v>
      </c>
      <c r="AI954" s="230">
        <v>4647.8999999999996</v>
      </c>
    </row>
    <row r="955" spans="5:35" x14ac:dyDescent="0.35">
      <c r="E955" s="226">
        <v>3.0812400000000002</v>
      </c>
      <c r="F955" s="227">
        <v>15.456065753424657</v>
      </c>
      <c r="G955" s="227">
        <v>5641.4639999999999</v>
      </c>
      <c r="H955" s="227">
        <v>0.9768</v>
      </c>
      <c r="I955" s="227">
        <v>3.7772000000000001</v>
      </c>
      <c r="J955" s="227">
        <v>0.57200238530083292</v>
      </c>
      <c r="K955" s="227">
        <v>134.52000000000001</v>
      </c>
      <c r="L955" s="227">
        <v>134.38</v>
      </c>
      <c r="M955" s="227">
        <v>132</v>
      </c>
      <c r="N955" s="227">
        <v>92.695999999999998</v>
      </c>
      <c r="O955" s="227">
        <v>98.891999999999996</v>
      </c>
      <c r="P955" s="227">
        <v>114.95</v>
      </c>
      <c r="Q955" s="227">
        <v>106.63</v>
      </c>
      <c r="R955" s="227">
        <v>111.65</v>
      </c>
      <c r="S955" s="227"/>
      <c r="T955" s="227">
        <v>79.5</v>
      </c>
      <c r="U955" s="227">
        <v>79.5</v>
      </c>
      <c r="V955" s="227">
        <v>79.5</v>
      </c>
      <c r="W955" s="227">
        <v>79.5</v>
      </c>
      <c r="X955" s="227">
        <v>79.5</v>
      </c>
      <c r="Y955" s="227">
        <v>79.5</v>
      </c>
      <c r="Z955" s="227">
        <v>79.5</v>
      </c>
      <c r="AA955" s="227">
        <v>79.5</v>
      </c>
      <c r="AB955" s="227">
        <v>14.776999999999999</v>
      </c>
      <c r="AC955" s="227">
        <v>774.65</v>
      </c>
      <c r="AD955" s="230">
        <v>1.7103009259259258E-4</v>
      </c>
      <c r="AE955" s="230">
        <v>88.661999999999978</v>
      </c>
      <c r="AF955" s="230">
        <v>3816</v>
      </c>
      <c r="AG955" s="230">
        <v>494210.0608999196</v>
      </c>
      <c r="AH955" s="230">
        <v>3433195.6542056487</v>
      </c>
      <c r="AI955" s="230">
        <v>4647.8999999999996</v>
      </c>
    </row>
    <row r="956" spans="5:35" x14ac:dyDescent="0.35">
      <c r="E956" s="226">
        <v>3.0852400000000002</v>
      </c>
      <c r="F956" s="227">
        <v>15.472504109589041</v>
      </c>
      <c r="G956" s="227">
        <v>5647.4639999999999</v>
      </c>
      <c r="H956" s="227">
        <v>0.9768</v>
      </c>
      <c r="I956" s="227">
        <v>3.7812000000000001</v>
      </c>
      <c r="J956" s="227">
        <v>0.57210478113416618</v>
      </c>
      <c r="K956" s="227">
        <v>134.5</v>
      </c>
      <c r="L956" s="227">
        <v>134.36000000000001</v>
      </c>
      <c r="M956" s="227">
        <v>131.97999999999999</v>
      </c>
      <c r="N956" s="227">
        <v>92.685000000000002</v>
      </c>
      <c r="O956" s="227">
        <v>98.882000000000005</v>
      </c>
      <c r="P956" s="227">
        <v>114.94</v>
      </c>
      <c r="Q956" s="227">
        <v>106.62</v>
      </c>
      <c r="R956" s="227">
        <v>111.64</v>
      </c>
      <c r="S956" s="227"/>
      <c r="T956" s="227">
        <v>79.5</v>
      </c>
      <c r="U956" s="227">
        <v>79.5</v>
      </c>
      <c r="V956" s="227">
        <v>79.5</v>
      </c>
      <c r="W956" s="227">
        <v>79.5</v>
      </c>
      <c r="X956" s="227">
        <v>79.5</v>
      </c>
      <c r="Y956" s="227">
        <v>79.5</v>
      </c>
      <c r="Z956" s="227">
        <v>79.5</v>
      </c>
      <c r="AA956" s="227">
        <v>79.5</v>
      </c>
      <c r="AB956" s="227">
        <v>14.744999999999999</v>
      </c>
      <c r="AC956" s="227">
        <v>774.65</v>
      </c>
      <c r="AD956" s="230">
        <v>1.7065972222222222E-4</v>
      </c>
      <c r="AE956" s="230">
        <v>88.47</v>
      </c>
      <c r="AF956" s="230">
        <v>3816</v>
      </c>
      <c r="AG956" s="230">
        <v>494298.53089991957</v>
      </c>
      <c r="AH956" s="230">
        <v>3437011.6542056487</v>
      </c>
      <c r="AI956" s="230">
        <v>4647.8999999999996</v>
      </c>
    </row>
    <row r="957" spans="5:35" x14ac:dyDescent="0.35">
      <c r="E957" s="226">
        <v>3.0892400000000002</v>
      </c>
      <c r="F957" s="227">
        <v>15.488942465753425</v>
      </c>
      <c r="G957" s="227">
        <v>5653.4639999999999</v>
      </c>
      <c r="H957" s="227">
        <v>0.97689999999999999</v>
      </c>
      <c r="I957" s="227">
        <v>3.7852000000000001</v>
      </c>
      <c r="J957" s="227">
        <v>0.57220696168972174</v>
      </c>
      <c r="K957" s="227">
        <v>134.47</v>
      </c>
      <c r="L957" s="227">
        <v>134.34</v>
      </c>
      <c r="M957" s="227">
        <v>131.96</v>
      </c>
      <c r="N957" s="227">
        <v>92.674000000000007</v>
      </c>
      <c r="O957" s="227">
        <v>98.873000000000005</v>
      </c>
      <c r="P957" s="227">
        <v>114.92</v>
      </c>
      <c r="Q957" s="227">
        <v>106.61</v>
      </c>
      <c r="R957" s="227">
        <v>111.63</v>
      </c>
      <c r="S957" s="227"/>
      <c r="T957" s="227">
        <v>79.5</v>
      </c>
      <c r="U957" s="227">
        <v>79.5</v>
      </c>
      <c r="V957" s="227">
        <v>79.5</v>
      </c>
      <c r="W957" s="227">
        <v>79.5</v>
      </c>
      <c r="X957" s="227">
        <v>79.5</v>
      </c>
      <c r="Y957" s="227">
        <v>79.5</v>
      </c>
      <c r="Z957" s="227">
        <v>79.5</v>
      </c>
      <c r="AA957" s="227">
        <v>79.5</v>
      </c>
      <c r="AB957" s="227">
        <v>14.714</v>
      </c>
      <c r="AC957" s="227">
        <v>774.65</v>
      </c>
      <c r="AD957" s="230">
        <v>1.7030092592592593E-4</v>
      </c>
      <c r="AE957" s="230">
        <v>88.283999999999992</v>
      </c>
      <c r="AF957" s="230">
        <v>3816</v>
      </c>
      <c r="AG957" s="230">
        <v>494386.81489991955</v>
      </c>
      <c r="AH957" s="230">
        <v>3440827.6542056487</v>
      </c>
      <c r="AI957" s="230">
        <v>4647.8999999999996</v>
      </c>
    </row>
    <row r="958" spans="5:35" x14ac:dyDescent="0.35">
      <c r="E958" s="226">
        <v>3.0932400000000002</v>
      </c>
      <c r="F958" s="227">
        <v>15.505380821917807</v>
      </c>
      <c r="G958" s="227">
        <v>5659.4639999999999</v>
      </c>
      <c r="H958" s="227">
        <v>0.97689999999999999</v>
      </c>
      <c r="I958" s="227">
        <v>3.7892000000000001</v>
      </c>
      <c r="J958" s="227">
        <v>0.57230892696749947</v>
      </c>
      <c r="K958" s="227">
        <v>134.44999999999999</v>
      </c>
      <c r="L958" s="227">
        <v>134.33000000000001</v>
      </c>
      <c r="M958" s="227">
        <v>131.94</v>
      </c>
      <c r="N958" s="227">
        <v>92.662999999999997</v>
      </c>
      <c r="O958" s="227">
        <v>98.864999999999995</v>
      </c>
      <c r="P958" s="227">
        <v>114.91</v>
      </c>
      <c r="Q958" s="227">
        <v>106.6</v>
      </c>
      <c r="R958" s="227">
        <v>111.62</v>
      </c>
      <c r="S958" s="227"/>
      <c r="T958" s="227">
        <v>79.5</v>
      </c>
      <c r="U958" s="227">
        <v>79.5</v>
      </c>
      <c r="V958" s="227">
        <v>79.5</v>
      </c>
      <c r="W958" s="227">
        <v>79.5</v>
      </c>
      <c r="X958" s="227">
        <v>79.5</v>
      </c>
      <c r="Y958" s="227">
        <v>79.5</v>
      </c>
      <c r="Z958" s="227">
        <v>79.5</v>
      </c>
      <c r="AA958" s="227">
        <v>79.5</v>
      </c>
      <c r="AB958" s="227">
        <v>14.683</v>
      </c>
      <c r="AC958" s="227">
        <v>774.65</v>
      </c>
      <c r="AD958" s="230">
        <v>1.6994212962962962E-4</v>
      </c>
      <c r="AE958" s="230">
        <v>88.097999999999999</v>
      </c>
      <c r="AF958" s="230">
        <v>3816</v>
      </c>
      <c r="AG958" s="230">
        <v>494474.91289991955</v>
      </c>
      <c r="AH958" s="230">
        <v>3444643.6542056487</v>
      </c>
      <c r="AI958" s="230">
        <v>4647.8999999999996</v>
      </c>
    </row>
    <row r="959" spans="5:35" x14ac:dyDescent="0.35">
      <c r="E959" s="226">
        <v>3.0972400000000002</v>
      </c>
      <c r="F959" s="227">
        <v>15.521819178082191</v>
      </c>
      <c r="G959" s="227">
        <v>5665.4639999999999</v>
      </c>
      <c r="H959" s="227">
        <v>0.97699999999999998</v>
      </c>
      <c r="I959" s="227">
        <v>3.7932000000000001</v>
      </c>
      <c r="J959" s="227">
        <v>0.57241067002305501</v>
      </c>
      <c r="K959" s="227">
        <v>134.43</v>
      </c>
      <c r="L959" s="227">
        <v>134.31</v>
      </c>
      <c r="M959" s="227">
        <v>131.91999999999999</v>
      </c>
      <c r="N959" s="227">
        <v>92.653000000000006</v>
      </c>
      <c r="O959" s="227">
        <v>98.852999999999994</v>
      </c>
      <c r="P959" s="227">
        <v>114.89</v>
      </c>
      <c r="Q959" s="227">
        <v>106.59</v>
      </c>
      <c r="R959" s="227">
        <v>111.61</v>
      </c>
      <c r="S959" s="227"/>
      <c r="T959" s="227">
        <v>79.5</v>
      </c>
      <c r="U959" s="227">
        <v>79.5</v>
      </c>
      <c r="V959" s="227">
        <v>79.5</v>
      </c>
      <c r="W959" s="227">
        <v>79.5</v>
      </c>
      <c r="X959" s="227">
        <v>79.5</v>
      </c>
      <c r="Y959" s="227">
        <v>79.5</v>
      </c>
      <c r="Z959" s="227">
        <v>79.5</v>
      </c>
      <c r="AA959" s="227">
        <v>79.5</v>
      </c>
      <c r="AB959" s="227">
        <v>14.651</v>
      </c>
      <c r="AC959" s="227">
        <v>774.65</v>
      </c>
      <c r="AD959" s="230">
        <v>1.6957175925925926E-4</v>
      </c>
      <c r="AE959" s="230">
        <v>87.905999999999992</v>
      </c>
      <c r="AF959" s="230">
        <v>3816</v>
      </c>
      <c r="AG959" s="230">
        <v>494562.81889991957</v>
      </c>
      <c r="AH959" s="230">
        <v>3448459.6542056487</v>
      </c>
      <c r="AI959" s="230">
        <v>4647.8999999999996</v>
      </c>
    </row>
    <row r="960" spans="5:35" x14ac:dyDescent="0.35">
      <c r="E960" s="226">
        <v>3.10134</v>
      </c>
      <c r="F960" s="227">
        <v>15.538257534246576</v>
      </c>
      <c r="G960" s="227">
        <v>5671.4639999999999</v>
      </c>
      <c r="H960" s="227">
        <v>0.97699999999999998</v>
      </c>
      <c r="I960" s="227">
        <v>3.7972999999999999</v>
      </c>
      <c r="J960" s="227">
        <v>0.57251219780083284</v>
      </c>
      <c r="K960" s="227">
        <v>134.4</v>
      </c>
      <c r="L960" s="227">
        <v>134.29</v>
      </c>
      <c r="M960" s="227">
        <v>131.9</v>
      </c>
      <c r="N960" s="227">
        <v>92.641000000000005</v>
      </c>
      <c r="O960" s="227">
        <v>98.843999999999994</v>
      </c>
      <c r="P960" s="227">
        <v>114.88</v>
      </c>
      <c r="Q960" s="227">
        <v>106.59</v>
      </c>
      <c r="R960" s="227">
        <v>111.6</v>
      </c>
      <c r="S960" s="227"/>
      <c r="T960" s="227">
        <v>79.5</v>
      </c>
      <c r="U960" s="227">
        <v>79.5</v>
      </c>
      <c r="V960" s="227">
        <v>79.5</v>
      </c>
      <c r="W960" s="227">
        <v>79.5</v>
      </c>
      <c r="X960" s="227">
        <v>79.5</v>
      </c>
      <c r="Y960" s="227">
        <v>79.5</v>
      </c>
      <c r="Z960" s="227">
        <v>79.5</v>
      </c>
      <c r="AA960" s="227">
        <v>79.5</v>
      </c>
      <c r="AB960" s="227">
        <v>14.62</v>
      </c>
      <c r="AC960" s="227">
        <v>774.65</v>
      </c>
      <c r="AD960" s="230">
        <v>1.6921296296296294E-4</v>
      </c>
      <c r="AE960" s="230">
        <v>87.72</v>
      </c>
      <c r="AF960" s="230">
        <v>3816</v>
      </c>
      <c r="AG960" s="230">
        <v>494650.53889991954</v>
      </c>
      <c r="AH960" s="230">
        <v>3452275.6542056487</v>
      </c>
      <c r="AI960" s="230">
        <v>4647.8999999999996</v>
      </c>
    </row>
    <row r="961" spans="5:35" x14ac:dyDescent="0.35">
      <c r="E961" s="226">
        <v>3.10534</v>
      </c>
      <c r="F961" s="227">
        <v>15.554695890410958</v>
      </c>
      <c r="G961" s="227">
        <v>5677.4639999999999</v>
      </c>
      <c r="H961" s="227">
        <v>0.97709999999999997</v>
      </c>
      <c r="I961" s="227">
        <v>3.8012999999999999</v>
      </c>
      <c r="J961" s="227">
        <v>0.57261351030083274</v>
      </c>
      <c r="K961" s="227">
        <v>134.38999999999999</v>
      </c>
      <c r="L961" s="227">
        <v>134.28</v>
      </c>
      <c r="M961" s="227">
        <v>131.88</v>
      </c>
      <c r="N961" s="227">
        <v>92.63</v>
      </c>
      <c r="O961" s="227">
        <v>98.834999999999994</v>
      </c>
      <c r="P961" s="227">
        <v>114.87</v>
      </c>
      <c r="Q961" s="227">
        <v>106.58</v>
      </c>
      <c r="R961" s="227">
        <v>111.59</v>
      </c>
      <c r="S961" s="227"/>
      <c r="T961" s="227">
        <v>79.5</v>
      </c>
      <c r="U961" s="227">
        <v>79.5</v>
      </c>
      <c r="V961" s="227">
        <v>79.5</v>
      </c>
      <c r="W961" s="227">
        <v>79.5</v>
      </c>
      <c r="X961" s="227">
        <v>79.5</v>
      </c>
      <c r="Y961" s="227">
        <v>79.5</v>
      </c>
      <c r="Z961" s="227">
        <v>79.5</v>
      </c>
      <c r="AA961" s="227">
        <v>79.5</v>
      </c>
      <c r="AB961" s="227">
        <v>14.589</v>
      </c>
      <c r="AC961" s="227">
        <v>774.65</v>
      </c>
      <c r="AD961" s="230">
        <v>1.6885416666666668E-4</v>
      </c>
      <c r="AE961" s="230">
        <v>87.534000000000006</v>
      </c>
      <c r="AF961" s="230">
        <v>3816</v>
      </c>
      <c r="AG961" s="230">
        <v>494738.07289991953</v>
      </c>
      <c r="AH961" s="230">
        <v>3456091.6542056487</v>
      </c>
      <c r="AI961" s="230">
        <v>4647.8999999999996</v>
      </c>
    </row>
    <row r="962" spans="5:35" x14ac:dyDescent="0.35">
      <c r="E962" s="226">
        <v>3.10934</v>
      </c>
      <c r="F962" s="227">
        <v>15.571134246575342</v>
      </c>
      <c r="G962" s="227">
        <v>5683.4639999999999</v>
      </c>
      <c r="H962" s="227">
        <v>0.97709999999999997</v>
      </c>
      <c r="I962" s="227">
        <v>3.8052999999999999</v>
      </c>
      <c r="J962" s="227">
        <v>0.57271460752305503</v>
      </c>
      <c r="K962" s="227">
        <v>134.37</v>
      </c>
      <c r="L962" s="227">
        <v>134.26</v>
      </c>
      <c r="M962" s="227">
        <v>131.86000000000001</v>
      </c>
      <c r="N962" s="227">
        <v>92.619</v>
      </c>
      <c r="O962" s="227">
        <v>98.826999999999998</v>
      </c>
      <c r="P962" s="227">
        <v>114.86</v>
      </c>
      <c r="Q962" s="227">
        <v>106.57</v>
      </c>
      <c r="R962" s="227">
        <v>111.58</v>
      </c>
      <c r="S962" s="227"/>
      <c r="T962" s="227">
        <v>79.5</v>
      </c>
      <c r="U962" s="227">
        <v>79.5</v>
      </c>
      <c r="V962" s="227">
        <v>79.5</v>
      </c>
      <c r="W962" s="227">
        <v>79.5</v>
      </c>
      <c r="X962" s="227">
        <v>79.5</v>
      </c>
      <c r="Y962" s="227">
        <v>79.5</v>
      </c>
      <c r="Z962" s="227">
        <v>79.5</v>
      </c>
      <c r="AA962" s="227">
        <v>79.5</v>
      </c>
      <c r="AB962" s="227">
        <v>14.558</v>
      </c>
      <c r="AC962" s="227">
        <v>774.65</v>
      </c>
      <c r="AD962" s="230">
        <v>1.6849537037037036E-4</v>
      </c>
      <c r="AE962" s="230">
        <v>87.347999999999999</v>
      </c>
      <c r="AF962" s="230">
        <v>3816</v>
      </c>
      <c r="AG962" s="230">
        <v>494825.42089991953</v>
      </c>
      <c r="AH962" s="230">
        <v>3459907.6542056487</v>
      </c>
      <c r="AI962" s="230">
        <v>4647.8999999999996</v>
      </c>
    </row>
    <row r="963" spans="5:35" x14ac:dyDescent="0.35">
      <c r="E963" s="226">
        <v>3.11334</v>
      </c>
      <c r="F963" s="227">
        <v>15.587572602739726</v>
      </c>
      <c r="G963" s="227">
        <v>5689.4639999999999</v>
      </c>
      <c r="H963" s="227">
        <v>0.97719999999999996</v>
      </c>
      <c r="I963" s="227">
        <v>3.8092999999999999</v>
      </c>
      <c r="J963" s="227">
        <v>0.57281548946749949</v>
      </c>
      <c r="K963" s="227">
        <v>134.34</v>
      </c>
      <c r="L963" s="227">
        <v>134.24</v>
      </c>
      <c r="M963" s="227">
        <v>131.84</v>
      </c>
      <c r="N963" s="227">
        <v>92.608999999999995</v>
      </c>
      <c r="O963" s="227">
        <v>98.816000000000003</v>
      </c>
      <c r="P963" s="227">
        <v>114.84</v>
      </c>
      <c r="Q963" s="227">
        <v>106.56</v>
      </c>
      <c r="R963" s="227">
        <v>111.57</v>
      </c>
      <c r="S963" s="227"/>
      <c r="T963" s="227">
        <v>79.5</v>
      </c>
      <c r="U963" s="227">
        <v>79.5</v>
      </c>
      <c r="V963" s="227">
        <v>79.5</v>
      </c>
      <c r="W963" s="227">
        <v>79.5</v>
      </c>
      <c r="X963" s="227">
        <v>79.5</v>
      </c>
      <c r="Y963" s="227">
        <v>79.5</v>
      </c>
      <c r="Z963" s="227">
        <v>79.5</v>
      </c>
      <c r="AA963" s="227">
        <v>79.5</v>
      </c>
      <c r="AB963" s="227">
        <v>14.526999999999999</v>
      </c>
      <c r="AC963" s="227">
        <v>774.65</v>
      </c>
      <c r="AD963" s="230">
        <v>1.6813657407407408E-4</v>
      </c>
      <c r="AE963" s="230">
        <v>87.162000000000006</v>
      </c>
      <c r="AF963" s="230">
        <v>3816</v>
      </c>
      <c r="AG963" s="230">
        <v>494912.58289991954</v>
      </c>
      <c r="AH963" s="230">
        <v>3463723.6542056487</v>
      </c>
      <c r="AI963" s="230">
        <v>4647.8999999999996</v>
      </c>
    </row>
    <row r="964" spans="5:35" x14ac:dyDescent="0.35">
      <c r="E964" s="226">
        <v>3.11734</v>
      </c>
      <c r="F964" s="227">
        <v>15.604010958904109</v>
      </c>
      <c r="G964" s="227">
        <v>5695.4639999999999</v>
      </c>
      <c r="H964" s="227">
        <v>0.97719999999999996</v>
      </c>
      <c r="I964" s="227">
        <v>3.8132999999999999</v>
      </c>
      <c r="J964" s="227">
        <v>0.57291615613416613</v>
      </c>
      <c r="K964" s="227">
        <v>134.32</v>
      </c>
      <c r="L964" s="227">
        <v>134.22999999999999</v>
      </c>
      <c r="M964" s="227">
        <v>131.82</v>
      </c>
      <c r="N964" s="227">
        <v>92.596999999999994</v>
      </c>
      <c r="O964" s="227">
        <v>98.807000000000002</v>
      </c>
      <c r="P964" s="227">
        <v>114.83</v>
      </c>
      <c r="Q964" s="227">
        <v>106.55</v>
      </c>
      <c r="R964" s="227">
        <v>111.56</v>
      </c>
      <c r="S964" s="227"/>
      <c r="T964" s="227">
        <v>79.5</v>
      </c>
      <c r="U964" s="227">
        <v>79.5</v>
      </c>
      <c r="V964" s="227">
        <v>79.5</v>
      </c>
      <c r="W964" s="227">
        <v>79.5</v>
      </c>
      <c r="X964" s="227">
        <v>79.5</v>
      </c>
      <c r="Y964" s="227">
        <v>79.5</v>
      </c>
      <c r="Z964" s="227">
        <v>79.5</v>
      </c>
      <c r="AA964" s="227">
        <v>79.5</v>
      </c>
      <c r="AB964" s="227">
        <v>14.496</v>
      </c>
      <c r="AC964" s="227">
        <v>774.65</v>
      </c>
      <c r="AD964" s="230">
        <v>1.6777777777777779E-4</v>
      </c>
      <c r="AE964" s="230">
        <v>86.976000000000013</v>
      </c>
      <c r="AF964" s="230">
        <v>3816</v>
      </c>
      <c r="AG964" s="230">
        <v>494999.55889991956</v>
      </c>
      <c r="AH964" s="230">
        <v>3467539.6542056487</v>
      </c>
      <c r="AI964" s="230">
        <v>4647.8999999999996</v>
      </c>
    </row>
    <row r="965" spans="5:35" x14ac:dyDescent="0.35">
      <c r="E965" s="226">
        <v>3.12134</v>
      </c>
      <c r="F965" s="227">
        <v>15.620449315068493</v>
      </c>
      <c r="G965" s="227">
        <v>5701.4639999999999</v>
      </c>
      <c r="H965" s="227">
        <v>0.97729999999999995</v>
      </c>
      <c r="I965" s="227">
        <v>3.8172999999999999</v>
      </c>
      <c r="J965" s="227">
        <v>0.57301661446749941</v>
      </c>
      <c r="K965" s="227">
        <v>134.29</v>
      </c>
      <c r="L965" s="227">
        <v>134.21</v>
      </c>
      <c r="M965" s="227">
        <v>131.80000000000001</v>
      </c>
      <c r="N965" s="227">
        <v>92.587000000000003</v>
      </c>
      <c r="O965" s="227">
        <v>98.796000000000006</v>
      </c>
      <c r="P965" s="227">
        <v>114.81</v>
      </c>
      <c r="Q965" s="227">
        <v>106.55</v>
      </c>
      <c r="R965" s="227">
        <v>111.55</v>
      </c>
      <c r="S965" s="227"/>
      <c r="T965" s="227">
        <v>79.5</v>
      </c>
      <c r="U965" s="227">
        <v>79.5</v>
      </c>
      <c r="V965" s="227">
        <v>79.5</v>
      </c>
      <c r="W965" s="227">
        <v>79.5</v>
      </c>
      <c r="X965" s="227">
        <v>79.5</v>
      </c>
      <c r="Y965" s="227">
        <v>79.5</v>
      </c>
      <c r="Z965" s="227">
        <v>79.5</v>
      </c>
      <c r="AA965" s="227">
        <v>79.5</v>
      </c>
      <c r="AB965" s="227">
        <v>14.465999999999999</v>
      </c>
      <c r="AC965" s="227">
        <v>774.65</v>
      </c>
      <c r="AD965" s="230">
        <v>1.6743055555555554E-4</v>
      </c>
      <c r="AE965" s="230">
        <v>86.795999999999992</v>
      </c>
      <c r="AF965" s="230">
        <v>3816</v>
      </c>
      <c r="AG965" s="230">
        <v>495086.35489991953</v>
      </c>
      <c r="AH965" s="230">
        <v>3471355.6542056487</v>
      </c>
      <c r="AI965" s="230">
        <v>4647.8999999999996</v>
      </c>
    </row>
    <row r="966" spans="5:35" x14ac:dyDescent="0.35">
      <c r="E966" s="226">
        <v>3.1254400000000002</v>
      </c>
      <c r="F966" s="227">
        <v>15.636887671232877</v>
      </c>
      <c r="G966" s="227">
        <v>5707.4639999999999</v>
      </c>
      <c r="H966" s="227">
        <v>0.97729999999999995</v>
      </c>
      <c r="I966" s="227">
        <v>3.8214000000000001</v>
      </c>
      <c r="J966" s="227">
        <v>0.57311685752305497</v>
      </c>
      <c r="K966" s="227">
        <v>134.28</v>
      </c>
      <c r="L966" s="227">
        <v>134.19999999999999</v>
      </c>
      <c r="M966" s="227">
        <v>131.79</v>
      </c>
      <c r="N966" s="227">
        <v>92.575999999999993</v>
      </c>
      <c r="O966" s="227">
        <v>98.789000000000001</v>
      </c>
      <c r="P966" s="227">
        <v>114.8</v>
      </c>
      <c r="Q966" s="227">
        <v>106.54</v>
      </c>
      <c r="R966" s="227">
        <v>111.54</v>
      </c>
      <c r="S966" s="227"/>
      <c r="T966" s="227">
        <v>79.5</v>
      </c>
      <c r="U966" s="227">
        <v>79.5</v>
      </c>
      <c r="V966" s="227">
        <v>79.5</v>
      </c>
      <c r="W966" s="227">
        <v>79.5</v>
      </c>
      <c r="X966" s="227">
        <v>79.5</v>
      </c>
      <c r="Y966" s="227">
        <v>79.5</v>
      </c>
      <c r="Z966" s="227">
        <v>79.5</v>
      </c>
      <c r="AA966" s="227">
        <v>79.5</v>
      </c>
      <c r="AB966" s="227">
        <v>14.435</v>
      </c>
      <c r="AC966" s="227">
        <v>774.65</v>
      </c>
      <c r="AD966" s="230">
        <v>1.6707175925925928E-4</v>
      </c>
      <c r="AE966" s="230">
        <v>86.610000000000014</v>
      </c>
      <c r="AF966" s="230">
        <v>3816</v>
      </c>
      <c r="AG966" s="230">
        <v>495172.96489991952</v>
      </c>
      <c r="AH966" s="230">
        <v>3475171.6542056487</v>
      </c>
      <c r="AI966" s="230">
        <v>4647.8999999999996</v>
      </c>
    </row>
    <row r="967" spans="5:35" x14ac:dyDescent="0.35">
      <c r="E967" s="226">
        <v>3.1294400000000002</v>
      </c>
      <c r="F967" s="227">
        <v>15.653326027397259</v>
      </c>
      <c r="G967" s="227">
        <v>5713.4639999999999</v>
      </c>
      <c r="H967" s="227">
        <v>0.97740000000000005</v>
      </c>
      <c r="I967" s="227">
        <v>3.8254000000000001</v>
      </c>
      <c r="J967" s="227">
        <v>0.57321689224527717</v>
      </c>
      <c r="K967" s="227">
        <v>134.25</v>
      </c>
      <c r="L967" s="227">
        <v>134.18</v>
      </c>
      <c r="M967" s="227">
        <v>131.77000000000001</v>
      </c>
      <c r="N967" s="227">
        <v>92.564999999999998</v>
      </c>
      <c r="O967" s="227">
        <v>98.778999999999996</v>
      </c>
      <c r="P967" s="227">
        <v>114.79</v>
      </c>
      <c r="Q967" s="227">
        <v>106.53</v>
      </c>
      <c r="R967" s="227">
        <v>111.53</v>
      </c>
      <c r="S967" s="227"/>
      <c r="T967" s="227">
        <v>79.5</v>
      </c>
      <c r="U967" s="227">
        <v>79.5</v>
      </c>
      <c r="V967" s="227">
        <v>79.5</v>
      </c>
      <c r="W967" s="227">
        <v>79.5</v>
      </c>
      <c r="X967" s="227">
        <v>79.5</v>
      </c>
      <c r="Y967" s="227">
        <v>79.5</v>
      </c>
      <c r="Z967" s="227">
        <v>79.5</v>
      </c>
      <c r="AA967" s="227">
        <v>79.5</v>
      </c>
      <c r="AB967" s="227">
        <v>14.404999999999999</v>
      </c>
      <c r="AC967" s="227">
        <v>774.65</v>
      </c>
      <c r="AD967" s="230">
        <v>1.6672453703703703E-4</v>
      </c>
      <c r="AE967" s="230">
        <v>86.429999999999993</v>
      </c>
      <c r="AF967" s="230">
        <v>3816</v>
      </c>
      <c r="AG967" s="230">
        <v>495259.39489991951</v>
      </c>
      <c r="AH967" s="230">
        <v>3478987.6542056487</v>
      </c>
      <c r="AI967" s="230">
        <v>4647.8999999999996</v>
      </c>
    </row>
    <row r="968" spans="5:35" x14ac:dyDescent="0.35">
      <c r="E968" s="226">
        <v>3.1334400000000002</v>
      </c>
      <c r="F968" s="227">
        <v>15.669764383561644</v>
      </c>
      <c r="G968" s="227">
        <v>5719.4639999999999</v>
      </c>
      <c r="H968" s="227">
        <v>0.97740000000000005</v>
      </c>
      <c r="I968" s="227">
        <v>3.8294000000000001</v>
      </c>
      <c r="J968" s="227">
        <v>0.57331671863416611</v>
      </c>
      <c r="K968" s="227">
        <v>134.22999999999999</v>
      </c>
      <c r="L968" s="227">
        <v>134.16</v>
      </c>
      <c r="M968" s="227">
        <v>131.75</v>
      </c>
      <c r="N968" s="227">
        <v>92.554000000000002</v>
      </c>
      <c r="O968" s="227">
        <v>98.77</v>
      </c>
      <c r="P968" s="227">
        <v>114.77</v>
      </c>
      <c r="Q968" s="227">
        <v>106.52</v>
      </c>
      <c r="R968" s="227">
        <v>111.52</v>
      </c>
      <c r="S968" s="227"/>
      <c r="T968" s="227">
        <v>79.5</v>
      </c>
      <c r="U968" s="227">
        <v>79.5</v>
      </c>
      <c r="V968" s="227">
        <v>79.5</v>
      </c>
      <c r="W968" s="227">
        <v>79.5</v>
      </c>
      <c r="X968" s="227">
        <v>79.5</v>
      </c>
      <c r="Y968" s="227">
        <v>79.5</v>
      </c>
      <c r="Z968" s="227">
        <v>79.5</v>
      </c>
      <c r="AA968" s="227">
        <v>79.5</v>
      </c>
      <c r="AB968" s="227">
        <v>14.375</v>
      </c>
      <c r="AC968" s="227">
        <v>774.65</v>
      </c>
      <c r="AD968" s="230">
        <v>1.6637731481481481E-4</v>
      </c>
      <c r="AE968" s="230">
        <v>86.25</v>
      </c>
      <c r="AF968" s="230">
        <v>3816</v>
      </c>
      <c r="AG968" s="230">
        <v>495345.64489991951</v>
      </c>
      <c r="AH968" s="230">
        <v>3482803.6542056487</v>
      </c>
      <c r="AI968" s="230">
        <v>4647.8999999999996</v>
      </c>
    </row>
    <row r="969" spans="5:35" x14ac:dyDescent="0.35">
      <c r="E969" s="226">
        <v>3.1374400000000002</v>
      </c>
      <c r="F969" s="227">
        <v>15.686202739726028</v>
      </c>
      <c r="G969" s="227">
        <v>5725.4639999999999</v>
      </c>
      <c r="H969" s="227">
        <v>0.97740000000000005</v>
      </c>
      <c r="I969" s="227">
        <v>3.8334000000000001</v>
      </c>
      <c r="J969" s="227">
        <v>0.5734163366897217</v>
      </c>
      <c r="K969" s="227">
        <v>134.21</v>
      </c>
      <c r="L969" s="227">
        <v>134.15</v>
      </c>
      <c r="M969" s="227">
        <v>131.72999999999999</v>
      </c>
      <c r="N969" s="227">
        <v>92.543000000000006</v>
      </c>
      <c r="O969" s="227">
        <v>98.762</v>
      </c>
      <c r="P969" s="227">
        <v>114.76</v>
      </c>
      <c r="Q969" s="227">
        <v>106.51</v>
      </c>
      <c r="R969" s="227">
        <v>111.51</v>
      </c>
      <c r="S969" s="227"/>
      <c r="T969" s="227">
        <v>79.5</v>
      </c>
      <c r="U969" s="227">
        <v>79.5</v>
      </c>
      <c r="V969" s="227">
        <v>79.5</v>
      </c>
      <c r="W969" s="227">
        <v>79.5</v>
      </c>
      <c r="X969" s="227">
        <v>79.5</v>
      </c>
      <c r="Y969" s="227">
        <v>79.5</v>
      </c>
      <c r="Z969" s="227">
        <v>79.5</v>
      </c>
      <c r="AA969" s="227">
        <v>79.5</v>
      </c>
      <c r="AB969" s="227">
        <v>14.345000000000001</v>
      </c>
      <c r="AC969" s="227">
        <v>774.65</v>
      </c>
      <c r="AD969" s="230">
        <v>1.6603009259259259E-4</v>
      </c>
      <c r="AE969" s="230">
        <v>86.07</v>
      </c>
      <c r="AF969" s="230">
        <v>3816</v>
      </c>
      <c r="AG969" s="230">
        <v>495431.71489991952</v>
      </c>
      <c r="AH969" s="230">
        <v>3486619.6542056487</v>
      </c>
      <c r="AI969" s="230">
        <v>4647.8999999999996</v>
      </c>
    </row>
    <row r="970" spans="5:35" x14ac:dyDescent="0.35">
      <c r="E970" s="226">
        <v>3.1414400000000002</v>
      </c>
      <c r="F970" s="227">
        <v>15.70264109589041</v>
      </c>
      <c r="G970" s="227">
        <v>5731.4639999999999</v>
      </c>
      <c r="H970" s="227">
        <v>0.97750000000000004</v>
      </c>
      <c r="I970" s="227">
        <v>3.8374000000000001</v>
      </c>
      <c r="J970" s="227">
        <v>0.57351574641194392</v>
      </c>
      <c r="K970" s="227">
        <v>134.19</v>
      </c>
      <c r="L970" s="227">
        <v>134.13</v>
      </c>
      <c r="M970" s="227">
        <v>131.71</v>
      </c>
      <c r="N970" s="227">
        <v>92.533000000000001</v>
      </c>
      <c r="O970" s="227">
        <v>98.751999999999995</v>
      </c>
      <c r="P970" s="227">
        <v>114.75</v>
      </c>
      <c r="Q970" s="227">
        <v>106.51</v>
      </c>
      <c r="R970" s="227">
        <v>111.5</v>
      </c>
      <c r="S970" s="227"/>
      <c r="T970" s="227">
        <v>79.5</v>
      </c>
      <c r="U970" s="227">
        <v>79.5</v>
      </c>
      <c r="V970" s="227">
        <v>79.5</v>
      </c>
      <c r="W970" s="227">
        <v>79.5</v>
      </c>
      <c r="X970" s="227">
        <v>79.5</v>
      </c>
      <c r="Y970" s="227">
        <v>79.5</v>
      </c>
      <c r="Z970" s="227">
        <v>79.5</v>
      </c>
      <c r="AA970" s="227">
        <v>79.5</v>
      </c>
      <c r="AB970" s="227">
        <v>14.315</v>
      </c>
      <c r="AC970" s="227">
        <v>774.65</v>
      </c>
      <c r="AD970" s="230">
        <v>1.6568287037037037E-4</v>
      </c>
      <c r="AE970" s="230">
        <v>85.89</v>
      </c>
      <c r="AF970" s="230">
        <v>3816</v>
      </c>
      <c r="AG970" s="230">
        <v>495517.60489991953</v>
      </c>
      <c r="AH970" s="230">
        <v>3490435.6542056487</v>
      </c>
      <c r="AI970" s="230">
        <v>4647.8999999999996</v>
      </c>
    </row>
    <row r="971" spans="5:35" x14ac:dyDescent="0.35">
      <c r="E971" s="226">
        <v>3.1454400000000002</v>
      </c>
      <c r="F971" s="227">
        <v>15.719079452054794</v>
      </c>
      <c r="G971" s="227">
        <v>5737.4639999999999</v>
      </c>
      <c r="H971" s="227">
        <v>0.97750000000000004</v>
      </c>
      <c r="I971" s="227">
        <v>3.8414000000000001</v>
      </c>
      <c r="J971" s="227">
        <v>0.57361494780083278</v>
      </c>
      <c r="K971" s="227">
        <v>134.16999999999999</v>
      </c>
      <c r="L971" s="227">
        <v>134.11000000000001</v>
      </c>
      <c r="M971" s="227">
        <v>131.69</v>
      </c>
      <c r="N971" s="227">
        <v>92.522000000000006</v>
      </c>
      <c r="O971" s="227">
        <v>98.742999999999995</v>
      </c>
      <c r="P971" s="227">
        <v>114.73</v>
      </c>
      <c r="Q971" s="227">
        <v>106.5</v>
      </c>
      <c r="R971" s="227">
        <v>111.49</v>
      </c>
      <c r="S971" s="227"/>
      <c r="T971" s="227">
        <v>79.5</v>
      </c>
      <c r="U971" s="227">
        <v>79.5</v>
      </c>
      <c r="V971" s="227">
        <v>79.5</v>
      </c>
      <c r="W971" s="227">
        <v>79.5</v>
      </c>
      <c r="X971" s="227">
        <v>79.5</v>
      </c>
      <c r="Y971" s="227">
        <v>79.5</v>
      </c>
      <c r="Z971" s="227">
        <v>79.5</v>
      </c>
      <c r="AA971" s="227">
        <v>79.5</v>
      </c>
      <c r="AB971" s="227">
        <v>14.285</v>
      </c>
      <c r="AC971" s="227">
        <v>774.65</v>
      </c>
      <c r="AD971" s="230">
        <v>1.6533564814814815E-4</v>
      </c>
      <c r="AE971" s="230">
        <v>85.71</v>
      </c>
      <c r="AF971" s="230">
        <v>3816</v>
      </c>
      <c r="AG971" s="230">
        <v>495603.31489991955</v>
      </c>
      <c r="AH971" s="230">
        <v>3494251.6542056487</v>
      </c>
      <c r="AI971" s="230">
        <v>4647.8999999999996</v>
      </c>
    </row>
    <row r="972" spans="5:35" x14ac:dyDescent="0.35">
      <c r="E972" s="226">
        <v>3.14954</v>
      </c>
      <c r="F972" s="227">
        <v>15.735517808219178</v>
      </c>
      <c r="G972" s="227">
        <v>5743.4639999999999</v>
      </c>
      <c r="H972" s="227">
        <v>0.97760000000000002</v>
      </c>
      <c r="I972" s="227">
        <v>3.8454999999999999</v>
      </c>
      <c r="J972" s="227">
        <v>0.57371394085638838</v>
      </c>
      <c r="K972" s="227">
        <v>134.15</v>
      </c>
      <c r="L972" s="227">
        <v>134.1</v>
      </c>
      <c r="M972" s="227">
        <v>131.66999999999999</v>
      </c>
      <c r="N972" s="227">
        <v>92.510999999999996</v>
      </c>
      <c r="O972" s="227">
        <v>98.734999999999999</v>
      </c>
      <c r="P972" s="227">
        <v>114.72</v>
      </c>
      <c r="Q972" s="227">
        <v>106.49</v>
      </c>
      <c r="R972" s="227">
        <v>111.48</v>
      </c>
      <c r="S972" s="227"/>
      <c r="T972" s="227">
        <v>79.5</v>
      </c>
      <c r="U972" s="227">
        <v>79.5</v>
      </c>
      <c r="V972" s="227">
        <v>79.5</v>
      </c>
      <c r="W972" s="227">
        <v>79.5</v>
      </c>
      <c r="X972" s="227">
        <v>79.5</v>
      </c>
      <c r="Y972" s="227">
        <v>79.5</v>
      </c>
      <c r="Z972" s="227">
        <v>79.5</v>
      </c>
      <c r="AA972" s="227">
        <v>79.5</v>
      </c>
      <c r="AB972" s="227">
        <v>14.255000000000001</v>
      </c>
      <c r="AC972" s="227">
        <v>774.65</v>
      </c>
      <c r="AD972" s="230">
        <v>1.6498842592592593E-4</v>
      </c>
      <c r="AE972" s="230">
        <v>85.53</v>
      </c>
      <c r="AF972" s="230">
        <v>3816</v>
      </c>
      <c r="AG972" s="230">
        <v>495688.84489991958</v>
      </c>
      <c r="AH972" s="230">
        <v>3498067.6542056487</v>
      </c>
      <c r="AI972" s="230">
        <v>4647.8999999999996</v>
      </c>
    </row>
    <row r="973" spans="5:35" x14ac:dyDescent="0.35">
      <c r="E973" s="226">
        <v>3.15354</v>
      </c>
      <c r="F973" s="227">
        <v>15.751956164383561</v>
      </c>
      <c r="G973" s="227">
        <v>5749.4639999999999</v>
      </c>
      <c r="H973" s="227">
        <v>0.97760000000000002</v>
      </c>
      <c r="I973" s="227">
        <v>3.8494999999999999</v>
      </c>
      <c r="J973" s="227">
        <v>0.57381272557861063</v>
      </c>
      <c r="K973" s="227">
        <v>134.13</v>
      </c>
      <c r="L973" s="227">
        <v>134.08000000000001</v>
      </c>
      <c r="M973" s="227">
        <v>131.65</v>
      </c>
      <c r="N973" s="227">
        <v>92.501000000000005</v>
      </c>
      <c r="O973" s="227">
        <v>98.722999999999999</v>
      </c>
      <c r="P973" s="227">
        <v>114.71</v>
      </c>
      <c r="Q973" s="227">
        <v>106.48</v>
      </c>
      <c r="R973" s="227">
        <v>111.47</v>
      </c>
      <c r="S973" s="227"/>
      <c r="T973" s="227">
        <v>79.5</v>
      </c>
      <c r="U973" s="227">
        <v>79.5</v>
      </c>
      <c r="V973" s="227">
        <v>79.5</v>
      </c>
      <c r="W973" s="227">
        <v>79.5</v>
      </c>
      <c r="X973" s="227">
        <v>79.5</v>
      </c>
      <c r="Y973" s="227">
        <v>79.5</v>
      </c>
      <c r="Z973" s="227">
        <v>79.5</v>
      </c>
      <c r="AA973" s="227">
        <v>79.5</v>
      </c>
      <c r="AB973" s="227">
        <v>14.225</v>
      </c>
      <c r="AC973" s="227">
        <v>774.65</v>
      </c>
      <c r="AD973" s="230">
        <v>1.6464120370370371E-4</v>
      </c>
      <c r="AE973" s="230">
        <v>85.35</v>
      </c>
      <c r="AF973" s="230">
        <v>3816</v>
      </c>
      <c r="AG973" s="230">
        <v>495774.19489991956</v>
      </c>
      <c r="AH973" s="230">
        <v>3501883.6542056487</v>
      </c>
      <c r="AI973" s="230">
        <v>4647.8999999999996</v>
      </c>
    </row>
    <row r="974" spans="5:35" x14ac:dyDescent="0.35">
      <c r="E974" s="226">
        <v>3.15754</v>
      </c>
      <c r="F974" s="227">
        <v>15.768394520547945</v>
      </c>
      <c r="G974" s="227">
        <v>5755.4639999999999</v>
      </c>
      <c r="H974" s="227">
        <v>0.97770000000000001</v>
      </c>
      <c r="I974" s="227">
        <v>3.8534999999999999</v>
      </c>
      <c r="J974" s="227">
        <v>0.57391130196749951</v>
      </c>
      <c r="K974" s="227">
        <v>134.1</v>
      </c>
      <c r="L974" s="227">
        <v>134.07</v>
      </c>
      <c r="M974" s="227">
        <v>131.63</v>
      </c>
      <c r="N974" s="227">
        <v>92.491</v>
      </c>
      <c r="O974" s="227">
        <v>98.715999999999994</v>
      </c>
      <c r="P974" s="227">
        <v>114.69</v>
      </c>
      <c r="Q974" s="227">
        <v>106.47</v>
      </c>
      <c r="R974" s="227">
        <v>111.46</v>
      </c>
      <c r="S974" s="227"/>
      <c r="T974" s="227">
        <v>79.5</v>
      </c>
      <c r="U974" s="227">
        <v>79.5</v>
      </c>
      <c r="V974" s="227">
        <v>79.5</v>
      </c>
      <c r="W974" s="227">
        <v>79.5</v>
      </c>
      <c r="X974" s="227">
        <v>79.5</v>
      </c>
      <c r="Y974" s="227">
        <v>79.5</v>
      </c>
      <c r="Z974" s="227">
        <v>79.5</v>
      </c>
      <c r="AA974" s="227">
        <v>79.5</v>
      </c>
      <c r="AB974" s="227">
        <v>14.195</v>
      </c>
      <c r="AC974" s="227">
        <v>774.65</v>
      </c>
      <c r="AD974" s="230">
        <v>1.6429398148148149E-4</v>
      </c>
      <c r="AE974" s="230">
        <v>85.17</v>
      </c>
      <c r="AF974" s="230">
        <v>3816</v>
      </c>
      <c r="AG974" s="230">
        <v>495859.36489991954</v>
      </c>
      <c r="AH974" s="230">
        <v>3505699.6542056487</v>
      </c>
      <c r="AI974" s="230">
        <v>4647.8999999999996</v>
      </c>
    </row>
    <row r="975" spans="5:35" x14ac:dyDescent="0.35">
      <c r="E975" s="226">
        <v>3.16154</v>
      </c>
      <c r="F975" s="227">
        <v>15.784832876712329</v>
      </c>
      <c r="G975" s="227">
        <v>5761.4639999999999</v>
      </c>
      <c r="H975" s="227">
        <v>0.97770000000000001</v>
      </c>
      <c r="I975" s="227">
        <v>3.8574999999999999</v>
      </c>
      <c r="J975" s="227">
        <v>0.57400967696749949</v>
      </c>
      <c r="K975" s="227">
        <v>134.08000000000001</v>
      </c>
      <c r="L975" s="227">
        <v>134.05000000000001</v>
      </c>
      <c r="M975" s="227">
        <v>131.61000000000001</v>
      </c>
      <c r="N975" s="227">
        <v>92.48</v>
      </c>
      <c r="O975" s="227">
        <v>98.706000000000003</v>
      </c>
      <c r="P975" s="227">
        <v>114.68</v>
      </c>
      <c r="Q975" s="227">
        <v>106.47</v>
      </c>
      <c r="R975" s="227">
        <v>111.45</v>
      </c>
      <c r="S975" s="227"/>
      <c r="T975" s="227">
        <v>79.5</v>
      </c>
      <c r="U975" s="227">
        <v>79.5</v>
      </c>
      <c r="V975" s="227">
        <v>79.5</v>
      </c>
      <c r="W975" s="227">
        <v>79.5</v>
      </c>
      <c r="X975" s="227">
        <v>79.5</v>
      </c>
      <c r="Y975" s="227">
        <v>79.5</v>
      </c>
      <c r="Z975" s="227">
        <v>79.5</v>
      </c>
      <c r="AA975" s="227">
        <v>79.5</v>
      </c>
      <c r="AB975" s="227">
        <v>14.166</v>
      </c>
      <c r="AC975" s="227">
        <v>774.65</v>
      </c>
      <c r="AD975" s="230">
        <v>1.6395833333333334E-4</v>
      </c>
      <c r="AE975" s="230">
        <v>84.996000000000009</v>
      </c>
      <c r="AF975" s="230">
        <v>3816</v>
      </c>
      <c r="AG975" s="230">
        <v>495944.36089991953</v>
      </c>
      <c r="AH975" s="230">
        <v>3509515.6542056487</v>
      </c>
      <c r="AI975" s="230">
        <v>4647.8999999999996</v>
      </c>
    </row>
    <row r="976" spans="5:35" x14ac:dyDescent="0.35">
      <c r="E976" s="226">
        <v>3.16554</v>
      </c>
      <c r="F976" s="227">
        <v>15.801271232876712</v>
      </c>
      <c r="G976" s="227">
        <v>5767.4639999999999</v>
      </c>
      <c r="H976" s="227">
        <v>0.9778</v>
      </c>
      <c r="I976" s="227">
        <v>3.8614999999999999</v>
      </c>
      <c r="J976" s="227">
        <v>0.57410785057861058</v>
      </c>
      <c r="K976" s="227">
        <v>134.06</v>
      </c>
      <c r="L976" s="227">
        <v>134.04</v>
      </c>
      <c r="M976" s="227">
        <v>131.59</v>
      </c>
      <c r="N976" s="227">
        <v>92.468999999999994</v>
      </c>
      <c r="O976" s="227">
        <v>98.697000000000003</v>
      </c>
      <c r="P976" s="227">
        <v>114.67</v>
      </c>
      <c r="Q976" s="227">
        <v>106.46</v>
      </c>
      <c r="R976" s="227">
        <v>111.44</v>
      </c>
      <c r="S976" s="227"/>
      <c r="T976" s="227">
        <v>79.5</v>
      </c>
      <c r="U976" s="227">
        <v>79.5</v>
      </c>
      <c r="V976" s="227">
        <v>79.5</v>
      </c>
      <c r="W976" s="227">
        <v>79.5</v>
      </c>
      <c r="X976" s="227">
        <v>79.5</v>
      </c>
      <c r="Y976" s="227">
        <v>79.5</v>
      </c>
      <c r="Z976" s="227">
        <v>79.5</v>
      </c>
      <c r="AA976" s="227">
        <v>79.5</v>
      </c>
      <c r="AB976" s="227">
        <v>14.137</v>
      </c>
      <c r="AC976" s="227">
        <v>774.65</v>
      </c>
      <c r="AD976" s="230">
        <v>1.6362268518518519E-4</v>
      </c>
      <c r="AE976" s="230">
        <v>84.822000000000003</v>
      </c>
      <c r="AF976" s="230">
        <v>3816</v>
      </c>
      <c r="AG976" s="230">
        <v>496029.18289991951</v>
      </c>
      <c r="AH976" s="230">
        <v>3513331.6542056487</v>
      </c>
      <c r="AI976" s="230">
        <v>4647.8999999999996</v>
      </c>
    </row>
    <row r="977" spans="5:35" x14ac:dyDescent="0.35">
      <c r="E977" s="226">
        <v>3.16954</v>
      </c>
      <c r="F977" s="227">
        <v>15.817709589041096</v>
      </c>
      <c r="G977" s="227">
        <v>5773.4639999999999</v>
      </c>
      <c r="H977" s="227">
        <v>0.9778</v>
      </c>
      <c r="I977" s="227">
        <v>3.8654999999999999</v>
      </c>
      <c r="J977" s="227">
        <v>0.5742058158563883</v>
      </c>
      <c r="K977" s="227">
        <v>134.04</v>
      </c>
      <c r="L977" s="227">
        <v>134.02000000000001</v>
      </c>
      <c r="M977" s="227">
        <v>131.58000000000001</v>
      </c>
      <c r="N977" s="227">
        <v>92.459000000000003</v>
      </c>
      <c r="O977" s="227">
        <v>98.688999999999993</v>
      </c>
      <c r="P977" s="227">
        <v>114.65</v>
      </c>
      <c r="Q977" s="227">
        <v>106.45</v>
      </c>
      <c r="R977" s="227">
        <v>111.43</v>
      </c>
      <c r="S977" s="227"/>
      <c r="T977" s="227">
        <v>79.5</v>
      </c>
      <c r="U977" s="227">
        <v>79.5</v>
      </c>
      <c r="V977" s="227">
        <v>79.5</v>
      </c>
      <c r="W977" s="227">
        <v>79.5</v>
      </c>
      <c r="X977" s="227">
        <v>79.5</v>
      </c>
      <c r="Y977" s="227">
        <v>79.5</v>
      </c>
      <c r="Z977" s="227">
        <v>79.5</v>
      </c>
      <c r="AA977" s="227">
        <v>79.5</v>
      </c>
      <c r="AB977" s="227">
        <v>14.106999999999999</v>
      </c>
      <c r="AC977" s="227">
        <v>774.65</v>
      </c>
      <c r="AD977" s="230">
        <v>1.6327546296296297E-4</v>
      </c>
      <c r="AE977" s="230">
        <v>84.64200000000001</v>
      </c>
      <c r="AF977" s="230">
        <v>3816</v>
      </c>
      <c r="AG977" s="230">
        <v>496113.82489991951</v>
      </c>
      <c r="AH977" s="230">
        <v>3517147.6542056487</v>
      </c>
      <c r="AI977" s="230">
        <v>4647.8999999999996</v>
      </c>
    </row>
    <row r="978" spans="5:35" x14ac:dyDescent="0.35">
      <c r="E978" s="226">
        <v>3.1736400000000002</v>
      </c>
      <c r="F978" s="227">
        <v>15.83414794520548</v>
      </c>
      <c r="G978" s="227">
        <v>5779.4639999999999</v>
      </c>
      <c r="H978" s="227">
        <v>0.97789999999999999</v>
      </c>
      <c r="I978" s="227">
        <v>3.8696000000000002</v>
      </c>
      <c r="J978" s="227">
        <v>0.57430357974527724</v>
      </c>
      <c r="K978" s="227">
        <v>134.02000000000001</v>
      </c>
      <c r="L978" s="227">
        <v>134.01</v>
      </c>
      <c r="M978" s="227">
        <v>131.56</v>
      </c>
      <c r="N978" s="227">
        <v>92.447999999999993</v>
      </c>
      <c r="O978" s="227">
        <v>98.68</v>
      </c>
      <c r="P978" s="227">
        <v>114.64</v>
      </c>
      <c r="Q978" s="227">
        <v>106.44</v>
      </c>
      <c r="R978" s="227">
        <v>111.42</v>
      </c>
      <c r="S978" s="227"/>
      <c r="T978" s="227">
        <v>79.5</v>
      </c>
      <c r="U978" s="227">
        <v>79.5</v>
      </c>
      <c r="V978" s="227">
        <v>79.5</v>
      </c>
      <c r="W978" s="227">
        <v>79.5</v>
      </c>
      <c r="X978" s="227">
        <v>79.5</v>
      </c>
      <c r="Y978" s="227">
        <v>79.5</v>
      </c>
      <c r="Z978" s="227">
        <v>79.5</v>
      </c>
      <c r="AA978" s="227">
        <v>79.5</v>
      </c>
      <c r="AB978" s="227">
        <v>14.077999999999999</v>
      </c>
      <c r="AC978" s="227">
        <v>774.65</v>
      </c>
      <c r="AD978" s="230">
        <v>1.6293981481481482E-4</v>
      </c>
      <c r="AE978" s="230">
        <v>84.468000000000004</v>
      </c>
      <c r="AF978" s="230">
        <v>3816</v>
      </c>
      <c r="AG978" s="230">
        <v>496198.2928999195</v>
      </c>
      <c r="AH978" s="230">
        <v>3520963.6542056487</v>
      </c>
      <c r="AI978" s="230">
        <v>4647.8999999999996</v>
      </c>
    </row>
    <row r="979" spans="5:35" x14ac:dyDescent="0.35">
      <c r="E979" s="226">
        <v>3.1776400000000002</v>
      </c>
      <c r="F979" s="227">
        <v>15.850586301369862</v>
      </c>
      <c r="G979" s="227">
        <v>5785.4639999999999</v>
      </c>
      <c r="H979" s="227">
        <v>0.97789999999999999</v>
      </c>
      <c r="I979" s="227">
        <v>3.8736000000000002</v>
      </c>
      <c r="J979" s="227">
        <v>0.57440114224527716</v>
      </c>
      <c r="K979" s="227">
        <v>134</v>
      </c>
      <c r="L979" s="227">
        <v>133.99</v>
      </c>
      <c r="M979" s="227">
        <v>131.54</v>
      </c>
      <c r="N979" s="227">
        <v>92.438000000000002</v>
      </c>
      <c r="O979" s="227">
        <v>98.67</v>
      </c>
      <c r="P979" s="227">
        <v>114.63</v>
      </c>
      <c r="Q979" s="227">
        <v>106.43</v>
      </c>
      <c r="R979" s="227">
        <v>111.41</v>
      </c>
      <c r="S979" s="227"/>
      <c r="T979" s="227">
        <v>79.5</v>
      </c>
      <c r="U979" s="227">
        <v>79.5</v>
      </c>
      <c r="V979" s="227">
        <v>79.5</v>
      </c>
      <c r="W979" s="227">
        <v>79.5</v>
      </c>
      <c r="X979" s="227">
        <v>79.5</v>
      </c>
      <c r="Y979" s="227">
        <v>79.5</v>
      </c>
      <c r="Z979" s="227">
        <v>79.5</v>
      </c>
      <c r="AA979" s="227">
        <v>79.5</v>
      </c>
      <c r="AB979" s="227">
        <v>14.048999999999999</v>
      </c>
      <c r="AC979" s="227">
        <v>774.65</v>
      </c>
      <c r="AD979" s="230">
        <v>1.6260416666666666E-4</v>
      </c>
      <c r="AE979" s="230">
        <v>84.293999999999997</v>
      </c>
      <c r="AF979" s="230">
        <v>3816</v>
      </c>
      <c r="AG979" s="230">
        <v>496282.58689991949</v>
      </c>
      <c r="AH979" s="230">
        <v>3524779.6542056487</v>
      </c>
      <c r="AI979" s="230">
        <v>4647.8999999999996</v>
      </c>
    </row>
    <row r="980" spans="5:35" x14ac:dyDescent="0.35">
      <c r="E980" s="226">
        <v>3.1816400000000002</v>
      </c>
      <c r="F980" s="227">
        <v>15.867024657534246</v>
      </c>
      <c r="G980" s="227">
        <v>5791.4639999999999</v>
      </c>
      <c r="H980" s="227">
        <v>0.97799999999999998</v>
      </c>
      <c r="I980" s="227">
        <v>3.8776000000000002</v>
      </c>
      <c r="J980" s="227">
        <v>0.5744985033563883</v>
      </c>
      <c r="K980" s="227">
        <v>133.97999999999999</v>
      </c>
      <c r="L980" s="227">
        <v>133.97</v>
      </c>
      <c r="M980" s="227">
        <v>131.52000000000001</v>
      </c>
      <c r="N980" s="227">
        <v>92.427000000000007</v>
      </c>
      <c r="O980" s="227">
        <v>98.662000000000006</v>
      </c>
      <c r="P980" s="227">
        <v>114.62</v>
      </c>
      <c r="Q980" s="227">
        <v>106.43</v>
      </c>
      <c r="R980" s="227">
        <v>111.4</v>
      </c>
      <c r="S980" s="227"/>
      <c r="T980" s="227">
        <v>79.5</v>
      </c>
      <c r="U980" s="227">
        <v>79.5</v>
      </c>
      <c r="V980" s="227">
        <v>79.5</v>
      </c>
      <c r="W980" s="227">
        <v>79.5</v>
      </c>
      <c r="X980" s="227">
        <v>79.5</v>
      </c>
      <c r="Y980" s="227">
        <v>79.5</v>
      </c>
      <c r="Z980" s="227">
        <v>79.5</v>
      </c>
      <c r="AA980" s="227">
        <v>79.5</v>
      </c>
      <c r="AB980" s="227">
        <v>14.02</v>
      </c>
      <c r="AC980" s="227">
        <v>774.65</v>
      </c>
      <c r="AD980" s="230">
        <v>1.6226851851851851E-4</v>
      </c>
      <c r="AE980" s="230">
        <v>84.11999999999999</v>
      </c>
      <c r="AF980" s="230">
        <v>3816</v>
      </c>
      <c r="AG980" s="230">
        <v>496366.70689991949</v>
      </c>
      <c r="AH980" s="230">
        <v>3528595.6542056487</v>
      </c>
      <c r="AI980" s="230">
        <v>4647.8999999999996</v>
      </c>
    </row>
    <row r="981" spans="5:35" x14ac:dyDescent="0.35">
      <c r="E981" s="226">
        <v>3.1856400000000002</v>
      </c>
      <c r="F981" s="227">
        <v>15.883463013698631</v>
      </c>
      <c r="G981" s="227">
        <v>5797.4639999999999</v>
      </c>
      <c r="H981" s="227">
        <v>0.97799999999999998</v>
      </c>
      <c r="I981" s="227">
        <v>3.8816000000000002</v>
      </c>
      <c r="J981" s="227">
        <v>0.57459566307861054</v>
      </c>
      <c r="K981" s="227">
        <v>133.96</v>
      </c>
      <c r="L981" s="227">
        <v>133.96</v>
      </c>
      <c r="M981" s="227">
        <v>131.5</v>
      </c>
      <c r="N981" s="227">
        <v>92.417000000000002</v>
      </c>
      <c r="O981" s="227">
        <v>98.653999999999996</v>
      </c>
      <c r="P981" s="227">
        <v>114.6</v>
      </c>
      <c r="Q981" s="227">
        <v>106.42</v>
      </c>
      <c r="R981" s="227">
        <v>111.39</v>
      </c>
      <c r="S981" s="227"/>
      <c r="T981" s="227">
        <v>79.5</v>
      </c>
      <c r="U981" s="227">
        <v>79.5</v>
      </c>
      <c r="V981" s="227">
        <v>79.5</v>
      </c>
      <c r="W981" s="227">
        <v>79.5</v>
      </c>
      <c r="X981" s="227">
        <v>79.5</v>
      </c>
      <c r="Y981" s="227">
        <v>79.5</v>
      </c>
      <c r="Z981" s="227">
        <v>79.5</v>
      </c>
      <c r="AA981" s="227">
        <v>79.5</v>
      </c>
      <c r="AB981" s="227">
        <v>13.991</v>
      </c>
      <c r="AC981" s="227">
        <v>774.65</v>
      </c>
      <c r="AD981" s="230">
        <v>1.6193287037037036E-4</v>
      </c>
      <c r="AE981" s="230">
        <v>83.945999999999998</v>
      </c>
      <c r="AF981" s="230">
        <v>3816</v>
      </c>
      <c r="AG981" s="230">
        <v>496450.65289991949</v>
      </c>
      <c r="AH981" s="230">
        <v>3532411.6542056487</v>
      </c>
      <c r="AI981" s="230">
        <v>4647.8999999999996</v>
      </c>
    </row>
    <row r="982" spans="5:35" x14ac:dyDescent="0.35">
      <c r="E982" s="226">
        <v>3.1896400000000003</v>
      </c>
      <c r="F982" s="227">
        <v>15.899901369863013</v>
      </c>
      <c r="G982" s="227">
        <v>5803.4639999999999</v>
      </c>
      <c r="H982" s="227">
        <v>0.97799999999999998</v>
      </c>
      <c r="I982" s="227">
        <v>3.8856000000000002</v>
      </c>
      <c r="J982" s="227">
        <v>0.57469262141194388</v>
      </c>
      <c r="K982" s="227">
        <v>133.94</v>
      </c>
      <c r="L982" s="227">
        <v>133.94</v>
      </c>
      <c r="M982" s="227">
        <v>131.47999999999999</v>
      </c>
      <c r="N982" s="227">
        <v>92.406000000000006</v>
      </c>
      <c r="O982" s="227">
        <v>98.643000000000001</v>
      </c>
      <c r="P982" s="227">
        <v>114.59</v>
      </c>
      <c r="Q982" s="227">
        <v>106.41</v>
      </c>
      <c r="R982" s="227">
        <v>111.38</v>
      </c>
      <c r="S982" s="227"/>
      <c r="T982" s="227">
        <v>79.5</v>
      </c>
      <c r="U982" s="227">
        <v>79.5</v>
      </c>
      <c r="V982" s="227">
        <v>79.5</v>
      </c>
      <c r="W982" s="227">
        <v>79.5</v>
      </c>
      <c r="X982" s="227">
        <v>79.5</v>
      </c>
      <c r="Y982" s="227">
        <v>79.5</v>
      </c>
      <c r="Z982" s="227">
        <v>79.5</v>
      </c>
      <c r="AA982" s="227">
        <v>79.5</v>
      </c>
      <c r="AB982" s="227">
        <v>13.962</v>
      </c>
      <c r="AC982" s="227">
        <v>774.65</v>
      </c>
      <c r="AD982" s="230">
        <v>1.6159722222222221E-4</v>
      </c>
      <c r="AE982" s="230">
        <v>83.771999999999991</v>
      </c>
      <c r="AF982" s="230">
        <v>3816</v>
      </c>
      <c r="AG982" s="230">
        <v>496534.42489991948</v>
      </c>
      <c r="AH982" s="230">
        <v>3536227.6542056487</v>
      </c>
      <c r="AI982" s="230">
        <v>4647.8999999999996</v>
      </c>
    </row>
    <row r="983" spans="5:35" x14ac:dyDescent="0.35">
      <c r="E983" s="226">
        <v>3.19374</v>
      </c>
      <c r="F983" s="227">
        <v>15.916339726027397</v>
      </c>
      <c r="G983" s="227">
        <v>5809.4639999999999</v>
      </c>
      <c r="H983" s="227">
        <v>0.97809999999999997</v>
      </c>
      <c r="I983" s="227">
        <v>3.8896999999999999</v>
      </c>
      <c r="J983" s="227">
        <v>0.57478938530083268</v>
      </c>
      <c r="K983" s="227">
        <v>133.91999999999999</v>
      </c>
      <c r="L983" s="227">
        <v>133.93</v>
      </c>
      <c r="M983" s="227">
        <v>131.46</v>
      </c>
      <c r="N983" s="227">
        <v>92.396000000000001</v>
      </c>
      <c r="O983" s="227">
        <v>98.635000000000005</v>
      </c>
      <c r="P983" s="227">
        <v>114.58</v>
      </c>
      <c r="Q983" s="227">
        <v>106.4</v>
      </c>
      <c r="R983" s="227">
        <v>111.37</v>
      </c>
      <c r="S983" s="227"/>
      <c r="T983" s="227">
        <v>79.5</v>
      </c>
      <c r="U983" s="227">
        <v>79.5</v>
      </c>
      <c r="V983" s="227">
        <v>79.5</v>
      </c>
      <c r="W983" s="227">
        <v>79.5</v>
      </c>
      <c r="X983" s="227">
        <v>79.5</v>
      </c>
      <c r="Y983" s="227">
        <v>79.5</v>
      </c>
      <c r="Z983" s="227">
        <v>79.5</v>
      </c>
      <c r="AA983" s="227">
        <v>79.5</v>
      </c>
      <c r="AB983" s="227">
        <v>13.933999999999999</v>
      </c>
      <c r="AC983" s="227">
        <v>774.65</v>
      </c>
      <c r="AD983" s="230">
        <v>1.6127314814814813E-4</v>
      </c>
      <c r="AE983" s="230">
        <v>83.603999999999985</v>
      </c>
      <c r="AF983" s="230">
        <v>3816</v>
      </c>
      <c r="AG983" s="230">
        <v>496618.02889991947</v>
      </c>
      <c r="AH983" s="230">
        <v>3540043.6542056487</v>
      </c>
      <c r="AI983" s="230">
        <v>4647.8999999999996</v>
      </c>
    </row>
    <row r="984" spans="5:35" x14ac:dyDescent="0.35">
      <c r="E984" s="226">
        <v>3.19774</v>
      </c>
      <c r="F984" s="227">
        <v>15.932778082191781</v>
      </c>
      <c r="G984" s="227">
        <v>5815.4639999999999</v>
      </c>
      <c r="H984" s="227">
        <v>0.97809999999999997</v>
      </c>
      <c r="I984" s="227">
        <v>3.8936999999999999</v>
      </c>
      <c r="J984" s="227">
        <v>0.57488594780083269</v>
      </c>
      <c r="K984" s="227">
        <v>133.9</v>
      </c>
      <c r="L984" s="227">
        <v>133.91</v>
      </c>
      <c r="M984" s="227">
        <v>131.44</v>
      </c>
      <c r="N984" s="227">
        <v>92.385999999999996</v>
      </c>
      <c r="O984" s="227">
        <v>98.626000000000005</v>
      </c>
      <c r="P984" s="227">
        <v>114.56</v>
      </c>
      <c r="Q984" s="227">
        <v>106.4</v>
      </c>
      <c r="R984" s="227">
        <v>111.36</v>
      </c>
      <c r="S984" s="227"/>
      <c r="T984" s="227">
        <v>79.5</v>
      </c>
      <c r="U984" s="227">
        <v>79.5</v>
      </c>
      <c r="V984" s="227">
        <v>79.5</v>
      </c>
      <c r="W984" s="227">
        <v>79.5</v>
      </c>
      <c r="X984" s="227">
        <v>79.5</v>
      </c>
      <c r="Y984" s="227">
        <v>79.5</v>
      </c>
      <c r="Z984" s="227">
        <v>79.5</v>
      </c>
      <c r="AA984" s="227">
        <v>79.5</v>
      </c>
      <c r="AB984" s="227">
        <v>13.904999999999999</v>
      </c>
      <c r="AC984" s="227">
        <v>774.65</v>
      </c>
      <c r="AD984" s="230">
        <v>1.609375E-4</v>
      </c>
      <c r="AE984" s="230">
        <v>83.43</v>
      </c>
      <c r="AF984" s="230">
        <v>3816</v>
      </c>
      <c r="AG984" s="230">
        <v>496701.45889991947</v>
      </c>
      <c r="AH984" s="230">
        <v>3543859.6542056487</v>
      </c>
      <c r="AI984" s="230">
        <v>4647.8999999999996</v>
      </c>
    </row>
    <row r="985" spans="5:35" x14ac:dyDescent="0.35">
      <c r="E985" s="226">
        <v>3.20174</v>
      </c>
      <c r="F985" s="227">
        <v>15.949216438356164</v>
      </c>
      <c r="G985" s="227">
        <v>5821.4639999999999</v>
      </c>
      <c r="H985" s="227">
        <v>0.97819999999999996</v>
      </c>
      <c r="I985" s="227">
        <v>3.8976999999999999</v>
      </c>
      <c r="J985" s="227">
        <v>0.57498231585638826</v>
      </c>
      <c r="K985" s="227">
        <v>133.88</v>
      </c>
      <c r="L985" s="227">
        <v>133.9</v>
      </c>
      <c r="M985" s="227">
        <v>131.43</v>
      </c>
      <c r="N985" s="227">
        <v>92.376000000000005</v>
      </c>
      <c r="O985" s="227">
        <v>98.619</v>
      </c>
      <c r="P985" s="227">
        <v>114.55</v>
      </c>
      <c r="Q985" s="227">
        <v>106.39</v>
      </c>
      <c r="R985" s="227">
        <v>111.36</v>
      </c>
      <c r="S985" s="227"/>
      <c r="T985" s="227">
        <v>79.5</v>
      </c>
      <c r="U985" s="227">
        <v>79.5</v>
      </c>
      <c r="V985" s="227">
        <v>79.5</v>
      </c>
      <c r="W985" s="227">
        <v>79.5</v>
      </c>
      <c r="X985" s="227">
        <v>79.5</v>
      </c>
      <c r="Y985" s="227">
        <v>79.5</v>
      </c>
      <c r="Z985" s="227">
        <v>79.5</v>
      </c>
      <c r="AA985" s="227">
        <v>79.5</v>
      </c>
      <c r="AB985" s="227">
        <v>13.877000000000001</v>
      </c>
      <c r="AC985" s="227">
        <v>774.65</v>
      </c>
      <c r="AD985" s="230">
        <v>1.6061342592592595E-4</v>
      </c>
      <c r="AE985" s="230">
        <v>83.262000000000015</v>
      </c>
      <c r="AF985" s="230">
        <v>3816</v>
      </c>
      <c r="AG985" s="230">
        <v>496784.72089991946</v>
      </c>
      <c r="AH985" s="230">
        <v>3547675.6542056487</v>
      </c>
      <c r="AI985" s="230">
        <v>4647.8999999999996</v>
      </c>
    </row>
    <row r="986" spans="5:35" x14ac:dyDescent="0.35">
      <c r="E986" s="226">
        <v>3.20574</v>
      </c>
      <c r="F986" s="227">
        <v>15.965654794520548</v>
      </c>
      <c r="G986" s="227">
        <v>5827.4639999999999</v>
      </c>
      <c r="H986" s="227">
        <v>0.97819999999999996</v>
      </c>
      <c r="I986" s="227">
        <v>3.9016999999999999</v>
      </c>
      <c r="J986" s="227">
        <v>0.57507848252305493</v>
      </c>
      <c r="K986" s="227">
        <v>133.86000000000001</v>
      </c>
      <c r="L986" s="227">
        <v>133.88</v>
      </c>
      <c r="M986" s="227">
        <v>131.41</v>
      </c>
      <c r="N986" s="227">
        <v>92.366</v>
      </c>
      <c r="O986" s="227">
        <v>98.608000000000004</v>
      </c>
      <c r="P986" s="227">
        <v>114.54</v>
      </c>
      <c r="Q986" s="227">
        <v>106.38</v>
      </c>
      <c r="R986" s="227">
        <v>111.34</v>
      </c>
      <c r="S986" s="227"/>
      <c r="T986" s="227">
        <v>79.5</v>
      </c>
      <c r="U986" s="227">
        <v>79.5</v>
      </c>
      <c r="V986" s="227">
        <v>79.5</v>
      </c>
      <c r="W986" s="227">
        <v>79.5</v>
      </c>
      <c r="X986" s="227">
        <v>79.5</v>
      </c>
      <c r="Y986" s="227">
        <v>79.5</v>
      </c>
      <c r="Z986" s="227">
        <v>79.5</v>
      </c>
      <c r="AA986" s="227">
        <v>79.5</v>
      </c>
      <c r="AB986" s="227">
        <v>13.848000000000001</v>
      </c>
      <c r="AC986" s="227">
        <v>774.65</v>
      </c>
      <c r="AD986" s="230">
        <v>1.6027777777777779E-4</v>
      </c>
      <c r="AE986" s="230">
        <v>83.088000000000008</v>
      </c>
      <c r="AF986" s="230">
        <v>3816</v>
      </c>
      <c r="AG986" s="230">
        <v>496867.80889991944</v>
      </c>
      <c r="AH986" s="230">
        <v>3551491.6542056487</v>
      </c>
      <c r="AI986" s="230">
        <v>4647.8999999999996</v>
      </c>
    </row>
    <row r="987" spans="5:35" x14ac:dyDescent="0.35">
      <c r="E987" s="226">
        <v>3.20974</v>
      </c>
      <c r="F987" s="227">
        <v>15.982093150684932</v>
      </c>
      <c r="G987" s="227">
        <v>5833.4639999999999</v>
      </c>
      <c r="H987" s="227">
        <v>0.97829999999999995</v>
      </c>
      <c r="I987" s="227">
        <v>3.9056999999999999</v>
      </c>
      <c r="J987" s="227">
        <v>0.57517445474527706</v>
      </c>
      <c r="K987" s="227">
        <v>133.83000000000001</v>
      </c>
      <c r="L987" s="227">
        <v>133.86000000000001</v>
      </c>
      <c r="M987" s="227">
        <v>131.38999999999999</v>
      </c>
      <c r="N987" s="227">
        <v>92.355000000000004</v>
      </c>
      <c r="O987" s="227">
        <v>98.6</v>
      </c>
      <c r="P987" s="227">
        <v>114.53</v>
      </c>
      <c r="Q987" s="227">
        <v>106.37</v>
      </c>
      <c r="R987" s="227">
        <v>111.34</v>
      </c>
      <c r="S987" s="227"/>
      <c r="T987" s="227">
        <v>79.5</v>
      </c>
      <c r="U987" s="227">
        <v>79.5</v>
      </c>
      <c r="V987" s="227">
        <v>79.5</v>
      </c>
      <c r="W987" s="227">
        <v>79.5</v>
      </c>
      <c r="X987" s="227">
        <v>79.5</v>
      </c>
      <c r="Y987" s="227">
        <v>79.5</v>
      </c>
      <c r="Z987" s="227">
        <v>79.5</v>
      </c>
      <c r="AA987" s="227">
        <v>79.5</v>
      </c>
      <c r="AB987" s="227">
        <v>13.82</v>
      </c>
      <c r="AC987" s="227">
        <v>774.65</v>
      </c>
      <c r="AD987" s="230">
        <v>1.5995370370370371E-4</v>
      </c>
      <c r="AE987" s="230">
        <v>82.92</v>
      </c>
      <c r="AF987" s="230">
        <v>3816</v>
      </c>
      <c r="AG987" s="230">
        <v>496950.72889991943</v>
      </c>
      <c r="AH987" s="230">
        <v>3555307.6542056487</v>
      </c>
      <c r="AI987" s="230">
        <v>4647.8999999999996</v>
      </c>
    </row>
    <row r="988" spans="5:35" x14ac:dyDescent="0.35">
      <c r="E988" s="226">
        <v>3.21374</v>
      </c>
      <c r="F988" s="227">
        <v>15.998531506849314</v>
      </c>
      <c r="G988" s="227">
        <v>5839.4639999999999</v>
      </c>
      <c r="H988" s="227">
        <v>0.97829999999999995</v>
      </c>
      <c r="I988" s="227">
        <v>3.9097</v>
      </c>
      <c r="J988" s="227">
        <v>0.57527023252305487</v>
      </c>
      <c r="K988" s="227">
        <v>133.81</v>
      </c>
      <c r="L988" s="227">
        <v>133.85</v>
      </c>
      <c r="M988" s="227">
        <v>131.37</v>
      </c>
      <c r="N988" s="227">
        <v>92.344999999999999</v>
      </c>
      <c r="O988" s="227">
        <v>98.590999999999994</v>
      </c>
      <c r="P988" s="227">
        <v>114.51</v>
      </c>
      <c r="Q988" s="227">
        <v>106.37</v>
      </c>
      <c r="R988" s="227">
        <v>111.33</v>
      </c>
      <c r="S988" s="227"/>
      <c r="T988" s="227">
        <v>79.5</v>
      </c>
      <c r="U988" s="227">
        <v>79.5</v>
      </c>
      <c r="V988" s="227">
        <v>79.5</v>
      </c>
      <c r="W988" s="227">
        <v>79.5</v>
      </c>
      <c r="X988" s="227">
        <v>79.5</v>
      </c>
      <c r="Y988" s="227">
        <v>79.5</v>
      </c>
      <c r="Z988" s="227">
        <v>79.5</v>
      </c>
      <c r="AA988" s="227">
        <v>79.5</v>
      </c>
      <c r="AB988" s="227">
        <v>13.792</v>
      </c>
      <c r="AC988" s="227">
        <v>774.65</v>
      </c>
      <c r="AD988" s="230">
        <v>1.5962962962962963E-4</v>
      </c>
      <c r="AE988" s="230">
        <v>82.751999999999995</v>
      </c>
      <c r="AF988" s="230">
        <v>3816</v>
      </c>
      <c r="AG988" s="230">
        <v>497033.48089991941</v>
      </c>
      <c r="AH988" s="230">
        <v>3559123.6542056487</v>
      </c>
      <c r="AI988" s="230">
        <v>4647.8999999999996</v>
      </c>
    </row>
    <row r="989" spans="5:35" x14ac:dyDescent="0.35">
      <c r="E989" s="226">
        <v>3.2178400000000003</v>
      </c>
      <c r="F989" s="227">
        <v>16.014969863013697</v>
      </c>
      <c r="G989" s="227">
        <v>5845.4639999999999</v>
      </c>
      <c r="H989" s="227">
        <v>0.97840000000000005</v>
      </c>
      <c r="I989" s="227">
        <v>3.9138000000000002</v>
      </c>
      <c r="J989" s="227">
        <v>0.57536581585638813</v>
      </c>
      <c r="K989" s="227">
        <v>133.80000000000001</v>
      </c>
      <c r="L989" s="227">
        <v>133.83000000000001</v>
      </c>
      <c r="M989" s="227">
        <v>131.35</v>
      </c>
      <c r="N989" s="227">
        <v>92.334999999999994</v>
      </c>
      <c r="O989" s="227">
        <v>98.582999999999998</v>
      </c>
      <c r="P989" s="227">
        <v>114.5</v>
      </c>
      <c r="Q989" s="227">
        <v>106.36</v>
      </c>
      <c r="R989" s="227">
        <v>111.32</v>
      </c>
      <c r="S989" s="227"/>
      <c r="T989" s="227">
        <v>79.5</v>
      </c>
      <c r="U989" s="227">
        <v>79.5</v>
      </c>
      <c r="V989" s="227">
        <v>79.5</v>
      </c>
      <c r="W989" s="227">
        <v>79.5</v>
      </c>
      <c r="X989" s="227">
        <v>79.5</v>
      </c>
      <c r="Y989" s="227">
        <v>79.5</v>
      </c>
      <c r="Z989" s="227">
        <v>79.5</v>
      </c>
      <c r="AA989" s="227">
        <v>79.5</v>
      </c>
      <c r="AB989" s="227">
        <v>13.763999999999999</v>
      </c>
      <c r="AC989" s="227">
        <v>774.65</v>
      </c>
      <c r="AD989" s="230">
        <v>1.5930555555555555E-4</v>
      </c>
      <c r="AE989" s="230">
        <v>82.583999999999989</v>
      </c>
      <c r="AF989" s="230">
        <v>3816</v>
      </c>
      <c r="AG989" s="230">
        <v>497116.06489991938</v>
      </c>
      <c r="AH989" s="230">
        <v>3562939.6542056487</v>
      </c>
      <c r="AI989" s="230">
        <v>4647.8999999999996</v>
      </c>
    </row>
    <row r="990" spans="5:35" x14ac:dyDescent="0.35">
      <c r="E990" s="226">
        <v>3.2218400000000003</v>
      </c>
      <c r="F990" s="227">
        <v>16.031408219178083</v>
      </c>
      <c r="G990" s="227">
        <v>5851.4639999999999</v>
      </c>
      <c r="H990" s="227">
        <v>0.97840000000000005</v>
      </c>
      <c r="I990" s="227">
        <v>3.9178000000000002</v>
      </c>
      <c r="J990" s="227">
        <v>0.57546120474527707</v>
      </c>
      <c r="K990" s="227">
        <v>133.78</v>
      </c>
      <c r="L990" s="227">
        <v>133.82</v>
      </c>
      <c r="M990" s="227">
        <v>131.33000000000001</v>
      </c>
      <c r="N990" s="227">
        <v>92.325000000000003</v>
      </c>
      <c r="O990" s="227">
        <v>98.573999999999998</v>
      </c>
      <c r="P990" s="227">
        <v>114.49</v>
      </c>
      <c r="Q990" s="227">
        <v>106.35</v>
      </c>
      <c r="R990" s="227">
        <v>111.31</v>
      </c>
      <c r="S990" s="227"/>
      <c r="T990" s="227">
        <v>79.5</v>
      </c>
      <c r="U990" s="227">
        <v>79.5</v>
      </c>
      <c r="V990" s="227">
        <v>79.5</v>
      </c>
      <c r="W990" s="227">
        <v>79.5</v>
      </c>
      <c r="X990" s="227">
        <v>79.5</v>
      </c>
      <c r="Y990" s="227">
        <v>79.5</v>
      </c>
      <c r="Z990" s="227">
        <v>79.5</v>
      </c>
      <c r="AA990" s="227">
        <v>79.5</v>
      </c>
      <c r="AB990" s="227">
        <v>13.736000000000001</v>
      </c>
      <c r="AC990" s="227">
        <v>774.65</v>
      </c>
      <c r="AD990" s="230">
        <v>1.5898148148148149E-4</v>
      </c>
      <c r="AE990" s="230">
        <v>82.415999999999997</v>
      </c>
      <c r="AF990" s="230">
        <v>3816</v>
      </c>
      <c r="AG990" s="230">
        <v>497198.48089991941</v>
      </c>
      <c r="AH990" s="230">
        <v>3566755.6542056487</v>
      </c>
      <c r="AI990" s="230">
        <v>4647.8999999999996</v>
      </c>
    </row>
    <row r="991" spans="5:35" x14ac:dyDescent="0.35">
      <c r="E991" s="226">
        <v>3.2258400000000003</v>
      </c>
      <c r="F991" s="227">
        <v>16.047846575342465</v>
      </c>
      <c r="G991" s="227">
        <v>5857.4639999999999</v>
      </c>
      <c r="H991" s="227">
        <v>0.97840000000000005</v>
      </c>
      <c r="I991" s="227">
        <v>3.9218000000000002</v>
      </c>
      <c r="J991" s="227">
        <v>0.57555639918972157</v>
      </c>
      <c r="K991" s="227">
        <v>133.76</v>
      </c>
      <c r="L991" s="227">
        <v>133.80000000000001</v>
      </c>
      <c r="M991" s="227">
        <v>131.32</v>
      </c>
      <c r="N991" s="227">
        <v>92.314999999999998</v>
      </c>
      <c r="O991" s="227">
        <v>98.566000000000003</v>
      </c>
      <c r="P991" s="227">
        <v>114.48</v>
      </c>
      <c r="Q991" s="227">
        <v>106.34</v>
      </c>
      <c r="R991" s="227">
        <v>111.3</v>
      </c>
      <c r="S991" s="227"/>
      <c r="T991" s="227">
        <v>79.5</v>
      </c>
      <c r="U991" s="227">
        <v>79.5</v>
      </c>
      <c r="V991" s="227">
        <v>79.5</v>
      </c>
      <c r="W991" s="227">
        <v>79.5</v>
      </c>
      <c r="X991" s="227">
        <v>79.5</v>
      </c>
      <c r="Y991" s="227">
        <v>79.5</v>
      </c>
      <c r="Z991" s="227">
        <v>79.5</v>
      </c>
      <c r="AA991" s="227">
        <v>79.5</v>
      </c>
      <c r="AB991" s="227">
        <v>13.708</v>
      </c>
      <c r="AC991" s="227">
        <v>774.65</v>
      </c>
      <c r="AD991" s="230">
        <v>1.5865740740740741E-4</v>
      </c>
      <c r="AE991" s="230">
        <v>82.248000000000005</v>
      </c>
      <c r="AF991" s="230">
        <v>3816</v>
      </c>
      <c r="AG991" s="230">
        <v>497280.72889991943</v>
      </c>
      <c r="AH991" s="230">
        <v>3570571.6542056487</v>
      </c>
      <c r="AI991" s="230">
        <v>4647.8999999999996</v>
      </c>
    </row>
    <row r="992" spans="5:35" x14ac:dyDescent="0.35">
      <c r="E992" s="226">
        <v>3.2298400000000003</v>
      </c>
      <c r="F992" s="227">
        <v>16.064284931506847</v>
      </c>
      <c r="G992" s="227">
        <v>5863.4639999999999</v>
      </c>
      <c r="H992" s="227">
        <v>0.97850000000000004</v>
      </c>
      <c r="I992" s="227">
        <v>3.9258000000000002</v>
      </c>
      <c r="J992" s="227">
        <v>0.57565139918972152</v>
      </c>
      <c r="K992" s="227">
        <v>133.72999999999999</v>
      </c>
      <c r="L992" s="227">
        <v>133.79</v>
      </c>
      <c r="M992" s="227">
        <v>131.30000000000001</v>
      </c>
      <c r="N992" s="227">
        <v>92.305000000000007</v>
      </c>
      <c r="O992" s="227">
        <v>98.555999999999997</v>
      </c>
      <c r="P992" s="227">
        <v>114.46</v>
      </c>
      <c r="Q992" s="227">
        <v>106.34</v>
      </c>
      <c r="R992" s="227">
        <v>111.29</v>
      </c>
      <c r="S992" s="227"/>
      <c r="T992" s="227">
        <v>79.5</v>
      </c>
      <c r="U992" s="227">
        <v>79.5</v>
      </c>
      <c r="V992" s="227">
        <v>79.5</v>
      </c>
      <c r="W992" s="227">
        <v>79.5</v>
      </c>
      <c r="X992" s="227">
        <v>79.5</v>
      </c>
      <c r="Y992" s="227">
        <v>79.5</v>
      </c>
      <c r="Z992" s="227">
        <v>79.5</v>
      </c>
      <c r="AA992" s="227">
        <v>79.5</v>
      </c>
      <c r="AB992" s="227">
        <v>13.68</v>
      </c>
      <c r="AC992" s="227">
        <v>774.65</v>
      </c>
      <c r="AD992" s="230">
        <v>1.5833333333333332E-4</v>
      </c>
      <c r="AE992" s="230">
        <v>82.079999999999984</v>
      </c>
      <c r="AF992" s="230">
        <v>3816</v>
      </c>
      <c r="AG992" s="230">
        <v>497362.80889991944</v>
      </c>
      <c r="AH992" s="230">
        <v>3574387.6542056487</v>
      </c>
      <c r="AI992" s="230">
        <v>4647.8999999999996</v>
      </c>
    </row>
    <row r="993" spans="5:35" x14ac:dyDescent="0.35">
      <c r="E993" s="226">
        <v>3.2338400000000003</v>
      </c>
      <c r="F993" s="227">
        <v>16.080723287671233</v>
      </c>
      <c r="G993" s="227">
        <v>5869.4639999999999</v>
      </c>
      <c r="H993" s="227">
        <v>0.97850000000000004</v>
      </c>
      <c r="I993" s="227">
        <v>3.9298000000000002</v>
      </c>
      <c r="J993" s="227">
        <v>0.57574620474527716</v>
      </c>
      <c r="K993" s="227">
        <v>133.71</v>
      </c>
      <c r="L993" s="227">
        <v>133.77000000000001</v>
      </c>
      <c r="M993" s="227">
        <v>131.28</v>
      </c>
      <c r="N993" s="227">
        <v>92.295000000000002</v>
      </c>
      <c r="O993" s="227">
        <v>98.548000000000002</v>
      </c>
      <c r="P993" s="227">
        <v>114.45</v>
      </c>
      <c r="Q993" s="227">
        <v>106.33</v>
      </c>
      <c r="R993" s="227">
        <v>111.28</v>
      </c>
      <c r="S993" s="227"/>
      <c r="T993" s="227">
        <v>79.5</v>
      </c>
      <c r="U993" s="227">
        <v>79.5</v>
      </c>
      <c r="V993" s="227">
        <v>79.5</v>
      </c>
      <c r="W993" s="227">
        <v>79.5</v>
      </c>
      <c r="X993" s="227">
        <v>79.5</v>
      </c>
      <c r="Y993" s="227">
        <v>79.5</v>
      </c>
      <c r="Z993" s="227">
        <v>79.5</v>
      </c>
      <c r="AA993" s="227">
        <v>79.5</v>
      </c>
      <c r="AB993" s="227">
        <v>13.651999999999999</v>
      </c>
      <c r="AC993" s="227">
        <v>774.65</v>
      </c>
      <c r="AD993" s="230">
        <v>1.5800925925925924E-4</v>
      </c>
      <c r="AE993" s="230">
        <v>81.911999999999992</v>
      </c>
      <c r="AF993" s="230">
        <v>3816</v>
      </c>
      <c r="AG993" s="230">
        <v>497444.72089991946</v>
      </c>
      <c r="AH993" s="230">
        <v>3578203.6542056487</v>
      </c>
      <c r="AI993" s="230">
        <v>4647.8999999999996</v>
      </c>
    </row>
    <row r="994" spans="5:35" x14ac:dyDescent="0.35">
      <c r="E994" s="226">
        <v>3.2378400000000003</v>
      </c>
      <c r="F994" s="227">
        <v>16.097161643835616</v>
      </c>
      <c r="G994" s="227">
        <v>5875.4639999999999</v>
      </c>
      <c r="H994" s="227">
        <v>0.97860000000000003</v>
      </c>
      <c r="I994" s="227">
        <v>3.9338000000000002</v>
      </c>
      <c r="J994" s="227">
        <v>0.57584082280083271</v>
      </c>
      <c r="K994" s="227">
        <v>133.69999999999999</v>
      </c>
      <c r="L994" s="227">
        <v>133.76</v>
      </c>
      <c r="M994" s="227">
        <v>131.26</v>
      </c>
      <c r="N994" s="227">
        <v>92.284000000000006</v>
      </c>
      <c r="O994" s="227">
        <v>98.54</v>
      </c>
      <c r="P994" s="227">
        <v>114.44</v>
      </c>
      <c r="Q994" s="227">
        <v>106.32</v>
      </c>
      <c r="R994" s="227">
        <v>111.27</v>
      </c>
      <c r="S994" s="227"/>
      <c r="T994" s="227">
        <v>79.5</v>
      </c>
      <c r="U994" s="227">
        <v>79.5</v>
      </c>
      <c r="V994" s="227">
        <v>79.5</v>
      </c>
      <c r="W994" s="227">
        <v>79.5</v>
      </c>
      <c r="X994" s="227">
        <v>79.5</v>
      </c>
      <c r="Y994" s="227">
        <v>79.5</v>
      </c>
      <c r="Z994" s="227">
        <v>79.5</v>
      </c>
      <c r="AA994" s="227">
        <v>79.5</v>
      </c>
      <c r="AB994" s="227">
        <v>13.625</v>
      </c>
      <c r="AC994" s="227">
        <v>774.65</v>
      </c>
      <c r="AD994" s="230">
        <v>1.5769675925925925E-4</v>
      </c>
      <c r="AE994" s="230">
        <v>81.75</v>
      </c>
      <c r="AF994" s="230">
        <v>3816</v>
      </c>
      <c r="AG994" s="230">
        <v>497526.47089991946</v>
      </c>
      <c r="AH994" s="230">
        <v>3582019.6542056487</v>
      </c>
      <c r="AI994" s="230">
        <v>4647.8999999999996</v>
      </c>
    </row>
    <row r="995" spans="5:35" x14ac:dyDescent="0.35">
      <c r="E995" s="226">
        <v>3.24194</v>
      </c>
      <c r="F995" s="227">
        <v>16.113599999999998</v>
      </c>
      <c r="G995" s="227">
        <v>5881.4639999999999</v>
      </c>
      <c r="H995" s="227">
        <v>0.97860000000000003</v>
      </c>
      <c r="I995" s="227">
        <v>3.9379</v>
      </c>
      <c r="J995" s="227">
        <v>0.57593524641194382</v>
      </c>
      <c r="K995" s="227">
        <v>133.66999999999999</v>
      </c>
      <c r="L995" s="227">
        <v>133.74</v>
      </c>
      <c r="M995" s="227">
        <v>131.24</v>
      </c>
      <c r="N995" s="227">
        <v>92.275000000000006</v>
      </c>
      <c r="O995" s="227">
        <v>98.53</v>
      </c>
      <c r="P995" s="227">
        <v>114.42</v>
      </c>
      <c r="Q995" s="227">
        <v>106.31</v>
      </c>
      <c r="R995" s="227">
        <v>111.26</v>
      </c>
      <c r="S995" s="227"/>
      <c r="T995" s="227">
        <v>79.5</v>
      </c>
      <c r="U995" s="227">
        <v>79.5</v>
      </c>
      <c r="V995" s="227">
        <v>79.5</v>
      </c>
      <c r="W995" s="227">
        <v>79.5</v>
      </c>
      <c r="X995" s="227">
        <v>79.5</v>
      </c>
      <c r="Y995" s="227">
        <v>79.5</v>
      </c>
      <c r="Z995" s="227">
        <v>79.5</v>
      </c>
      <c r="AA995" s="227">
        <v>79.5</v>
      </c>
      <c r="AB995" s="227">
        <v>13.597</v>
      </c>
      <c r="AC995" s="227">
        <v>774.65</v>
      </c>
      <c r="AD995" s="230">
        <v>1.5737268518518517E-4</v>
      </c>
      <c r="AE995" s="230">
        <v>81.581999999999994</v>
      </c>
      <c r="AF995" s="230">
        <v>3816</v>
      </c>
      <c r="AG995" s="230">
        <v>497608.05289991945</v>
      </c>
      <c r="AH995" s="230">
        <v>3585835.6542056487</v>
      </c>
      <c r="AI995" s="230">
        <v>4647.8999999999996</v>
      </c>
    </row>
    <row r="996" spans="5:35" x14ac:dyDescent="0.35">
      <c r="E996" s="226">
        <v>3.24594</v>
      </c>
      <c r="F996" s="227">
        <v>16.130038356164384</v>
      </c>
      <c r="G996" s="227">
        <v>5887.4639999999999</v>
      </c>
      <c r="H996" s="227">
        <v>0.97870000000000001</v>
      </c>
      <c r="I996" s="227">
        <v>3.9419</v>
      </c>
      <c r="J996" s="227">
        <v>0.57602948252305486</v>
      </c>
      <c r="K996" s="227">
        <v>133.65</v>
      </c>
      <c r="L996" s="227">
        <v>133.72999999999999</v>
      </c>
      <c r="M996" s="227">
        <v>131.22</v>
      </c>
      <c r="N996" s="227">
        <v>92.265000000000001</v>
      </c>
      <c r="O996" s="227">
        <v>98.522000000000006</v>
      </c>
      <c r="P996" s="227">
        <v>114.41</v>
      </c>
      <c r="Q996" s="227">
        <v>106.31</v>
      </c>
      <c r="R996" s="227">
        <v>111.25</v>
      </c>
      <c r="S996" s="227"/>
      <c r="T996" s="227">
        <v>79.5</v>
      </c>
      <c r="U996" s="227">
        <v>79.5</v>
      </c>
      <c r="V996" s="227">
        <v>79.5</v>
      </c>
      <c r="W996" s="227">
        <v>79.5</v>
      </c>
      <c r="X996" s="227">
        <v>79.5</v>
      </c>
      <c r="Y996" s="227">
        <v>79.5</v>
      </c>
      <c r="Z996" s="227">
        <v>79.5</v>
      </c>
      <c r="AA996" s="227">
        <v>79.5</v>
      </c>
      <c r="AB996" s="227">
        <v>13.57</v>
      </c>
      <c r="AC996" s="227">
        <v>774.65</v>
      </c>
      <c r="AD996" s="230">
        <v>1.5706018518518518E-4</v>
      </c>
      <c r="AE996" s="230">
        <v>81.419999999999987</v>
      </c>
      <c r="AF996" s="230">
        <v>3816</v>
      </c>
      <c r="AG996" s="230">
        <v>497689.47289991943</v>
      </c>
      <c r="AH996" s="230">
        <v>3589651.6542056487</v>
      </c>
      <c r="AI996" s="230">
        <v>4647.8999999999996</v>
      </c>
    </row>
    <row r="997" spans="5:35" x14ac:dyDescent="0.35">
      <c r="E997" s="226">
        <v>3.2499400000000001</v>
      </c>
      <c r="F997" s="227">
        <v>16.146476712328766</v>
      </c>
      <c r="G997" s="227">
        <v>5893.4639999999999</v>
      </c>
      <c r="H997" s="227">
        <v>0.97870000000000001</v>
      </c>
      <c r="I997" s="227">
        <v>3.9459</v>
      </c>
      <c r="J997" s="227">
        <v>0.57612352418972157</v>
      </c>
      <c r="K997" s="227">
        <v>133.63</v>
      </c>
      <c r="L997" s="227">
        <v>133.71</v>
      </c>
      <c r="M997" s="227">
        <v>131.21</v>
      </c>
      <c r="N997" s="227">
        <v>92.254999999999995</v>
      </c>
      <c r="O997" s="227">
        <v>98.513999999999996</v>
      </c>
      <c r="P997" s="227">
        <v>114.4</v>
      </c>
      <c r="Q997" s="227">
        <v>106.3</v>
      </c>
      <c r="R997" s="227">
        <v>111.24</v>
      </c>
      <c r="S997" s="227"/>
      <c r="T997" s="227">
        <v>79.5</v>
      </c>
      <c r="U997" s="227">
        <v>79.5</v>
      </c>
      <c r="V997" s="227">
        <v>79.5</v>
      </c>
      <c r="W997" s="227">
        <v>79.5</v>
      </c>
      <c r="X997" s="227">
        <v>79.5</v>
      </c>
      <c r="Y997" s="227">
        <v>79.5</v>
      </c>
      <c r="Z997" s="227">
        <v>79.5</v>
      </c>
      <c r="AA997" s="227">
        <v>79.5</v>
      </c>
      <c r="AB997" s="227">
        <v>13.542</v>
      </c>
      <c r="AC997" s="227">
        <v>774.65</v>
      </c>
      <c r="AD997" s="230">
        <v>1.567361111111111E-4</v>
      </c>
      <c r="AE997" s="230">
        <v>81.251999999999995</v>
      </c>
      <c r="AF997" s="230">
        <v>3816</v>
      </c>
      <c r="AG997" s="230">
        <v>497770.72489991941</v>
      </c>
      <c r="AH997" s="230">
        <v>3593467.6542056487</v>
      </c>
      <c r="AI997" s="230">
        <v>4647.8999999999996</v>
      </c>
    </row>
    <row r="998" spans="5:35" x14ac:dyDescent="0.35">
      <c r="E998" s="226">
        <v>3.2539400000000001</v>
      </c>
      <c r="F998" s="227">
        <v>16.162915068493149</v>
      </c>
      <c r="G998" s="227">
        <v>5899.4639999999999</v>
      </c>
      <c r="H998" s="227">
        <v>0.9788</v>
      </c>
      <c r="I998" s="227">
        <v>3.9499</v>
      </c>
      <c r="J998" s="227">
        <v>0.5762173783563882</v>
      </c>
      <c r="K998" s="227">
        <v>133.61000000000001</v>
      </c>
      <c r="L998" s="227">
        <v>133.69999999999999</v>
      </c>
      <c r="M998" s="227">
        <v>131.19</v>
      </c>
      <c r="N998" s="227">
        <v>92.245000000000005</v>
      </c>
      <c r="O998" s="227">
        <v>98.504000000000005</v>
      </c>
      <c r="P998" s="227">
        <v>114.39</v>
      </c>
      <c r="Q998" s="227">
        <v>106.29</v>
      </c>
      <c r="R998" s="227">
        <v>111.23</v>
      </c>
      <c r="S998" s="227"/>
      <c r="T998" s="227">
        <v>79.5</v>
      </c>
      <c r="U998" s="227">
        <v>79.5</v>
      </c>
      <c r="V998" s="227">
        <v>79.5</v>
      </c>
      <c r="W998" s="227">
        <v>79.5</v>
      </c>
      <c r="X998" s="227">
        <v>79.5</v>
      </c>
      <c r="Y998" s="227">
        <v>79.5</v>
      </c>
      <c r="Z998" s="227">
        <v>79.5</v>
      </c>
      <c r="AA998" s="227">
        <v>79.5</v>
      </c>
      <c r="AB998" s="227">
        <v>13.515000000000001</v>
      </c>
      <c r="AC998" s="227">
        <v>774.65</v>
      </c>
      <c r="AD998" s="230">
        <v>1.5642361111111111E-4</v>
      </c>
      <c r="AE998" s="230">
        <v>81.09</v>
      </c>
      <c r="AF998" s="230">
        <v>3816</v>
      </c>
      <c r="AG998" s="230">
        <v>497851.81489991944</v>
      </c>
      <c r="AH998" s="230">
        <v>3597283.6542056487</v>
      </c>
      <c r="AI998" s="230">
        <v>4647.8999999999996</v>
      </c>
    </row>
    <row r="999" spans="5:35" x14ac:dyDescent="0.35">
      <c r="E999" s="226">
        <v>3.2579400000000001</v>
      </c>
      <c r="F999" s="227">
        <v>16.179353424657535</v>
      </c>
      <c r="G999" s="227">
        <v>5905.4639999999999</v>
      </c>
      <c r="H999" s="227">
        <v>0.9788</v>
      </c>
      <c r="I999" s="227">
        <v>3.9539</v>
      </c>
      <c r="J999" s="227">
        <v>0.57631104502305497</v>
      </c>
      <c r="K999" s="227">
        <v>133.59</v>
      </c>
      <c r="L999" s="227">
        <v>133.68</v>
      </c>
      <c r="M999" s="227">
        <v>131.16999999999999</v>
      </c>
      <c r="N999" s="227">
        <v>92.234999999999999</v>
      </c>
      <c r="O999" s="227">
        <v>98.495999999999995</v>
      </c>
      <c r="P999" s="227">
        <v>114.37</v>
      </c>
      <c r="Q999" s="227">
        <v>106.28</v>
      </c>
      <c r="R999" s="227">
        <v>111.23</v>
      </c>
      <c r="S999" s="227"/>
      <c r="T999" s="227">
        <v>79.5</v>
      </c>
      <c r="U999" s="227">
        <v>79.5</v>
      </c>
      <c r="V999" s="227">
        <v>79.5</v>
      </c>
      <c r="W999" s="227">
        <v>79.5</v>
      </c>
      <c r="X999" s="227">
        <v>79.5</v>
      </c>
      <c r="Y999" s="227">
        <v>79.5</v>
      </c>
      <c r="Z999" s="227">
        <v>79.5</v>
      </c>
      <c r="AA999" s="227">
        <v>79.5</v>
      </c>
      <c r="AB999" s="227">
        <v>13.488</v>
      </c>
      <c r="AC999" s="227">
        <v>774.65</v>
      </c>
      <c r="AD999" s="230">
        <v>1.561111111111111E-4</v>
      </c>
      <c r="AE999" s="230">
        <v>80.927999999999997</v>
      </c>
      <c r="AF999" s="230">
        <v>3816</v>
      </c>
      <c r="AG999" s="230">
        <v>497932.74289991945</v>
      </c>
      <c r="AH999" s="230">
        <v>3601099.6542056487</v>
      </c>
      <c r="AI999" s="230">
        <v>4647.8999999999996</v>
      </c>
    </row>
    <row r="1000" spans="5:35" x14ac:dyDescent="0.35">
      <c r="E1000" s="226">
        <v>3.2619400000000001</v>
      </c>
      <c r="F1000" s="227">
        <v>16.195791780821917</v>
      </c>
      <c r="G1000" s="227">
        <v>5911.4639999999999</v>
      </c>
      <c r="H1000" s="227">
        <v>0.9788</v>
      </c>
      <c r="I1000" s="227">
        <v>3.9579</v>
      </c>
      <c r="J1000" s="227">
        <v>0.57640452418972155</v>
      </c>
      <c r="K1000" s="227">
        <v>133.58000000000001</v>
      </c>
      <c r="L1000" s="227">
        <v>133.66999999999999</v>
      </c>
      <c r="M1000" s="227">
        <v>131.16</v>
      </c>
      <c r="N1000" s="227">
        <v>92.224999999999994</v>
      </c>
      <c r="O1000" s="227">
        <v>98.489000000000004</v>
      </c>
      <c r="P1000" s="227">
        <v>114.36</v>
      </c>
      <c r="Q1000" s="227">
        <v>106.28</v>
      </c>
      <c r="R1000" s="227">
        <v>111.22</v>
      </c>
      <c r="S1000" s="227"/>
      <c r="T1000" s="227">
        <v>79.5</v>
      </c>
      <c r="U1000" s="227">
        <v>79.5</v>
      </c>
      <c r="V1000" s="227">
        <v>79.5</v>
      </c>
      <c r="W1000" s="227">
        <v>79.5</v>
      </c>
      <c r="X1000" s="227">
        <v>79.5</v>
      </c>
      <c r="Y1000" s="227">
        <v>79.5</v>
      </c>
      <c r="Z1000" s="227">
        <v>79.5</v>
      </c>
      <c r="AA1000" s="227">
        <v>79.5</v>
      </c>
      <c r="AB1000" s="227">
        <v>13.461</v>
      </c>
      <c r="AC1000" s="227">
        <v>774.65</v>
      </c>
      <c r="AD1000" s="230">
        <v>1.5579861111111111E-4</v>
      </c>
      <c r="AE1000" s="230">
        <v>80.766000000000005</v>
      </c>
      <c r="AF1000" s="230">
        <v>3816</v>
      </c>
      <c r="AG1000" s="230">
        <v>498013.50889991946</v>
      </c>
      <c r="AH1000" s="230">
        <v>3604915.6542056487</v>
      </c>
      <c r="AI1000" s="230">
        <v>4647.8999999999996</v>
      </c>
    </row>
    <row r="1001" spans="5:35" x14ac:dyDescent="0.35">
      <c r="E1001" s="226">
        <v>3.2660400000000003</v>
      </c>
      <c r="F1001" s="227">
        <v>16.2122301369863</v>
      </c>
      <c r="G1001" s="227">
        <v>5917.4639999999999</v>
      </c>
      <c r="H1001" s="227">
        <v>0.97889999999999999</v>
      </c>
      <c r="I1001" s="227">
        <v>3.9620000000000002</v>
      </c>
      <c r="J1001" s="227">
        <v>0.57649781585638826</v>
      </c>
      <c r="K1001" s="227">
        <v>133.55000000000001</v>
      </c>
      <c r="L1001" s="227">
        <v>133.65</v>
      </c>
      <c r="M1001" s="227">
        <v>131.13999999999999</v>
      </c>
      <c r="N1001" s="227">
        <v>92.215000000000003</v>
      </c>
      <c r="O1001" s="227">
        <v>98.478999999999999</v>
      </c>
      <c r="P1001" s="227">
        <v>114.35</v>
      </c>
      <c r="Q1001" s="227">
        <v>106.27</v>
      </c>
      <c r="R1001" s="227">
        <v>111.21</v>
      </c>
      <c r="S1001" s="227"/>
      <c r="T1001" s="227">
        <v>79.5</v>
      </c>
      <c r="U1001" s="227">
        <v>79.5</v>
      </c>
      <c r="V1001" s="227">
        <v>79.5</v>
      </c>
      <c r="W1001" s="227">
        <v>79.5</v>
      </c>
      <c r="X1001" s="227">
        <v>79.5</v>
      </c>
      <c r="Y1001" s="227">
        <v>79.5</v>
      </c>
      <c r="Z1001" s="227">
        <v>79.5</v>
      </c>
      <c r="AA1001" s="227">
        <v>79.5</v>
      </c>
      <c r="AB1001" s="227">
        <v>13.433999999999999</v>
      </c>
      <c r="AC1001" s="227">
        <v>774.65</v>
      </c>
      <c r="AD1001" s="230">
        <v>1.554861111111111E-4</v>
      </c>
      <c r="AE1001" s="230">
        <v>80.603999999999985</v>
      </c>
      <c r="AF1001" s="230">
        <v>3816</v>
      </c>
      <c r="AG1001" s="230">
        <v>498094.11289991945</v>
      </c>
      <c r="AH1001" s="230">
        <v>3608731.6542056487</v>
      </c>
      <c r="AI1001" s="230">
        <v>4647.8999999999996</v>
      </c>
    </row>
    <row r="1002" spans="5:35" x14ac:dyDescent="0.35">
      <c r="E1002" s="226">
        <v>3.2700400000000003</v>
      </c>
      <c r="F1002" s="227">
        <v>16.228668493150685</v>
      </c>
      <c r="G1002" s="227">
        <v>5923.4639999999999</v>
      </c>
      <c r="H1002" s="227">
        <v>0.97889999999999999</v>
      </c>
      <c r="I1002" s="227">
        <v>3.9660000000000002</v>
      </c>
      <c r="J1002" s="227">
        <v>0.5765909200230549</v>
      </c>
      <c r="K1002" s="227">
        <v>133.53</v>
      </c>
      <c r="L1002" s="227">
        <v>133.63999999999999</v>
      </c>
      <c r="M1002" s="227">
        <v>131.12</v>
      </c>
      <c r="N1002" s="227">
        <v>92.204999999999998</v>
      </c>
      <c r="O1002" s="227">
        <v>98.471000000000004</v>
      </c>
      <c r="P1002" s="227">
        <v>114.34</v>
      </c>
      <c r="Q1002" s="227">
        <v>106.26</v>
      </c>
      <c r="R1002" s="227">
        <v>111.2</v>
      </c>
      <c r="S1002" s="227"/>
      <c r="T1002" s="227">
        <v>79.5</v>
      </c>
      <c r="U1002" s="227">
        <v>79.5</v>
      </c>
      <c r="V1002" s="227">
        <v>79.5</v>
      </c>
      <c r="W1002" s="227">
        <v>79.5</v>
      </c>
      <c r="X1002" s="227">
        <v>79.5</v>
      </c>
      <c r="Y1002" s="227">
        <v>79.5</v>
      </c>
      <c r="Z1002" s="227">
        <v>79.5</v>
      </c>
      <c r="AA1002" s="227">
        <v>79.5</v>
      </c>
      <c r="AB1002" s="227">
        <v>13.407</v>
      </c>
      <c r="AC1002" s="227">
        <v>774.65</v>
      </c>
      <c r="AD1002" s="230">
        <v>1.5517361111111111E-4</v>
      </c>
      <c r="AE1002" s="230">
        <v>80.441999999999993</v>
      </c>
      <c r="AF1002" s="230">
        <v>3816</v>
      </c>
      <c r="AG1002" s="230">
        <v>498174.55489991943</v>
      </c>
      <c r="AH1002" s="230">
        <v>3612547.6542056487</v>
      </c>
      <c r="AI1002" s="230">
        <v>4647.8999999999996</v>
      </c>
    </row>
    <row r="1003" spans="5:35" x14ac:dyDescent="0.35">
      <c r="E1003" s="226">
        <v>3.2740400000000003</v>
      </c>
      <c r="F1003" s="227">
        <v>16.245106849315068</v>
      </c>
      <c r="G1003" s="227">
        <v>5929.4639999999999</v>
      </c>
      <c r="H1003" s="227">
        <v>0.97899999999999998</v>
      </c>
      <c r="I1003" s="227">
        <v>3.97</v>
      </c>
      <c r="J1003" s="227">
        <v>0.57668383668972156</v>
      </c>
      <c r="K1003" s="227">
        <v>133.52000000000001</v>
      </c>
      <c r="L1003" s="227">
        <v>133.62</v>
      </c>
      <c r="M1003" s="227">
        <v>131.1</v>
      </c>
      <c r="N1003" s="227">
        <v>92.194999999999993</v>
      </c>
      <c r="O1003" s="227">
        <v>98.462999999999994</v>
      </c>
      <c r="P1003" s="227">
        <v>114.33</v>
      </c>
      <c r="Q1003" s="227">
        <v>106.25</v>
      </c>
      <c r="R1003" s="227">
        <v>111.19</v>
      </c>
      <c r="S1003" s="227"/>
      <c r="T1003" s="227">
        <v>79.5</v>
      </c>
      <c r="U1003" s="227">
        <v>79.5</v>
      </c>
      <c r="V1003" s="227">
        <v>79.5</v>
      </c>
      <c r="W1003" s="227">
        <v>79.5</v>
      </c>
      <c r="X1003" s="227">
        <v>79.5</v>
      </c>
      <c r="Y1003" s="227">
        <v>79.5</v>
      </c>
      <c r="Z1003" s="227">
        <v>79.5</v>
      </c>
      <c r="AA1003" s="227">
        <v>79.5</v>
      </c>
      <c r="AB1003" s="227">
        <v>13.38</v>
      </c>
      <c r="AC1003" s="227">
        <v>774.65</v>
      </c>
      <c r="AD1003" s="230">
        <v>1.5486111111111112E-4</v>
      </c>
      <c r="AE1003" s="230">
        <v>80.28</v>
      </c>
      <c r="AF1003" s="230">
        <v>3816</v>
      </c>
      <c r="AG1003" s="230">
        <v>498254.83489991946</v>
      </c>
      <c r="AH1003" s="230">
        <v>3616363.6542056487</v>
      </c>
      <c r="AI1003" s="230">
        <v>4647.8999999999996</v>
      </c>
    </row>
    <row r="1004" spans="5:35" x14ac:dyDescent="0.35">
      <c r="E1004" s="226">
        <v>3.2780400000000003</v>
      </c>
      <c r="F1004" s="227">
        <v>16.26154520547945</v>
      </c>
      <c r="G1004" s="227">
        <v>5935.4639999999999</v>
      </c>
      <c r="H1004" s="227">
        <v>0.97899999999999998</v>
      </c>
      <c r="I1004" s="227">
        <v>3.9740000000000002</v>
      </c>
      <c r="J1004" s="227">
        <v>0.57677656585638826</v>
      </c>
      <c r="K1004" s="227">
        <v>133.5</v>
      </c>
      <c r="L1004" s="227">
        <v>133.61000000000001</v>
      </c>
      <c r="M1004" s="227">
        <v>131.08000000000001</v>
      </c>
      <c r="N1004" s="227">
        <v>92.186000000000007</v>
      </c>
      <c r="O1004" s="227">
        <v>98.454999999999998</v>
      </c>
      <c r="P1004" s="227">
        <v>114.31</v>
      </c>
      <c r="Q1004" s="227">
        <v>106.25</v>
      </c>
      <c r="R1004" s="227">
        <v>111.18</v>
      </c>
      <c r="S1004" s="227"/>
      <c r="T1004" s="227">
        <v>79.5</v>
      </c>
      <c r="U1004" s="227">
        <v>79.5</v>
      </c>
      <c r="V1004" s="227">
        <v>79.5</v>
      </c>
      <c r="W1004" s="227">
        <v>79.5</v>
      </c>
      <c r="X1004" s="227">
        <v>79.5</v>
      </c>
      <c r="Y1004" s="227">
        <v>79.5</v>
      </c>
      <c r="Z1004" s="227">
        <v>79.5</v>
      </c>
      <c r="AA1004" s="227">
        <v>79.5</v>
      </c>
      <c r="AB1004" s="227">
        <v>13.353</v>
      </c>
      <c r="AC1004" s="227">
        <v>774.65</v>
      </c>
      <c r="AD1004" s="230">
        <v>1.5454861111111111E-4</v>
      </c>
      <c r="AE1004" s="230">
        <v>80.117999999999995</v>
      </c>
      <c r="AF1004" s="230">
        <v>3816</v>
      </c>
      <c r="AG1004" s="230">
        <v>498334.95289991947</v>
      </c>
      <c r="AH1004" s="230">
        <v>3620179.6542056487</v>
      </c>
      <c r="AI1004" s="230">
        <v>4647.8999999999996</v>
      </c>
    </row>
    <row r="1005" spans="5:35" x14ac:dyDescent="0.35">
      <c r="E1005" s="226">
        <v>3.2820400000000003</v>
      </c>
      <c r="F1005" s="227">
        <v>16.277983561643836</v>
      </c>
      <c r="G1005" s="227">
        <v>5941.4639999999999</v>
      </c>
      <c r="H1005" s="227">
        <v>0.97899999999999998</v>
      </c>
      <c r="I1005" s="227">
        <v>3.9780000000000002</v>
      </c>
      <c r="J1005" s="227">
        <v>0.57686911446749944</v>
      </c>
      <c r="K1005" s="227">
        <v>133.47999999999999</v>
      </c>
      <c r="L1005" s="227">
        <v>133.6</v>
      </c>
      <c r="M1005" s="227">
        <v>131.07</v>
      </c>
      <c r="N1005" s="227">
        <v>92.176000000000002</v>
      </c>
      <c r="O1005" s="227">
        <v>98.445999999999998</v>
      </c>
      <c r="P1005" s="227">
        <v>114.3</v>
      </c>
      <c r="Q1005" s="227">
        <v>106.24</v>
      </c>
      <c r="R1005" s="227">
        <v>111.17</v>
      </c>
      <c r="S1005" s="227"/>
      <c r="T1005" s="227">
        <v>79.5</v>
      </c>
      <c r="U1005" s="227">
        <v>79.5</v>
      </c>
      <c r="V1005" s="227">
        <v>79.5</v>
      </c>
      <c r="W1005" s="227">
        <v>79.5</v>
      </c>
      <c r="X1005" s="227">
        <v>79.5</v>
      </c>
      <c r="Y1005" s="227">
        <v>79.5</v>
      </c>
      <c r="Z1005" s="227">
        <v>79.5</v>
      </c>
      <c r="AA1005" s="227">
        <v>79.5</v>
      </c>
      <c r="AB1005" s="227">
        <v>13.327</v>
      </c>
      <c r="AC1005" s="227">
        <v>774.65</v>
      </c>
      <c r="AD1005" s="230">
        <v>1.5424768518518519E-4</v>
      </c>
      <c r="AE1005" s="230">
        <v>79.962000000000003</v>
      </c>
      <c r="AF1005" s="230">
        <v>3816</v>
      </c>
      <c r="AG1005" s="230">
        <v>498414.91489991947</v>
      </c>
      <c r="AH1005" s="230">
        <v>3623995.6542056487</v>
      </c>
      <c r="AI1005" s="230">
        <v>4647.8999999999996</v>
      </c>
    </row>
    <row r="1006" spans="5:35" x14ac:dyDescent="0.35">
      <c r="E1006" s="226">
        <v>3.2860400000000003</v>
      </c>
      <c r="F1006" s="227">
        <v>16.294421917808219</v>
      </c>
      <c r="G1006" s="227">
        <v>5947.4639999999999</v>
      </c>
      <c r="H1006" s="227">
        <v>0.97909999999999997</v>
      </c>
      <c r="I1006" s="227">
        <v>3.9820000000000002</v>
      </c>
      <c r="J1006" s="227">
        <v>0.57696147557861044</v>
      </c>
      <c r="K1006" s="227">
        <v>133.46</v>
      </c>
      <c r="L1006" s="227">
        <v>133.58000000000001</v>
      </c>
      <c r="M1006" s="227">
        <v>131.05000000000001</v>
      </c>
      <c r="N1006" s="227">
        <v>92.167000000000002</v>
      </c>
      <c r="O1006" s="227">
        <v>98.438999999999993</v>
      </c>
      <c r="P1006" s="227">
        <v>114.29</v>
      </c>
      <c r="Q1006" s="227">
        <v>106.23</v>
      </c>
      <c r="R1006" s="227">
        <v>111.16</v>
      </c>
      <c r="S1006" s="227"/>
      <c r="T1006" s="227">
        <v>79.5</v>
      </c>
      <c r="U1006" s="227">
        <v>79.5</v>
      </c>
      <c r="V1006" s="227">
        <v>79.5</v>
      </c>
      <c r="W1006" s="227">
        <v>79.5</v>
      </c>
      <c r="X1006" s="227">
        <v>79.5</v>
      </c>
      <c r="Y1006" s="227">
        <v>79.5</v>
      </c>
      <c r="Z1006" s="227">
        <v>79.5</v>
      </c>
      <c r="AA1006" s="227">
        <v>79.5</v>
      </c>
      <c r="AB1006" s="227">
        <v>13.3</v>
      </c>
      <c r="AC1006" s="227">
        <v>774.65</v>
      </c>
      <c r="AD1006" s="230">
        <v>1.539351851851852E-4</v>
      </c>
      <c r="AE1006" s="230">
        <v>79.800000000000011</v>
      </c>
      <c r="AF1006" s="230">
        <v>3816</v>
      </c>
      <c r="AG1006" s="230">
        <v>498494.71489991946</v>
      </c>
      <c r="AH1006" s="230">
        <v>3627811.6542056487</v>
      </c>
      <c r="AI1006" s="230">
        <v>4647.8999999999996</v>
      </c>
    </row>
    <row r="1007" spans="5:35" x14ac:dyDescent="0.35">
      <c r="E1007" s="226">
        <v>3.2901400000000001</v>
      </c>
      <c r="F1007" s="227">
        <v>16.310860273972601</v>
      </c>
      <c r="G1007" s="227">
        <v>5953.4639999999999</v>
      </c>
      <c r="H1007" s="227">
        <v>0.97909999999999997</v>
      </c>
      <c r="I1007" s="227">
        <v>3.9861</v>
      </c>
      <c r="J1007" s="227">
        <v>0.57705365613416604</v>
      </c>
      <c r="K1007" s="227">
        <v>133.43</v>
      </c>
      <c r="L1007" s="227">
        <v>133.57</v>
      </c>
      <c r="M1007" s="227">
        <v>131.03</v>
      </c>
      <c r="N1007" s="227">
        <v>92.156000000000006</v>
      </c>
      <c r="O1007" s="227">
        <v>98.429000000000002</v>
      </c>
      <c r="P1007" s="227">
        <v>114.28</v>
      </c>
      <c r="Q1007" s="227">
        <v>106.22</v>
      </c>
      <c r="R1007" s="227">
        <v>111.15</v>
      </c>
      <c r="S1007" s="227"/>
      <c r="T1007" s="227">
        <v>79.5</v>
      </c>
      <c r="U1007" s="227">
        <v>79.5</v>
      </c>
      <c r="V1007" s="227">
        <v>79.5</v>
      </c>
      <c r="W1007" s="227">
        <v>79.5</v>
      </c>
      <c r="X1007" s="227">
        <v>79.5</v>
      </c>
      <c r="Y1007" s="227">
        <v>79.5</v>
      </c>
      <c r="Z1007" s="227">
        <v>79.5</v>
      </c>
      <c r="AA1007" s="227">
        <v>79.5</v>
      </c>
      <c r="AB1007" s="227">
        <v>13.273999999999999</v>
      </c>
      <c r="AC1007" s="227">
        <v>774.65</v>
      </c>
      <c r="AD1007" s="230">
        <v>1.5363425925925926E-4</v>
      </c>
      <c r="AE1007" s="230">
        <v>79.643999999999991</v>
      </c>
      <c r="AF1007" s="230">
        <v>3816</v>
      </c>
      <c r="AG1007" s="230">
        <v>498574.35889991943</v>
      </c>
      <c r="AH1007" s="230">
        <v>3631627.6542056487</v>
      </c>
      <c r="AI1007" s="230">
        <v>4647.8999999999996</v>
      </c>
    </row>
    <row r="1008" spans="5:35" x14ac:dyDescent="0.35">
      <c r="E1008" s="226">
        <v>3.2941400000000001</v>
      </c>
      <c r="F1008" s="227">
        <v>16.327298630136987</v>
      </c>
      <c r="G1008" s="227">
        <v>5959.4639999999999</v>
      </c>
      <c r="H1008" s="227">
        <v>0.97919999999999996</v>
      </c>
      <c r="I1008" s="227">
        <v>3.9901</v>
      </c>
      <c r="J1008" s="227">
        <v>0.57714564918972155</v>
      </c>
      <c r="K1008" s="227">
        <v>133.41999999999999</v>
      </c>
      <c r="L1008" s="227">
        <v>133.55000000000001</v>
      </c>
      <c r="M1008" s="227">
        <v>131.01</v>
      </c>
      <c r="N1008" s="227">
        <v>92.147000000000006</v>
      </c>
      <c r="O1008" s="227">
        <v>98.421999999999997</v>
      </c>
      <c r="P1008" s="227">
        <v>114.26</v>
      </c>
      <c r="Q1008" s="227">
        <v>106.22</v>
      </c>
      <c r="R1008" s="227">
        <v>111.15</v>
      </c>
      <c r="S1008" s="227"/>
      <c r="T1008" s="227">
        <v>79.5</v>
      </c>
      <c r="U1008" s="227">
        <v>79.5</v>
      </c>
      <c r="V1008" s="227">
        <v>79.5</v>
      </c>
      <c r="W1008" s="227">
        <v>79.5</v>
      </c>
      <c r="X1008" s="227">
        <v>79.5</v>
      </c>
      <c r="Y1008" s="227">
        <v>79.5</v>
      </c>
      <c r="Z1008" s="227">
        <v>79.5</v>
      </c>
      <c r="AA1008" s="227">
        <v>79.5</v>
      </c>
      <c r="AB1008" s="227">
        <v>13.247</v>
      </c>
      <c r="AC1008" s="227">
        <v>774.65</v>
      </c>
      <c r="AD1008" s="230">
        <v>1.5332175925925927E-4</v>
      </c>
      <c r="AE1008" s="230">
        <v>79.481999999999999</v>
      </c>
      <c r="AF1008" s="230">
        <v>3816</v>
      </c>
      <c r="AG1008" s="230">
        <v>498653.84089991945</v>
      </c>
      <c r="AH1008" s="230">
        <v>3635443.6542056487</v>
      </c>
      <c r="AI1008" s="230">
        <v>4647.8999999999996</v>
      </c>
    </row>
    <row r="1009" spans="5:35" x14ac:dyDescent="0.35">
      <c r="E1009" s="226">
        <v>3.2981400000000001</v>
      </c>
      <c r="F1009" s="227">
        <v>16.343736986301369</v>
      </c>
      <c r="G1009" s="227">
        <v>5965.4639999999999</v>
      </c>
      <c r="H1009" s="227">
        <v>0.97919999999999996</v>
      </c>
      <c r="I1009" s="227">
        <v>3.9941</v>
      </c>
      <c r="J1009" s="227">
        <v>0.57723746168972156</v>
      </c>
      <c r="K1009" s="227">
        <v>133.4</v>
      </c>
      <c r="L1009" s="227">
        <v>133.54</v>
      </c>
      <c r="M1009" s="227">
        <v>131</v>
      </c>
      <c r="N1009" s="227">
        <v>92.137</v>
      </c>
      <c r="O1009" s="227">
        <v>98.411000000000001</v>
      </c>
      <c r="P1009" s="227">
        <v>114.25</v>
      </c>
      <c r="Q1009" s="227">
        <v>106.21</v>
      </c>
      <c r="R1009" s="227">
        <v>111.13</v>
      </c>
      <c r="S1009" s="227"/>
      <c r="T1009" s="227">
        <v>79.5</v>
      </c>
      <c r="U1009" s="227">
        <v>79.5</v>
      </c>
      <c r="V1009" s="227">
        <v>79.5</v>
      </c>
      <c r="W1009" s="227">
        <v>79.5</v>
      </c>
      <c r="X1009" s="227">
        <v>79.5</v>
      </c>
      <c r="Y1009" s="227">
        <v>79.5</v>
      </c>
      <c r="Z1009" s="227">
        <v>79.5</v>
      </c>
      <c r="AA1009" s="227">
        <v>79.5</v>
      </c>
      <c r="AB1009" s="227">
        <v>13.221</v>
      </c>
      <c r="AC1009" s="227">
        <v>774.65</v>
      </c>
      <c r="AD1009" s="230">
        <v>1.5302083333333332E-4</v>
      </c>
      <c r="AE1009" s="230">
        <v>79.325999999999993</v>
      </c>
      <c r="AF1009" s="230">
        <v>3816</v>
      </c>
      <c r="AG1009" s="230">
        <v>498733.16689991945</v>
      </c>
      <c r="AH1009" s="230">
        <v>3639259.6542056487</v>
      </c>
      <c r="AI1009" s="230">
        <v>4647.8999999999996</v>
      </c>
    </row>
    <row r="1010" spans="5:35" x14ac:dyDescent="0.35">
      <c r="E1010" s="226">
        <v>3.3021400000000001</v>
      </c>
      <c r="F1010" s="227">
        <v>16.360175342465752</v>
      </c>
      <c r="G1010" s="227">
        <v>5971.4639999999999</v>
      </c>
      <c r="H1010" s="227">
        <v>0.97929999999999995</v>
      </c>
      <c r="I1010" s="227">
        <v>3.9981</v>
      </c>
      <c r="J1010" s="227">
        <v>0.57732909363416607</v>
      </c>
      <c r="K1010" s="227">
        <v>133.38</v>
      </c>
      <c r="L1010" s="227">
        <v>133.52000000000001</v>
      </c>
      <c r="M1010" s="227">
        <v>130.97999999999999</v>
      </c>
      <c r="N1010" s="227">
        <v>92.128</v>
      </c>
      <c r="O1010" s="227">
        <v>98.403999999999996</v>
      </c>
      <c r="P1010" s="227">
        <v>114.24</v>
      </c>
      <c r="Q1010" s="227">
        <v>106.2</v>
      </c>
      <c r="R1010" s="227">
        <v>111.13</v>
      </c>
      <c r="S1010" s="227"/>
      <c r="T1010" s="227">
        <v>79.5</v>
      </c>
      <c r="U1010" s="227">
        <v>79.5</v>
      </c>
      <c r="V1010" s="227">
        <v>79.5</v>
      </c>
      <c r="W1010" s="227">
        <v>79.5</v>
      </c>
      <c r="X1010" s="227">
        <v>79.5</v>
      </c>
      <c r="Y1010" s="227">
        <v>79.5</v>
      </c>
      <c r="Z1010" s="227">
        <v>79.5</v>
      </c>
      <c r="AA1010" s="227">
        <v>79.5</v>
      </c>
      <c r="AB1010" s="227">
        <v>13.195</v>
      </c>
      <c r="AC1010" s="227">
        <v>774.65</v>
      </c>
      <c r="AD1010" s="230">
        <v>1.527199074074074E-4</v>
      </c>
      <c r="AE1010" s="230">
        <v>79.17</v>
      </c>
      <c r="AF1010" s="230">
        <v>3816</v>
      </c>
      <c r="AG1010" s="230">
        <v>498812.33689991944</v>
      </c>
      <c r="AH1010" s="230">
        <v>3643075.6542056487</v>
      </c>
      <c r="AI1010" s="230">
        <v>4647.8999999999996</v>
      </c>
    </row>
    <row r="1011" spans="5:35" x14ac:dyDescent="0.35">
      <c r="E1011" s="226">
        <v>3.3061400000000005</v>
      </c>
      <c r="F1011" s="227">
        <v>16.376613698630138</v>
      </c>
      <c r="G1011" s="227">
        <v>5977.4639999999999</v>
      </c>
      <c r="H1011" s="227">
        <v>0.97929999999999995</v>
      </c>
      <c r="I1011" s="227">
        <v>4.0021000000000004</v>
      </c>
      <c r="J1011" s="227">
        <v>0.57742054502305495</v>
      </c>
      <c r="K1011" s="227">
        <v>133.36000000000001</v>
      </c>
      <c r="L1011" s="227">
        <v>133.51</v>
      </c>
      <c r="M1011" s="227">
        <v>130.96</v>
      </c>
      <c r="N1011" s="227">
        <v>92.117999999999995</v>
      </c>
      <c r="O1011" s="227">
        <v>98.397999999999996</v>
      </c>
      <c r="P1011" s="227">
        <v>114.23</v>
      </c>
      <c r="Q1011" s="227">
        <v>106.2</v>
      </c>
      <c r="R1011" s="227">
        <v>111.12</v>
      </c>
      <c r="S1011" s="227"/>
      <c r="T1011" s="227">
        <v>79.5</v>
      </c>
      <c r="U1011" s="227">
        <v>79.5</v>
      </c>
      <c r="V1011" s="227">
        <v>79.5</v>
      </c>
      <c r="W1011" s="227">
        <v>79.5</v>
      </c>
      <c r="X1011" s="227">
        <v>79.5</v>
      </c>
      <c r="Y1011" s="227">
        <v>79.5</v>
      </c>
      <c r="Z1011" s="227">
        <v>79.5</v>
      </c>
      <c r="AA1011" s="227">
        <v>79.5</v>
      </c>
      <c r="AB1011" s="227">
        <v>13.169</v>
      </c>
      <c r="AC1011" s="227">
        <v>774.65</v>
      </c>
      <c r="AD1011" s="230">
        <v>1.5241898148148149E-4</v>
      </c>
      <c r="AE1011" s="230">
        <v>79.01400000000001</v>
      </c>
      <c r="AF1011" s="230">
        <v>3816</v>
      </c>
      <c r="AG1011" s="230">
        <v>498891.35089991946</v>
      </c>
      <c r="AH1011" s="230">
        <v>3646891.6542056487</v>
      </c>
      <c r="AI1011" s="230">
        <v>4647.8999999999996</v>
      </c>
    </row>
    <row r="1012" spans="5:35" x14ac:dyDescent="0.35">
      <c r="E1012" s="226">
        <v>3.3102399999999998</v>
      </c>
      <c r="F1012" s="227">
        <v>16.39305205479452</v>
      </c>
      <c r="G1012" s="227">
        <v>5983.4639999999999</v>
      </c>
      <c r="H1012" s="227">
        <v>0.97929999999999995</v>
      </c>
      <c r="I1012" s="227">
        <v>4.0061999999999998</v>
      </c>
      <c r="J1012" s="227">
        <v>0.57751181585638822</v>
      </c>
      <c r="K1012" s="227">
        <v>133.34</v>
      </c>
      <c r="L1012" s="227">
        <v>133.49</v>
      </c>
      <c r="M1012" s="227">
        <v>130.94</v>
      </c>
      <c r="N1012" s="227">
        <v>92.108999999999995</v>
      </c>
      <c r="O1012" s="227">
        <v>98.387</v>
      </c>
      <c r="P1012" s="227">
        <v>114.21</v>
      </c>
      <c r="Q1012" s="227">
        <v>106.19</v>
      </c>
      <c r="R1012" s="227">
        <v>111.11</v>
      </c>
      <c r="S1012" s="227"/>
      <c r="T1012" s="227">
        <v>79.5</v>
      </c>
      <c r="U1012" s="227">
        <v>79.5</v>
      </c>
      <c r="V1012" s="227">
        <v>79.5</v>
      </c>
      <c r="W1012" s="227">
        <v>79.5</v>
      </c>
      <c r="X1012" s="227">
        <v>79.5</v>
      </c>
      <c r="Y1012" s="227">
        <v>79.5</v>
      </c>
      <c r="Z1012" s="227">
        <v>79.5</v>
      </c>
      <c r="AA1012" s="227">
        <v>79.5</v>
      </c>
      <c r="AB1012" s="227">
        <v>13.143000000000001</v>
      </c>
      <c r="AC1012" s="227">
        <v>774.65</v>
      </c>
      <c r="AD1012" s="230">
        <v>1.5211805555555557E-4</v>
      </c>
      <c r="AE1012" s="230">
        <v>78.858000000000004</v>
      </c>
      <c r="AF1012" s="230">
        <v>3816</v>
      </c>
      <c r="AG1012" s="230">
        <v>498970.20889991947</v>
      </c>
      <c r="AH1012" s="230">
        <v>3650707.6542056487</v>
      </c>
      <c r="AI1012" s="230">
        <v>4647.8999999999996</v>
      </c>
    </row>
    <row r="1013" spans="5:35" x14ac:dyDescent="0.35">
      <c r="E1013" s="226">
        <v>3.3142400000000003</v>
      </c>
      <c r="F1013" s="227">
        <v>16.409490410958902</v>
      </c>
      <c r="G1013" s="227">
        <v>5989.4639999999999</v>
      </c>
      <c r="H1013" s="227">
        <v>0.97940000000000005</v>
      </c>
      <c r="I1013" s="227">
        <v>4.0102000000000002</v>
      </c>
      <c r="J1013" s="227">
        <v>0.57760290613416609</v>
      </c>
      <c r="K1013" s="227">
        <v>133.32</v>
      </c>
      <c r="L1013" s="227">
        <v>133.47999999999999</v>
      </c>
      <c r="M1013" s="227">
        <v>130.93</v>
      </c>
      <c r="N1013" s="227">
        <v>92.099000000000004</v>
      </c>
      <c r="O1013" s="227">
        <v>98.381</v>
      </c>
      <c r="P1013" s="227">
        <v>114.2</v>
      </c>
      <c r="Q1013" s="227">
        <v>106.18</v>
      </c>
      <c r="R1013" s="227">
        <v>111.1</v>
      </c>
      <c r="S1013" s="227"/>
      <c r="T1013" s="227">
        <v>79.5</v>
      </c>
      <c r="U1013" s="227">
        <v>79.5</v>
      </c>
      <c r="V1013" s="227">
        <v>79.5</v>
      </c>
      <c r="W1013" s="227">
        <v>79.5</v>
      </c>
      <c r="X1013" s="227">
        <v>79.5</v>
      </c>
      <c r="Y1013" s="227">
        <v>79.5</v>
      </c>
      <c r="Z1013" s="227">
        <v>79.5</v>
      </c>
      <c r="AA1013" s="227">
        <v>79.5</v>
      </c>
      <c r="AB1013" s="227">
        <v>13.117000000000001</v>
      </c>
      <c r="AC1013" s="227">
        <v>774.65</v>
      </c>
      <c r="AD1013" s="230">
        <v>1.5181712962962965E-4</v>
      </c>
      <c r="AE1013" s="230">
        <v>78.701999999999998</v>
      </c>
      <c r="AF1013" s="230">
        <v>3816</v>
      </c>
      <c r="AG1013" s="230">
        <v>499048.91089991946</v>
      </c>
      <c r="AH1013" s="230">
        <v>3654523.6542056487</v>
      </c>
      <c r="AI1013" s="230">
        <v>4647.8999999999996</v>
      </c>
    </row>
    <row r="1014" spans="5:35" x14ac:dyDescent="0.35">
      <c r="E1014" s="226">
        <v>3.3182399999999999</v>
      </c>
      <c r="F1014" s="227">
        <v>16.425928767123288</v>
      </c>
      <c r="G1014" s="227">
        <v>5995.4639999999999</v>
      </c>
      <c r="H1014" s="227">
        <v>0.97940000000000005</v>
      </c>
      <c r="I1014" s="227">
        <v>4.0141999999999998</v>
      </c>
      <c r="J1014" s="227">
        <v>0.57769381585638824</v>
      </c>
      <c r="K1014" s="227">
        <v>133.30000000000001</v>
      </c>
      <c r="L1014" s="227">
        <v>133.46</v>
      </c>
      <c r="M1014" s="227">
        <v>130.91</v>
      </c>
      <c r="N1014" s="227">
        <v>92.088999999999999</v>
      </c>
      <c r="O1014" s="227">
        <v>98.370999999999995</v>
      </c>
      <c r="P1014" s="227">
        <v>114.19</v>
      </c>
      <c r="Q1014" s="227">
        <v>106.17</v>
      </c>
      <c r="R1014" s="227">
        <v>111.09</v>
      </c>
      <c r="S1014" s="227"/>
      <c r="T1014" s="227">
        <v>79.5</v>
      </c>
      <c r="U1014" s="227">
        <v>79.5</v>
      </c>
      <c r="V1014" s="227">
        <v>79.5</v>
      </c>
      <c r="W1014" s="227">
        <v>79.5</v>
      </c>
      <c r="X1014" s="227">
        <v>79.5</v>
      </c>
      <c r="Y1014" s="227">
        <v>79.5</v>
      </c>
      <c r="Z1014" s="227">
        <v>79.5</v>
      </c>
      <c r="AA1014" s="227">
        <v>79.5</v>
      </c>
      <c r="AB1014" s="227">
        <v>13.090999999999999</v>
      </c>
      <c r="AC1014" s="227">
        <v>774.65</v>
      </c>
      <c r="AD1014" s="230">
        <v>1.515162037037037E-4</v>
      </c>
      <c r="AE1014" s="230">
        <v>78.545999999999992</v>
      </c>
      <c r="AF1014" s="230">
        <v>3816</v>
      </c>
      <c r="AG1014" s="230">
        <v>499127.45689991943</v>
      </c>
      <c r="AH1014" s="230">
        <v>3658339.6542056487</v>
      </c>
      <c r="AI1014" s="230">
        <v>4647.8999999999996</v>
      </c>
    </row>
    <row r="1015" spans="5:35" x14ac:dyDescent="0.35">
      <c r="E1015" s="226">
        <v>3.3222400000000003</v>
      </c>
      <c r="F1015" s="227">
        <v>16.442367123287671</v>
      </c>
      <c r="G1015" s="227">
        <v>6001.4639999999999</v>
      </c>
      <c r="H1015" s="227">
        <v>0.97950000000000004</v>
      </c>
      <c r="I1015" s="227">
        <v>4.0182000000000002</v>
      </c>
      <c r="J1015" s="227">
        <v>0.57778454502305487</v>
      </c>
      <c r="K1015" s="227">
        <v>133.28</v>
      </c>
      <c r="L1015" s="227">
        <v>133.44999999999999</v>
      </c>
      <c r="M1015" s="227">
        <v>130.88999999999999</v>
      </c>
      <c r="N1015" s="227">
        <v>92.08</v>
      </c>
      <c r="O1015" s="227">
        <v>98.364000000000004</v>
      </c>
      <c r="P1015" s="227">
        <v>114.18</v>
      </c>
      <c r="Q1015" s="227">
        <v>106.17</v>
      </c>
      <c r="R1015" s="227">
        <v>111.08</v>
      </c>
      <c r="S1015" s="227"/>
      <c r="T1015" s="227">
        <v>79.5</v>
      </c>
      <c r="U1015" s="227">
        <v>79.5</v>
      </c>
      <c r="V1015" s="227">
        <v>79.5</v>
      </c>
      <c r="W1015" s="227">
        <v>79.5</v>
      </c>
      <c r="X1015" s="227">
        <v>79.5</v>
      </c>
      <c r="Y1015" s="227">
        <v>79.5</v>
      </c>
      <c r="Z1015" s="227">
        <v>79.5</v>
      </c>
      <c r="AA1015" s="227">
        <v>79.5</v>
      </c>
      <c r="AB1015" s="227">
        <v>13.065</v>
      </c>
      <c r="AC1015" s="227">
        <v>774.65</v>
      </c>
      <c r="AD1015" s="230">
        <v>1.5121527777777778E-4</v>
      </c>
      <c r="AE1015" s="230">
        <v>78.39</v>
      </c>
      <c r="AF1015" s="230">
        <v>3816</v>
      </c>
      <c r="AG1015" s="230">
        <v>499205.84689991944</v>
      </c>
      <c r="AH1015" s="230">
        <v>3662155.6542056487</v>
      </c>
      <c r="AI1015" s="230">
        <v>4647.8999999999996</v>
      </c>
    </row>
    <row r="1016" spans="5:35" x14ac:dyDescent="0.35">
      <c r="E1016" s="226">
        <v>3.3262399999999999</v>
      </c>
      <c r="F1016" s="227">
        <v>16.458805479452053</v>
      </c>
      <c r="G1016" s="227">
        <v>6007.4639999999999</v>
      </c>
      <c r="H1016" s="227">
        <v>0.97950000000000004</v>
      </c>
      <c r="I1016" s="227">
        <v>4.0221999999999998</v>
      </c>
      <c r="J1016" s="227">
        <v>0.57787510057861047</v>
      </c>
      <c r="K1016" s="227">
        <v>133.26</v>
      </c>
      <c r="L1016" s="227">
        <v>133.44</v>
      </c>
      <c r="M1016" s="227">
        <v>130.88</v>
      </c>
      <c r="N1016" s="227">
        <v>92.07</v>
      </c>
      <c r="O1016" s="227">
        <v>98.355000000000004</v>
      </c>
      <c r="P1016" s="227">
        <v>114.17</v>
      </c>
      <c r="Q1016" s="227">
        <v>106.16</v>
      </c>
      <c r="R1016" s="227">
        <v>111.07</v>
      </c>
      <c r="S1016" s="227"/>
      <c r="T1016" s="227">
        <v>79.5</v>
      </c>
      <c r="U1016" s="227">
        <v>79.5</v>
      </c>
      <c r="V1016" s="227">
        <v>79.5</v>
      </c>
      <c r="W1016" s="227">
        <v>79.5</v>
      </c>
      <c r="X1016" s="227">
        <v>79.5</v>
      </c>
      <c r="Y1016" s="227">
        <v>79.5</v>
      </c>
      <c r="Z1016" s="227">
        <v>79.5</v>
      </c>
      <c r="AA1016" s="227">
        <v>79.5</v>
      </c>
      <c r="AB1016" s="227">
        <v>13.04</v>
      </c>
      <c r="AC1016" s="227">
        <v>774.65</v>
      </c>
      <c r="AD1016" s="230">
        <v>1.5092592592592591E-4</v>
      </c>
      <c r="AE1016" s="230">
        <v>78.239999999999995</v>
      </c>
      <c r="AF1016" s="230">
        <v>3816</v>
      </c>
      <c r="AG1016" s="230">
        <v>499284.08689991944</v>
      </c>
      <c r="AH1016" s="230">
        <v>3665971.6542056487</v>
      </c>
      <c r="AI1016" s="230">
        <v>4647.8999999999996</v>
      </c>
    </row>
    <row r="1017" spans="5:35" x14ac:dyDescent="0.35">
      <c r="E1017" s="226">
        <v>3.3302400000000003</v>
      </c>
      <c r="F1017" s="227">
        <v>16.475243835616439</v>
      </c>
      <c r="G1017" s="227">
        <v>6013.4639999999999</v>
      </c>
      <c r="H1017" s="227">
        <v>0.97950000000000004</v>
      </c>
      <c r="I1017" s="227">
        <v>4.0262000000000002</v>
      </c>
      <c r="J1017" s="227">
        <v>0.57796547557861044</v>
      </c>
      <c r="K1017" s="227">
        <v>133.24</v>
      </c>
      <c r="L1017" s="227">
        <v>133.41999999999999</v>
      </c>
      <c r="M1017" s="227">
        <v>130.86000000000001</v>
      </c>
      <c r="N1017" s="227">
        <v>92.061000000000007</v>
      </c>
      <c r="O1017" s="227">
        <v>98.347999999999999</v>
      </c>
      <c r="P1017" s="227">
        <v>114.16</v>
      </c>
      <c r="Q1017" s="227">
        <v>106.15</v>
      </c>
      <c r="R1017" s="227">
        <v>111.07</v>
      </c>
      <c r="S1017" s="227"/>
      <c r="T1017" s="227">
        <v>79.5</v>
      </c>
      <c r="U1017" s="227">
        <v>79.5</v>
      </c>
      <c r="V1017" s="227">
        <v>79.5</v>
      </c>
      <c r="W1017" s="227">
        <v>79.5</v>
      </c>
      <c r="X1017" s="227">
        <v>79.5</v>
      </c>
      <c r="Y1017" s="227">
        <v>79.5</v>
      </c>
      <c r="Z1017" s="227">
        <v>79.5</v>
      </c>
      <c r="AA1017" s="227">
        <v>79.5</v>
      </c>
      <c r="AB1017" s="227">
        <v>13.013999999999999</v>
      </c>
      <c r="AC1017" s="227">
        <v>774.65</v>
      </c>
      <c r="AD1017" s="230">
        <v>1.5062499999999999E-4</v>
      </c>
      <c r="AE1017" s="230">
        <v>78.083999999999989</v>
      </c>
      <c r="AF1017" s="230">
        <v>3816</v>
      </c>
      <c r="AG1017" s="230">
        <v>499362.17089991941</v>
      </c>
      <c r="AH1017" s="230">
        <v>3669787.6542056487</v>
      </c>
      <c r="AI1017" s="230">
        <v>4647.8999999999996</v>
      </c>
    </row>
    <row r="1018" spans="5:35" x14ac:dyDescent="0.35">
      <c r="E1018" s="226">
        <v>3.3343400000000005</v>
      </c>
      <c r="F1018" s="227">
        <v>16.491682191780821</v>
      </c>
      <c r="G1018" s="227">
        <v>6019.4639999999999</v>
      </c>
      <c r="H1018" s="227">
        <v>0.97960000000000003</v>
      </c>
      <c r="I1018" s="227">
        <v>4.0303000000000004</v>
      </c>
      <c r="J1018" s="227">
        <v>0.57805567696749938</v>
      </c>
      <c r="K1018" s="227">
        <v>133.22999999999999</v>
      </c>
      <c r="L1018" s="227">
        <v>133.41</v>
      </c>
      <c r="M1018" s="227">
        <v>130.84</v>
      </c>
      <c r="N1018" s="227">
        <v>92.052000000000007</v>
      </c>
      <c r="O1018" s="227">
        <v>98.338999999999999</v>
      </c>
      <c r="P1018" s="227">
        <v>114.14</v>
      </c>
      <c r="Q1018" s="227">
        <v>106.15</v>
      </c>
      <c r="R1018" s="227">
        <v>111.06</v>
      </c>
      <c r="S1018" s="227"/>
      <c r="T1018" s="227">
        <v>79.5</v>
      </c>
      <c r="U1018" s="227">
        <v>79.5</v>
      </c>
      <c r="V1018" s="227">
        <v>79.5</v>
      </c>
      <c r="W1018" s="227">
        <v>79.5</v>
      </c>
      <c r="X1018" s="227">
        <v>79.5</v>
      </c>
      <c r="Y1018" s="227">
        <v>79.5</v>
      </c>
      <c r="Z1018" s="227">
        <v>79.5</v>
      </c>
      <c r="AA1018" s="227">
        <v>79.5</v>
      </c>
      <c r="AB1018" s="227">
        <v>12.989000000000001</v>
      </c>
      <c r="AC1018" s="227">
        <v>774.65</v>
      </c>
      <c r="AD1018" s="230">
        <v>1.5033564814814817E-4</v>
      </c>
      <c r="AE1018" s="230">
        <v>77.934000000000012</v>
      </c>
      <c r="AF1018" s="230">
        <v>3816</v>
      </c>
      <c r="AG1018" s="230">
        <v>499440.10489991942</v>
      </c>
      <c r="AH1018" s="230">
        <v>3673603.6542056487</v>
      </c>
      <c r="AI1018" s="230">
        <v>4647.8999999999996</v>
      </c>
    </row>
    <row r="1019" spans="5:35" x14ac:dyDescent="0.35">
      <c r="E1019" s="226">
        <v>3.3383400000000001</v>
      </c>
      <c r="F1019" s="227">
        <v>16.508120547945204</v>
      </c>
      <c r="G1019" s="227">
        <v>6025.4639999999999</v>
      </c>
      <c r="H1019" s="227">
        <v>0.97960000000000003</v>
      </c>
      <c r="I1019" s="227">
        <v>4.0343</v>
      </c>
      <c r="J1019" s="227">
        <v>0.57814569780083269</v>
      </c>
      <c r="K1019" s="227">
        <v>133.21</v>
      </c>
      <c r="L1019" s="227">
        <v>133.38999999999999</v>
      </c>
      <c r="M1019" s="227">
        <v>130.82</v>
      </c>
      <c r="N1019" s="227">
        <v>92.043000000000006</v>
      </c>
      <c r="O1019" s="227">
        <v>98.331999999999994</v>
      </c>
      <c r="P1019" s="227">
        <v>114.13</v>
      </c>
      <c r="Q1019" s="227">
        <v>106.14</v>
      </c>
      <c r="R1019" s="227">
        <v>111.05</v>
      </c>
      <c r="S1019" s="227"/>
      <c r="T1019" s="227">
        <v>79.5</v>
      </c>
      <c r="U1019" s="227">
        <v>79.5</v>
      </c>
      <c r="V1019" s="227">
        <v>79.5</v>
      </c>
      <c r="W1019" s="227">
        <v>79.5</v>
      </c>
      <c r="X1019" s="227">
        <v>79.5</v>
      </c>
      <c r="Y1019" s="227">
        <v>79.5</v>
      </c>
      <c r="Z1019" s="227">
        <v>79.5</v>
      </c>
      <c r="AA1019" s="227">
        <v>79.5</v>
      </c>
      <c r="AB1019" s="227">
        <v>12.962999999999999</v>
      </c>
      <c r="AC1019" s="227">
        <v>774.65</v>
      </c>
      <c r="AD1019" s="230">
        <v>1.5003472222222222E-4</v>
      </c>
      <c r="AE1019" s="230">
        <v>77.778000000000006</v>
      </c>
      <c r="AF1019" s="230">
        <v>3816</v>
      </c>
      <c r="AG1019" s="230">
        <v>499517.88289991941</v>
      </c>
      <c r="AH1019" s="230">
        <v>3677419.6542056487</v>
      </c>
      <c r="AI1019" s="230">
        <v>4647.8999999999996</v>
      </c>
    </row>
    <row r="1020" spans="5:35" x14ac:dyDescent="0.35">
      <c r="E1020" s="226">
        <v>3.3423399999999996</v>
      </c>
      <c r="F1020" s="227">
        <v>16.52455890410959</v>
      </c>
      <c r="G1020" s="227">
        <v>6031.4639999999999</v>
      </c>
      <c r="H1020" s="227">
        <v>0.97970000000000002</v>
      </c>
      <c r="I1020" s="227">
        <v>4.0382999999999996</v>
      </c>
      <c r="J1020" s="227">
        <v>0.57823554502305485</v>
      </c>
      <c r="K1020" s="227">
        <v>133.19</v>
      </c>
      <c r="L1020" s="227">
        <v>133.38</v>
      </c>
      <c r="M1020" s="227">
        <v>130.81</v>
      </c>
      <c r="N1020" s="227">
        <v>92.033000000000001</v>
      </c>
      <c r="O1020" s="227">
        <v>98.322999999999993</v>
      </c>
      <c r="P1020" s="227">
        <v>114.12</v>
      </c>
      <c r="Q1020" s="227">
        <v>106.13</v>
      </c>
      <c r="R1020" s="227">
        <v>111.04</v>
      </c>
      <c r="S1020" s="227"/>
      <c r="T1020" s="227">
        <v>79.5</v>
      </c>
      <c r="U1020" s="227">
        <v>79.5</v>
      </c>
      <c r="V1020" s="227">
        <v>79.5</v>
      </c>
      <c r="W1020" s="227">
        <v>79.5</v>
      </c>
      <c r="X1020" s="227">
        <v>79.5</v>
      </c>
      <c r="Y1020" s="227">
        <v>79.5</v>
      </c>
      <c r="Z1020" s="227">
        <v>79.5</v>
      </c>
      <c r="AA1020" s="227">
        <v>79.5</v>
      </c>
      <c r="AB1020" s="227">
        <v>12.938000000000001</v>
      </c>
      <c r="AC1020" s="227">
        <v>774.65</v>
      </c>
      <c r="AD1020" s="230">
        <v>1.4974537037037037E-4</v>
      </c>
      <c r="AE1020" s="230">
        <v>77.628</v>
      </c>
      <c r="AF1020" s="230">
        <v>3816</v>
      </c>
      <c r="AG1020" s="230">
        <v>499595.51089991943</v>
      </c>
      <c r="AH1020" s="230">
        <v>3681235.6542056487</v>
      </c>
      <c r="AI1020" s="230">
        <v>4647.8999999999996</v>
      </c>
    </row>
    <row r="1021" spans="5:35" x14ac:dyDescent="0.35">
      <c r="E1021" s="226">
        <v>3.3463400000000001</v>
      </c>
      <c r="F1021" s="227">
        <v>16.540997260273972</v>
      </c>
      <c r="G1021" s="227">
        <v>6037.4639999999999</v>
      </c>
      <c r="H1021" s="227">
        <v>0.97970000000000002</v>
      </c>
      <c r="I1021" s="227">
        <v>4.0423</v>
      </c>
      <c r="J1021" s="227">
        <v>0.57832521863416597</v>
      </c>
      <c r="K1021" s="227">
        <v>133.16999999999999</v>
      </c>
      <c r="L1021" s="227">
        <v>133.36000000000001</v>
      </c>
      <c r="M1021" s="227">
        <v>130.79</v>
      </c>
      <c r="N1021" s="227">
        <v>92.024000000000001</v>
      </c>
      <c r="O1021" s="227">
        <v>98.316000000000003</v>
      </c>
      <c r="P1021" s="227">
        <v>114.11</v>
      </c>
      <c r="Q1021" s="227">
        <v>106.12</v>
      </c>
      <c r="R1021" s="227">
        <v>111.03</v>
      </c>
      <c r="S1021" s="227"/>
      <c r="T1021" s="227">
        <v>79.5</v>
      </c>
      <c r="U1021" s="227">
        <v>79.5</v>
      </c>
      <c r="V1021" s="227">
        <v>79.5</v>
      </c>
      <c r="W1021" s="227">
        <v>79.5</v>
      </c>
      <c r="X1021" s="227">
        <v>79.5</v>
      </c>
      <c r="Y1021" s="227">
        <v>79.5</v>
      </c>
      <c r="Z1021" s="227">
        <v>79.5</v>
      </c>
      <c r="AA1021" s="227">
        <v>79.5</v>
      </c>
      <c r="AB1021" s="227">
        <v>12.913</v>
      </c>
      <c r="AC1021" s="227">
        <v>774.65</v>
      </c>
      <c r="AD1021" s="230">
        <v>1.4945601851851852E-4</v>
      </c>
      <c r="AE1021" s="230">
        <v>77.478000000000009</v>
      </c>
      <c r="AF1021" s="230">
        <v>3816</v>
      </c>
      <c r="AG1021" s="230">
        <v>499672.98889991944</v>
      </c>
      <c r="AH1021" s="230">
        <v>3685051.6542056487</v>
      </c>
      <c r="AI1021" s="230">
        <v>4647.8999999999996</v>
      </c>
    </row>
    <row r="1022" spans="5:35" x14ac:dyDescent="0.35">
      <c r="E1022" s="226">
        <v>3.3503399999999997</v>
      </c>
      <c r="F1022" s="227">
        <v>16.557435616438354</v>
      </c>
      <c r="G1022" s="227">
        <v>6043.4639999999999</v>
      </c>
      <c r="H1022" s="227">
        <v>0.97970000000000002</v>
      </c>
      <c r="I1022" s="227">
        <v>4.0462999999999996</v>
      </c>
      <c r="J1022" s="227">
        <v>0.57841471168972158</v>
      </c>
      <c r="K1022" s="227">
        <v>133.15</v>
      </c>
      <c r="L1022" s="227">
        <v>133.35</v>
      </c>
      <c r="M1022" s="227">
        <v>130.77000000000001</v>
      </c>
      <c r="N1022" s="227">
        <v>92.015000000000001</v>
      </c>
      <c r="O1022" s="227">
        <v>98.305999999999997</v>
      </c>
      <c r="P1022" s="227">
        <v>114.09</v>
      </c>
      <c r="Q1022" s="227">
        <v>106.12</v>
      </c>
      <c r="R1022" s="227">
        <v>111.02</v>
      </c>
      <c r="S1022" s="227"/>
      <c r="T1022" s="227">
        <v>79.5</v>
      </c>
      <c r="U1022" s="227">
        <v>79.5</v>
      </c>
      <c r="V1022" s="227">
        <v>79.5</v>
      </c>
      <c r="W1022" s="227">
        <v>79.5</v>
      </c>
      <c r="X1022" s="227">
        <v>79.5</v>
      </c>
      <c r="Y1022" s="227">
        <v>79.5</v>
      </c>
      <c r="Z1022" s="227">
        <v>79.5</v>
      </c>
      <c r="AA1022" s="227">
        <v>79.5</v>
      </c>
      <c r="AB1022" s="227">
        <v>12.887</v>
      </c>
      <c r="AC1022" s="227">
        <v>774.65</v>
      </c>
      <c r="AD1022" s="230">
        <v>1.491550925925926E-4</v>
      </c>
      <c r="AE1022" s="230">
        <v>77.322000000000003</v>
      </c>
      <c r="AF1022" s="230">
        <v>3816</v>
      </c>
      <c r="AG1022" s="230">
        <v>499750.31089991942</v>
      </c>
      <c r="AH1022" s="230">
        <v>3688867.6542056487</v>
      </c>
      <c r="AI1022" s="230">
        <v>4647.8999999999996</v>
      </c>
    </row>
    <row r="1023" spans="5:35" x14ac:dyDescent="0.35">
      <c r="E1023" s="226">
        <v>3.3543400000000001</v>
      </c>
      <c r="F1023" s="227">
        <v>16.57387397260274</v>
      </c>
      <c r="G1023" s="227">
        <v>6049.4639999999999</v>
      </c>
      <c r="H1023" s="227">
        <v>0.9798</v>
      </c>
      <c r="I1023" s="227">
        <v>4.0503</v>
      </c>
      <c r="J1023" s="227">
        <v>0.57850403113416604</v>
      </c>
      <c r="K1023" s="227">
        <v>133.13</v>
      </c>
      <c r="L1023" s="227">
        <v>133.34</v>
      </c>
      <c r="M1023" s="227">
        <v>130.76</v>
      </c>
      <c r="N1023" s="227">
        <v>92.004999999999995</v>
      </c>
      <c r="O1023" s="227">
        <v>98.299000000000007</v>
      </c>
      <c r="P1023" s="227">
        <v>114.08</v>
      </c>
      <c r="Q1023" s="227">
        <v>106.11</v>
      </c>
      <c r="R1023" s="227">
        <v>111.01</v>
      </c>
      <c r="S1023" s="227"/>
      <c r="T1023" s="227">
        <v>79.5</v>
      </c>
      <c r="U1023" s="227">
        <v>79.5</v>
      </c>
      <c r="V1023" s="227">
        <v>79.5</v>
      </c>
      <c r="W1023" s="227">
        <v>79.5</v>
      </c>
      <c r="X1023" s="227">
        <v>79.5</v>
      </c>
      <c r="Y1023" s="227">
        <v>79.5</v>
      </c>
      <c r="Z1023" s="227">
        <v>79.5</v>
      </c>
      <c r="AA1023" s="227">
        <v>79.5</v>
      </c>
      <c r="AB1023" s="227">
        <v>12.862</v>
      </c>
      <c r="AC1023" s="227">
        <v>774.65</v>
      </c>
      <c r="AD1023" s="230">
        <v>1.4886574074074075E-4</v>
      </c>
      <c r="AE1023" s="230">
        <v>77.172000000000011</v>
      </c>
      <c r="AF1023" s="230">
        <v>3816</v>
      </c>
      <c r="AG1023" s="230">
        <v>499827.48289991944</v>
      </c>
      <c r="AH1023" s="230">
        <v>3692683.6542056487</v>
      </c>
      <c r="AI1023" s="230">
        <v>4647.8999999999996</v>
      </c>
    </row>
    <row r="1024" spans="5:35" x14ac:dyDescent="0.35">
      <c r="E1024" s="226">
        <v>3.3584400000000003</v>
      </c>
      <c r="F1024" s="227">
        <v>16.590312328767123</v>
      </c>
      <c r="G1024" s="227">
        <v>6055.4639999999999</v>
      </c>
      <c r="H1024" s="227">
        <v>0.9798</v>
      </c>
      <c r="I1024" s="227">
        <v>4.0544000000000002</v>
      </c>
      <c r="J1024" s="227">
        <v>0.57859317696749935</v>
      </c>
      <c r="K1024" s="227">
        <v>133.11000000000001</v>
      </c>
      <c r="L1024" s="227">
        <v>133.32</v>
      </c>
      <c r="M1024" s="227">
        <v>130.74</v>
      </c>
      <c r="N1024" s="227">
        <v>91.995999999999995</v>
      </c>
      <c r="O1024" s="227">
        <v>98.290999999999997</v>
      </c>
      <c r="P1024" s="227">
        <v>114.07</v>
      </c>
      <c r="Q1024" s="227">
        <v>106.1</v>
      </c>
      <c r="R1024" s="227">
        <v>111.01</v>
      </c>
      <c r="S1024" s="227"/>
      <c r="T1024" s="227">
        <v>79.5</v>
      </c>
      <c r="U1024" s="227">
        <v>79.5</v>
      </c>
      <c r="V1024" s="227">
        <v>79.5</v>
      </c>
      <c r="W1024" s="227">
        <v>79.5</v>
      </c>
      <c r="X1024" s="227">
        <v>79.5</v>
      </c>
      <c r="Y1024" s="227">
        <v>79.5</v>
      </c>
      <c r="Z1024" s="227">
        <v>79.5</v>
      </c>
      <c r="AA1024" s="227">
        <v>79.5</v>
      </c>
      <c r="AB1024" s="227">
        <v>12.837</v>
      </c>
      <c r="AC1024" s="227">
        <v>774.65</v>
      </c>
      <c r="AD1024" s="230">
        <v>1.4857638888888887E-4</v>
      </c>
      <c r="AE1024" s="230">
        <v>77.021999999999991</v>
      </c>
      <c r="AF1024" s="230">
        <v>3816</v>
      </c>
      <c r="AG1024" s="230">
        <v>499904.50489991944</v>
      </c>
      <c r="AH1024" s="230">
        <v>3696499.6542056487</v>
      </c>
      <c r="AI1024" s="230">
        <v>4647.8999999999996</v>
      </c>
    </row>
    <row r="1025" spans="5:35" x14ac:dyDescent="0.35">
      <c r="E1025" s="226">
        <v>3.3624399999999999</v>
      </c>
      <c r="F1025" s="227">
        <v>16.606750684931505</v>
      </c>
      <c r="G1025" s="227">
        <v>6061.4639999999999</v>
      </c>
      <c r="H1025" s="227">
        <v>0.97989999999999999</v>
      </c>
      <c r="I1025" s="227">
        <v>4.0583999999999998</v>
      </c>
      <c r="J1025" s="227">
        <v>0.57868215613416607</v>
      </c>
      <c r="K1025" s="227">
        <v>133.09</v>
      </c>
      <c r="L1025" s="227">
        <v>133.31</v>
      </c>
      <c r="M1025" s="227">
        <v>130.72</v>
      </c>
      <c r="N1025" s="227">
        <v>91.986000000000004</v>
      </c>
      <c r="O1025" s="227">
        <v>98.284000000000006</v>
      </c>
      <c r="P1025" s="227">
        <v>114.06</v>
      </c>
      <c r="Q1025" s="227">
        <v>106.1</v>
      </c>
      <c r="R1025" s="227">
        <v>111</v>
      </c>
      <c r="S1025" s="227"/>
      <c r="T1025" s="227">
        <v>79.5</v>
      </c>
      <c r="U1025" s="227">
        <v>79.5</v>
      </c>
      <c r="V1025" s="227">
        <v>79.5</v>
      </c>
      <c r="W1025" s="227">
        <v>79.5</v>
      </c>
      <c r="X1025" s="227">
        <v>79.5</v>
      </c>
      <c r="Y1025" s="227">
        <v>79.5</v>
      </c>
      <c r="Z1025" s="227">
        <v>79.5</v>
      </c>
      <c r="AA1025" s="227">
        <v>79.5</v>
      </c>
      <c r="AB1025" s="227">
        <v>12.813000000000001</v>
      </c>
      <c r="AC1025" s="227">
        <v>774.65</v>
      </c>
      <c r="AD1025" s="230">
        <v>1.4829861111111112E-4</v>
      </c>
      <c r="AE1025" s="230">
        <v>76.878000000000014</v>
      </c>
      <c r="AF1025" s="230">
        <v>3816</v>
      </c>
      <c r="AG1025" s="230">
        <v>499981.38289991947</v>
      </c>
      <c r="AH1025" s="230">
        <v>3700315.6542056487</v>
      </c>
      <c r="AI1025" s="230">
        <v>4647.8999999999996</v>
      </c>
    </row>
    <row r="1026" spans="5:35" x14ac:dyDescent="0.35">
      <c r="E1026" s="226">
        <v>3.3664400000000003</v>
      </c>
      <c r="F1026" s="227">
        <v>16.623189041095891</v>
      </c>
      <c r="G1026" s="227">
        <v>6067.4639999999999</v>
      </c>
      <c r="H1026" s="227">
        <v>0.97989999999999999</v>
      </c>
      <c r="I1026" s="227">
        <v>4.0624000000000002</v>
      </c>
      <c r="J1026" s="227">
        <v>0.57877096168972164</v>
      </c>
      <c r="K1026" s="227">
        <v>133.08000000000001</v>
      </c>
      <c r="L1026" s="227">
        <v>133.29</v>
      </c>
      <c r="M1026" s="227">
        <v>130.71</v>
      </c>
      <c r="N1026" s="227">
        <v>91.977000000000004</v>
      </c>
      <c r="O1026" s="227">
        <v>98.275000000000006</v>
      </c>
      <c r="P1026" s="227">
        <v>114.05</v>
      </c>
      <c r="Q1026" s="227">
        <v>106.09</v>
      </c>
      <c r="R1026" s="227">
        <v>110.99</v>
      </c>
      <c r="S1026" s="227"/>
      <c r="T1026" s="227">
        <v>79.5</v>
      </c>
      <c r="U1026" s="227">
        <v>79.5</v>
      </c>
      <c r="V1026" s="227">
        <v>79.5</v>
      </c>
      <c r="W1026" s="227">
        <v>79.5</v>
      </c>
      <c r="X1026" s="227">
        <v>79.5</v>
      </c>
      <c r="Y1026" s="227">
        <v>79.5</v>
      </c>
      <c r="Z1026" s="227">
        <v>79.5</v>
      </c>
      <c r="AA1026" s="227">
        <v>79.5</v>
      </c>
      <c r="AB1026" s="227">
        <v>12.788</v>
      </c>
      <c r="AC1026" s="227">
        <v>774.65</v>
      </c>
      <c r="AD1026" s="230">
        <v>1.4800925925925927E-4</v>
      </c>
      <c r="AE1026" s="230">
        <v>76.727999999999994</v>
      </c>
      <c r="AF1026" s="230">
        <v>3816</v>
      </c>
      <c r="AG1026" s="230">
        <v>500058.11089991947</v>
      </c>
      <c r="AH1026" s="230">
        <v>3704131.6542056487</v>
      </c>
      <c r="AI1026" s="230">
        <v>4647.8999999999996</v>
      </c>
    </row>
    <row r="1027" spans="5:35" x14ac:dyDescent="0.35">
      <c r="E1027" s="226">
        <v>3.3704399999999999</v>
      </c>
      <c r="F1027" s="227">
        <v>16.639627397260274</v>
      </c>
      <c r="G1027" s="227">
        <v>6073.4639999999999</v>
      </c>
      <c r="H1027" s="227">
        <v>0.97989999999999999</v>
      </c>
      <c r="I1027" s="227">
        <v>4.0663999999999998</v>
      </c>
      <c r="J1027" s="227">
        <v>0.57885959363416606</v>
      </c>
      <c r="K1027" s="227">
        <v>133.06</v>
      </c>
      <c r="L1027" s="227">
        <v>133.28</v>
      </c>
      <c r="M1027" s="227">
        <v>130.69</v>
      </c>
      <c r="N1027" s="227">
        <v>91.968000000000004</v>
      </c>
      <c r="O1027" s="227">
        <v>98.268000000000001</v>
      </c>
      <c r="P1027" s="227">
        <v>114.04</v>
      </c>
      <c r="Q1027" s="227">
        <v>106.08</v>
      </c>
      <c r="R1027" s="227">
        <v>110.98</v>
      </c>
      <c r="S1027" s="227"/>
      <c r="T1027" s="227">
        <v>79.5</v>
      </c>
      <c r="U1027" s="227">
        <v>79.5</v>
      </c>
      <c r="V1027" s="227">
        <v>79.5</v>
      </c>
      <c r="W1027" s="227">
        <v>79.5</v>
      </c>
      <c r="X1027" s="227">
        <v>79.5</v>
      </c>
      <c r="Y1027" s="227">
        <v>79.5</v>
      </c>
      <c r="Z1027" s="227">
        <v>79.5</v>
      </c>
      <c r="AA1027" s="227">
        <v>79.5</v>
      </c>
      <c r="AB1027" s="227">
        <v>12.763</v>
      </c>
      <c r="AC1027" s="227">
        <v>774.65</v>
      </c>
      <c r="AD1027" s="230">
        <v>1.4771990740740742E-4</v>
      </c>
      <c r="AE1027" s="230">
        <v>76.578000000000017</v>
      </c>
      <c r="AF1027" s="230">
        <v>3816</v>
      </c>
      <c r="AG1027" s="230">
        <v>500134.68889991945</v>
      </c>
      <c r="AH1027" s="230">
        <v>3707947.6542056487</v>
      </c>
      <c r="AI1027" s="230">
        <v>4647.8999999999996</v>
      </c>
    </row>
    <row r="1028" spans="5:35" x14ac:dyDescent="0.35">
      <c r="E1028" s="226">
        <v>3.3744400000000003</v>
      </c>
      <c r="F1028" s="227">
        <v>16.656065753424656</v>
      </c>
      <c r="G1028" s="227">
        <v>6079.4639999999999</v>
      </c>
      <c r="H1028" s="227">
        <v>0.98</v>
      </c>
      <c r="I1028" s="227">
        <v>4.0704000000000002</v>
      </c>
      <c r="J1028" s="227">
        <v>0.57894805196749943</v>
      </c>
      <c r="K1028" s="227">
        <v>133.04</v>
      </c>
      <c r="L1028" s="227">
        <v>133.27000000000001</v>
      </c>
      <c r="M1028" s="227">
        <v>130.66999999999999</v>
      </c>
      <c r="N1028" s="227">
        <v>91.959000000000003</v>
      </c>
      <c r="O1028" s="227">
        <v>98.257999999999996</v>
      </c>
      <c r="P1028" s="227">
        <v>114.02</v>
      </c>
      <c r="Q1028" s="227">
        <v>106.08</v>
      </c>
      <c r="R1028" s="227">
        <v>110.97</v>
      </c>
      <c r="S1028" s="227"/>
      <c r="T1028" s="227">
        <v>79.5</v>
      </c>
      <c r="U1028" s="227">
        <v>79.5</v>
      </c>
      <c r="V1028" s="227">
        <v>79.5</v>
      </c>
      <c r="W1028" s="227">
        <v>79.5</v>
      </c>
      <c r="X1028" s="227">
        <v>79.5</v>
      </c>
      <c r="Y1028" s="227">
        <v>79.5</v>
      </c>
      <c r="Z1028" s="227">
        <v>79.5</v>
      </c>
      <c r="AA1028" s="227">
        <v>79.5</v>
      </c>
      <c r="AB1028" s="227">
        <v>12.738</v>
      </c>
      <c r="AC1028" s="227">
        <v>774.65</v>
      </c>
      <c r="AD1028" s="230">
        <v>1.4743055555555554E-4</v>
      </c>
      <c r="AE1028" s="230">
        <v>76.427999999999997</v>
      </c>
      <c r="AF1028" s="230">
        <v>3816</v>
      </c>
      <c r="AG1028" s="230">
        <v>500211.11689991946</v>
      </c>
      <c r="AH1028" s="230">
        <v>3711763.6542056487</v>
      </c>
      <c r="AI1028" s="230">
        <v>4647.8999999999996</v>
      </c>
    </row>
    <row r="1029" spans="5:35" x14ac:dyDescent="0.35">
      <c r="E1029" s="226">
        <v>3.3784399999999999</v>
      </c>
      <c r="F1029" s="227">
        <v>16.672504109589042</v>
      </c>
      <c r="G1029" s="227">
        <v>6085.4639999999999</v>
      </c>
      <c r="H1029" s="227">
        <v>0.98</v>
      </c>
      <c r="I1029" s="227">
        <v>4.0743999999999998</v>
      </c>
      <c r="J1029" s="227">
        <v>0.57903634363416601</v>
      </c>
      <c r="K1029" s="227">
        <v>133.02000000000001</v>
      </c>
      <c r="L1029" s="227">
        <v>133.25</v>
      </c>
      <c r="M1029" s="227">
        <v>130.66</v>
      </c>
      <c r="N1029" s="227">
        <v>91.948999999999998</v>
      </c>
      <c r="O1029" s="227">
        <v>98.251999999999995</v>
      </c>
      <c r="P1029" s="227">
        <v>114.02</v>
      </c>
      <c r="Q1029" s="227">
        <v>106.07</v>
      </c>
      <c r="R1029" s="227">
        <v>110.96</v>
      </c>
      <c r="S1029" s="227"/>
      <c r="T1029" s="227">
        <v>79.5</v>
      </c>
      <c r="U1029" s="227">
        <v>79.5</v>
      </c>
      <c r="V1029" s="227">
        <v>79.5</v>
      </c>
      <c r="W1029" s="227">
        <v>79.5</v>
      </c>
      <c r="X1029" s="227">
        <v>79.5</v>
      </c>
      <c r="Y1029" s="227">
        <v>79.5</v>
      </c>
      <c r="Z1029" s="227">
        <v>79.5</v>
      </c>
      <c r="AA1029" s="227">
        <v>79.5</v>
      </c>
      <c r="AB1029" s="227">
        <v>12.714</v>
      </c>
      <c r="AC1029" s="227">
        <v>774.65</v>
      </c>
      <c r="AD1029" s="230">
        <v>1.4715277777777779E-4</v>
      </c>
      <c r="AE1029" s="230">
        <v>76.284000000000006</v>
      </c>
      <c r="AF1029" s="230">
        <v>3816</v>
      </c>
      <c r="AG1029" s="230">
        <v>500287.40089991945</v>
      </c>
      <c r="AH1029" s="230">
        <v>3715579.6542056487</v>
      </c>
      <c r="AI1029" s="230">
        <v>4647.8999999999996</v>
      </c>
    </row>
    <row r="1030" spans="5:35" x14ac:dyDescent="0.35">
      <c r="E1030" s="226">
        <v>3.3825400000000001</v>
      </c>
      <c r="F1030" s="227">
        <v>16.688942465753424</v>
      </c>
      <c r="G1030" s="227">
        <v>6091.4639999999999</v>
      </c>
      <c r="H1030" s="227">
        <v>0.98</v>
      </c>
      <c r="I1030" s="227">
        <v>4.0785</v>
      </c>
      <c r="J1030" s="227">
        <v>0.57912446168972165</v>
      </c>
      <c r="K1030" s="227">
        <v>133</v>
      </c>
      <c r="L1030" s="227">
        <v>133.24</v>
      </c>
      <c r="M1030" s="227">
        <v>130.63999999999999</v>
      </c>
      <c r="N1030" s="227">
        <v>91.941000000000003</v>
      </c>
      <c r="O1030" s="227">
        <v>98.242999999999995</v>
      </c>
      <c r="P1030" s="227">
        <v>114</v>
      </c>
      <c r="Q1030" s="227">
        <v>106.06</v>
      </c>
      <c r="R1030" s="227">
        <v>110.95</v>
      </c>
      <c r="S1030" s="227"/>
      <c r="T1030" s="227">
        <v>79.5</v>
      </c>
      <c r="U1030" s="227">
        <v>79.5</v>
      </c>
      <c r="V1030" s="227">
        <v>79.5</v>
      </c>
      <c r="W1030" s="227">
        <v>79.5</v>
      </c>
      <c r="X1030" s="227">
        <v>79.5</v>
      </c>
      <c r="Y1030" s="227">
        <v>79.5</v>
      </c>
      <c r="Z1030" s="227">
        <v>79.5</v>
      </c>
      <c r="AA1030" s="227">
        <v>79.5</v>
      </c>
      <c r="AB1030" s="227">
        <v>12.689</v>
      </c>
      <c r="AC1030" s="227">
        <v>774.65</v>
      </c>
      <c r="AD1030" s="230">
        <v>1.4686342592592594E-4</v>
      </c>
      <c r="AE1030" s="230">
        <v>76.134</v>
      </c>
      <c r="AF1030" s="230">
        <v>3816</v>
      </c>
      <c r="AG1030" s="230">
        <v>500363.53489991947</v>
      </c>
      <c r="AH1030" s="230">
        <v>3719395.6542056487</v>
      </c>
      <c r="AI1030" s="230">
        <v>4647.8999999999996</v>
      </c>
    </row>
    <row r="1031" spans="5:35" x14ac:dyDescent="0.35">
      <c r="E1031" s="226">
        <v>3.3865399999999997</v>
      </c>
      <c r="F1031" s="227">
        <v>16.705380821917807</v>
      </c>
      <c r="G1031" s="227">
        <v>6097.4639999999999</v>
      </c>
      <c r="H1031" s="227">
        <v>0.98009999999999997</v>
      </c>
      <c r="I1031" s="227">
        <v>4.0824999999999996</v>
      </c>
      <c r="J1031" s="227">
        <v>0.57921241307861049</v>
      </c>
      <c r="K1031" s="227">
        <v>132.97999999999999</v>
      </c>
      <c r="L1031" s="227">
        <v>133.22</v>
      </c>
      <c r="M1031" s="227">
        <v>130.62</v>
      </c>
      <c r="N1031" s="227">
        <v>91.930999999999997</v>
      </c>
      <c r="O1031" s="227">
        <v>98.236000000000004</v>
      </c>
      <c r="P1031" s="227">
        <v>113.99</v>
      </c>
      <c r="Q1031" s="227">
        <v>106.06</v>
      </c>
      <c r="R1031" s="227">
        <v>110.95</v>
      </c>
      <c r="S1031" s="227"/>
      <c r="T1031" s="227">
        <v>79.5</v>
      </c>
      <c r="U1031" s="227">
        <v>79.5</v>
      </c>
      <c r="V1031" s="227">
        <v>79.5</v>
      </c>
      <c r="W1031" s="227">
        <v>79.5</v>
      </c>
      <c r="X1031" s="227">
        <v>79.5</v>
      </c>
      <c r="Y1031" s="227">
        <v>79.5</v>
      </c>
      <c r="Z1031" s="227">
        <v>79.5</v>
      </c>
      <c r="AA1031" s="227">
        <v>79.5</v>
      </c>
      <c r="AB1031" s="227">
        <v>12.664999999999999</v>
      </c>
      <c r="AC1031" s="227">
        <v>774.65</v>
      </c>
      <c r="AD1031" s="230">
        <v>1.4658564814814813E-4</v>
      </c>
      <c r="AE1031" s="230">
        <v>75.989999999999995</v>
      </c>
      <c r="AF1031" s="230">
        <v>3816</v>
      </c>
      <c r="AG1031" s="230">
        <v>500439.52489991946</v>
      </c>
      <c r="AH1031" s="230">
        <v>3723211.6542056487</v>
      </c>
      <c r="AI1031" s="230">
        <v>4647.8999999999996</v>
      </c>
    </row>
    <row r="1032" spans="5:35" x14ac:dyDescent="0.35">
      <c r="E1032" s="226">
        <v>3.3905400000000001</v>
      </c>
      <c r="F1032" s="227">
        <v>16.721819178082193</v>
      </c>
      <c r="G1032" s="227">
        <v>6103.4639999999999</v>
      </c>
      <c r="H1032" s="227">
        <v>0.98009999999999997</v>
      </c>
      <c r="I1032" s="227">
        <v>4.0865</v>
      </c>
      <c r="J1032" s="227">
        <v>0.57930019085638829</v>
      </c>
      <c r="K1032" s="227">
        <v>132.96</v>
      </c>
      <c r="L1032" s="227">
        <v>133.21</v>
      </c>
      <c r="M1032" s="227">
        <v>130.6</v>
      </c>
      <c r="N1032" s="227">
        <v>91.921999999999997</v>
      </c>
      <c r="O1032" s="227">
        <v>98.227000000000004</v>
      </c>
      <c r="P1032" s="227">
        <v>113.98</v>
      </c>
      <c r="Q1032" s="227">
        <v>106.05</v>
      </c>
      <c r="R1032" s="227">
        <v>110.94</v>
      </c>
      <c r="S1032" s="227"/>
      <c r="T1032" s="227">
        <v>79.5</v>
      </c>
      <c r="U1032" s="227">
        <v>79.5</v>
      </c>
      <c r="V1032" s="227">
        <v>79.5</v>
      </c>
      <c r="W1032" s="227">
        <v>79.5</v>
      </c>
      <c r="X1032" s="227">
        <v>79.5</v>
      </c>
      <c r="Y1032" s="227">
        <v>79.5</v>
      </c>
      <c r="Z1032" s="227">
        <v>79.5</v>
      </c>
      <c r="AA1032" s="227">
        <v>79.5</v>
      </c>
      <c r="AB1032" s="227">
        <v>12.64</v>
      </c>
      <c r="AC1032" s="227">
        <v>774.65</v>
      </c>
      <c r="AD1032" s="230">
        <v>1.4629629629629631E-4</v>
      </c>
      <c r="AE1032" s="230">
        <v>75.84</v>
      </c>
      <c r="AF1032" s="230">
        <v>3816</v>
      </c>
      <c r="AG1032" s="230">
        <v>500515.36489991948</v>
      </c>
      <c r="AH1032" s="230">
        <v>3727027.6542056487</v>
      </c>
      <c r="AI1032" s="230">
        <v>4647.8999999999996</v>
      </c>
    </row>
    <row r="1033" spans="5:35" x14ac:dyDescent="0.35">
      <c r="E1033" s="226">
        <v>3.3945399999999997</v>
      </c>
      <c r="F1033" s="227">
        <v>16.738257534246575</v>
      </c>
      <c r="G1033" s="227">
        <v>6109.4639999999999</v>
      </c>
      <c r="H1033" s="227">
        <v>0.98019999999999996</v>
      </c>
      <c r="I1033" s="227">
        <v>4.0904999999999996</v>
      </c>
      <c r="J1033" s="227">
        <v>0.57938780196749939</v>
      </c>
      <c r="K1033" s="227">
        <v>132.94999999999999</v>
      </c>
      <c r="L1033" s="227">
        <v>133.19999999999999</v>
      </c>
      <c r="M1033" s="227">
        <v>130.59</v>
      </c>
      <c r="N1033" s="227">
        <v>91.912999999999997</v>
      </c>
      <c r="O1033" s="227">
        <v>98.22</v>
      </c>
      <c r="P1033" s="227">
        <v>113.97</v>
      </c>
      <c r="Q1033" s="227">
        <v>106.04</v>
      </c>
      <c r="R1033" s="227">
        <v>110.93</v>
      </c>
      <c r="S1033" s="227"/>
      <c r="T1033" s="227">
        <v>79.5</v>
      </c>
      <c r="U1033" s="227">
        <v>79.5</v>
      </c>
      <c r="V1033" s="227">
        <v>79.5</v>
      </c>
      <c r="W1033" s="227">
        <v>79.5</v>
      </c>
      <c r="X1033" s="227">
        <v>79.5</v>
      </c>
      <c r="Y1033" s="227">
        <v>79.5</v>
      </c>
      <c r="Z1033" s="227">
        <v>79.5</v>
      </c>
      <c r="AA1033" s="227">
        <v>79.5</v>
      </c>
      <c r="AB1033" s="227">
        <v>12.616</v>
      </c>
      <c r="AC1033" s="227">
        <v>774.65</v>
      </c>
      <c r="AD1033" s="230">
        <v>1.4601851851851852E-4</v>
      </c>
      <c r="AE1033" s="230">
        <v>75.695999999999998</v>
      </c>
      <c r="AF1033" s="230">
        <v>3816</v>
      </c>
      <c r="AG1033" s="230">
        <v>500591.06089991948</v>
      </c>
      <c r="AH1033" s="230">
        <v>3730843.6542056487</v>
      </c>
      <c r="AI1033" s="230">
        <v>4647.8999999999996</v>
      </c>
    </row>
    <row r="1034" spans="5:35" x14ac:dyDescent="0.35">
      <c r="E1034" s="226">
        <v>3.3985400000000001</v>
      </c>
      <c r="F1034" s="227">
        <v>16.754695890410957</v>
      </c>
      <c r="G1034" s="227">
        <v>6115.4639999999999</v>
      </c>
      <c r="H1034" s="227">
        <v>0.98019999999999996</v>
      </c>
      <c r="I1034" s="227">
        <v>4.0945</v>
      </c>
      <c r="J1034" s="227">
        <v>0.57947524641194392</v>
      </c>
      <c r="K1034" s="227">
        <v>132.93</v>
      </c>
      <c r="L1034" s="227">
        <v>133.18</v>
      </c>
      <c r="M1034" s="227">
        <v>130.57</v>
      </c>
      <c r="N1034" s="227">
        <v>91.903999999999996</v>
      </c>
      <c r="O1034" s="227">
        <v>98.212000000000003</v>
      </c>
      <c r="P1034" s="227">
        <v>113.96</v>
      </c>
      <c r="Q1034" s="227">
        <v>106.04</v>
      </c>
      <c r="R1034" s="227">
        <v>110.92</v>
      </c>
      <c r="S1034" s="227"/>
      <c r="T1034" s="227">
        <v>79.5</v>
      </c>
      <c r="U1034" s="227">
        <v>79.5</v>
      </c>
      <c r="V1034" s="227">
        <v>79.5</v>
      </c>
      <c r="W1034" s="227">
        <v>79.5</v>
      </c>
      <c r="X1034" s="227">
        <v>79.5</v>
      </c>
      <c r="Y1034" s="227">
        <v>79.5</v>
      </c>
      <c r="Z1034" s="227">
        <v>79.5</v>
      </c>
      <c r="AA1034" s="227">
        <v>79.5</v>
      </c>
      <c r="AB1034" s="227">
        <v>12.592000000000001</v>
      </c>
      <c r="AC1034" s="227">
        <v>774.65</v>
      </c>
      <c r="AD1034" s="230">
        <v>1.4574074074074074E-4</v>
      </c>
      <c r="AE1034" s="230">
        <v>75.551999999999992</v>
      </c>
      <c r="AF1034" s="230">
        <v>3816</v>
      </c>
      <c r="AG1034" s="230">
        <v>500666.61289991951</v>
      </c>
      <c r="AH1034" s="230">
        <v>3734659.6542056487</v>
      </c>
      <c r="AI1034" s="230">
        <v>4647.8999999999996</v>
      </c>
    </row>
    <row r="1035" spans="5:35" x14ac:dyDescent="0.35">
      <c r="E1035" s="226">
        <v>3.4025399999999997</v>
      </c>
      <c r="F1035" s="227">
        <v>16.771134246575343</v>
      </c>
      <c r="G1035" s="227">
        <v>6121.4639999999999</v>
      </c>
      <c r="H1035" s="227">
        <v>0.98019999999999996</v>
      </c>
      <c r="I1035" s="227">
        <v>4.0984999999999996</v>
      </c>
      <c r="J1035" s="227">
        <v>0.57956252418972165</v>
      </c>
      <c r="K1035" s="227">
        <v>132.91</v>
      </c>
      <c r="L1035" s="227">
        <v>133.16999999999999</v>
      </c>
      <c r="M1035" s="227">
        <v>130.56</v>
      </c>
      <c r="N1035" s="227">
        <v>91.894999999999996</v>
      </c>
      <c r="O1035" s="227">
        <v>98.203999999999994</v>
      </c>
      <c r="P1035" s="227">
        <v>113.94</v>
      </c>
      <c r="Q1035" s="227">
        <v>106.03</v>
      </c>
      <c r="R1035" s="227">
        <v>110.91</v>
      </c>
      <c r="S1035" s="227"/>
      <c r="T1035" s="227">
        <v>79.5</v>
      </c>
      <c r="U1035" s="227">
        <v>79.5</v>
      </c>
      <c r="V1035" s="227">
        <v>79.5</v>
      </c>
      <c r="W1035" s="227">
        <v>79.5</v>
      </c>
      <c r="X1035" s="227">
        <v>79.5</v>
      </c>
      <c r="Y1035" s="227">
        <v>79.5</v>
      </c>
      <c r="Z1035" s="227">
        <v>79.5</v>
      </c>
      <c r="AA1035" s="227">
        <v>79.5</v>
      </c>
      <c r="AB1035" s="227">
        <v>12.568</v>
      </c>
      <c r="AC1035" s="227">
        <v>774.65</v>
      </c>
      <c r="AD1035" s="230">
        <v>1.4546296296296296E-4</v>
      </c>
      <c r="AE1035" s="230">
        <v>75.408000000000001</v>
      </c>
      <c r="AF1035" s="230">
        <v>3816</v>
      </c>
      <c r="AG1035" s="230">
        <v>500742.0208999195</v>
      </c>
      <c r="AH1035" s="230">
        <v>3738475.6542056487</v>
      </c>
      <c r="AI1035" s="230">
        <v>4647.8999999999996</v>
      </c>
    </row>
    <row r="1036" spans="5:35" x14ac:dyDescent="0.35">
      <c r="E1036" s="226">
        <v>3.4066399999999999</v>
      </c>
      <c r="F1036" s="227">
        <v>16.787572602739726</v>
      </c>
      <c r="G1036" s="227">
        <v>6127.4639999999999</v>
      </c>
      <c r="H1036" s="227">
        <v>0.98029999999999995</v>
      </c>
      <c r="I1036" s="227">
        <v>4.1025999999999998</v>
      </c>
      <c r="J1036" s="227">
        <v>0.5796496353008328</v>
      </c>
      <c r="K1036" s="227">
        <v>132.88999999999999</v>
      </c>
      <c r="L1036" s="227">
        <v>133.16</v>
      </c>
      <c r="M1036" s="227">
        <v>130.54</v>
      </c>
      <c r="N1036" s="227">
        <v>91.885999999999996</v>
      </c>
      <c r="O1036" s="227">
        <v>98.197000000000003</v>
      </c>
      <c r="P1036" s="227">
        <v>113.93</v>
      </c>
      <c r="Q1036" s="227">
        <v>106.02</v>
      </c>
      <c r="R1036" s="227">
        <v>110.9</v>
      </c>
      <c r="S1036" s="227"/>
      <c r="T1036" s="227">
        <v>79.5</v>
      </c>
      <c r="U1036" s="227">
        <v>79.5</v>
      </c>
      <c r="V1036" s="227">
        <v>79.5</v>
      </c>
      <c r="W1036" s="227">
        <v>79.5</v>
      </c>
      <c r="X1036" s="227">
        <v>79.5</v>
      </c>
      <c r="Y1036" s="227">
        <v>79.5</v>
      </c>
      <c r="Z1036" s="227">
        <v>79.5</v>
      </c>
      <c r="AA1036" s="227">
        <v>79.5</v>
      </c>
      <c r="AB1036" s="227">
        <v>12.544</v>
      </c>
      <c r="AC1036" s="227">
        <v>774.65</v>
      </c>
      <c r="AD1036" s="230">
        <v>1.4518518518518518E-4</v>
      </c>
      <c r="AE1036" s="230">
        <v>75.263999999999996</v>
      </c>
      <c r="AF1036" s="230">
        <v>3816</v>
      </c>
      <c r="AG1036" s="230">
        <v>500817.28489991953</v>
      </c>
      <c r="AH1036" s="230">
        <v>3742291.6542056487</v>
      </c>
      <c r="AI1036" s="230">
        <v>4647.8999999999996</v>
      </c>
    </row>
    <row r="1037" spans="5:35" x14ac:dyDescent="0.35">
      <c r="E1037" s="226">
        <v>3.4106400000000003</v>
      </c>
      <c r="F1037" s="227">
        <v>16.804010958904108</v>
      </c>
      <c r="G1037" s="227">
        <v>6133.4639999999999</v>
      </c>
      <c r="H1037" s="227">
        <v>0.98029999999999995</v>
      </c>
      <c r="I1037" s="227">
        <v>4.1066000000000003</v>
      </c>
      <c r="J1037" s="227">
        <v>0.57973657974527726</v>
      </c>
      <c r="K1037" s="227">
        <v>132.87</v>
      </c>
      <c r="L1037" s="227">
        <v>133.13999999999999</v>
      </c>
      <c r="M1037" s="227">
        <v>130.52000000000001</v>
      </c>
      <c r="N1037" s="227">
        <v>91.876999999999995</v>
      </c>
      <c r="O1037" s="227">
        <v>98.188999999999993</v>
      </c>
      <c r="P1037" s="227">
        <v>113.92</v>
      </c>
      <c r="Q1037" s="227">
        <v>106.01</v>
      </c>
      <c r="R1037" s="227">
        <v>110.9</v>
      </c>
      <c r="S1037" s="227"/>
      <c r="T1037" s="227">
        <v>79.5</v>
      </c>
      <c r="U1037" s="227">
        <v>79.5</v>
      </c>
      <c r="V1037" s="227">
        <v>79.5</v>
      </c>
      <c r="W1037" s="227">
        <v>79.5</v>
      </c>
      <c r="X1037" s="227">
        <v>79.5</v>
      </c>
      <c r="Y1037" s="227">
        <v>79.5</v>
      </c>
      <c r="Z1037" s="227">
        <v>79.5</v>
      </c>
      <c r="AA1037" s="227">
        <v>79.5</v>
      </c>
      <c r="AB1037" s="227">
        <v>12.52</v>
      </c>
      <c r="AC1037" s="227">
        <v>774.65</v>
      </c>
      <c r="AD1037" s="230">
        <v>1.449074074074074E-4</v>
      </c>
      <c r="AE1037" s="230">
        <v>75.11999999999999</v>
      </c>
      <c r="AF1037" s="230">
        <v>3816</v>
      </c>
      <c r="AG1037" s="230">
        <v>500892.40489991952</v>
      </c>
      <c r="AH1037" s="230">
        <v>3746107.6542056487</v>
      </c>
      <c r="AI1037" s="230">
        <v>4647.8999999999996</v>
      </c>
    </row>
    <row r="1038" spans="5:35" x14ac:dyDescent="0.35">
      <c r="E1038" s="226">
        <v>3.4146399999999999</v>
      </c>
      <c r="F1038" s="227">
        <v>16.820449315068494</v>
      </c>
      <c r="G1038" s="227">
        <v>6139.4639999999999</v>
      </c>
      <c r="H1038" s="227">
        <v>0.98040000000000005</v>
      </c>
      <c r="I1038" s="227">
        <v>4.1105999999999998</v>
      </c>
      <c r="J1038" s="227">
        <v>0.57982335752305503</v>
      </c>
      <c r="K1038" s="227">
        <v>132.86000000000001</v>
      </c>
      <c r="L1038" s="227">
        <v>133.13</v>
      </c>
      <c r="M1038" s="227">
        <v>130.51</v>
      </c>
      <c r="N1038" s="227">
        <v>91.867999999999995</v>
      </c>
      <c r="O1038" s="227">
        <v>98.180999999999997</v>
      </c>
      <c r="P1038" s="227">
        <v>113.91</v>
      </c>
      <c r="Q1038" s="227">
        <v>106.01</v>
      </c>
      <c r="R1038" s="227">
        <v>110.89</v>
      </c>
      <c r="S1038" s="227"/>
      <c r="T1038" s="227">
        <v>79.5</v>
      </c>
      <c r="U1038" s="227">
        <v>79.5</v>
      </c>
      <c r="V1038" s="227">
        <v>79.5</v>
      </c>
      <c r="W1038" s="227">
        <v>79.5</v>
      </c>
      <c r="X1038" s="227">
        <v>79.5</v>
      </c>
      <c r="Y1038" s="227">
        <v>79.5</v>
      </c>
      <c r="Z1038" s="227">
        <v>79.5</v>
      </c>
      <c r="AA1038" s="227">
        <v>79.5</v>
      </c>
      <c r="AB1038" s="227">
        <v>12.496</v>
      </c>
      <c r="AC1038" s="227">
        <v>774.65</v>
      </c>
      <c r="AD1038" s="230">
        <v>1.4462962962962964E-4</v>
      </c>
      <c r="AE1038" s="230">
        <v>74.976000000000013</v>
      </c>
      <c r="AF1038" s="230">
        <v>3816</v>
      </c>
      <c r="AG1038" s="230">
        <v>500967.38089991955</v>
      </c>
      <c r="AH1038" s="230">
        <v>3749923.6542056487</v>
      </c>
      <c r="AI1038" s="230">
        <v>4647.8999999999996</v>
      </c>
    </row>
    <row r="1039" spans="5:35" x14ac:dyDescent="0.35">
      <c r="E1039" s="226">
        <v>3.4186400000000003</v>
      </c>
      <c r="F1039" s="227">
        <v>16.836887671232876</v>
      </c>
      <c r="G1039" s="227">
        <v>6145.4639999999999</v>
      </c>
      <c r="H1039" s="227">
        <v>0.98040000000000005</v>
      </c>
      <c r="I1039" s="227">
        <v>4.1146000000000003</v>
      </c>
      <c r="J1039" s="227">
        <v>0.57990997557861057</v>
      </c>
      <c r="K1039" s="227">
        <v>132.84</v>
      </c>
      <c r="L1039" s="227">
        <v>133.11000000000001</v>
      </c>
      <c r="M1039" s="227">
        <v>130.49</v>
      </c>
      <c r="N1039" s="227">
        <v>91.858999999999995</v>
      </c>
      <c r="O1039" s="227">
        <v>98.174000000000007</v>
      </c>
      <c r="P1039" s="227">
        <v>113.9</v>
      </c>
      <c r="Q1039" s="227">
        <v>106</v>
      </c>
      <c r="R1039" s="227">
        <v>110.88</v>
      </c>
      <c r="S1039" s="227"/>
      <c r="T1039" s="227">
        <v>79.5</v>
      </c>
      <c r="U1039" s="227">
        <v>79.5</v>
      </c>
      <c r="V1039" s="227">
        <v>79.5</v>
      </c>
      <c r="W1039" s="227">
        <v>79.5</v>
      </c>
      <c r="X1039" s="227">
        <v>79.5</v>
      </c>
      <c r="Y1039" s="227">
        <v>79.5</v>
      </c>
      <c r="Z1039" s="227">
        <v>79.5</v>
      </c>
      <c r="AA1039" s="227">
        <v>79.5</v>
      </c>
      <c r="AB1039" s="227">
        <v>12.473000000000001</v>
      </c>
      <c r="AC1039" s="227">
        <v>774.65</v>
      </c>
      <c r="AD1039" s="230">
        <v>1.4436342592592593E-4</v>
      </c>
      <c r="AE1039" s="230">
        <v>74.838000000000008</v>
      </c>
      <c r="AF1039" s="230">
        <v>3816</v>
      </c>
      <c r="AG1039" s="230">
        <v>501042.21889991954</v>
      </c>
      <c r="AH1039" s="230">
        <v>3753739.6542056487</v>
      </c>
      <c r="AI1039" s="230">
        <v>4647.8999999999996</v>
      </c>
    </row>
    <row r="1040" spans="5:35" x14ac:dyDescent="0.35">
      <c r="E1040" s="226">
        <v>3.4226399999999999</v>
      </c>
      <c r="F1040" s="227">
        <v>16.853326027397259</v>
      </c>
      <c r="G1040" s="227">
        <v>6151.4639999999999</v>
      </c>
      <c r="H1040" s="227">
        <v>0.98040000000000005</v>
      </c>
      <c r="I1040" s="227">
        <v>4.1185999999999998</v>
      </c>
      <c r="J1040" s="227">
        <v>0.57999642696749953</v>
      </c>
      <c r="K1040" s="227">
        <v>132.82</v>
      </c>
      <c r="L1040" s="227">
        <v>133.1</v>
      </c>
      <c r="M1040" s="227">
        <v>130.47999999999999</v>
      </c>
      <c r="N1040" s="227">
        <v>91.85</v>
      </c>
      <c r="O1040" s="227">
        <v>98.165999999999997</v>
      </c>
      <c r="P1040" s="227">
        <v>113.89</v>
      </c>
      <c r="Q1040" s="227">
        <v>105.99</v>
      </c>
      <c r="R1040" s="227">
        <v>110.87</v>
      </c>
      <c r="S1040" s="227"/>
      <c r="T1040" s="227">
        <v>79.5</v>
      </c>
      <c r="U1040" s="227">
        <v>79.5</v>
      </c>
      <c r="V1040" s="227">
        <v>79.5</v>
      </c>
      <c r="W1040" s="227">
        <v>79.5</v>
      </c>
      <c r="X1040" s="227">
        <v>79.5</v>
      </c>
      <c r="Y1040" s="227">
        <v>79.5</v>
      </c>
      <c r="Z1040" s="227">
        <v>79.5</v>
      </c>
      <c r="AA1040" s="227">
        <v>79.5</v>
      </c>
      <c r="AB1040" s="227">
        <v>12.449</v>
      </c>
      <c r="AC1040" s="227">
        <v>774.65</v>
      </c>
      <c r="AD1040" s="230">
        <v>1.4408564814814815E-4</v>
      </c>
      <c r="AE1040" s="230">
        <v>74.694000000000003</v>
      </c>
      <c r="AF1040" s="230">
        <v>3816</v>
      </c>
      <c r="AG1040" s="230">
        <v>501116.91289991955</v>
      </c>
      <c r="AH1040" s="230">
        <v>3757555.6542056487</v>
      </c>
      <c r="AI1040" s="230">
        <v>4647.8999999999996</v>
      </c>
    </row>
    <row r="1041" spans="5:35" x14ac:dyDescent="0.35">
      <c r="E1041" s="226">
        <v>3.4267400000000001</v>
      </c>
      <c r="F1041" s="227">
        <v>16.869764383561645</v>
      </c>
      <c r="G1041" s="227">
        <v>6157.4639999999999</v>
      </c>
      <c r="H1041" s="227">
        <v>0.98050000000000004</v>
      </c>
      <c r="I1041" s="227">
        <v>4.1227</v>
      </c>
      <c r="J1041" s="227">
        <v>0.5800827116897217</v>
      </c>
      <c r="K1041" s="227">
        <v>132.80000000000001</v>
      </c>
      <c r="L1041" s="227">
        <v>133.09</v>
      </c>
      <c r="M1041" s="227">
        <v>130.46</v>
      </c>
      <c r="N1041" s="227">
        <v>91.840999999999994</v>
      </c>
      <c r="O1041" s="227">
        <v>98.158000000000001</v>
      </c>
      <c r="P1041" s="227">
        <v>113.88</v>
      </c>
      <c r="Q1041" s="227">
        <v>105.99</v>
      </c>
      <c r="R1041" s="227">
        <v>110.86</v>
      </c>
      <c r="S1041" s="227"/>
      <c r="T1041" s="227">
        <v>79.5</v>
      </c>
      <c r="U1041" s="227">
        <v>79.5</v>
      </c>
      <c r="V1041" s="227">
        <v>79.5</v>
      </c>
      <c r="W1041" s="227">
        <v>79.5</v>
      </c>
      <c r="X1041" s="227">
        <v>79.5</v>
      </c>
      <c r="Y1041" s="227">
        <v>79.5</v>
      </c>
      <c r="Z1041" s="227">
        <v>79.5</v>
      </c>
      <c r="AA1041" s="227">
        <v>79.5</v>
      </c>
      <c r="AB1041" s="227">
        <v>12.425000000000001</v>
      </c>
      <c r="AC1041" s="227">
        <v>774.65</v>
      </c>
      <c r="AD1041" s="230">
        <v>1.4380787037037037E-4</v>
      </c>
      <c r="AE1041" s="230">
        <v>74.55</v>
      </c>
      <c r="AF1041" s="230">
        <v>3816</v>
      </c>
      <c r="AG1041" s="230">
        <v>501191.46289991954</v>
      </c>
      <c r="AH1041" s="230">
        <v>3761371.6542056487</v>
      </c>
      <c r="AI1041" s="230">
        <v>4647.8999999999996</v>
      </c>
    </row>
    <row r="1042" spans="5:35" x14ac:dyDescent="0.35">
      <c r="E1042" s="226">
        <v>3.4307399999999997</v>
      </c>
      <c r="F1042" s="227">
        <v>16.886202739726027</v>
      </c>
      <c r="G1042" s="227">
        <v>6163.4639999999999</v>
      </c>
      <c r="H1042" s="227">
        <v>0.98050000000000004</v>
      </c>
      <c r="I1042" s="227">
        <v>4.1266999999999996</v>
      </c>
      <c r="J1042" s="227">
        <v>0.58016883668972175</v>
      </c>
      <c r="K1042" s="227">
        <v>132.78</v>
      </c>
      <c r="L1042" s="227">
        <v>133.07</v>
      </c>
      <c r="M1042" s="227">
        <v>130.44</v>
      </c>
      <c r="N1042" s="227">
        <v>91.832999999999998</v>
      </c>
      <c r="O1042" s="227">
        <v>98.15</v>
      </c>
      <c r="P1042" s="227">
        <v>113.87</v>
      </c>
      <c r="Q1042" s="227">
        <v>105.98</v>
      </c>
      <c r="R1042" s="227">
        <v>110.85</v>
      </c>
      <c r="S1042" s="227"/>
      <c r="T1042" s="227">
        <v>79.5</v>
      </c>
      <c r="U1042" s="227">
        <v>79.5</v>
      </c>
      <c r="V1042" s="227">
        <v>79.5</v>
      </c>
      <c r="W1042" s="227">
        <v>79.5</v>
      </c>
      <c r="X1042" s="227">
        <v>79.5</v>
      </c>
      <c r="Y1042" s="227">
        <v>79.5</v>
      </c>
      <c r="Z1042" s="227">
        <v>79.5</v>
      </c>
      <c r="AA1042" s="227">
        <v>79.5</v>
      </c>
      <c r="AB1042" s="227">
        <v>12.401999999999999</v>
      </c>
      <c r="AC1042" s="227">
        <v>774.65</v>
      </c>
      <c r="AD1042" s="230">
        <v>1.4354166666666665E-4</v>
      </c>
      <c r="AE1042" s="230">
        <v>74.411999999999992</v>
      </c>
      <c r="AF1042" s="230">
        <v>3816</v>
      </c>
      <c r="AG1042" s="230">
        <v>501265.87489991955</v>
      </c>
      <c r="AH1042" s="230">
        <v>3765187.6542056487</v>
      </c>
      <c r="AI1042" s="230">
        <v>4647.8999999999996</v>
      </c>
    </row>
    <row r="1043" spans="5:35" x14ac:dyDescent="0.35">
      <c r="E1043" s="226">
        <v>3.4347400000000001</v>
      </c>
      <c r="F1043" s="227">
        <v>16.902641095890409</v>
      </c>
      <c r="G1043" s="227">
        <v>6169.4639999999999</v>
      </c>
      <c r="H1043" s="227">
        <v>0.98050000000000004</v>
      </c>
      <c r="I1043" s="227">
        <v>4.1307</v>
      </c>
      <c r="J1043" s="227">
        <v>0.58025479502305499</v>
      </c>
      <c r="K1043" s="227">
        <v>132.77000000000001</v>
      </c>
      <c r="L1043" s="227">
        <v>133.06</v>
      </c>
      <c r="M1043" s="227">
        <v>130.43</v>
      </c>
      <c r="N1043" s="227">
        <v>91.823999999999998</v>
      </c>
      <c r="O1043" s="227">
        <v>98.143000000000001</v>
      </c>
      <c r="P1043" s="227">
        <v>113.85</v>
      </c>
      <c r="Q1043" s="227">
        <v>105.97</v>
      </c>
      <c r="R1043" s="227">
        <v>110.85</v>
      </c>
      <c r="S1043" s="227"/>
      <c r="T1043" s="227">
        <v>79.5</v>
      </c>
      <c r="U1043" s="227">
        <v>79.5</v>
      </c>
      <c r="V1043" s="227">
        <v>79.5</v>
      </c>
      <c r="W1043" s="227">
        <v>79.5</v>
      </c>
      <c r="X1043" s="227">
        <v>79.5</v>
      </c>
      <c r="Y1043" s="227">
        <v>79.5</v>
      </c>
      <c r="Z1043" s="227">
        <v>79.5</v>
      </c>
      <c r="AA1043" s="227">
        <v>79.5</v>
      </c>
      <c r="AB1043" s="227">
        <v>12.378</v>
      </c>
      <c r="AC1043" s="227">
        <v>774.65</v>
      </c>
      <c r="AD1043" s="230">
        <v>1.432638888888889E-4</v>
      </c>
      <c r="AE1043" s="230">
        <v>74.268000000000001</v>
      </c>
      <c r="AF1043" s="230">
        <v>3816</v>
      </c>
      <c r="AG1043" s="230">
        <v>501340.14289991953</v>
      </c>
      <c r="AH1043" s="230">
        <v>3769003.6542056487</v>
      </c>
      <c r="AI1043" s="230">
        <v>4647.8999999999996</v>
      </c>
    </row>
    <row r="1044" spans="5:35" x14ac:dyDescent="0.35">
      <c r="E1044" s="226">
        <v>3.4387399999999997</v>
      </c>
      <c r="F1044" s="227">
        <v>16.919079452054795</v>
      </c>
      <c r="G1044" s="227">
        <v>6175.4639999999999</v>
      </c>
      <c r="H1044" s="227">
        <v>0.98060000000000003</v>
      </c>
      <c r="I1044" s="227">
        <v>4.1346999999999996</v>
      </c>
      <c r="J1044" s="227">
        <v>0.58034059363416612</v>
      </c>
      <c r="K1044" s="227">
        <v>132.75</v>
      </c>
      <c r="L1044" s="227">
        <v>133.05000000000001</v>
      </c>
      <c r="M1044" s="227">
        <v>130.41</v>
      </c>
      <c r="N1044" s="227">
        <v>91.814999999999998</v>
      </c>
      <c r="O1044" s="227">
        <v>98.135000000000005</v>
      </c>
      <c r="P1044" s="227">
        <v>113.84</v>
      </c>
      <c r="Q1044" s="227">
        <v>105.97</v>
      </c>
      <c r="R1044" s="227">
        <v>110.84</v>
      </c>
      <c r="S1044" s="227"/>
      <c r="T1044" s="227">
        <v>79.5</v>
      </c>
      <c r="U1044" s="227">
        <v>79.5</v>
      </c>
      <c r="V1044" s="227">
        <v>79.5</v>
      </c>
      <c r="W1044" s="227">
        <v>79.5</v>
      </c>
      <c r="X1044" s="227">
        <v>79.5</v>
      </c>
      <c r="Y1044" s="227">
        <v>79.5</v>
      </c>
      <c r="Z1044" s="227">
        <v>79.5</v>
      </c>
      <c r="AA1044" s="227">
        <v>79.5</v>
      </c>
      <c r="AB1044" s="227">
        <v>12.355</v>
      </c>
      <c r="AC1044" s="227">
        <v>774.65</v>
      </c>
      <c r="AD1044" s="230">
        <v>1.4299768518518519E-4</v>
      </c>
      <c r="AE1044" s="230">
        <v>74.13</v>
      </c>
      <c r="AF1044" s="230">
        <v>3816</v>
      </c>
      <c r="AG1044" s="230">
        <v>501414.27289991954</v>
      </c>
      <c r="AH1044" s="230">
        <v>3772819.6542056487</v>
      </c>
      <c r="AI1044" s="230">
        <v>4647.8999999999996</v>
      </c>
    </row>
    <row r="1045" spans="5:35" x14ac:dyDescent="0.35">
      <c r="E1045" s="226">
        <v>3.4427400000000001</v>
      </c>
      <c r="F1045" s="227">
        <v>16.935517808219178</v>
      </c>
      <c r="G1045" s="227">
        <v>6181.4639999999999</v>
      </c>
      <c r="H1045" s="227">
        <v>0.98060000000000003</v>
      </c>
      <c r="I1045" s="227">
        <v>4.1387</v>
      </c>
      <c r="J1045" s="227">
        <v>0.58042622557861057</v>
      </c>
      <c r="K1045" s="227">
        <v>132.72999999999999</v>
      </c>
      <c r="L1045" s="227">
        <v>133.03</v>
      </c>
      <c r="M1045" s="227">
        <v>130.4</v>
      </c>
      <c r="N1045" s="227">
        <v>91.805999999999997</v>
      </c>
      <c r="O1045" s="227">
        <v>98.128</v>
      </c>
      <c r="P1045" s="227">
        <v>113.83</v>
      </c>
      <c r="Q1045" s="227">
        <v>105.96</v>
      </c>
      <c r="R1045" s="227">
        <v>110.83</v>
      </c>
      <c r="S1045" s="227"/>
      <c r="T1045" s="227">
        <v>79.5</v>
      </c>
      <c r="U1045" s="227">
        <v>79.5</v>
      </c>
      <c r="V1045" s="227">
        <v>79.5</v>
      </c>
      <c r="W1045" s="227">
        <v>79.5</v>
      </c>
      <c r="X1045" s="227">
        <v>79.5</v>
      </c>
      <c r="Y1045" s="227">
        <v>79.5</v>
      </c>
      <c r="Z1045" s="227">
        <v>79.5</v>
      </c>
      <c r="AA1045" s="227">
        <v>79.5</v>
      </c>
      <c r="AB1045" s="227">
        <v>12.331</v>
      </c>
      <c r="AC1045" s="227">
        <v>774.65</v>
      </c>
      <c r="AD1045" s="230">
        <v>1.4271990740740741E-4</v>
      </c>
      <c r="AE1045" s="230">
        <v>73.986000000000004</v>
      </c>
      <c r="AF1045" s="230">
        <v>3816</v>
      </c>
      <c r="AG1045" s="230">
        <v>501488.25889991951</v>
      </c>
      <c r="AH1045" s="230">
        <v>3776635.6542056487</v>
      </c>
      <c r="AI1045" s="230">
        <v>4647.8999999999996</v>
      </c>
    </row>
    <row r="1046" spans="5:35" x14ac:dyDescent="0.35">
      <c r="E1046" s="226">
        <v>3.4467399999999997</v>
      </c>
      <c r="F1046" s="227">
        <v>16.95195616438356</v>
      </c>
      <c r="G1046" s="227">
        <v>6187.4639999999999</v>
      </c>
      <c r="H1046" s="227">
        <v>0.98060000000000003</v>
      </c>
      <c r="I1046" s="227">
        <v>4.1426999999999996</v>
      </c>
      <c r="J1046" s="227">
        <v>0.58051169780083278</v>
      </c>
      <c r="K1046" s="227">
        <v>132.71</v>
      </c>
      <c r="L1046" s="227">
        <v>133.02000000000001</v>
      </c>
      <c r="M1046" s="227">
        <v>130.38</v>
      </c>
      <c r="N1046" s="227">
        <v>91.798000000000002</v>
      </c>
      <c r="O1046" s="227">
        <v>98.12</v>
      </c>
      <c r="P1046" s="227">
        <v>113.82</v>
      </c>
      <c r="Q1046" s="227">
        <v>105.95</v>
      </c>
      <c r="R1046" s="227">
        <v>110.82</v>
      </c>
      <c r="S1046" s="227"/>
      <c r="T1046" s="227">
        <v>79.5</v>
      </c>
      <c r="U1046" s="227">
        <v>79.5</v>
      </c>
      <c r="V1046" s="227">
        <v>79.5</v>
      </c>
      <c r="W1046" s="227">
        <v>79.5</v>
      </c>
      <c r="X1046" s="227">
        <v>79.5</v>
      </c>
      <c r="Y1046" s="227">
        <v>79.5</v>
      </c>
      <c r="Z1046" s="227">
        <v>79.5</v>
      </c>
      <c r="AA1046" s="227">
        <v>79.5</v>
      </c>
      <c r="AB1046" s="227">
        <v>12.308</v>
      </c>
      <c r="AC1046" s="227">
        <v>774.65</v>
      </c>
      <c r="AD1046" s="230">
        <v>1.4245370370370369E-4</v>
      </c>
      <c r="AE1046" s="230">
        <v>73.847999999999999</v>
      </c>
      <c r="AF1046" s="230">
        <v>3816</v>
      </c>
      <c r="AG1046" s="230">
        <v>501562.10689991951</v>
      </c>
      <c r="AH1046" s="230">
        <v>3780451.6542056487</v>
      </c>
      <c r="AI1046" s="230">
        <v>4647.8999999999996</v>
      </c>
    </row>
    <row r="1047" spans="5:35" x14ac:dyDescent="0.35">
      <c r="E1047" s="226">
        <v>3.4508399999999999</v>
      </c>
      <c r="F1047" s="227">
        <v>16.968394520547946</v>
      </c>
      <c r="G1047" s="227">
        <v>6193.4639999999999</v>
      </c>
      <c r="H1047" s="227">
        <v>0.98070000000000002</v>
      </c>
      <c r="I1047" s="227">
        <v>4.1467999999999998</v>
      </c>
      <c r="J1047" s="227">
        <v>0.58059701030083277</v>
      </c>
      <c r="K1047" s="227">
        <v>132.69</v>
      </c>
      <c r="L1047" s="227">
        <v>133.01</v>
      </c>
      <c r="M1047" s="227">
        <v>130.36000000000001</v>
      </c>
      <c r="N1047" s="227">
        <v>91.789000000000001</v>
      </c>
      <c r="O1047" s="227">
        <v>98.111999999999995</v>
      </c>
      <c r="P1047" s="227">
        <v>113.81</v>
      </c>
      <c r="Q1047" s="227">
        <v>105.95</v>
      </c>
      <c r="R1047" s="227">
        <v>110.81</v>
      </c>
      <c r="S1047" s="227"/>
      <c r="T1047" s="227">
        <v>79.5</v>
      </c>
      <c r="U1047" s="227">
        <v>79.5</v>
      </c>
      <c r="V1047" s="227">
        <v>79.5</v>
      </c>
      <c r="W1047" s="227">
        <v>79.5</v>
      </c>
      <c r="X1047" s="227">
        <v>79.5</v>
      </c>
      <c r="Y1047" s="227">
        <v>79.5</v>
      </c>
      <c r="Z1047" s="227">
        <v>79.5</v>
      </c>
      <c r="AA1047" s="227">
        <v>79.5</v>
      </c>
      <c r="AB1047" s="227">
        <v>12.285</v>
      </c>
      <c r="AC1047" s="227">
        <v>774.65</v>
      </c>
      <c r="AD1047" s="230">
        <v>1.4218750000000001E-4</v>
      </c>
      <c r="AE1047" s="230">
        <v>73.710000000000008</v>
      </c>
      <c r="AF1047" s="230">
        <v>3816</v>
      </c>
      <c r="AG1047" s="230">
        <v>501635.81689991953</v>
      </c>
      <c r="AH1047" s="230">
        <v>3784267.6542056487</v>
      </c>
      <c r="AI1047" s="230">
        <v>4647.8999999999996</v>
      </c>
    </row>
    <row r="1048" spans="5:35" x14ac:dyDescent="0.35">
      <c r="E1048" s="226">
        <v>3.4548400000000004</v>
      </c>
      <c r="F1048" s="227">
        <v>16.984832876712328</v>
      </c>
      <c r="G1048" s="227">
        <v>6199.4639999999999</v>
      </c>
      <c r="H1048" s="227">
        <v>0.98070000000000002</v>
      </c>
      <c r="I1048" s="227">
        <v>4.1508000000000003</v>
      </c>
      <c r="J1048" s="227">
        <v>0.58068216307861054</v>
      </c>
      <c r="K1048" s="227">
        <v>132.68</v>
      </c>
      <c r="L1048" s="227">
        <v>132.99</v>
      </c>
      <c r="M1048" s="227">
        <v>130.35</v>
      </c>
      <c r="N1048" s="227">
        <v>91.78</v>
      </c>
      <c r="O1048" s="227">
        <v>98.105000000000004</v>
      </c>
      <c r="P1048" s="227">
        <v>113.8</v>
      </c>
      <c r="Q1048" s="227">
        <v>105.94</v>
      </c>
      <c r="R1048" s="227">
        <v>110.81</v>
      </c>
      <c r="S1048" s="227"/>
      <c r="T1048" s="227">
        <v>79.5</v>
      </c>
      <c r="U1048" s="227">
        <v>79.5</v>
      </c>
      <c r="V1048" s="227">
        <v>79.5</v>
      </c>
      <c r="W1048" s="227">
        <v>79.5</v>
      </c>
      <c r="X1048" s="227">
        <v>79.5</v>
      </c>
      <c r="Y1048" s="227">
        <v>79.5</v>
      </c>
      <c r="Z1048" s="227">
        <v>79.5</v>
      </c>
      <c r="AA1048" s="227">
        <v>79.5</v>
      </c>
      <c r="AB1048" s="227">
        <v>12.262</v>
      </c>
      <c r="AC1048" s="227">
        <v>774.65</v>
      </c>
      <c r="AD1048" s="230">
        <v>1.4192129629629629E-4</v>
      </c>
      <c r="AE1048" s="230">
        <v>73.572000000000003</v>
      </c>
      <c r="AF1048" s="230">
        <v>3816</v>
      </c>
      <c r="AG1048" s="230">
        <v>501709.38889991952</v>
      </c>
      <c r="AH1048" s="230">
        <v>3788083.6542056487</v>
      </c>
      <c r="AI1048" s="230">
        <v>4647.8999999999996</v>
      </c>
    </row>
    <row r="1049" spans="5:35" x14ac:dyDescent="0.35">
      <c r="E1049" s="226">
        <v>3.4588399999999999</v>
      </c>
      <c r="F1049" s="227">
        <v>17.001271232876711</v>
      </c>
      <c r="G1049" s="227">
        <v>6205.4639999999999</v>
      </c>
      <c r="H1049" s="227">
        <v>0.98080000000000001</v>
      </c>
      <c r="I1049" s="227">
        <v>4.1547999999999998</v>
      </c>
      <c r="J1049" s="227">
        <v>0.58076715613416607</v>
      </c>
      <c r="K1049" s="227">
        <v>132.66</v>
      </c>
      <c r="L1049" s="227">
        <v>132.97999999999999</v>
      </c>
      <c r="M1049" s="227">
        <v>130.33000000000001</v>
      </c>
      <c r="N1049" s="227">
        <v>91.771000000000001</v>
      </c>
      <c r="O1049" s="227">
        <v>98.096999999999994</v>
      </c>
      <c r="P1049" s="227">
        <v>113.79</v>
      </c>
      <c r="Q1049" s="227">
        <v>105.93</v>
      </c>
      <c r="R1049" s="227">
        <v>110.8</v>
      </c>
      <c r="S1049" s="227"/>
      <c r="T1049" s="227">
        <v>79.5</v>
      </c>
      <c r="U1049" s="227">
        <v>79.5</v>
      </c>
      <c r="V1049" s="227">
        <v>79.5</v>
      </c>
      <c r="W1049" s="227">
        <v>79.5</v>
      </c>
      <c r="X1049" s="227">
        <v>79.5</v>
      </c>
      <c r="Y1049" s="227">
        <v>79.5</v>
      </c>
      <c r="Z1049" s="227">
        <v>79.5</v>
      </c>
      <c r="AA1049" s="227">
        <v>79.5</v>
      </c>
      <c r="AB1049" s="227">
        <v>12.239000000000001</v>
      </c>
      <c r="AC1049" s="227">
        <v>774.65</v>
      </c>
      <c r="AD1049" s="230">
        <v>1.4165509259259261E-4</v>
      </c>
      <c r="AE1049" s="230">
        <v>73.433999999999997</v>
      </c>
      <c r="AF1049" s="230">
        <v>3816</v>
      </c>
      <c r="AG1049" s="230">
        <v>501782.82289991953</v>
      </c>
      <c r="AH1049" s="230">
        <v>3791899.6542056487</v>
      </c>
      <c r="AI1049" s="230">
        <v>4647.8999999999996</v>
      </c>
    </row>
    <row r="1050" spans="5:35" x14ac:dyDescent="0.35">
      <c r="E1050" s="226">
        <v>3.4628400000000004</v>
      </c>
      <c r="F1050" s="227">
        <v>17.017709589041097</v>
      </c>
      <c r="G1050" s="227">
        <v>6211.4639999999999</v>
      </c>
      <c r="H1050" s="227">
        <v>0.98080000000000001</v>
      </c>
      <c r="I1050" s="227">
        <v>4.1588000000000003</v>
      </c>
      <c r="J1050" s="227">
        <v>0.58085198946749939</v>
      </c>
      <c r="K1050" s="227">
        <v>132.63999999999999</v>
      </c>
      <c r="L1050" s="227">
        <v>132.97</v>
      </c>
      <c r="M1050" s="227">
        <v>130.32</v>
      </c>
      <c r="N1050" s="227">
        <v>91.762</v>
      </c>
      <c r="O1050" s="227">
        <v>98.09</v>
      </c>
      <c r="P1050" s="227">
        <v>113.78</v>
      </c>
      <c r="Q1050" s="227">
        <v>105.93</v>
      </c>
      <c r="R1050" s="227">
        <v>110.79</v>
      </c>
      <c r="S1050" s="227"/>
      <c r="T1050" s="227">
        <v>79.5</v>
      </c>
      <c r="U1050" s="227">
        <v>79.5</v>
      </c>
      <c r="V1050" s="227">
        <v>79.5</v>
      </c>
      <c r="W1050" s="227">
        <v>79.5</v>
      </c>
      <c r="X1050" s="227">
        <v>79.5</v>
      </c>
      <c r="Y1050" s="227">
        <v>79.5</v>
      </c>
      <c r="Z1050" s="227">
        <v>79.5</v>
      </c>
      <c r="AA1050" s="227">
        <v>79.5</v>
      </c>
      <c r="AB1050" s="227">
        <v>12.215999999999999</v>
      </c>
      <c r="AC1050" s="227">
        <v>774.65</v>
      </c>
      <c r="AD1050" s="230">
        <v>1.4138888888888887E-4</v>
      </c>
      <c r="AE1050" s="230">
        <v>73.295999999999992</v>
      </c>
      <c r="AF1050" s="230">
        <v>3816</v>
      </c>
      <c r="AG1050" s="230">
        <v>501856.1188999195</v>
      </c>
      <c r="AH1050" s="230">
        <v>3795715.6542056487</v>
      </c>
      <c r="AI1050" s="230">
        <v>4647.8999999999996</v>
      </c>
    </row>
    <row r="1051" spans="5:35" x14ac:dyDescent="0.35">
      <c r="E1051" s="226">
        <v>3.4668399999999999</v>
      </c>
      <c r="F1051" s="227">
        <v>17.034147945205479</v>
      </c>
      <c r="G1051" s="227">
        <v>6217.4639999999999</v>
      </c>
      <c r="H1051" s="227">
        <v>0.98080000000000001</v>
      </c>
      <c r="I1051" s="227">
        <v>4.1627999999999998</v>
      </c>
      <c r="J1051" s="227">
        <v>0.58093666307861058</v>
      </c>
      <c r="K1051" s="227">
        <v>132.63</v>
      </c>
      <c r="L1051" s="227">
        <v>132.94999999999999</v>
      </c>
      <c r="M1051" s="227">
        <v>130.30000000000001</v>
      </c>
      <c r="N1051" s="227">
        <v>91.754000000000005</v>
      </c>
      <c r="O1051" s="227">
        <v>98.082999999999998</v>
      </c>
      <c r="P1051" s="227">
        <v>113.77</v>
      </c>
      <c r="Q1051" s="227">
        <v>105.92</v>
      </c>
      <c r="R1051" s="227">
        <v>110.78</v>
      </c>
      <c r="S1051" s="227"/>
      <c r="T1051" s="227">
        <v>79.5</v>
      </c>
      <c r="U1051" s="227">
        <v>79.5</v>
      </c>
      <c r="V1051" s="227">
        <v>79.5</v>
      </c>
      <c r="W1051" s="227">
        <v>79.5</v>
      </c>
      <c r="X1051" s="227">
        <v>79.5</v>
      </c>
      <c r="Y1051" s="227">
        <v>79.5</v>
      </c>
      <c r="Z1051" s="227">
        <v>79.5</v>
      </c>
      <c r="AA1051" s="227">
        <v>79.5</v>
      </c>
      <c r="AB1051" s="227">
        <v>12.193</v>
      </c>
      <c r="AC1051" s="227">
        <v>774.65</v>
      </c>
      <c r="AD1051" s="230">
        <v>1.4112268518518518E-4</v>
      </c>
      <c r="AE1051" s="230">
        <v>73.157999999999987</v>
      </c>
      <c r="AF1051" s="230">
        <v>3816</v>
      </c>
      <c r="AG1051" s="230">
        <v>501929.2768999195</v>
      </c>
      <c r="AH1051" s="230">
        <v>3799531.6542056487</v>
      </c>
      <c r="AI1051" s="230">
        <v>4647.8999999999996</v>
      </c>
    </row>
    <row r="1052" spans="5:35" x14ac:dyDescent="0.35">
      <c r="E1052" s="226">
        <v>3.4708400000000004</v>
      </c>
      <c r="F1052" s="227">
        <v>17.050586301369862</v>
      </c>
      <c r="G1052" s="227">
        <v>6223.4639999999999</v>
      </c>
      <c r="H1052" s="227">
        <v>0.98089999999999999</v>
      </c>
      <c r="I1052" s="227">
        <v>4.1668000000000003</v>
      </c>
      <c r="J1052" s="227">
        <v>0.58102117696749944</v>
      </c>
      <c r="K1052" s="227">
        <v>132.61000000000001</v>
      </c>
      <c r="L1052" s="227">
        <v>132.94</v>
      </c>
      <c r="M1052" s="227">
        <v>130.28</v>
      </c>
      <c r="N1052" s="227">
        <v>91.745000000000005</v>
      </c>
      <c r="O1052" s="227">
        <v>98.073999999999998</v>
      </c>
      <c r="P1052" s="227">
        <v>113.75</v>
      </c>
      <c r="Q1052" s="227">
        <v>105.91</v>
      </c>
      <c r="R1052" s="227">
        <v>110.77</v>
      </c>
      <c r="S1052" s="227"/>
      <c r="T1052" s="227">
        <v>79.5</v>
      </c>
      <c r="U1052" s="227">
        <v>79.5</v>
      </c>
      <c r="V1052" s="227">
        <v>79.5</v>
      </c>
      <c r="W1052" s="227">
        <v>79.5</v>
      </c>
      <c r="X1052" s="227">
        <v>79.5</v>
      </c>
      <c r="Y1052" s="227">
        <v>79.5</v>
      </c>
      <c r="Z1052" s="227">
        <v>79.5</v>
      </c>
      <c r="AA1052" s="227">
        <v>79.5</v>
      </c>
      <c r="AB1052" s="227">
        <v>12.17</v>
      </c>
      <c r="AC1052" s="227">
        <v>774.65</v>
      </c>
      <c r="AD1052" s="230">
        <v>1.4085648148148147E-4</v>
      </c>
      <c r="AE1052" s="230">
        <v>73.02</v>
      </c>
      <c r="AF1052" s="230">
        <v>3816</v>
      </c>
      <c r="AG1052" s="230">
        <v>502002.29689991951</v>
      </c>
      <c r="AH1052" s="230">
        <v>3803347.6542056487</v>
      </c>
      <c r="AI1052" s="230">
        <v>4647.8999999999996</v>
      </c>
    </row>
    <row r="1053" spans="5:35" x14ac:dyDescent="0.35">
      <c r="E1053" s="226">
        <v>3.4749399999999997</v>
      </c>
      <c r="F1053" s="227">
        <v>17.067024657534247</v>
      </c>
      <c r="G1053" s="227">
        <v>6229.4639999999999</v>
      </c>
      <c r="H1053" s="227">
        <v>0.98089999999999999</v>
      </c>
      <c r="I1053" s="227">
        <v>4.1708999999999996</v>
      </c>
      <c r="J1053" s="227">
        <v>0.58110553113416608</v>
      </c>
      <c r="K1053" s="227">
        <v>132.59</v>
      </c>
      <c r="L1053" s="227">
        <v>132.93</v>
      </c>
      <c r="M1053" s="227">
        <v>130.27000000000001</v>
      </c>
      <c r="N1053" s="227">
        <v>91.736000000000004</v>
      </c>
      <c r="O1053" s="227">
        <v>98.067999999999998</v>
      </c>
      <c r="P1053" s="227">
        <v>113.74</v>
      </c>
      <c r="Q1053" s="227">
        <v>105.91</v>
      </c>
      <c r="R1053" s="227">
        <v>110.77</v>
      </c>
      <c r="S1053" s="227"/>
      <c r="T1053" s="227">
        <v>79.5</v>
      </c>
      <c r="U1053" s="227">
        <v>79.5</v>
      </c>
      <c r="V1053" s="227">
        <v>79.5</v>
      </c>
      <c r="W1053" s="227">
        <v>79.5</v>
      </c>
      <c r="X1053" s="227">
        <v>79.5</v>
      </c>
      <c r="Y1053" s="227">
        <v>79.5</v>
      </c>
      <c r="Z1053" s="227">
        <v>79.5</v>
      </c>
      <c r="AA1053" s="227">
        <v>79.5</v>
      </c>
      <c r="AB1053" s="227">
        <v>12.147</v>
      </c>
      <c r="AC1053" s="227">
        <v>774.65</v>
      </c>
      <c r="AD1053" s="230">
        <v>1.4059027777777778E-4</v>
      </c>
      <c r="AE1053" s="230">
        <v>72.882000000000005</v>
      </c>
      <c r="AF1053" s="230">
        <v>3816</v>
      </c>
      <c r="AG1053" s="230">
        <v>502075.1788999195</v>
      </c>
      <c r="AH1053" s="230">
        <v>3807163.6542056487</v>
      </c>
      <c r="AI1053" s="230">
        <v>4647.8999999999996</v>
      </c>
    </row>
    <row r="1054" spans="5:35" x14ac:dyDescent="0.35">
      <c r="E1054" s="226">
        <v>3.4789400000000001</v>
      </c>
      <c r="F1054" s="227">
        <v>17.08346301369863</v>
      </c>
      <c r="G1054" s="227">
        <v>6235.4639999999999</v>
      </c>
      <c r="H1054" s="227">
        <v>0.98089999999999999</v>
      </c>
      <c r="I1054" s="227">
        <v>4.1749000000000001</v>
      </c>
      <c r="J1054" s="227">
        <v>0.58118972557861048</v>
      </c>
      <c r="K1054" s="227">
        <v>132.57</v>
      </c>
      <c r="L1054" s="227">
        <v>132.91</v>
      </c>
      <c r="M1054" s="227">
        <v>130.25</v>
      </c>
      <c r="N1054" s="227">
        <v>91.727999999999994</v>
      </c>
      <c r="O1054" s="227">
        <v>98.06</v>
      </c>
      <c r="P1054" s="227">
        <v>113.73</v>
      </c>
      <c r="Q1054" s="227">
        <v>105.9</v>
      </c>
      <c r="R1054" s="227">
        <v>110.76</v>
      </c>
      <c r="S1054" s="227"/>
      <c r="T1054" s="227">
        <v>79.5</v>
      </c>
      <c r="U1054" s="227">
        <v>79.5</v>
      </c>
      <c r="V1054" s="227">
        <v>79.5</v>
      </c>
      <c r="W1054" s="227">
        <v>79.5</v>
      </c>
      <c r="X1054" s="227">
        <v>79.5</v>
      </c>
      <c r="Y1054" s="227">
        <v>79.5</v>
      </c>
      <c r="Z1054" s="227">
        <v>79.5</v>
      </c>
      <c r="AA1054" s="227">
        <v>79.5</v>
      </c>
      <c r="AB1054" s="227">
        <v>12.124000000000001</v>
      </c>
      <c r="AC1054" s="227">
        <v>774.65</v>
      </c>
      <c r="AD1054" s="230">
        <v>1.4032407407407407E-4</v>
      </c>
      <c r="AE1054" s="230">
        <v>72.744</v>
      </c>
      <c r="AF1054" s="230">
        <v>3816</v>
      </c>
      <c r="AG1054" s="230">
        <v>502147.9228999195</v>
      </c>
      <c r="AH1054" s="230">
        <v>3810979.6542056487</v>
      </c>
      <c r="AI1054" s="230">
        <v>4647.8999999999996</v>
      </c>
    </row>
    <row r="1055" spans="5:35" x14ac:dyDescent="0.35">
      <c r="E1055" s="226">
        <v>3.4829399999999997</v>
      </c>
      <c r="F1055" s="227">
        <v>17.099901369863012</v>
      </c>
      <c r="G1055" s="227">
        <v>6241.4639999999999</v>
      </c>
      <c r="H1055" s="227">
        <v>0.98099999999999998</v>
      </c>
      <c r="I1055" s="227">
        <v>4.1788999999999996</v>
      </c>
      <c r="J1055" s="227">
        <v>0.58127376724527724</v>
      </c>
      <c r="K1055" s="227">
        <v>132.55000000000001</v>
      </c>
      <c r="L1055" s="227">
        <v>132.9</v>
      </c>
      <c r="M1055" s="227">
        <v>130.24</v>
      </c>
      <c r="N1055" s="227">
        <v>91.718999999999994</v>
      </c>
      <c r="O1055" s="227">
        <v>98.052999999999997</v>
      </c>
      <c r="P1055" s="227">
        <v>113.72</v>
      </c>
      <c r="Q1055" s="227">
        <v>105.9</v>
      </c>
      <c r="R1055" s="227">
        <v>110.75</v>
      </c>
      <c r="S1055" s="227"/>
      <c r="T1055" s="227">
        <v>79.5</v>
      </c>
      <c r="U1055" s="227">
        <v>79.5</v>
      </c>
      <c r="V1055" s="227">
        <v>79.5</v>
      </c>
      <c r="W1055" s="227">
        <v>79.5</v>
      </c>
      <c r="X1055" s="227">
        <v>79.5</v>
      </c>
      <c r="Y1055" s="227">
        <v>79.5</v>
      </c>
      <c r="Z1055" s="227">
        <v>79.5</v>
      </c>
      <c r="AA1055" s="227">
        <v>79.5</v>
      </c>
      <c r="AB1055" s="227">
        <v>12.102</v>
      </c>
      <c r="AC1055" s="227">
        <v>774.65</v>
      </c>
      <c r="AD1055" s="230">
        <v>1.4006944444444445E-4</v>
      </c>
      <c r="AE1055" s="230">
        <v>72.612000000000009</v>
      </c>
      <c r="AF1055" s="230">
        <v>3816</v>
      </c>
      <c r="AG1055" s="230">
        <v>502220.53489991953</v>
      </c>
      <c r="AH1055" s="230">
        <v>3814795.6542056487</v>
      </c>
      <c r="AI1055" s="230">
        <v>4647.8999999999996</v>
      </c>
    </row>
    <row r="1056" spans="5:35" x14ac:dyDescent="0.35">
      <c r="E1056" s="226">
        <v>3.4869400000000002</v>
      </c>
      <c r="F1056" s="227">
        <v>17.116339726027398</v>
      </c>
      <c r="G1056" s="227">
        <v>6247.4639999999999</v>
      </c>
      <c r="H1056" s="227">
        <v>0.98099999999999998</v>
      </c>
      <c r="I1056" s="227">
        <v>4.1829000000000001</v>
      </c>
      <c r="J1056" s="227">
        <v>0.58135764918972166</v>
      </c>
      <c r="K1056" s="227">
        <v>132.54</v>
      </c>
      <c r="L1056" s="227">
        <v>132.88999999999999</v>
      </c>
      <c r="M1056" s="227">
        <v>130.22</v>
      </c>
      <c r="N1056" s="227">
        <v>91.710999999999999</v>
      </c>
      <c r="O1056" s="227">
        <v>98.045000000000002</v>
      </c>
      <c r="P1056" s="227">
        <v>113.71</v>
      </c>
      <c r="Q1056" s="227">
        <v>105.89</v>
      </c>
      <c r="R1056" s="227">
        <v>110.74</v>
      </c>
      <c r="S1056" s="227"/>
      <c r="T1056" s="227">
        <v>79.5</v>
      </c>
      <c r="U1056" s="227">
        <v>79.5</v>
      </c>
      <c r="V1056" s="227">
        <v>79.5</v>
      </c>
      <c r="W1056" s="227">
        <v>79.5</v>
      </c>
      <c r="X1056" s="227">
        <v>79.5</v>
      </c>
      <c r="Y1056" s="227">
        <v>79.5</v>
      </c>
      <c r="Z1056" s="227">
        <v>79.5</v>
      </c>
      <c r="AA1056" s="227">
        <v>79.5</v>
      </c>
      <c r="AB1056" s="227">
        <v>12.079000000000001</v>
      </c>
      <c r="AC1056" s="227">
        <v>774.65</v>
      </c>
      <c r="AD1056" s="230">
        <v>1.3980324074074074E-4</v>
      </c>
      <c r="AE1056" s="230">
        <v>72.474000000000004</v>
      </c>
      <c r="AF1056" s="230">
        <v>3816</v>
      </c>
      <c r="AG1056" s="230">
        <v>502293.00889991951</v>
      </c>
      <c r="AH1056" s="230">
        <v>3818611.6542056487</v>
      </c>
      <c r="AI1056" s="230">
        <v>4647.8999999999996</v>
      </c>
    </row>
    <row r="1057" spans="5:35" x14ac:dyDescent="0.35">
      <c r="E1057" s="226">
        <v>3.4909399999999997</v>
      </c>
      <c r="F1057" s="227">
        <v>17.132778082191781</v>
      </c>
      <c r="G1057" s="227">
        <v>6253.4639999999999</v>
      </c>
      <c r="H1057" s="227">
        <v>0.98099999999999998</v>
      </c>
      <c r="I1057" s="227">
        <v>4.1868999999999996</v>
      </c>
      <c r="J1057" s="227">
        <v>0.58144137835638832</v>
      </c>
      <c r="K1057" s="227">
        <v>132.52000000000001</v>
      </c>
      <c r="L1057" s="227">
        <v>132.87</v>
      </c>
      <c r="M1057" s="227">
        <v>130.19999999999999</v>
      </c>
      <c r="N1057" s="227">
        <v>91.701999999999998</v>
      </c>
      <c r="O1057" s="227">
        <v>98.037999999999997</v>
      </c>
      <c r="P1057" s="227">
        <v>113.7</v>
      </c>
      <c r="Q1057" s="227">
        <v>105.88</v>
      </c>
      <c r="R1057" s="227">
        <v>110.73</v>
      </c>
      <c r="S1057" s="227"/>
      <c r="T1057" s="227">
        <v>79.5</v>
      </c>
      <c r="U1057" s="227">
        <v>79.5</v>
      </c>
      <c r="V1057" s="227">
        <v>79.5</v>
      </c>
      <c r="W1057" s="227">
        <v>79.5</v>
      </c>
      <c r="X1057" s="227">
        <v>79.5</v>
      </c>
      <c r="Y1057" s="227">
        <v>79.5</v>
      </c>
      <c r="Z1057" s="227">
        <v>79.5</v>
      </c>
      <c r="AA1057" s="227">
        <v>79.5</v>
      </c>
      <c r="AB1057" s="227">
        <v>12.057</v>
      </c>
      <c r="AC1057" s="227">
        <v>774.65</v>
      </c>
      <c r="AD1057" s="230">
        <v>1.3954861111111112E-4</v>
      </c>
      <c r="AE1057" s="230">
        <v>72.342000000000013</v>
      </c>
      <c r="AF1057" s="230">
        <v>3816</v>
      </c>
      <c r="AG1057" s="230">
        <v>502365.35089991952</v>
      </c>
      <c r="AH1057" s="230">
        <v>3822427.6542056487</v>
      </c>
      <c r="AI1057" s="230">
        <v>4647.8999999999996</v>
      </c>
    </row>
    <row r="1058" spans="5:35" x14ac:dyDescent="0.35">
      <c r="E1058" s="226">
        <v>3.4949400000000002</v>
      </c>
      <c r="F1058" s="227">
        <v>17.149216438356163</v>
      </c>
      <c r="G1058" s="227">
        <v>6259.4639999999999</v>
      </c>
      <c r="H1058" s="227">
        <v>0.98109999999999997</v>
      </c>
      <c r="I1058" s="227">
        <v>4.1909000000000001</v>
      </c>
      <c r="J1058" s="227">
        <v>0.58152494780083286</v>
      </c>
      <c r="K1058" s="227">
        <v>132.5</v>
      </c>
      <c r="L1058" s="227">
        <v>132.86000000000001</v>
      </c>
      <c r="M1058" s="227">
        <v>130.19</v>
      </c>
      <c r="N1058" s="227">
        <v>91.694000000000003</v>
      </c>
      <c r="O1058" s="227">
        <v>98.03</v>
      </c>
      <c r="P1058" s="227">
        <v>113.69</v>
      </c>
      <c r="Q1058" s="227">
        <v>105.88</v>
      </c>
      <c r="R1058" s="227">
        <v>110.73</v>
      </c>
      <c r="S1058" s="227"/>
      <c r="T1058" s="227">
        <v>79.5</v>
      </c>
      <c r="U1058" s="227">
        <v>79.5</v>
      </c>
      <c r="V1058" s="227">
        <v>79.5</v>
      </c>
      <c r="W1058" s="227">
        <v>79.5</v>
      </c>
      <c r="X1058" s="227">
        <v>79.5</v>
      </c>
      <c r="Y1058" s="227">
        <v>79.5</v>
      </c>
      <c r="Z1058" s="227">
        <v>79.5</v>
      </c>
      <c r="AA1058" s="227">
        <v>79.5</v>
      </c>
      <c r="AB1058" s="227">
        <v>12.034000000000001</v>
      </c>
      <c r="AC1058" s="227">
        <v>774.65</v>
      </c>
      <c r="AD1058" s="230">
        <v>1.3928240740740741E-4</v>
      </c>
      <c r="AE1058" s="230">
        <v>72.204000000000008</v>
      </c>
      <c r="AF1058" s="230">
        <v>3816</v>
      </c>
      <c r="AG1058" s="230">
        <v>502437.55489991955</v>
      </c>
      <c r="AH1058" s="230">
        <v>3826243.6542056487</v>
      </c>
      <c r="AI1058" s="230">
        <v>4647.8999999999996</v>
      </c>
    </row>
    <row r="1059" spans="5:35" x14ac:dyDescent="0.35">
      <c r="E1059" s="226">
        <v>3.4990400000000004</v>
      </c>
      <c r="F1059" s="227">
        <v>17.165654794520549</v>
      </c>
      <c r="G1059" s="227">
        <v>6265.4639999999999</v>
      </c>
      <c r="H1059" s="227">
        <v>0.98109999999999997</v>
      </c>
      <c r="I1059" s="227">
        <v>4.1950000000000003</v>
      </c>
      <c r="J1059" s="227">
        <v>0.58160836446749942</v>
      </c>
      <c r="K1059" s="227">
        <v>132.47999999999999</v>
      </c>
      <c r="L1059" s="227">
        <v>132.85</v>
      </c>
      <c r="M1059" s="227">
        <v>130.16999999999999</v>
      </c>
      <c r="N1059" s="227">
        <v>91.685000000000002</v>
      </c>
      <c r="O1059" s="227">
        <v>98.022000000000006</v>
      </c>
      <c r="P1059" s="227">
        <v>113.68</v>
      </c>
      <c r="Q1059" s="227">
        <v>105.87</v>
      </c>
      <c r="R1059" s="227">
        <v>110.72</v>
      </c>
      <c r="S1059" s="227"/>
      <c r="T1059" s="227">
        <v>79.5</v>
      </c>
      <c r="U1059" s="227">
        <v>79.5</v>
      </c>
      <c r="V1059" s="227">
        <v>79.5</v>
      </c>
      <c r="W1059" s="227">
        <v>79.5</v>
      </c>
      <c r="X1059" s="227">
        <v>79.5</v>
      </c>
      <c r="Y1059" s="227">
        <v>79.5</v>
      </c>
      <c r="Z1059" s="227">
        <v>79.5</v>
      </c>
      <c r="AA1059" s="227">
        <v>79.5</v>
      </c>
      <c r="AB1059" s="227">
        <v>12.012</v>
      </c>
      <c r="AC1059" s="227">
        <v>774.65</v>
      </c>
      <c r="AD1059" s="230">
        <v>1.3902777777777779E-4</v>
      </c>
      <c r="AE1059" s="230">
        <v>72.072000000000003</v>
      </c>
      <c r="AF1059" s="230">
        <v>3816</v>
      </c>
      <c r="AG1059" s="230">
        <v>502509.62689991953</v>
      </c>
      <c r="AH1059" s="230">
        <v>3830059.6542056487</v>
      </c>
      <c r="AI1059" s="230">
        <v>4647.8999999999996</v>
      </c>
    </row>
    <row r="1060" spans="5:35" x14ac:dyDescent="0.35">
      <c r="E1060" s="226">
        <v>3.5030399999999999</v>
      </c>
      <c r="F1060" s="227">
        <v>17.182093150684931</v>
      </c>
      <c r="G1060" s="227">
        <v>6271.4639999999999</v>
      </c>
      <c r="H1060" s="227">
        <v>0.98109999999999997</v>
      </c>
      <c r="I1060" s="227">
        <v>4.1989999999999998</v>
      </c>
      <c r="J1060" s="227">
        <v>0.58169162835638832</v>
      </c>
      <c r="K1060" s="227">
        <v>132.47</v>
      </c>
      <c r="L1060" s="227">
        <v>132.84</v>
      </c>
      <c r="M1060" s="227">
        <v>130.16</v>
      </c>
      <c r="N1060" s="227">
        <v>91.677000000000007</v>
      </c>
      <c r="O1060" s="227">
        <v>98.016000000000005</v>
      </c>
      <c r="P1060" s="227">
        <v>113.67</v>
      </c>
      <c r="Q1060" s="227">
        <v>105.86</v>
      </c>
      <c r="R1060" s="227">
        <v>110.71</v>
      </c>
      <c r="S1060" s="227"/>
      <c r="T1060" s="227">
        <v>79.5</v>
      </c>
      <c r="U1060" s="227">
        <v>79.5</v>
      </c>
      <c r="V1060" s="227">
        <v>79.5</v>
      </c>
      <c r="W1060" s="227">
        <v>79.5</v>
      </c>
      <c r="X1060" s="227">
        <v>79.5</v>
      </c>
      <c r="Y1060" s="227">
        <v>79.5</v>
      </c>
      <c r="Z1060" s="227">
        <v>79.5</v>
      </c>
      <c r="AA1060" s="227">
        <v>79.5</v>
      </c>
      <c r="AB1060" s="227">
        <v>11.99</v>
      </c>
      <c r="AC1060" s="227">
        <v>774.65</v>
      </c>
      <c r="AD1060" s="230">
        <v>1.3877314814814815E-4</v>
      </c>
      <c r="AE1060" s="230">
        <v>71.94</v>
      </c>
      <c r="AF1060" s="230">
        <v>3816</v>
      </c>
      <c r="AG1060" s="230">
        <v>502581.56689991953</v>
      </c>
      <c r="AH1060" s="230">
        <v>3833875.6542056487</v>
      </c>
      <c r="AI1060" s="230">
        <v>4647.8999999999996</v>
      </c>
    </row>
    <row r="1061" spans="5:35" x14ac:dyDescent="0.35">
      <c r="E1061" s="226">
        <v>3.5070400000000004</v>
      </c>
      <c r="F1061" s="227">
        <v>17.198531506849314</v>
      </c>
      <c r="G1061" s="227">
        <v>6277.4639999999999</v>
      </c>
      <c r="H1061" s="227">
        <v>0.98119999999999996</v>
      </c>
      <c r="I1061" s="227">
        <v>4.2030000000000003</v>
      </c>
      <c r="J1061" s="227">
        <v>0.58177473946749947</v>
      </c>
      <c r="K1061" s="227">
        <v>132.44999999999999</v>
      </c>
      <c r="L1061" s="227">
        <v>132.82</v>
      </c>
      <c r="M1061" s="227">
        <v>130.13999999999999</v>
      </c>
      <c r="N1061" s="227">
        <v>91.668000000000006</v>
      </c>
      <c r="O1061" s="227">
        <v>98.007999999999996</v>
      </c>
      <c r="P1061" s="227">
        <v>113.66</v>
      </c>
      <c r="Q1061" s="227">
        <v>105.86</v>
      </c>
      <c r="R1061" s="227">
        <v>110.7</v>
      </c>
      <c r="S1061" s="227"/>
      <c r="T1061" s="227">
        <v>79.5</v>
      </c>
      <c r="U1061" s="227">
        <v>79.5</v>
      </c>
      <c r="V1061" s="227">
        <v>79.5</v>
      </c>
      <c r="W1061" s="227">
        <v>79.5</v>
      </c>
      <c r="X1061" s="227">
        <v>79.5</v>
      </c>
      <c r="Y1061" s="227">
        <v>79.5</v>
      </c>
      <c r="Z1061" s="227">
        <v>79.5</v>
      </c>
      <c r="AA1061" s="227">
        <v>79.5</v>
      </c>
      <c r="AB1061" s="227">
        <v>11.968</v>
      </c>
      <c r="AC1061" s="227">
        <v>774.65</v>
      </c>
      <c r="AD1061" s="230">
        <v>1.3851851851851853E-4</v>
      </c>
      <c r="AE1061" s="230">
        <v>71.808000000000007</v>
      </c>
      <c r="AF1061" s="230">
        <v>3816</v>
      </c>
      <c r="AG1061" s="230">
        <v>502653.37489991955</v>
      </c>
      <c r="AH1061" s="230">
        <v>3837691.6542056487</v>
      </c>
      <c r="AI1061" s="230">
        <v>4647.8999999999996</v>
      </c>
    </row>
    <row r="1062" spans="5:35" x14ac:dyDescent="0.35">
      <c r="E1062" s="226">
        <v>3.5110399999999999</v>
      </c>
      <c r="F1062" s="227">
        <v>17.2149698630137</v>
      </c>
      <c r="G1062" s="227">
        <v>6283.4639999999999</v>
      </c>
      <c r="H1062" s="227">
        <v>0.98119999999999996</v>
      </c>
      <c r="I1062" s="227">
        <v>4.2069999999999999</v>
      </c>
      <c r="J1062" s="227">
        <v>0.58185769085638839</v>
      </c>
      <c r="K1062" s="227">
        <v>132.43</v>
      </c>
      <c r="L1062" s="227">
        <v>132.81</v>
      </c>
      <c r="M1062" s="227">
        <v>130.13</v>
      </c>
      <c r="N1062" s="227">
        <v>91.66</v>
      </c>
      <c r="O1062" s="227">
        <v>98.001000000000005</v>
      </c>
      <c r="P1062" s="227">
        <v>113.64</v>
      </c>
      <c r="Q1062" s="227">
        <v>105.85</v>
      </c>
      <c r="R1062" s="227">
        <v>110.69</v>
      </c>
      <c r="S1062" s="227"/>
      <c r="T1062" s="227">
        <v>79.5</v>
      </c>
      <c r="U1062" s="227">
        <v>79.5</v>
      </c>
      <c r="V1062" s="227">
        <v>79.5</v>
      </c>
      <c r="W1062" s="227">
        <v>79.5</v>
      </c>
      <c r="X1062" s="227">
        <v>79.5</v>
      </c>
      <c r="Y1062" s="227">
        <v>79.5</v>
      </c>
      <c r="Z1062" s="227">
        <v>79.5</v>
      </c>
      <c r="AA1062" s="227">
        <v>79.5</v>
      </c>
      <c r="AB1062" s="227">
        <v>11.945</v>
      </c>
      <c r="AC1062" s="227">
        <v>774.65</v>
      </c>
      <c r="AD1062" s="230">
        <v>1.3825231481481482E-4</v>
      </c>
      <c r="AE1062" s="230">
        <v>71.67</v>
      </c>
      <c r="AF1062" s="230">
        <v>3816</v>
      </c>
      <c r="AG1062" s="230">
        <v>502725.04489991954</v>
      </c>
      <c r="AH1062" s="230">
        <v>3841507.6542056487</v>
      </c>
      <c r="AI1062" s="230">
        <v>4647.8999999999996</v>
      </c>
    </row>
    <row r="1063" spans="5:35" x14ac:dyDescent="0.35">
      <c r="E1063" s="226">
        <v>3.5150400000000004</v>
      </c>
      <c r="F1063" s="227">
        <v>17.231408219178082</v>
      </c>
      <c r="G1063" s="227">
        <v>6289.4639999999999</v>
      </c>
      <c r="H1063" s="227">
        <v>0.98129999999999995</v>
      </c>
      <c r="I1063" s="227">
        <v>4.2110000000000003</v>
      </c>
      <c r="J1063" s="227">
        <v>0.5819404964119439</v>
      </c>
      <c r="K1063" s="227">
        <v>132.41999999999999</v>
      </c>
      <c r="L1063" s="227">
        <v>132.80000000000001</v>
      </c>
      <c r="M1063" s="227">
        <v>130.11000000000001</v>
      </c>
      <c r="N1063" s="227">
        <v>91.650999999999996</v>
      </c>
      <c r="O1063" s="227">
        <v>97.994</v>
      </c>
      <c r="P1063" s="227">
        <v>113.63</v>
      </c>
      <c r="Q1063" s="227">
        <v>105.84</v>
      </c>
      <c r="R1063" s="227">
        <v>110.69</v>
      </c>
      <c r="S1063" s="227"/>
      <c r="T1063" s="227">
        <v>79.5</v>
      </c>
      <c r="U1063" s="227">
        <v>79.5</v>
      </c>
      <c r="V1063" s="227">
        <v>79.5</v>
      </c>
      <c r="W1063" s="227">
        <v>79.5</v>
      </c>
      <c r="X1063" s="227">
        <v>79.5</v>
      </c>
      <c r="Y1063" s="227">
        <v>79.5</v>
      </c>
      <c r="Z1063" s="227">
        <v>79.5</v>
      </c>
      <c r="AA1063" s="227">
        <v>79.5</v>
      </c>
      <c r="AB1063" s="227">
        <v>11.923999999999999</v>
      </c>
      <c r="AC1063" s="227">
        <v>774.65</v>
      </c>
      <c r="AD1063" s="230">
        <v>1.3800925925925924E-4</v>
      </c>
      <c r="AE1063" s="230">
        <v>71.543999999999983</v>
      </c>
      <c r="AF1063" s="230">
        <v>3816</v>
      </c>
      <c r="AG1063" s="230">
        <v>502796.58889991953</v>
      </c>
      <c r="AH1063" s="230">
        <v>3845323.6542056487</v>
      </c>
      <c r="AI1063" s="230">
        <v>4647.8999999999996</v>
      </c>
    </row>
    <row r="1064" spans="5:35" x14ac:dyDescent="0.35">
      <c r="E1064" s="226">
        <v>3.5190399999999999</v>
      </c>
      <c r="F1064" s="227">
        <v>17.247846575342464</v>
      </c>
      <c r="G1064" s="227">
        <v>6295.4639999999999</v>
      </c>
      <c r="H1064" s="227">
        <v>0.98129999999999995</v>
      </c>
      <c r="I1064" s="227">
        <v>4.2149999999999999</v>
      </c>
      <c r="J1064" s="227">
        <v>0.58202314224527729</v>
      </c>
      <c r="K1064" s="227">
        <v>132.4</v>
      </c>
      <c r="L1064" s="227">
        <v>132.78</v>
      </c>
      <c r="M1064" s="227">
        <v>130.1</v>
      </c>
      <c r="N1064" s="227">
        <v>91.643000000000001</v>
      </c>
      <c r="O1064" s="227">
        <v>97.986999999999995</v>
      </c>
      <c r="P1064" s="227">
        <v>113.62</v>
      </c>
      <c r="Q1064" s="227">
        <v>105.84</v>
      </c>
      <c r="R1064" s="227">
        <v>110.68</v>
      </c>
      <c r="S1064" s="227"/>
      <c r="T1064" s="227">
        <v>79.5</v>
      </c>
      <c r="U1064" s="227">
        <v>79.5</v>
      </c>
      <c r="V1064" s="227">
        <v>79.5</v>
      </c>
      <c r="W1064" s="227">
        <v>79.5</v>
      </c>
      <c r="X1064" s="227">
        <v>79.5</v>
      </c>
      <c r="Y1064" s="227">
        <v>79.5</v>
      </c>
      <c r="Z1064" s="227">
        <v>79.5</v>
      </c>
      <c r="AA1064" s="227">
        <v>79.5</v>
      </c>
      <c r="AB1064" s="227">
        <v>11.901</v>
      </c>
      <c r="AC1064" s="227">
        <v>774.65</v>
      </c>
      <c r="AD1064" s="230">
        <v>1.3774305555555556E-4</v>
      </c>
      <c r="AE1064" s="230">
        <v>71.406000000000006</v>
      </c>
      <c r="AF1064" s="230">
        <v>3816</v>
      </c>
      <c r="AG1064" s="230">
        <v>502867.99489991955</v>
      </c>
      <c r="AH1064" s="230">
        <v>3849139.6542056487</v>
      </c>
      <c r="AI1064" s="230">
        <v>4647.8999999999996</v>
      </c>
    </row>
    <row r="1065" spans="5:35" x14ac:dyDescent="0.35">
      <c r="E1065" s="226">
        <v>3.5231400000000002</v>
      </c>
      <c r="F1065" s="227">
        <v>17.26428493150685</v>
      </c>
      <c r="G1065" s="227">
        <v>6301.4639999999999</v>
      </c>
      <c r="H1065" s="227">
        <v>0.98129999999999995</v>
      </c>
      <c r="I1065" s="227">
        <v>4.2191000000000001</v>
      </c>
      <c r="J1065" s="227">
        <v>0.58210564224527728</v>
      </c>
      <c r="K1065" s="227">
        <v>132.38</v>
      </c>
      <c r="L1065" s="227">
        <v>132.77000000000001</v>
      </c>
      <c r="M1065" s="227">
        <v>130.08000000000001</v>
      </c>
      <c r="N1065" s="227">
        <v>91.634</v>
      </c>
      <c r="O1065" s="227">
        <v>97.98</v>
      </c>
      <c r="P1065" s="227">
        <v>113.61</v>
      </c>
      <c r="Q1065" s="227">
        <v>105.83</v>
      </c>
      <c r="R1065" s="227">
        <v>110.67</v>
      </c>
      <c r="S1065" s="227"/>
      <c r="T1065" s="227">
        <v>79.5</v>
      </c>
      <c r="U1065" s="227">
        <v>79.5</v>
      </c>
      <c r="V1065" s="227">
        <v>79.5</v>
      </c>
      <c r="W1065" s="227">
        <v>79.5</v>
      </c>
      <c r="X1065" s="227">
        <v>79.5</v>
      </c>
      <c r="Y1065" s="227">
        <v>79.5</v>
      </c>
      <c r="Z1065" s="227">
        <v>79.5</v>
      </c>
      <c r="AA1065" s="227">
        <v>79.5</v>
      </c>
      <c r="AB1065" s="227">
        <v>11.88</v>
      </c>
      <c r="AC1065" s="227">
        <v>774.65</v>
      </c>
      <c r="AD1065" s="230">
        <v>1.3750000000000001E-4</v>
      </c>
      <c r="AE1065" s="230">
        <v>71.28</v>
      </c>
      <c r="AF1065" s="230">
        <v>3816</v>
      </c>
      <c r="AG1065" s="230">
        <v>502939.27489991958</v>
      </c>
      <c r="AH1065" s="230">
        <v>3852955.6542056487</v>
      </c>
      <c r="AI1065" s="230">
        <v>4647.8999999999996</v>
      </c>
    </row>
    <row r="1066" spans="5:35" x14ac:dyDescent="0.35">
      <c r="E1066" s="226">
        <v>3.5271399999999997</v>
      </c>
      <c r="F1066" s="227">
        <v>17.280723287671233</v>
      </c>
      <c r="G1066" s="227">
        <v>6307.4639999999999</v>
      </c>
      <c r="H1066" s="227">
        <v>0.98140000000000005</v>
      </c>
      <c r="I1066" s="227">
        <v>4.2230999999999996</v>
      </c>
      <c r="J1066" s="227">
        <v>0.5821879894674995</v>
      </c>
      <c r="K1066" s="227">
        <v>132.37</v>
      </c>
      <c r="L1066" s="227">
        <v>132.76</v>
      </c>
      <c r="M1066" s="227">
        <v>130.07</v>
      </c>
      <c r="N1066" s="227">
        <v>91.626000000000005</v>
      </c>
      <c r="O1066" s="227">
        <v>97.972999999999999</v>
      </c>
      <c r="P1066" s="227">
        <v>113.6</v>
      </c>
      <c r="Q1066" s="227">
        <v>105.83</v>
      </c>
      <c r="R1066" s="227">
        <v>110.66</v>
      </c>
      <c r="S1066" s="227"/>
      <c r="T1066" s="227">
        <v>79.5</v>
      </c>
      <c r="U1066" s="227">
        <v>79.5</v>
      </c>
      <c r="V1066" s="227">
        <v>79.5</v>
      </c>
      <c r="W1066" s="227">
        <v>79.5</v>
      </c>
      <c r="X1066" s="227">
        <v>79.5</v>
      </c>
      <c r="Y1066" s="227">
        <v>79.5</v>
      </c>
      <c r="Z1066" s="227">
        <v>79.5</v>
      </c>
      <c r="AA1066" s="227">
        <v>79.5</v>
      </c>
      <c r="AB1066" s="227">
        <v>11.858000000000001</v>
      </c>
      <c r="AC1066" s="227">
        <v>774.65</v>
      </c>
      <c r="AD1066" s="230">
        <v>1.3724537037037036E-4</v>
      </c>
      <c r="AE1066" s="230">
        <v>71.147999999999996</v>
      </c>
      <c r="AF1066" s="230">
        <v>3816</v>
      </c>
      <c r="AG1066" s="230">
        <v>503010.42289991956</v>
      </c>
      <c r="AH1066" s="230">
        <v>3856771.6542056487</v>
      </c>
      <c r="AI1066" s="230">
        <v>4647.8999999999996</v>
      </c>
    </row>
    <row r="1067" spans="5:35" x14ac:dyDescent="0.35">
      <c r="E1067" s="226">
        <v>3.5311400000000002</v>
      </c>
      <c r="F1067" s="227">
        <v>17.297161643835615</v>
      </c>
      <c r="G1067" s="227">
        <v>6313.4639999999999</v>
      </c>
      <c r="H1067" s="227">
        <v>0.98140000000000005</v>
      </c>
      <c r="I1067" s="227">
        <v>4.2271000000000001</v>
      </c>
      <c r="J1067" s="227">
        <v>0.58227018391194396</v>
      </c>
      <c r="K1067" s="227">
        <v>132.35</v>
      </c>
      <c r="L1067" s="227">
        <v>132.75</v>
      </c>
      <c r="M1067" s="227">
        <v>130.05000000000001</v>
      </c>
      <c r="N1067" s="227">
        <v>91.617999999999995</v>
      </c>
      <c r="O1067" s="227">
        <v>97.965000000000003</v>
      </c>
      <c r="P1067" s="227">
        <v>113.59</v>
      </c>
      <c r="Q1067" s="227">
        <v>105.82</v>
      </c>
      <c r="R1067" s="227">
        <v>110.66</v>
      </c>
      <c r="S1067" s="227"/>
      <c r="T1067" s="227">
        <v>79.5</v>
      </c>
      <c r="U1067" s="227">
        <v>79.5</v>
      </c>
      <c r="V1067" s="227">
        <v>79.5</v>
      </c>
      <c r="W1067" s="227">
        <v>79.5</v>
      </c>
      <c r="X1067" s="227">
        <v>79.5</v>
      </c>
      <c r="Y1067" s="227">
        <v>79.5</v>
      </c>
      <c r="Z1067" s="227">
        <v>79.5</v>
      </c>
      <c r="AA1067" s="227">
        <v>79.5</v>
      </c>
      <c r="AB1067" s="227">
        <v>11.836</v>
      </c>
      <c r="AC1067" s="227">
        <v>774.65</v>
      </c>
      <c r="AD1067" s="230">
        <v>1.3699074074074075E-4</v>
      </c>
      <c r="AE1067" s="230">
        <v>71.016000000000005</v>
      </c>
      <c r="AF1067" s="230">
        <v>3816</v>
      </c>
      <c r="AG1067" s="230">
        <v>503081.43889991957</v>
      </c>
      <c r="AH1067" s="230">
        <v>3860587.6542056487</v>
      </c>
      <c r="AI1067" s="230">
        <v>4647.8999999999996</v>
      </c>
    </row>
    <row r="1068" spans="5:35" x14ac:dyDescent="0.35">
      <c r="E1068" s="226">
        <v>3.5351399999999997</v>
      </c>
      <c r="F1068" s="227">
        <v>17.313600000000001</v>
      </c>
      <c r="G1068" s="227">
        <v>6319.4639999999999</v>
      </c>
      <c r="H1068" s="227">
        <v>0.98140000000000005</v>
      </c>
      <c r="I1068" s="227">
        <v>4.2310999999999996</v>
      </c>
      <c r="J1068" s="227">
        <v>0.58235222557861066</v>
      </c>
      <c r="K1068" s="227">
        <v>132.33000000000001</v>
      </c>
      <c r="L1068" s="227">
        <v>132.72999999999999</v>
      </c>
      <c r="M1068" s="227">
        <v>130.04</v>
      </c>
      <c r="N1068" s="227">
        <v>91.61</v>
      </c>
      <c r="O1068" s="227">
        <v>97.957999999999998</v>
      </c>
      <c r="P1068" s="227">
        <v>113.58</v>
      </c>
      <c r="Q1068" s="227">
        <v>105.81</v>
      </c>
      <c r="R1068" s="227">
        <v>110.65</v>
      </c>
      <c r="S1068" s="227"/>
      <c r="T1068" s="227">
        <v>79.5</v>
      </c>
      <c r="U1068" s="227">
        <v>79.5</v>
      </c>
      <c r="V1068" s="227">
        <v>79.5</v>
      </c>
      <c r="W1068" s="227">
        <v>79.5</v>
      </c>
      <c r="X1068" s="227">
        <v>79.5</v>
      </c>
      <c r="Y1068" s="227">
        <v>79.5</v>
      </c>
      <c r="Z1068" s="227">
        <v>79.5</v>
      </c>
      <c r="AA1068" s="227">
        <v>79.5</v>
      </c>
      <c r="AB1068" s="227">
        <v>11.814</v>
      </c>
      <c r="AC1068" s="227">
        <v>774.65</v>
      </c>
      <c r="AD1068" s="230">
        <v>1.367361111111111E-4</v>
      </c>
      <c r="AE1068" s="230">
        <v>70.883999999999986</v>
      </c>
      <c r="AF1068" s="230">
        <v>3816</v>
      </c>
      <c r="AG1068" s="230">
        <v>503152.32289991959</v>
      </c>
      <c r="AH1068" s="230">
        <v>3864403.6542056487</v>
      </c>
      <c r="AI1068" s="230">
        <v>4647.8999999999996</v>
      </c>
    </row>
    <row r="1069" spans="5:35" x14ac:dyDescent="0.35">
      <c r="E1069" s="226">
        <v>3.5391400000000002</v>
      </c>
      <c r="F1069" s="227">
        <v>17.330038356164383</v>
      </c>
      <c r="G1069" s="227">
        <v>6325.4639999999999</v>
      </c>
      <c r="H1069" s="227">
        <v>0.98150000000000004</v>
      </c>
      <c r="I1069" s="227">
        <v>4.2351000000000001</v>
      </c>
      <c r="J1069" s="227">
        <v>0.58243411446749949</v>
      </c>
      <c r="K1069" s="227">
        <v>132.32</v>
      </c>
      <c r="L1069" s="227">
        <v>132.72</v>
      </c>
      <c r="M1069" s="227">
        <v>130.02000000000001</v>
      </c>
      <c r="N1069" s="227">
        <v>91.600999999999999</v>
      </c>
      <c r="O1069" s="227">
        <v>97.95</v>
      </c>
      <c r="P1069" s="227">
        <v>113.57</v>
      </c>
      <c r="Q1069" s="227">
        <v>105.81</v>
      </c>
      <c r="R1069" s="227">
        <v>110.64</v>
      </c>
      <c r="S1069" s="227"/>
      <c r="T1069" s="227">
        <v>79.5</v>
      </c>
      <c r="U1069" s="227">
        <v>79.5</v>
      </c>
      <c r="V1069" s="227">
        <v>79.5</v>
      </c>
      <c r="W1069" s="227">
        <v>79.5</v>
      </c>
      <c r="X1069" s="227">
        <v>79.5</v>
      </c>
      <c r="Y1069" s="227">
        <v>79.5</v>
      </c>
      <c r="Z1069" s="227">
        <v>79.5</v>
      </c>
      <c r="AA1069" s="227">
        <v>79.5</v>
      </c>
      <c r="AB1069" s="227">
        <v>11.792</v>
      </c>
      <c r="AC1069" s="227">
        <v>774.65</v>
      </c>
      <c r="AD1069" s="230">
        <v>1.3648148148148149E-4</v>
      </c>
      <c r="AE1069" s="230">
        <v>70.75200000000001</v>
      </c>
      <c r="AF1069" s="230">
        <v>3816</v>
      </c>
      <c r="AG1069" s="230">
        <v>503223.07489991956</v>
      </c>
      <c r="AH1069" s="230">
        <v>3868219.6542056487</v>
      </c>
      <c r="AI1069" s="230">
        <v>4647.8999999999996</v>
      </c>
    </row>
    <row r="1070" spans="5:35" x14ac:dyDescent="0.35">
      <c r="E1070" s="226">
        <v>3.5431399999999997</v>
      </c>
      <c r="F1070" s="227">
        <v>17.346476712328766</v>
      </c>
      <c r="G1070" s="227">
        <v>6331.4639999999999</v>
      </c>
      <c r="H1070" s="227">
        <v>0.98150000000000004</v>
      </c>
      <c r="I1070" s="227">
        <v>4.2390999999999996</v>
      </c>
      <c r="J1070" s="227">
        <v>0.58251585752305501</v>
      </c>
      <c r="K1070" s="227">
        <v>132.30000000000001</v>
      </c>
      <c r="L1070" s="227">
        <v>132.71</v>
      </c>
      <c r="M1070" s="227">
        <v>130.01</v>
      </c>
      <c r="N1070" s="227">
        <v>91.593000000000004</v>
      </c>
      <c r="O1070" s="227">
        <v>97.944000000000003</v>
      </c>
      <c r="P1070" s="227">
        <v>113.56</v>
      </c>
      <c r="Q1070" s="227">
        <v>105.8</v>
      </c>
      <c r="R1070" s="227">
        <v>110.63</v>
      </c>
      <c r="S1070" s="227"/>
      <c r="T1070" s="227">
        <v>79.5</v>
      </c>
      <c r="U1070" s="227">
        <v>79.5</v>
      </c>
      <c r="V1070" s="227">
        <v>79.5</v>
      </c>
      <c r="W1070" s="227">
        <v>79.5</v>
      </c>
      <c r="X1070" s="227">
        <v>79.5</v>
      </c>
      <c r="Y1070" s="227">
        <v>79.5</v>
      </c>
      <c r="Z1070" s="227">
        <v>79.5</v>
      </c>
      <c r="AA1070" s="227">
        <v>79.5</v>
      </c>
      <c r="AB1070" s="227">
        <v>11.771000000000001</v>
      </c>
      <c r="AC1070" s="227">
        <v>774.65</v>
      </c>
      <c r="AD1070" s="230">
        <v>1.3623842592592594E-4</v>
      </c>
      <c r="AE1070" s="230">
        <v>70.626000000000005</v>
      </c>
      <c r="AF1070" s="230">
        <v>3816</v>
      </c>
      <c r="AG1070" s="230">
        <v>503293.70089991955</v>
      </c>
      <c r="AH1070" s="230">
        <v>3872035.6542056487</v>
      </c>
      <c r="AI1070" s="230">
        <v>4647.8999999999996</v>
      </c>
    </row>
    <row r="1071" spans="5:35" x14ac:dyDescent="0.35">
      <c r="E1071" s="226">
        <v>3.5472399999999999</v>
      </c>
      <c r="F1071" s="227">
        <v>17.362915068493152</v>
      </c>
      <c r="G1071" s="227">
        <v>6337.4639999999999</v>
      </c>
      <c r="H1071" s="227">
        <v>0.98150000000000004</v>
      </c>
      <c r="I1071" s="227">
        <v>4.2431999999999999</v>
      </c>
      <c r="J1071" s="227">
        <v>0.58259744780083278</v>
      </c>
      <c r="K1071" s="227">
        <v>132.28</v>
      </c>
      <c r="L1071" s="227">
        <v>132.69</v>
      </c>
      <c r="M1071" s="227">
        <v>129.99</v>
      </c>
      <c r="N1071" s="227">
        <v>91.584000000000003</v>
      </c>
      <c r="O1071" s="227">
        <v>97.936999999999998</v>
      </c>
      <c r="P1071" s="227">
        <v>113.55</v>
      </c>
      <c r="Q1071" s="227">
        <v>105.79</v>
      </c>
      <c r="R1071" s="227">
        <v>110.62</v>
      </c>
      <c r="S1071" s="227"/>
      <c r="T1071" s="227">
        <v>79.5</v>
      </c>
      <c r="U1071" s="227">
        <v>79.5</v>
      </c>
      <c r="V1071" s="227">
        <v>79.5</v>
      </c>
      <c r="W1071" s="227">
        <v>79.5</v>
      </c>
      <c r="X1071" s="227">
        <v>79.5</v>
      </c>
      <c r="Y1071" s="227">
        <v>79.5</v>
      </c>
      <c r="Z1071" s="227">
        <v>79.5</v>
      </c>
      <c r="AA1071" s="227">
        <v>79.5</v>
      </c>
      <c r="AB1071" s="227">
        <v>11.749000000000001</v>
      </c>
      <c r="AC1071" s="227">
        <v>774.65</v>
      </c>
      <c r="AD1071" s="230">
        <v>1.3598379629629629E-4</v>
      </c>
      <c r="AE1071" s="230">
        <v>70.494</v>
      </c>
      <c r="AF1071" s="230">
        <v>3816</v>
      </c>
      <c r="AG1071" s="230">
        <v>503364.19489991956</v>
      </c>
      <c r="AH1071" s="230">
        <v>3875851.6542056487</v>
      </c>
      <c r="AI1071" s="230">
        <v>4647.8999999999996</v>
      </c>
    </row>
    <row r="1072" spans="5:35" x14ac:dyDescent="0.35">
      <c r="E1072" s="226">
        <v>3.5512400000000004</v>
      </c>
      <c r="F1072" s="227">
        <v>17.379353424657534</v>
      </c>
      <c r="G1072" s="227">
        <v>6343.4639999999999</v>
      </c>
      <c r="H1072" s="227">
        <v>0.98160000000000003</v>
      </c>
      <c r="I1072" s="227">
        <v>4.2472000000000003</v>
      </c>
      <c r="J1072" s="227">
        <v>0.58267889224527725</v>
      </c>
      <c r="K1072" s="227">
        <v>132.27000000000001</v>
      </c>
      <c r="L1072" s="227">
        <v>132.68</v>
      </c>
      <c r="M1072" s="227">
        <v>129.97999999999999</v>
      </c>
      <c r="N1072" s="227">
        <v>91.576999999999998</v>
      </c>
      <c r="O1072" s="227">
        <v>97.929000000000002</v>
      </c>
      <c r="P1072" s="227">
        <v>113.54</v>
      </c>
      <c r="Q1072" s="227">
        <v>105.79</v>
      </c>
      <c r="R1072" s="227">
        <v>110.62</v>
      </c>
      <c r="S1072" s="227"/>
      <c r="T1072" s="227">
        <v>79.5</v>
      </c>
      <c r="U1072" s="227">
        <v>79.5</v>
      </c>
      <c r="V1072" s="227">
        <v>79.5</v>
      </c>
      <c r="W1072" s="227">
        <v>79.5</v>
      </c>
      <c r="X1072" s="227">
        <v>79.5</v>
      </c>
      <c r="Y1072" s="227">
        <v>79.5</v>
      </c>
      <c r="Z1072" s="227">
        <v>79.5</v>
      </c>
      <c r="AA1072" s="227">
        <v>79.5</v>
      </c>
      <c r="AB1072" s="227">
        <v>11.728</v>
      </c>
      <c r="AC1072" s="227">
        <v>774.65</v>
      </c>
      <c r="AD1072" s="230">
        <v>1.3574074074074074E-4</v>
      </c>
      <c r="AE1072" s="230">
        <v>70.367999999999995</v>
      </c>
      <c r="AF1072" s="230">
        <v>3816</v>
      </c>
      <c r="AG1072" s="230">
        <v>503434.56289991958</v>
      </c>
      <c r="AH1072" s="230">
        <v>3879667.6542056487</v>
      </c>
      <c r="AI1072" s="230">
        <v>4647.8999999999996</v>
      </c>
    </row>
    <row r="1073" spans="5:35" x14ac:dyDescent="0.35">
      <c r="E1073" s="226">
        <v>3.55524</v>
      </c>
      <c r="F1073" s="227">
        <v>17.395791780821916</v>
      </c>
      <c r="G1073" s="227">
        <v>6349.4639999999999</v>
      </c>
      <c r="H1073" s="227">
        <v>0.98160000000000003</v>
      </c>
      <c r="I1073" s="227">
        <v>4.2511999999999999</v>
      </c>
      <c r="J1073" s="227">
        <v>0.58276018391194395</v>
      </c>
      <c r="K1073" s="227">
        <v>132.25</v>
      </c>
      <c r="L1073" s="227">
        <v>132.66999999999999</v>
      </c>
      <c r="M1073" s="227">
        <v>129.96</v>
      </c>
      <c r="N1073" s="227">
        <v>91.567999999999998</v>
      </c>
      <c r="O1073" s="227">
        <v>97.921999999999997</v>
      </c>
      <c r="P1073" s="227">
        <v>113.53</v>
      </c>
      <c r="Q1073" s="227">
        <v>105.78</v>
      </c>
      <c r="R1073" s="227">
        <v>110.61</v>
      </c>
      <c r="S1073" s="227"/>
      <c r="T1073" s="227">
        <v>79.5</v>
      </c>
      <c r="U1073" s="227">
        <v>79.5</v>
      </c>
      <c r="V1073" s="227">
        <v>79.5</v>
      </c>
      <c r="W1073" s="227">
        <v>79.5</v>
      </c>
      <c r="X1073" s="227">
        <v>79.5</v>
      </c>
      <c r="Y1073" s="227">
        <v>79.5</v>
      </c>
      <c r="Z1073" s="227">
        <v>79.5</v>
      </c>
      <c r="AA1073" s="227">
        <v>79.5</v>
      </c>
      <c r="AB1073" s="227">
        <v>11.706</v>
      </c>
      <c r="AC1073" s="227">
        <v>774.65</v>
      </c>
      <c r="AD1073" s="230">
        <v>1.354861111111111E-4</v>
      </c>
      <c r="AE1073" s="230">
        <v>70.236000000000004</v>
      </c>
      <c r="AF1073" s="230">
        <v>3816</v>
      </c>
      <c r="AG1073" s="230">
        <v>503504.79889991955</v>
      </c>
      <c r="AH1073" s="230">
        <v>3883483.6542056487</v>
      </c>
      <c r="AI1073" s="230">
        <v>4647.8999999999996</v>
      </c>
    </row>
    <row r="1074" spans="5:35" x14ac:dyDescent="0.35">
      <c r="E1074" s="226">
        <v>3.5592400000000004</v>
      </c>
      <c r="F1074" s="227">
        <v>17.412230136986302</v>
      </c>
      <c r="G1074" s="227">
        <v>6355.4639999999999</v>
      </c>
      <c r="H1074" s="227">
        <v>0.98160000000000003</v>
      </c>
      <c r="I1074" s="227">
        <v>4.2552000000000003</v>
      </c>
      <c r="J1074" s="227">
        <v>0.58284132974527725</v>
      </c>
      <c r="K1074" s="227">
        <v>132.22999999999999</v>
      </c>
      <c r="L1074" s="227">
        <v>132.66</v>
      </c>
      <c r="M1074" s="227">
        <v>129.94999999999999</v>
      </c>
      <c r="N1074" s="227">
        <v>91.56</v>
      </c>
      <c r="O1074" s="227">
        <v>97.915000000000006</v>
      </c>
      <c r="P1074" s="227">
        <v>113.52</v>
      </c>
      <c r="Q1074" s="227">
        <v>105.78</v>
      </c>
      <c r="R1074" s="227">
        <v>110.6</v>
      </c>
      <c r="S1074" s="227"/>
      <c r="T1074" s="227">
        <v>79.5</v>
      </c>
      <c r="U1074" s="227">
        <v>79.5</v>
      </c>
      <c r="V1074" s="227">
        <v>79.5</v>
      </c>
      <c r="W1074" s="227">
        <v>79.5</v>
      </c>
      <c r="X1074" s="227">
        <v>79.5</v>
      </c>
      <c r="Y1074" s="227">
        <v>79.5</v>
      </c>
      <c r="Z1074" s="227">
        <v>79.5</v>
      </c>
      <c r="AA1074" s="227">
        <v>79.5</v>
      </c>
      <c r="AB1074" s="227">
        <v>11.685</v>
      </c>
      <c r="AC1074" s="227">
        <v>774.65</v>
      </c>
      <c r="AD1074" s="230">
        <v>1.3524305555555555E-4</v>
      </c>
      <c r="AE1074" s="230">
        <v>70.11</v>
      </c>
      <c r="AF1074" s="230">
        <v>3816</v>
      </c>
      <c r="AG1074" s="230">
        <v>503574.90889991954</v>
      </c>
      <c r="AH1074" s="230">
        <v>3887299.6542056487</v>
      </c>
      <c r="AI1074" s="230">
        <v>4647.8999999999996</v>
      </c>
    </row>
    <row r="1075" spans="5:35" x14ac:dyDescent="0.35">
      <c r="E1075" s="226">
        <v>3.56324</v>
      </c>
      <c r="F1075" s="227">
        <v>17.428668493150685</v>
      </c>
      <c r="G1075" s="227">
        <v>6361.4639999999999</v>
      </c>
      <c r="H1075" s="227">
        <v>0.98170000000000002</v>
      </c>
      <c r="I1075" s="227">
        <v>4.2591999999999999</v>
      </c>
      <c r="J1075" s="227">
        <v>0.58292232974527725</v>
      </c>
      <c r="K1075" s="227">
        <v>132.22</v>
      </c>
      <c r="L1075" s="227">
        <v>132.63999999999999</v>
      </c>
      <c r="M1075" s="227">
        <v>129.93</v>
      </c>
      <c r="N1075" s="227">
        <v>91.552000000000007</v>
      </c>
      <c r="O1075" s="227">
        <v>97.909000000000006</v>
      </c>
      <c r="P1075" s="227">
        <v>113.51</v>
      </c>
      <c r="Q1075" s="227">
        <v>105.77</v>
      </c>
      <c r="R1075" s="227">
        <v>110.59</v>
      </c>
      <c r="S1075" s="227"/>
      <c r="T1075" s="227">
        <v>79.5</v>
      </c>
      <c r="U1075" s="227">
        <v>79.5</v>
      </c>
      <c r="V1075" s="227">
        <v>79.5</v>
      </c>
      <c r="W1075" s="227">
        <v>79.5</v>
      </c>
      <c r="X1075" s="227">
        <v>79.5</v>
      </c>
      <c r="Y1075" s="227">
        <v>79.5</v>
      </c>
      <c r="Z1075" s="227">
        <v>79.5</v>
      </c>
      <c r="AA1075" s="227">
        <v>79.5</v>
      </c>
      <c r="AB1075" s="227">
        <v>11.664</v>
      </c>
      <c r="AC1075" s="227">
        <v>774.65</v>
      </c>
      <c r="AD1075" s="230">
        <v>1.35E-4</v>
      </c>
      <c r="AE1075" s="230">
        <v>69.983999999999995</v>
      </c>
      <c r="AF1075" s="230">
        <v>3816</v>
      </c>
      <c r="AG1075" s="230">
        <v>503644.89289991953</v>
      </c>
      <c r="AH1075" s="230">
        <v>3891115.6542056487</v>
      </c>
      <c r="AI1075" s="230">
        <v>4647.8999999999996</v>
      </c>
    </row>
    <row r="1076" spans="5:35" x14ac:dyDescent="0.35">
      <c r="E1076" s="226">
        <v>3.5673400000000002</v>
      </c>
      <c r="F1076" s="227">
        <v>17.445106849315067</v>
      </c>
      <c r="G1076" s="227">
        <v>6367.4639999999999</v>
      </c>
      <c r="H1076" s="227">
        <v>0.98170000000000002</v>
      </c>
      <c r="I1076" s="227">
        <v>4.2633000000000001</v>
      </c>
      <c r="J1076" s="227">
        <v>0.58300317696749948</v>
      </c>
      <c r="K1076" s="227">
        <v>132.19999999999999</v>
      </c>
      <c r="L1076" s="227">
        <v>132.63</v>
      </c>
      <c r="M1076" s="227">
        <v>129.91</v>
      </c>
      <c r="N1076" s="227">
        <v>91.543999999999997</v>
      </c>
      <c r="O1076" s="227">
        <v>97.9</v>
      </c>
      <c r="P1076" s="227">
        <v>113.5</v>
      </c>
      <c r="Q1076" s="227">
        <v>105.76</v>
      </c>
      <c r="R1076" s="227">
        <v>110.59</v>
      </c>
      <c r="S1076" s="227"/>
      <c r="T1076" s="227">
        <v>79.5</v>
      </c>
      <c r="U1076" s="227">
        <v>79.5</v>
      </c>
      <c r="V1076" s="227">
        <v>79.5</v>
      </c>
      <c r="W1076" s="227">
        <v>79.5</v>
      </c>
      <c r="X1076" s="227">
        <v>79.5</v>
      </c>
      <c r="Y1076" s="227">
        <v>79.5</v>
      </c>
      <c r="Z1076" s="227">
        <v>79.5</v>
      </c>
      <c r="AA1076" s="227">
        <v>79.5</v>
      </c>
      <c r="AB1076" s="227">
        <v>11.641999999999999</v>
      </c>
      <c r="AC1076" s="227">
        <v>774.65</v>
      </c>
      <c r="AD1076" s="230">
        <v>1.3474537037037036E-4</v>
      </c>
      <c r="AE1076" s="230">
        <v>69.85199999999999</v>
      </c>
      <c r="AF1076" s="230">
        <v>3816</v>
      </c>
      <c r="AG1076" s="230">
        <v>503714.74489991955</v>
      </c>
      <c r="AH1076" s="230">
        <v>3894931.6542056487</v>
      </c>
      <c r="AI1076" s="230">
        <v>4647.8999999999996</v>
      </c>
    </row>
    <row r="1077" spans="5:35" x14ac:dyDescent="0.35">
      <c r="E1077" s="226">
        <v>3.5713399999999997</v>
      </c>
      <c r="F1077" s="227">
        <v>17.461545205479453</v>
      </c>
      <c r="G1077" s="227">
        <v>6373.4639999999999</v>
      </c>
      <c r="H1077" s="227">
        <v>0.98170000000000002</v>
      </c>
      <c r="I1077" s="227">
        <v>4.2672999999999996</v>
      </c>
      <c r="J1077" s="227">
        <v>0.58308387835638842</v>
      </c>
      <c r="K1077" s="227">
        <v>132.18</v>
      </c>
      <c r="L1077" s="227">
        <v>132.62</v>
      </c>
      <c r="M1077" s="227">
        <v>129.9</v>
      </c>
      <c r="N1077" s="227">
        <v>91.534999999999997</v>
      </c>
      <c r="O1077" s="227">
        <v>97.894000000000005</v>
      </c>
      <c r="P1077" s="227">
        <v>113.49</v>
      </c>
      <c r="Q1077" s="227">
        <v>105.76</v>
      </c>
      <c r="R1077" s="227">
        <v>110.58</v>
      </c>
      <c r="S1077" s="227"/>
      <c r="T1077" s="227">
        <v>79.5</v>
      </c>
      <c r="U1077" s="227">
        <v>79.5</v>
      </c>
      <c r="V1077" s="227">
        <v>79.5</v>
      </c>
      <c r="W1077" s="227">
        <v>79.5</v>
      </c>
      <c r="X1077" s="227">
        <v>79.5</v>
      </c>
      <c r="Y1077" s="227">
        <v>79.5</v>
      </c>
      <c r="Z1077" s="227">
        <v>79.5</v>
      </c>
      <c r="AA1077" s="227">
        <v>79.5</v>
      </c>
      <c r="AB1077" s="227">
        <v>11.621</v>
      </c>
      <c r="AC1077" s="227">
        <v>774.65</v>
      </c>
      <c r="AD1077" s="230">
        <v>1.3450231481481481E-4</v>
      </c>
      <c r="AE1077" s="230">
        <v>69.725999999999999</v>
      </c>
      <c r="AF1077" s="230">
        <v>3816</v>
      </c>
      <c r="AG1077" s="230">
        <v>503784.47089991957</v>
      </c>
      <c r="AH1077" s="230">
        <v>3898747.6542056487</v>
      </c>
      <c r="AI1077" s="230">
        <v>4647.8999999999996</v>
      </c>
    </row>
    <row r="1078" spans="5:35" x14ac:dyDescent="0.35">
      <c r="E1078" s="226">
        <v>3.5753400000000002</v>
      </c>
      <c r="F1078" s="227">
        <v>17.477983561643835</v>
      </c>
      <c r="G1078" s="227">
        <v>6379.4639999999999</v>
      </c>
      <c r="H1078" s="227">
        <v>0.98180000000000001</v>
      </c>
      <c r="I1078" s="227">
        <v>4.2713000000000001</v>
      </c>
      <c r="J1078" s="227">
        <v>0.58316443391194395</v>
      </c>
      <c r="K1078" s="227">
        <v>132.16999999999999</v>
      </c>
      <c r="L1078" s="227">
        <v>132.61000000000001</v>
      </c>
      <c r="M1078" s="227">
        <v>129.88999999999999</v>
      </c>
      <c r="N1078" s="227">
        <v>91.527000000000001</v>
      </c>
      <c r="O1078" s="227">
        <v>97.885999999999996</v>
      </c>
      <c r="P1078" s="227">
        <v>113.47</v>
      </c>
      <c r="Q1078" s="227">
        <v>105.75</v>
      </c>
      <c r="R1078" s="227">
        <v>110.57</v>
      </c>
      <c r="S1078" s="227"/>
      <c r="T1078" s="227">
        <v>79.5</v>
      </c>
      <c r="U1078" s="227">
        <v>79.5</v>
      </c>
      <c r="V1078" s="227">
        <v>79.5</v>
      </c>
      <c r="W1078" s="227">
        <v>79.5</v>
      </c>
      <c r="X1078" s="227">
        <v>79.5</v>
      </c>
      <c r="Y1078" s="227">
        <v>79.5</v>
      </c>
      <c r="Z1078" s="227">
        <v>79.5</v>
      </c>
      <c r="AA1078" s="227">
        <v>79.5</v>
      </c>
      <c r="AB1078" s="227">
        <v>11.6</v>
      </c>
      <c r="AC1078" s="227">
        <v>774.65</v>
      </c>
      <c r="AD1078" s="230">
        <v>1.3425925925925926E-4</v>
      </c>
      <c r="AE1078" s="230">
        <v>69.599999999999994</v>
      </c>
      <c r="AF1078" s="230">
        <v>3816</v>
      </c>
      <c r="AG1078" s="230">
        <v>503854.07089991955</v>
      </c>
      <c r="AH1078" s="230">
        <v>3902563.6542056487</v>
      </c>
      <c r="AI1078" s="230">
        <v>4647.8999999999996</v>
      </c>
    </row>
    <row r="1079" spans="5:35" x14ac:dyDescent="0.35">
      <c r="E1079" s="226">
        <v>3.5793399999999997</v>
      </c>
      <c r="F1079" s="227">
        <v>17.494421917808218</v>
      </c>
      <c r="G1079" s="227">
        <v>6385.4639999999999</v>
      </c>
      <c r="H1079" s="227">
        <v>0.98180000000000001</v>
      </c>
      <c r="I1079" s="227">
        <v>4.2752999999999997</v>
      </c>
      <c r="J1079" s="227">
        <v>0.58324484363416618</v>
      </c>
      <c r="K1079" s="227">
        <v>132.15</v>
      </c>
      <c r="L1079" s="227">
        <v>132.59</v>
      </c>
      <c r="M1079" s="227">
        <v>129.87</v>
      </c>
      <c r="N1079" s="227">
        <v>91.519000000000005</v>
      </c>
      <c r="O1079" s="227">
        <v>97.88</v>
      </c>
      <c r="P1079" s="227">
        <v>113.46</v>
      </c>
      <c r="Q1079" s="227">
        <v>105.74</v>
      </c>
      <c r="R1079" s="227">
        <v>110.56</v>
      </c>
      <c r="S1079" s="227"/>
      <c r="T1079" s="227">
        <v>79.5</v>
      </c>
      <c r="U1079" s="227">
        <v>79.5</v>
      </c>
      <c r="V1079" s="227">
        <v>79.5</v>
      </c>
      <c r="W1079" s="227">
        <v>79.5</v>
      </c>
      <c r="X1079" s="227">
        <v>79.5</v>
      </c>
      <c r="Y1079" s="227">
        <v>79.5</v>
      </c>
      <c r="Z1079" s="227">
        <v>79.5</v>
      </c>
      <c r="AA1079" s="227">
        <v>79.5</v>
      </c>
      <c r="AB1079" s="227">
        <v>11.579000000000001</v>
      </c>
      <c r="AC1079" s="227">
        <v>774.65</v>
      </c>
      <c r="AD1079" s="230">
        <v>1.3401620370370371E-4</v>
      </c>
      <c r="AE1079" s="230">
        <v>69.474000000000004</v>
      </c>
      <c r="AF1079" s="230">
        <v>3816</v>
      </c>
      <c r="AG1079" s="230">
        <v>503923.54489991954</v>
      </c>
      <c r="AH1079" s="230">
        <v>3906379.6542056487</v>
      </c>
      <c r="AI1079" s="230">
        <v>4647.8999999999996</v>
      </c>
    </row>
    <row r="1080" spans="5:35" x14ac:dyDescent="0.35">
      <c r="E1080" s="226">
        <v>3.5833400000000002</v>
      </c>
      <c r="F1080" s="227">
        <v>17.510860273972604</v>
      </c>
      <c r="G1080" s="227">
        <v>6391.4639999999999</v>
      </c>
      <c r="H1080" s="227">
        <v>0.98180000000000001</v>
      </c>
      <c r="I1080" s="227">
        <v>4.2793000000000001</v>
      </c>
      <c r="J1080" s="227">
        <v>0.583325107523055</v>
      </c>
      <c r="K1080" s="227">
        <v>132.13999999999999</v>
      </c>
      <c r="L1080" s="227">
        <v>132.58000000000001</v>
      </c>
      <c r="M1080" s="227">
        <v>129.86000000000001</v>
      </c>
      <c r="N1080" s="227">
        <v>91.510999999999996</v>
      </c>
      <c r="O1080" s="227">
        <v>97.873000000000005</v>
      </c>
      <c r="P1080" s="227">
        <v>113.45</v>
      </c>
      <c r="Q1080" s="227">
        <v>105.74</v>
      </c>
      <c r="R1080" s="227">
        <v>110.56</v>
      </c>
      <c r="S1080" s="227"/>
      <c r="T1080" s="227">
        <v>79.5</v>
      </c>
      <c r="U1080" s="227">
        <v>79.5</v>
      </c>
      <c r="V1080" s="227">
        <v>79.5</v>
      </c>
      <c r="W1080" s="227">
        <v>79.5</v>
      </c>
      <c r="X1080" s="227">
        <v>79.5</v>
      </c>
      <c r="Y1080" s="227">
        <v>79.5</v>
      </c>
      <c r="Z1080" s="227">
        <v>79.5</v>
      </c>
      <c r="AA1080" s="227">
        <v>79.5</v>
      </c>
      <c r="AB1080" s="227">
        <v>11.558</v>
      </c>
      <c r="AC1080" s="227">
        <v>774.65</v>
      </c>
      <c r="AD1080" s="230">
        <v>1.3377314814814814E-4</v>
      </c>
      <c r="AE1080" s="230">
        <v>69.347999999999985</v>
      </c>
      <c r="AF1080" s="230">
        <v>3816</v>
      </c>
      <c r="AG1080" s="230">
        <v>503992.89289991953</v>
      </c>
      <c r="AH1080" s="230">
        <v>3910195.6542056487</v>
      </c>
      <c r="AI1080" s="230">
        <v>4647.8999999999996</v>
      </c>
    </row>
    <row r="1081" spans="5:35" x14ac:dyDescent="0.35">
      <c r="E1081" s="226">
        <v>3.5873399999999998</v>
      </c>
      <c r="F1081" s="227">
        <v>17.527298630136986</v>
      </c>
      <c r="G1081" s="227">
        <v>6397.4639999999999</v>
      </c>
      <c r="H1081" s="227">
        <v>0.9819</v>
      </c>
      <c r="I1081" s="227">
        <v>4.2832999999999997</v>
      </c>
      <c r="J1081" s="227">
        <v>0.58340522557861063</v>
      </c>
      <c r="K1081" s="227">
        <v>132.12</v>
      </c>
      <c r="L1081" s="227">
        <v>132.57</v>
      </c>
      <c r="M1081" s="227">
        <v>129.84</v>
      </c>
      <c r="N1081" s="227">
        <v>91.503</v>
      </c>
      <c r="O1081" s="227">
        <v>97.864999999999995</v>
      </c>
      <c r="P1081" s="227">
        <v>113.44</v>
      </c>
      <c r="Q1081" s="227">
        <v>105.73</v>
      </c>
      <c r="R1081" s="227">
        <v>110.55</v>
      </c>
      <c r="S1081" s="227"/>
      <c r="T1081" s="227">
        <v>79.5</v>
      </c>
      <c r="U1081" s="227">
        <v>79.5</v>
      </c>
      <c r="V1081" s="227">
        <v>79.5</v>
      </c>
      <c r="W1081" s="227">
        <v>79.5</v>
      </c>
      <c r="X1081" s="227">
        <v>79.5</v>
      </c>
      <c r="Y1081" s="227">
        <v>79.5</v>
      </c>
      <c r="Z1081" s="227">
        <v>79.5</v>
      </c>
      <c r="AA1081" s="227">
        <v>79.5</v>
      </c>
      <c r="AB1081" s="227">
        <v>11.537000000000001</v>
      </c>
      <c r="AC1081" s="227">
        <v>774.65</v>
      </c>
      <c r="AD1081" s="230">
        <v>1.3353009259259261E-4</v>
      </c>
      <c r="AE1081" s="230">
        <v>69.222000000000008</v>
      </c>
      <c r="AF1081" s="230">
        <v>3816</v>
      </c>
      <c r="AG1081" s="230">
        <v>504062.11489991954</v>
      </c>
      <c r="AH1081" s="230">
        <v>3914011.6542056487</v>
      </c>
      <c r="AI1081" s="230">
        <v>4647.8999999999996</v>
      </c>
    </row>
    <row r="1082" spans="5:35" x14ac:dyDescent="0.35">
      <c r="E1082" s="226">
        <v>3.59144</v>
      </c>
      <c r="F1082" s="227">
        <v>17.543736986301369</v>
      </c>
      <c r="G1082" s="227">
        <v>6403.4639999999999</v>
      </c>
      <c r="H1082" s="227">
        <v>0.9819</v>
      </c>
      <c r="I1082" s="227">
        <v>4.2873999999999999</v>
      </c>
      <c r="J1082" s="227">
        <v>0.58348519780083286</v>
      </c>
      <c r="K1082" s="227">
        <v>132.1</v>
      </c>
      <c r="L1082" s="227">
        <v>132.56</v>
      </c>
      <c r="M1082" s="227">
        <v>129.83000000000001</v>
      </c>
      <c r="N1082" s="227">
        <v>91.495000000000005</v>
      </c>
      <c r="O1082" s="227">
        <v>97.858999999999995</v>
      </c>
      <c r="P1082" s="227">
        <v>113.43</v>
      </c>
      <c r="Q1082" s="227">
        <v>105.73</v>
      </c>
      <c r="R1082" s="227">
        <v>110.54</v>
      </c>
      <c r="S1082" s="227"/>
      <c r="T1082" s="227">
        <v>79.5</v>
      </c>
      <c r="U1082" s="227">
        <v>79.5</v>
      </c>
      <c r="V1082" s="227">
        <v>79.5</v>
      </c>
      <c r="W1082" s="227">
        <v>79.5</v>
      </c>
      <c r="X1082" s="227">
        <v>79.5</v>
      </c>
      <c r="Y1082" s="227">
        <v>79.5</v>
      </c>
      <c r="Z1082" s="227">
        <v>79.5</v>
      </c>
      <c r="AA1082" s="227">
        <v>79.5</v>
      </c>
      <c r="AB1082" s="227">
        <v>11.516</v>
      </c>
      <c r="AC1082" s="227">
        <v>774.65</v>
      </c>
      <c r="AD1082" s="230">
        <v>1.3328703703703704E-4</v>
      </c>
      <c r="AE1082" s="230">
        <v>69.096000000000004</v>
      </c>
      <c r="AF1082" s="230">
        <v>3816</v>
      </c>
      <c r="AG1082" s="230">
        <v>504131.21089991956</v>
      </c>
      <c r="AH1082" s="230">
        <v>3917827.6542056487</v>
      </c>
      <c r="AI1082" s="230">
        <v>4647.8999999999996</v>
      </c>
    </row>
    <row r="1083" spans="5:35" x14ac:dyDescent="0.35">
      <c r="E1083" s="226">
        <v>3.5954400000000004</v>
      </c>
      <c r="F1083" s="227">
        <v>17.560175342465755</v>
      </c>
      <c r="G1083" s="227">
        <v>6409.4639999999999</v>
      </c>
      <c r="H1083" s="227">
        <v>0.9819</v>
      </c>
      <c r="I1083" s="227">
        <v>4.2914000000000003</v>
      </c>
      <c r="J1083" s="227">
        <v>0.58356503113416613</v>
      </c>
      <c r="K1083" s="227">
        <v>132.09</v>
      </c>
      <c r="L1083" s="227">
        <v>132.54</v>
      </c>
      <c r="M1083" s="227">
        <v>129.81</v>
      </c>
      <c r="N1083" s="227">
        <v>91.486999999999995</v>
      </c>
      <c r="O1083" s="227">
        <v>97.852000000000004</v>
      </c>
      <c r="P1083" s="227">
        <v>113.42</v>
      </c>
      <c r="Q1083" s="227">
        <v>105.72</v>
      </c>
      <c r="R1083" s="227">
        <v>110.53</v>
      </c>
      <c r="S1083" s="227"/>
      <c r="T1083" s="227">
        <v>79.5</v>
      </c>
      <c r="U1083" s="227">
        <v>79.5</v>
      </c>
      <c r="V1083" s="227">
        <v>79.5</v>
      </c>
      <c r="W1083" s="227">
        <v>79.5</v>
      </c>
      <c r="X1083" s="227">
        <v>79.5</v>
      </c>
      <c r="Y1083" s="227">
        <v>79.5</v>
      </c>
      <c r="Z1083" s="227">
        <v>79.5</v>
      </c>
      <c r="AA1083" s="227">
        <v>79.5</v>
      </c>
      <c r="AB1083" s="227">
        <v>11.496</v>
      </c>
      <c r="AC1083" s="227">
        <v>774.65</v>
      </c>
      <c r="AD1083" s="230">
        <v>1.3305555555555556E-4</v>
      </c>
      <c r="AE1083" s="230">
        <v>68.975999999999999</v>
      </c>
      <c r="AF1083" s="230">
        <v>3816</v>
      </c>
      <c r="AG1083" s="230">
        <v>504200.18689991959</v>
      </c>
      <c r="AH1083" s="230">
        <v>3921643.6542056487</v>
      </c>
      <c r="AI1083" s="230">
        <v>4647.8999999999996</v>
      </c>
    </row>
    <row r="1084" spans="5:35" x14ac:dyDescent="0.35">
      <c r="E1084" s="226">
        <v>3.59944</v>
      </c>
      <c r="F1084" s="227">
        <v>17.576613698630137</v>
      </c>
      <c r="G1084" s="227">
        <v>6415.4639999999999</v>
      </c>
      <c r="H1084" s="227">
        <v>0.98199999999999998</v>
      </c>
      <c r="I1084" s="227">
        <v>4.2953999999999999</v>
      </c>
      <c r="J1084" s="227">
        <v>0.58364471863416612</v>
      </c>
      <c r="K1084" s="227">
        <v>132.07</v>
      </c>
      <c r="L1084" s="227">
        <v>132.53</v>
      </c>
      <c r="M1084" s="227">
        <v>129.80000000000001</v>
      </c>
      <c r="N1084" s="227">
        <v>91.478999999999999</v>
      </c>
      <c r="O1084" s="227">
        <v>97.844999999999999</v>
      </c>
      <c r="P1084" s="227">
        <v>113.41</v>
      </c>
      <c r="Q1084" s="227">
        <v>105.71</v>
      </c>
      <c r="R1084" s="227">
        <v>110.53</v>
      </c>
      <c r="S1084" s="227"/>
      <c r="T1084" s="227">
        <v>79.5</v>
      </c>
      <c r="U1084" s="227">
        <v>79.5</v>
      </c>
      <c r="V1084" s="227">
        <v>79.5</v>
      </c>
      <c r="W1084" s="227">
        <v>79.5</v>
      </c>
      <c r="X1084" s="227">
        <v>79.5</v>
      </c>
      <c r="Y1084" s="227">
        <v>79.5</v>
      </c>
      <c r="Z1084" s="227">
        <v>79.5</v>
      </c>
      <c r="AA1084" s="227">
        <v>79.5</v>
      </c>
      <c r="AB1084" s="227">
        <v>11.475</v>
      </c>
      <c r="AC1084" s="227">
        <v>774.65</v>
      </c>
      <c r="AD1084" s="230">
        <v>1.3281249999999998E-4</v>
      </c>
      <c r="AE1084" s="230">
        <v>68.84999999999998</v>
      </c>
      <c r="AF1084" s="230">
        <v>3816</v>
      </c>
      <c r="AG1084" s="230">
        <v>504269.03689991956</v>
      </c>
      <c r="AH1084" s="230">
        <v>3925459.6542056487</v>
      </c>
      <c r="AI1084" s="230">
        <v>4647.8999999999996</v>
      </c>
    </row>
    <row r="1085" spans="5:35" x14ac:dyDescent="0.35">
      <c r="E1085" s="226">
        <v>3.6034400000000004</v>
      </c>
      <c r="F1085" s="227">
        <v>17.593052054794519</v>
      </c>
      <c r="G1085" s="227">
        <v>6421.4639999999999</v>
      </c>
      <c r="H1085" s="227">
        <v>0.98199999999999998</v>
      </c>
      <c r="I1085" s="227">
        <v>4.2994000000000003</v>
      </c>
      <c r="J1085" s="227">
        <v>0.5837242603008328</v>
      </c>
      <c r="K1085" s="227">
        <v>132.05000000000001</v>
      </c>
      <c r="L1085" s="227">
        <v>132.52000000000001</v>
      </c>
      <c r="M1085" s="227">
        <v>129.78</v>
      </c>
      <c r="N1085" s="227">
        <v>91.471000000000004</v>
      </c>
      <c r="O1085" s="227">
        <v>97.837999999999994</v>
      </c>
      <c r="P1085" s="227">
        <v>113.4</v>
      </c>
      <c r="Q1085" s="227">
        <v>105.71</v>
      </c>
      <c r="R1085" s="227">
        <v>110.52</v>
      </c>
      <c r="S1085" s="227"/>
      <c r="T1085" s="227">
        <v>79.5</v>
      </c>
      <c r="U1085" s="227">
        <v>79.5</v>
      </c>
      <c r="V1085" s="227">
        <v>79.5</v>
      </c>
      <c r="W1085" s="227">
        <v>79.5</v>
      </c>
      <c r="X1085" s="227">
        <v>79.5</v>
      </c>
      <c r="Y1085" s="227">
        <v>79.5</v>
      </c>
      <c r="Z1085" s="227">
        <v>79.5</v>
      </c>
      <c r="AA1085" s="227">
        <v>79.5</v>
      </c>
      <c r="AB1085" s="227">
        <v>11.454000000000001</v>
      </c>
      <c r="AC1085" s="227">
        <v>774.65</v>
      </c>
      <c r="AD1085" s="230">
        <v>1.3256944444444446E-4</v>
      </c>
      <c r="AE1085" s="230">
        <v>68.724000000000004</v>
      </c>
      <c r="AF1085" s="230">
        <v>3816</v>
      </c>
      <c r="AG1085" s="230">
        <v>504337.76089991955</v>
      </c>
      <c r="AH1085" s="230">
        <v>3929275.6542056487</v>
      </c>
      <c r="AI1085" s="230">
        <v>4647.8999999999996</v>
      </c>
    </row>
    <row r="1086" spans="5:35" x14ac:dyDescent="0.35">
      <c r="E1086" s="226">
        <v>3.60744</v>
      </c>
      <c r="F1086" s="227">
        <v>17.609490410958905</v>
      </c>
      <c r="G1086" s="227">
        <v>6427.4639999999999</v>
      </c>
      <c r="H1086" s="227">
        <v>0.98199999999999998</v>
      </c>
      <c r="I1086" s="227">
        <v>4.3033999999999999</v>
      </c>
      <c r="J1086" s="227">
        <v>0.58380366307861054</v>
      </c>
      <c r="K1086" s="227">
        <v>132.04</v>
      </c>
      <c r="L1086" s="227">
        <v>132.51</v>
      </c>
      <c r="M1086" s="227">
        <v>129.77000000000001</v>
      </c>
      <c r="N1086" s="227">
        <v>91.462999999999994</v>
      </c>
      <c r="O1086" s="227">
        <v>97.831000000000003</v>
      </c>
      <c r="P1086" s="227">
        <v>113.39</v>
      </c>
      <c r="Q1086" s="227">
        <v>105.7</v>
      </c>
      <c r="R1086" s="227">
        <v>110.51</v>
      </c>
      <c r="S1086" s="227"/>
      <c r="T1086" s="227">
        <v>79.5</v>
      </c>
      <c r="U1086" s="227">
        <v>79.5</v>
      </c>
      <c r="V1086" s="227">
        <v>79.5</v>
      </c>
      <c r="W1086" s="227">
        <v>79.5</v>
      </c>
      <c r="X1086" s="227">
        <v>79.5</v>
      </c>
      <c r="Y1086" s="227">
        <v>79.5</v>
      </c>
      <c r="Z1086" s="227">
        <v>79.5</v>
      </c>
      <c r="AA1086" s="227">
        <v>79.5</v>
      </c>
      <c r="AB1086" s="227">
        <v>11.433999999999999</v>
      </c>
      <c r="AC1086" s="227">
        <v>774.65</v>
      </c>
      <c r="AD1086" s="230">
        <v>1.3233796296296295E-4</v>
      </c>
      <c r="AE1086" s="230">
        <v>68.603999999999999</v>
      </c>
      <c r="AF1086" s="230">
        <v>3816</v>
      </c>
      <c r="AG1086" s="230">
        <v>504406.36489991954</v>
      </c>
      <c r="AH1086" s="230">
        <v>3933091.6542056487</v>
      </c>
      <c r="AI1086" s="230">
        <v>4647.8999999999996</v>
      </c>
    </row>
    <row r="1087" spans="5:35" x14ac:dyDescent="0.35">
      <c r="E1087" s="226">
        <v>3.6114400000000004</v>
      </c>
      <c r="F1087" s="227">
        <v>17.625928767123288</v>
      </c>
      <c r="G1087" s="227">
        <v>6433.4639999999999</v>
      </c>
      <c r="H1087" s="227">
        <v>0.98209999999999997</v>
      </c>
      <c r="I1087" s="227">
        <v>4.3074000000000003</v>
      </c>
      <c r="J1087" s="227">
        <v>0.58388292002305497</v>
      </c>
      <c r="K1087" s="227">
        <v>132.02000000000001</v>
      </c>
      <c r="L1087" s="227">
        <v>132.5</v>
      </c>
      <c r="M1087" s="227">
        <v>129.75</v>
      </c>
      <c r="N1087" s="227">
        <v>91.454999999999998</v>
      </c>
      <c r="O1087" s="227">
        <v>97.825000000000003</v>
      </c>
      <c r="P1087" s="227">
        <v>113.38</v>
      </c>
      <c r="Q1087" s="227">
        <v>105.7</v>
      </c>
      <c r="R1087" s="227">
        <v>110.5</v>
      </c>
      <c r="S1087" s="227"/>
      <c r="T1087" s="227">
        <v>79.5</v>
      </c>
      <c r="U1087" s="227">
        <v>79.5</v>
      </c>
      <c r="V1087" s="227">
        <v>79.5</v>
      </c>
      <c r="W1087" s="227">
        <v>79.5</v>
      </c>
      <c r="X1087" s="227">
        <v>79.5</v>
      </c>
      <c r="Y1087" s="227">
        <v>79.5</v>
      </c>
      <c r="Z1087" s="227">
        <v>79.5</v>
      </c>
      <c r="AA1087" s="227">
        <v>79.5</v>
      </c>
      <c r="AB1087" s="227">
        <v>11.413</v>
      </c>
      <c r="AC1087" s="227">
        <v>774.65</v>
      </c>
      <c r="AD1087" s="230">
        <v>1.3209490740740741E-4</v>
      </c>
      <c r="AE1087" s="230">
        <v>68.478000000000009</v>
      </c>
      <c r="AF1087" s="230">
        <v>3816</v>
      </c>
      <c r="AG1087" s="230">
        <v>504474.84289991955</v>
      </c>
      <c r="AH1087" s="230">
        <v>3936907.6542056487</v>
      </c>
      <c r="AI1087" s="230">
        <v>4647.8999999999996</v>
      </c>
    </row>
    <row r="1088" spans="5:35" x14ac:dyDescent="0.35">
      <c r="E1088" s="226">
        <v>3.6155399999999998</v>
      </c>
      <c r="F1088" s="227">
        <v>17.64236712328767</v>
      </c>
      <c r="G1088" s="227">
        <v>6439.4639999999999</v>
      </c>
      <c r="H1088" s="227">
        <v>0.98209999999999997</v>
      </c>
      <c r="I1088" s="227">
        <v>4.3114999999999997</v>
      </c>
      <c r="J1088" s="227">
        <v>0.58396203807861058</v>
      </c>
      <c r="K1088" s="227">
        <v>132</v>
      </c>
      <c r="L1088" s="227">
        <v>132.47999999999999</v>
      </c>
      <c r="M1088" s="227">
        <v>129.74</v>
      </c>
      <c r="N1088" s="227">
        <v>91.447000000000003</v>
      </c>
      <c r="O1088" s="227">
        <v>97.816999999999993</v>
      </c>
      <c r="P1088" s="227">
        <v>113.37</v>
      </c>
      <c r="Q1088" s="227">
        <v>105.69</v>
      </c>
      <c r="R1088" s="227">
        <v>110.5</v>
      </c>
      <c r="S1088" s="227"/>
      <c r="T1088" s="227">
        <v>79.5</v>
      </c>
      <c r="U1088" s="227">
        <v>79.5</v>
      </c>
      <c r="V1088" s="227">
        <v>79.5</v>
      </c>
      <c r="W1088" s="227">
        <v>79.5</v>
      </c>
      <c r="X1088" s="227">
        <v>79.5</v>
      </c>
      <c r="Y1088" s="227">
        <v>79.5</v>
      </c>
      <c r="Z1088" s="227">
        <v>79.5</v>
      </c>
      <c r="AA1088" s="227">
        <v>79.5</v>
      </c>
      <c r="AB1088" s="227">
        <v>11.393000000000001</v>
      </c>
      <c r="AC1088" s="227">
        <v>774.65</v>
      </c>
      <c r="AD1088" s="230">
        <v>1.3186342592592592E-4</v>
      </c>
      <c r="AE1088" s="230">
        <v>68.358000000000004</v>
      </c>
      <c r="AF1088" s="230">
        <v>3816</v>
      </c>
      <c r="AG1088" s="230">
        <v>504543.20089991955</v>
      </c>
      <c r="AH1088" s="230">
        <v>3940723.6542056487</v>
      </c>
      <c r="AI1088" s="230">
        <v>4647.8999999999996</v>
      </c>
    </row>
    <row r="1089" spans="5:35" x14ac:dyDescent="0.35">
      <c r="E1089" s="226">
        <v>3.6195400000000002</v>
      </c>
      <c r="F1089" s="227">
        <v>17.658805479452056</v>
      </c>
      <c r="G1089" s="227">
        <v>6445.4639999999999</v>
      </c>
      <c r="H1089" s="227">
        <v>0.98209999999999997</v>
      </c>
      <c r="I1089" s="227">
        <v>4.3155000000000001</v>
      </c>
      <c r="J1089" s="227">
        <v>0.58404101030083289</v>
      </c>
      <c r="K1089" s="227">
        <v>131.99</v>
      </c>
      <c r="L1089" s="227">
        <v>132.47</v>
      </c>
      <c r="M1089" s="227">
        <v>129.72</v>
      </c>
      <c r="N1089" s="227">
        <v>91.438999999999993</v>
      </c>
      <c r="O1089" s="227">
        <v>97.81</v>
      </c>
      <c r="P1089" s="227">
        <v>113.36</v>
      </c>
      <c r="Q1089" s="227">
        <v>105.68</v>
      </c>
      <c r="R1089" s="227">
        <v>110.49</v>
      </c>
      <c r="S1089" s="227"/>
      <c r="T1089" s="227">
        <v>79.5</v>
      </c>
      <c r="U1089" s="227">
        <v>79.5</v>
      </c>
      <c r="V1089" s="227">
        <v>79.5</v>
      </c>
      <c r="W1089" s="227">
        <v>79.5</v>
      </c>
      <c r="X1089" s="227">
        <v>79.5</v>
      </c>
      <c r="Y1089" s="227">
        <v>79.5</v>
      </c>
      <c r="Z1089" s="227">
        <v>79.5</v>
      </c>
      <c r="AA1089" s="227">
        <v>79.5</v>
      </c>
      <c r="AB1089" s="227">
        <v>11.372</v>
      </c>
      <c r="AC1089" s="227">
        <v>774.65</v>
      </c>
      <c r="AD1089" s="230">
        <v>1.3162037037037038E-4</v>
      </c>
      <c r="AE1089" s="230">
        <v>68.231999999999999</v>
      </c>
      <c r="AF1089" s="230">
        <v>3816</v>
      </c>
      <c r="AG1089" s="230">
        <v>504611.43289991957</v>
      </c>
      <c r="AH1089" s="230">
        <v>3944539.6542056487</v>
      </c>
      <c r="AI1089" s="230">
        <v>4647.8999999999996</v>
      </c>
    </row>
    <row r="1090" spans="5:35" x14ac:dyDescent="0.35">
      <c r="E1090" s="226">
        <v>3.6235399999999998</v>
      </c>
      <c r="F1090" s="227">
        <v>17.675243835616438</v>
      </c>
      <c r="G1090" s="227">
        <v>6451.4639999999999</v>
      </c>
      <c r="H1090" s="227">
        <v>0.98219999999999996</v>
      </c>
      <c r="I1090" s="227">
        <v>4.3194999999999997</v>
      </c>
      <c r="J1090" s="227">
        <v>0.58411984363416625</v>
      </c>
      <c r="K1090" s="227">
        <v>131.97</v>
      </c>
      <c r="L1090" s="227">
        <v>132.46</v>
      </c>
      <c r="M1090" s="227">
        <v>129.71</v>
      </c>
      <c r="N1090" s="227">
        <v>91.430999999999997</v>
      </c>
      <c r="O1090" s="227">
        <v>97.802999999999997</v>
      </c>
      <c r="P1090" s="227">
        <v>113.35</v>
      </c>
      <c r="Q1090" s="227">
        <v>105.68</v>
      </c>
      <c r="R1090" s="227">
        <v>110.48</v>
      </c>
      <c r="S1090" s="227"/>
      <c r="T1090" s="227">
        <v>79.5</v>
      </c>
      <c r="U1090" s="227">
        <v>79.5</v>
      </c>
      <c r="V1090" s="227">
        <v>79.5</v>
      </c>
      <c r="W1090" s="227">
        <v>79.5</v>
      </c>
      <c r="X1090" s="227">
        <v>79.5</v>
      </c>
      <c r="Y1090" s="227">
        <v>79.5</v>
      </c>
      <c r="Z1090" s="227">
        <v>79.5</v>
      </c>
      <c r="AA1090" s="227">
        <v>79.5</v>
      </c>
      <c r="AB1090" s="227">
        <v>11.352</v>
      </c>
      <c r="AC1090" s="227">
        <v>774.65</v>
      </c>
      <c r="AD1090" s="230">
        <v>1.313888888888889E-4</v>
      </c>
      <c r="AE1090" s="230">
        <v>68.112000000000009</v>
      </c>
      <c r="AF1090" s="230">
        <v>3816</v>
      </c>
      <c r="AG1090" s="230">
        <v>504679.54489991959</v>
      </c>
      <c r="AH1090" s="230">
        <v>3948355.6542056487</v>
      </c>
      <c r="AI1090" s="230">
        <v>4647.8999999999996</v>
      </c>
    </row>
    <row r="1091" spans="5:35" x14ac:dyDescent="0.35">
      <c r="E1091" s="226">
        <v>3.6275400000000002</v>
      </c>
      <c r="F1091" s="227">
        <v>17.691682191780821</v>
      </c>
      <c r="G1091" s="227">
        <v>6457.4639999999999</v>
      </c>
      <c r="H1091" s="227">
        <v>0.98219999999999996</v>
      </c>
      <c r="I1091" s="227">
        <v>4.3235000000000001</v>
      </c>
      <c r="J1091" s="227">
        <v>0.58419853807861066</v>
      </c>
      <c r="K1091" s="227">
        <v>131.94999999999999</v>
      </c>
      <c r="L1091" s="227">
        <v>132.44999999999999</v>
      </c>
      <c r="M1091" s="227">
        <v>129.69</v>
      </c>
      <c r="N1091" s="227">
        <v>91.423000000000002</v>
      </c>
      <c r="O1091" s="227">
        <v>97.796999999999997</v>
      </c>
      <c r="P1091" s="227">
        <v>113.34</v>
      </c>
      <c r="Q1091" s="227">
        <v>105.67</v>
      </c>
      <c r="R1091" s="227">
        <v>110.47</v>
      </c>
      <c r="S1091" s="227"/>
      <c r="T1091" s="227">
        <v>79.5</v>
      </c>
      <c r="U1091" s="227">
        <v>79.5</v>
      </c>
      <c r="V1091" s="227">
        <v>79.5</v>
      </c>
      <c r="W1091" s="227">
        <v>79.5</v>
      </c>
      <c r="X1091" s="227">
        <v>79.5</v>
      </c>
      <c r="Y1091" s="227">
        <v>79.5</v>
      </c>
      <c r="Z1091" s="227">
        <v>79.5</v>
      </c>
      <c r="AA1091" s="227">
        <v>79.5</v>
      </c>
      <c r="AB1091" s="227">
        <v>11.332000000000001</v>
      </c>
      <c r="AC1091" s="227">
        <v>774.65</v>
      </c>
      <c r="AD1091" s="230">
        <v>1.3115740740740742E-4</v>
      </c>
      <c r="AE1091" s="230">
        <v>67.992000000000004</v>
      </c>
      <c r="AF1091" s="230">
        <v>3816</v>
      </c>
      <c r="AG1091" s="230">
        <v>504747.53689991962</v>
      </c>
      <c r="AH1091" s="230">
        <v>3952171.6542056487</v>
      </c>
      <c r="AI1091" s="230">
        <v>4647.8999999999996</v>
      </c>
    </row>
    <row r="1092" spans="5:35" x14ac:dyDescent="0.35">
      <c r="E1092" s="226">
        <v>3.6315399999999998</v>
      </c>
      <c r="F1092" s="227">
        <v>17.708120547945207</v>
      </c>
      <c r="G1092" s="227">
        <v>6463.4639999999999</v>
      </c>
      <c r="H1092" s="227">
        <v>0.98219999999999996</v>
      </c>
      <c r="I1092" s="227">
        <v>4.3274999999999997</v>
      </c>
      <c r="J1092" s="227">
        <v>0.58427709363416624</v>
      </c>
      <c r="K1092" s="227">
        <v>131.94</v>
      </c>
      <c r="L1092" s="227">
        <v>132.43</v>
      </c>
      <c r="M1092" s="227">
        <v>129.68</v>
      </c>
      <c r="N1092" s="227">
        <v>91.415000000000006</v>
      </c>
      <c r="O1092" s="227">
        <v>97.789000000000001</v>
      </c>
      <c r="P1092" s="227">
        <v>113.33</v>
      </c>
      <c r="Q1092" s="227">
        <v>105.67</v>
      </c>
      <c r="R1092" s="227">
        <v>110.47</v>
      </c>
      <c r="S1092" s="227"/>
      <c r="T1092" s="227">
        <v>79.5</v>
      </c>
      <c r="U1092" s="227">
        <v>79.5</v>
      </c>
      <c r="V1092" s="227">
        <v>79.5</v>
      </c>
      <c r="W1092" s="227">
        <v>79.5</v>
      </c>
      <c r="X1092" s="227">
        <v>79.5</v>
      </c>
      <c r="Y1092" s="227">
        <v>79.5</v>
      </c>
      <c r="Z1092" s="227">
        <v>79.5</v>
      </c>
      <c r="AA1092" s="227">
        <v>79.5</v>
      </c>
      <c r="AB1092" s="227">
        <v>11.311999999999999</v>
      </c>
      <c r="AC1092" s="227">
        <v>774.65</v>
      </c>
      <c r="AD1092" s="230">
        <v>1.3092592592592591E-4</v>
      </c>
      <c r="AE1092" s="230">
        <v>67.871999999999986</v>
      </c>
      <c r="AF1092" s="230">
        <v>3816</v>
      </c>
      <c r="AG1092" s="230">
        <v>504815.4088999196</v>
      </c>
      <c r="AH1092" s="230">
        <v>3955987.6542056487</v>
      </c>
      <c r="AI1092" s="230">
        <v>4647.8999999999996</v>
      </c>
    </row>
    <row r="1093" spans="5:35" x14ac:dyDescent="0.35">
      <c r="E1093" s="226">
        <v>3.6355400000000002</v>
      </c>
      <c r="F1093" s="227">
        <v>17.724558904109589</v>
      </c>
      <c r="G1093" s="227">
        <v>6469.4639999999999</v>
      </c>
      <c r="H1093" s="227">
        <v>0.98219999999999996</v>
      </c>
      <c r="I1093" s="227">
        <v>4.3315000000000001</v>
      </c>
      <c r="J1093" s="227">
        <v>0.58435550335638842</v>
      </c>
      <c r="K1093" s="227">
        <v>131.91999999999999</v>
      </c>
      <c r="L1093" s="227">
        <v>132.41999999999999</v>
      </c>
      <c r="M1093" s="227">
        <v>129.66999999999999</v>
      </c>
      <c r="N1093" s="227">
        <v>91.406999999999996</v>
      </c>
      <c r="O1093" s="227">
        <v>97.783000000000001</v>
      </c>
      <c r="P1093" s="227">
        <v>113.32</v>
      </c>
      <c r="Q1093" s="227">
        <v>105.66</v>
      </c>
      <c r="R1093" s="227">
        <v>110.46</v>
      </c>
      <c r="S1093" s="227"/>
      <c r="T1093" s="227">
        <v>79.5</v>
      </c>
      <c r="U1093" s="227">
        <v>79.5</v>
      </c>
      <c r="V1093" s="227">
        <v>79.5</v>
      </c>
      <c r="W1093" s="227">
        <v>79.5</v>
      </c>
      <c r="X1093" s="227">
        <v>79.5</v>
      </c>
      <c r="Y1093" s="227">
        <v>79.5</v>
      </c>
      <c r="Z1093" s="227">
        <v>79.5</v>
      </c>
      <c r="AA1093" s="227">
        <v>79.5</v>
      </c>
      <c r="AB1093" s="227">
        <v>11.291</v>
      </c>
      <c r="AC1093" s="227">
        <v>774.65</v>
      </c>
      <c r="AD1093" s="230">
        <v>1.3068287037037039E-4</v>
      </c>
      <c r="AE1093" s="230">
        <v>67.746000000000009</v>
      </c>
      <c r="AF1093" s="230">
        <v>3816</v>
      </c>
      <c r="AG1093" s="230">
        <v>504883.15489991958</v>
      </c>
      <c r="AH1093" s="230">
        <v>3959803.6542056487</v>
      </c>
      <c r="AI1093" s="230">
        <v>4647.8999999999996</v>
      </c>
    </row>
    <row r="1094" spans="5:35" x14ac:dyDescent="0.35">
      <c r="E1094" s="226">
        <v>3.6396400000000004</v>
      </c>
      <c r="F1094" s="227">
        <v>17.740997260273971</v>
      </c>
      <c r="G1094" s="227">
        <v>6475.4639999999999</v>
      </c>
      <c r="H1094" s="227">
        <v>0.98229999999999995</v>
      </c>
      <c r="I1094" s="227">
        <v>4.3356000000000003</v>
      </c>
      <c r="J1094" s="227">
        <v>0.58443377418972176</v>
      </c>
      <c r="K1094" s="227">
        <v>131.91</v>
      </c>
      <c r="L1094" s="227">
        <v>132.41</v>
      </c>
      <c r="M1094" s="227">
        <v>129.65</v>
      </c>
      <c r="N1094" s="227">
        <v>91.399000000000001</v>
      </c>
      <c r="O1094" s="227">
        <v>97.777000000000001</v>
      </c>
      <c r="P1094" s="227">
        <v>113.31</v>
      </c>
      <c r="Q1094" s="227">
        <v>105.65</v>
      </c>
      <c r="R1094" s="227">
        <v>110.45</v>
      </c>
      <c r="S1094" s="227"/>
      <c r="T1094" s="227">
        <v>79.5</v>
      </c>
      <c r="U1094" s="227">
        <v>79.5</v>
      </c>
      <c r="V1094" s="227">
        <v>79.5</v>
      </c>
      <c r="W1094" s="227">
        <v>79.5</v>
      </c>
      <c r="X1094" s="227">
        <v>79.5</v>
      </c>
      <c r="Y1094" s="227">
        <v>79.5</v>
      </c>
      <c r="Z1094" s="227">
        <v>79.5</v>
      </c>
      <c r="AA1094" s="227">
        <v>79.5</v>
      </c>
      <c r="AB1094" s="227">
        <v>11.271000000000001</v>
      </c>
      <c r="AC1094" s="227">
        <v>774.65</v>
      </c>
      <c r="AD1094" s="230">
        <v>1.3045138888888891E-4</v>
      </c>
      <c r="AE1094" s="230">
        <v>67.626000000000005</v>
      </c>
      <c r="AF1094" s="230">
        <v>3816</v>
      </c>
      <c r="AG1094" s="230">
        <v>504950.78089991957</v>
      </c>
      <c r="AH1094" s="230">
        <v>3963619.6542056487</v>
      </c>
      <c r="AI1094" s="230">
        <v>4647.8999999999996</v>
      </c>
    </row>
    <row r="1095" spans="5:35" x14ac:dyDescent="0.35">
      <c r="E1095" s="226">
        <v>3.64364</v>
      </c>
      <c r="F1095" s="227">
        <v>17.757435616438357</v>
      </c>
      <c r="G1095" s="227">
        <v>6481.4639999999999</v>
      </c>
      <c r="H1095" s="227">
        <v>0.98229999999999995</v>
      </c>
      <c r="I1095" s="227">
        <v>4.3395999999999999</v>
      </c>
      <c r="J1095" s="227">
        <v>0.58451190613416615</v>
      </c>
      <c r="K1095" s="227">
        <v>131.88999999999999</v>
      </c>
      <c r="L1095" s="227">
        <v>132.4</v>
      </c>
      <c r="M1095" s="227">
        <v>129.63999999999999</v>
      </c>
      <c r="N1095" s="227">
        <v>91.391999999999996</v>
      </c>
      <c r="O1095" s="227">
        <v>97.768000000000001</v>
      </c>
      <c r="P1095" s="227">
        <v>113.3</v>
      </c>
      <c r="Q1095" s="227">
        <v>105.65</v>
      </c>
      <c r="R1095" s="227">
        <v>110.44</v>
      </c>
      <c r="S1095" s="227"/>
      <c r="T1095" s="227">
        <v>79.5</v>
      </c>
      <c r="U1095" s="227">
        <v>79.5</v>
      </c>
      <c r="V1095" s="227">
        <v>79.5</v>
      </c>
      <c r="W1095" s="227">
        <v>79.5</v>
      </c>
      <c r="X1095" s="227">
        <v>79.5</v>
      </c>
      <c r="Y1095" s="227">
        <v>79.5</v>
      </c>
      <c r="Z1095" s="227">
        <v>79.5</v>
      </c>
      <c r="AA1095" s="227">
        <v>79.5</v>
      </c>
      <c r="AB1095" s="227">
        <v>11.250999999999999</v>
      </c>
      <c r="AC1095" s="227">
        <v>774.65</v>
      </c>
      <c r="AD1095" s="230">
        <v>1.302199074074074E-4</v>
      </c>
      <c r="AE1095" s="230">
        <v>67.506</v>
      </c>
      <c r="AF1095" s="230">
        <v>3816</v>
      </c>
      <c r="AG1095" s="230">
        <v>505018.28689991956</v>
      </c>
      <c r="AH1095" s="230">
        <v>3967435.6542056487</v>
      </c>
      <c r="AI1095" s="230">
        <v>4647.8999999999996</v>
      </c>
    </row>
    <row r="1096" spans="5:35" x14ac:dyDescent="0.35">
      <c r="E1096" s="226">
        <v>3.6476400000000004</v>
      </c>
      <c r="F1096" s="227">
        <v>17.77387397260274</v>
      </c>
      <c r="G1096" s="227">
        <v>6487.4639999999999</v>
      </c>
      <c r="H1096" s="227">
        <v>0.98229999999999995</v>
      </c>
      <c r="I1096" s="227">
        <v>4.3436000000000003</v>
      </c>
      <c r="J1096" s="227">
        <v>0.58458989918972171</v>
      </c>
      <c r="K1096" s="227">
        <v>131.87</v>
      </c>
      <c r="L1096" s="227">
        <v>132.38999999999999</v>
      </c>
      <c r="M1096" s="227">
        <v>129.62</v>
      </c>
      <c r="N1096" s="227">
        <v>91.384</v>
      </c>
      <c r="O1096" s="227">
        <v>97.762</v>
      </c>
      <c r="P1096" s="227">
        <v>113.29</v>
      </c>
      <c r="Q1096" s="227">
        <v>105.64</v>
      </c>
      <c r="R1096" s="227">
        <v>110.44</v>
      </c>
      <c r="S1096" s="227"/>
      <c r="T1096" s="227">
        <v>79.5</v>
      </c>
      <c r="U1096" s="227">
        <v>79.5</v>
      </c>
      <c r="V1096" s="227">
        <v>79.5</v>
      </c>
      <c r="W1096" s="227">
        <v>79.5</v>
      </c>
      <c r="X1096" s="227">
        <v>79.5</v>
      </c>
      <c r="Y1096" s="227">
        <v>79.5</v>
      </c>
      <c r="Z1096" s="227">
        <v>79.5</v>
      </c>
      <c r="AA1096" s="227">
        <v>79.5</v>
      </c>
      <c r="AB1096" s="227">
        <v>11.231</v>
      </c>
      <c r="AC1096" s="227">
        <v>774.65</v>
      </c>
      <c r="AD1096" s="230">
        <v>1.2998842592592592E-4</v>
      </c>
      <c r="AE1096" s="230">
        <v>67.385999999999996</v>
      </c>
      <c r="AF1096" s="230">
        <v>3816</v>
      </c>
      <c r="AG1096" s="230">
        <v>505085.67289991956</v>
      </c>
      <c r="AH1096" s="230">
        <v>3971251.6542056487</v>
      </c>
      <c r="AI1096" s="230">
        <v>4647.8999999999996</v>
      </c>
    </row>
    <row r="1097" spans="5:35" x14ac:dyDescent="0.35">
      <c r="E1097" s="226">
        <v>3.65164</v>
      </c>
      <c r="F1097" s="227">
        <v>17.790312328767122</v>
      </c>
      <c r="G1097" s="227">
        <v>6493.4639999999999</v>
      </c>
      <c r="H1097" s="227">
        <v>0.98240000000000005</v>
      </c>
      <c r="I1097" s="227">
        <v>4.3475999999999999</v>
      </c>
      <c r="J1097" s="227">
        <v>0.58466775335638843</v>
      </c>
      <c r="K1097" s="227">
        <v>131.86000000000001</v>
      </c>
      <c r="L1097" s="227">
        <v>132.37</v>
      </c>
      <c r="M1097" s="227">
        <v>129.61000000000001</v>
      </c>
      <c r="N1097" s="227">
        <v>91.376000000000005</v>
      </c>
      <c r="O1097" s="227">
        <v>97.756</v>
      </c>
      <c r="P1097" s="227">
        <v>113.28</v>
      </c>
      <c r="Q1097" s="227">
        <v>105.64</v>
      </c>
      <c r="R1097" s="227">
        <v>110.43</v>
      </c>
      <c r="S1097" s="227"/>
      <c r="T1097" s="227">
        <v>79.5</v>
      </c>
      <c r="U1097" s="227">
        <v>79.5</v>
      </c>
      <c r="V1097" s="227">
        <v>79.5</v>
      </c>
      <c r="W1097" s="227">
        <v>79.5</v>
      </c>
      <c r="X1097" s="227">
        <v>79.5</v>
      </c>
      <c r="Y1097" s="227">
        <v>79.5</v>
      </c>
      <c r="Z1097" s="227">
        <v>79.5</v>
      </c>
      <c r="AA1097" s="227">
        <v>79.5</v>
      </c>
      <c r="AB1097" s="227">
        <v>11.211</v>
      </c>
      <c r="AC1097" s="227">
        <v>774.65</v>
      </c>
      <c r="AD1097" s="230">
        <v>1.2975694444444444E-4</v>
      </c>
      <c r="AE1097" s="230">
        <v>67.265999999999991</v>
      </c>
      <c r="AF1097" s="230">
        <v>3816</v>
      </c>
      <c r="AG1097" s="230">
        <v>505152.93889991957</v>
      </c>
      <c r="AH1097" s="230">
        <v>3975067.6542056487</v>
      </c>
      <c r="AI1097" s="230">
        <v>4647.8999999999996</v>
      </c>
    </row>
    <row r="1098" spans="5:35" x14ac:dyDescent="0.35">
      <c r="E1098" s="226">
        <v>3.6556400000000004</v>
      </c>
      <c r="F1098" s="227">
        <v>17.806750684931508</v>
      </c>
      <c r="G1098" s="227">
        <v>6499.4639999999999</v>
      </c>
      <c r="H1098" s="227">
        <v>0.98240000000000005</v>
      </c>
      <c r="I1098" s="227">
        <v>4.3516000000000004</v>
      </c>
      <c r="J1098" s="227">
        <v>0.58474547557861056</v>
      </c>
      <c r="K1098" s="227">
        <v>131.85</v>
      </c>
      <c r="L1098" s="227">
        <v>132.36000000000001</v>
      </c>
      <c r="M1098" s="227">
        <v>129.6</v>
      </c>
      <c r="N1098" s="227">
        <v>91.367999999999995</v>
      </c>
      <c r="O1098" s="227">
        <v>97.748999999999995</v>
      </c>
      <c r="P1098" s="227">
        <v>113.27</v>
      </c>
      <c r="Q1098" s="227">
        <v>105.63</v>
      </c>
      <c r="R1098" s="227">
        <v>110.42</v>
      </c>
      <c r="S1098" s="227"/>
      <c r="T1098" s="227">
        <v>79.5</v>
      </c>
      <c r="U1098" s="227">
        <v>79.5</v>
      </c>
      <c r="V1098" s="227">
        <v>79.5</v>
      </c>
      <c r="W1098" s="227">
        <v>79.5</v>
      </c>
      <c r="X1098" s="227">
        <v>79.5</v>
      </c>
      <c r="Y1098" s="227">
        <v>79.5</v>
      </c>
      <c r="Z1098" s="227">
        <v>79.5</v>
      </c>
      <c r="AA1098" s="227">
        <v>79.5</v>
      </c>
      <c r="AB1098" s="227">
        <v>11.192</v>
      </c>
      <c r="AC1098" s="227">
        <v>774.65</v>
      </c>
      <c r="AD1098" s="230">
        <v>1.2953703703703703E-4</v>
      </c>
      <c r="AE1098" s="230">
        <v>67.151999999999987</v>
      </c>
      <c r="AF1098" s="230">
        <v>3816</v>
      </c>
      <c r="AG1098" s="230">
        <v>505220.09089991957</v>
      </c>
      <c r="AH1098" s="230">
        <v>3978883.6542056487</v>
      </c>
      <c r="AI1098" s="230">
        <v>4647.8999999999996</v>
      </c>
    </row>
    <row r="1099" spans="5:35" x14ac:dyDescent="0.35">
      <c r="E1099" s="226">
        <v>3.65964</v>
      </c>
      <c r="F1099" s="227">
        <v>17.82318904109589</v>
      </c>
      <c r="G1099" s="227">
        <v>6505.4639999999999</v>
      </c>
      <c r="H1099" s="227">
        <v>0.98240000000000005</v>
      </c>
      <c r="I1099" s="227">
        <v>4.3555999999999999</v>
      </c>
      <c r="J1099" s="227">
        <v>0.58482305891194397</v>
      </c>
      <c r="K1099" s="227">
        <v>131.83000000000001</v>
      </c>
      <c r="L1099" s="227">
        <v>132.35</v>
      </c>
      <c r="M1099" s="227">
        <v>129.58000000000001</v>
      </c>
      <c r="N1099" s="227">
        <v>91.361000000000004</v>
      </c>
      <c r="O1099" s="227">
        <v>97.742000000000004</v>
      </c>
      <c r="P1099" s="227">
        <v>113.26</v>
      </c>
      <c r="Q1099" s="227">
        <v>105.62</v>
      </c>
      <c r="R1099" s="227">
        <v>110.42</v>
      </c>
      <c r="S1099" s="227"/>
      <c r="T1099" s="227">
        <v>79.5</v>
      </c>
      <c r="U1099" s="227">
        <v>79.5</v>
      </c>
      <c r="V1099" s="227">
        <v>79.5</v>
      </c>
      <c r="W1099" s="227">
        <v>79.5</v>
      </c>
      <c r="X1099" s="227">
        <v>79.5</v>
      </c>
      <c r="Y1099" s="227">
        <v>79.5</v>
      </c>
      <c r="Z1099" s="227">
        <v>79.5</v>
      </c>
      <c r="AA1099" s="227">
        <v>79.5</v>
      </c>
      <c r="AB1099" s="227">
        <v>11.172000000000001</v>
      </c>
      <c r="AC1099" s="227">
        <v>774.65</v>
      </c>
      <c r="AD1099" s="230">
        <v>1.2930555555555558E-4</v>
      </c>
      <c r="AE1099" s="230">
        <v>67.032000000000011</v>
      </c>
      <c r="AF1099" s="230">
        <v>3816</v>
      </c>
      <c r="AG1099" s="230">
        <v>505287.12289991957</v>
      </c>
      <c r="AH1099" s="230">
        <v>3982699.6542056487</v>
      </c>
      <c r="AI1099" s="230">
        <v>4647.8999999999996</v>
      </c>
    </row>
    <row r="1100" spans="5:35" x14ac:dyDescent="0.35">
      <c r="E1100" s="226">
        <v>3.6637400000000002</v>
      </c>
      <c r="F1100" s="227">
        <v>17.839627397260273</v>
      </c>
      <c r="G1100" s="227">
        <v>6511.4639999999999</v>
      </c>
      <c r="H1100" s="227">
        <v>0.98250000000000004</v>
      </c>
      <c r="I1100" s="227">
        <v>4.3597000000000001</v>
      </c>
      <c r="J1100" s="227">
        <v>0.58490050335638843</v>
      </c>
      <c r="K1100" s="227">
        <v>131.81</v>
      </c>
      <c r="L1100" s="227">
        <v>132.34</v>
      </c>
      <c r="M1100" s="227">
        <v>129.57</v>
      </c>
      <c r="N1100" s="227">
        <v>91.352999999999994</v>
      </c>
      <c r="O1100" s="227">
        <v>97.736000000000004</v>
      </c>
      <c r="P1100" s="227">
        <v>113.25</v>
      </c>
      <c r="Q1100" s="227">
        <v>105.62</v>
      </c>
      <c r="R1100" s="227">
        <v>110.41</v>
      </c>
      <c r="S1100" s="227"/>
      <c r="T1100" s="227">
        <v>79.5</v>
      </c>
      <c r="U1100" s="227">
        <v>79.5</v>
      </c>
      <c r="V1100" s="227">
        <v>79.5</v>
      </c>
      <c r="W1100" s="227">
        <v>79.5</v>
      </c>
      <c r="X1100" s="227">
        <v>79.5</v>
      </c>
      <c r="Y1100" s="227">
        <v>79.5</v>
      </c>
      <c r="Z1100" s="227">
        <v>79.5</v>
      </c>
      <c r="AA1100" s="227">
        <v>79.5</v>
      </c>
      <c r="AB1100" s="227">
        <v>11.151999999999999</v>
      </c>
      <c r="AC1100" s="227">
        <v>774.65</v>
      </c>
      <c r="AD1100" s="230">
        <v>1.2907407407407407E-4</v>
      </c>
      <c r="AE1100" s="230">
        <v>66.911999999999992</v>
      </c>
      <c r="AF1100" s="230">
        <v>3816</v>
      </c>
      <c r="AG1100" s="230">
        <v>505354.03489991958</v>
      </c>
      <c r="AH1100" s="230">
        <v>3986515.6542056487</v>
      </c>
      <c r="AI1100" s="230">
        <v>4647.8999999999996</v>
      </c>
    </row>
    <row r="1101" spans="5:35" x14ac:dyDescent="0.35">
      <c r="E1101" s="226">
        <v>3.6677399999999998</v>
      </c>
      <c r="F1101" s="227">
        <v>17.856065753424659</v>
      </c>
      <c r="G1101" s="227">
        <v>6517.4639999999999</v>
      </c>
      <c r="H1101" s="227">
        <v>0.98250000000000004</v>
      </c>
      <c r="I1101" s="227">
        <v>4.3636999999999997</v>
      </c>
      <c r="J1101" s="227">
        <v>0.58497780891194395</v>
      </c>
      <c r="K1101" s="227">
        <v>131.80000000000001</v>
      </c>
      <c r="L1101" s="227">
        <v>132.33000000000001</v>
      </c>
      <c r="M1101" s="227">
        <v>129.55000000000001</v>
      </c>
      <c r="N1101" s="227">
        <v>91.344999999999999</v>
      </c>
      <c r="O1101" s="227">
        <v>97.73</v>
      </c>
      <c r="P1101" s="227">
        <v>113.24</v>
      </c>
      <c r="Q1101" s="227">
        <v>105.61</v>
      </c>
      <c r="R1101" s="227">
        <v>110.4</v>
      </c>
      <c r="S1101" s="227"/>
      <c r="T1101" s="227">
        <v>79.5</v>
      </c>
      <c r="U1101" s="227">
        <v>79.5</v>
      </c>
      <c r="V1101" s="227">
        <v>79.5</v>
      </c>
      <c r="W1101" s="227">
        <v>79.5</v>
      </c>
      <c r="X1101" s="227">
        <v>79.5</v>
      </c>
      <c r="Y1101" s="227">
        <v>79.5</v>
      </c>
      <c r="Z1101" s="227">
        <v>79.5</v>
      </c>
      <c r="AA1101" s="227">
        <v>79.5</v>
      </c>
      <c r="AB1101" s="227">
        <v>11.132</v>
      </c>
      <c r="AC1101" s="227">
        <v>774.65</v>
      </c>
      <c r="AD1101" s="230">
        <v>1.2884259259259259E-4</v>
      </c>
      <c r="AE1101" s="230">
        <v>66.791999999999987</v>
      </c>
      <c r="AF1101" s="230">
        <v>3816</v>
      </c>
      <c r="AG1101" s="230">
        <v>505420.8268999196</v>
      </c>
      <c r="AH1101" s="230">
        <v>3990331.6542056487</v>
      </c>
      <c r="AI1101" s="230">
        <v>4647.8999999999996</v>
      </c>
    </row>
    <row r="1102" spans="5:35" x14ac:dyDescent="0.35">
      <c r="E1102" s="226">
        <v>3.6717400000000002</v>
      </c>
      <c r="F1102" s="227">
        <v>17.872504109589041</v>
      </c>
      <c r="G1102" s="227">
        <v>6523.4639999999999</v>
      </c>
      <c r="H1102" s="227">
        <v>0.98250000000000004</v>
      </c>
      <c r="I1102" s="227">
        <v>4.3677000000000001</v>
      </c>
      <c r="J1102" s="227">
        <v>0.5850549825230551</v>
      </c>
      <c r="K1102" s="227">
        <v>131.78</v>
      </c>
      <c r="L1102" s="227">
        <v>132.31</v>
      </c>
      <c r="M1102" s="227">
        <v>129.54</v>
      </c>
      <c r="N1102" s="227">
        <v>91.337999999999994</v>
      </c>
      <c r="O1102" s="227">
        <v>97.721000000000004</v>
      </c>
      <c r="P1102" s="227">
        <v>113.23</v>
      </c>
      <c r="Q1102" s="227">
        <v>105.61</v>
      </c>
      <c r="R1102" s="227">
        <v>110.39</v>
      </c>
      <c r="S1102" s="227"/>
      <c r="T1102" s="227">
        <v>79.5</v>
      </c>
      <c r="U1102" s="227">
        <v>79.5</v>
      </c>
      <c r="V1102" s="227">
        <v>79.5</v>
      </c>
      <c r="W1102" s="227">
        <v>79.5</v>
      </c>
      <c r="X1102" s="227">
        <v>79.5</v>
      </c>
      <c r="Y1102" s="227">
        <v>79.5</v>
      </c>
      <c r="Z1102" s="227">
        <v>79.5</v>
      </c>
      <c r="AA1102" s="227">
        <v>79.5</v>
      </c>
      <c r="AB1102" s="227">
        <v>11.113</v>
      </c>
      <c r="AC1102" s="227">
        <v>774.65</v>
      </c>
      <c r="AD1102" s="230">
        <v>1.2862268518518518E-4</v>
      </c>
      <c r="AE1102" s="230">
        <v>66.677999999999997</v>
      </c>
      <c r="AF1102" s="230">
        <v>3816</v>
      </c>
      <c r="AG1102" s="230">
        <v>505487.50489991962</v>
      </c>
      <c r="AH1102" s="230">
        <v>3994147.6542056487</v>
      </c>
      <c r="AI1102" s="230">
        <v>4647.8999999999996</v>
      </c>
    </row>
    <row r="1103" spans="5:35" x14ac:dyDescent="0.35">
      <c r="E1103" s="226">
        <v>3.6757399999999998</v>
      </c>
      <c r="F1103" s="227">
        <v>17.888942465753424</v>
      </c>
      <c r="G1103" s="227">
        <v>6529.4639999999999</v>
      </c>
      <c r="H1103" s="227">
        <v>0.98260000000000003</v>
      </c>
      <c r="I1103" s="227">
        <v>4.3716999999999997</v>
      </c>
      <c r="J1103" s="227">
        <v>0.5851320172452773</v>
      </c>
      <c r="K1103" s="227">
        <v>131.76</v>
      </c>
      <c r="L1103" s="227">
        <v>132.30000000000001</v>
      </c>
      <c r="M1103" s="227">
        <v>129.52000000000001</v>
      </c>
      <c r="N1103" s="227">
        <v>91.33</v>
      </c>
      <c r="O1103" s="227">
        <v>97.715000000000003</v>
      </c>
      <c r="P1103" s="227">
        <v>113.22</v>
      </c>
      <c r="Q1103" s="227">
        <v>105.6</v>
      </c>
      <c r="R1103" s="227">
        <v>110.39</v>
      </c>
      <c r="S1103" s="227"/>
      <c r="T1103" s="227">
        <v>79.5</v>
      </c>
      <c r="U1103" s="227">
        <v>79.5</v>
      </c>
      <c r="V1103" s="227">
        <v>79.5</v>
      </c>
      <c r="W1103" s="227">
        <v>79.5</v>
      </c>
      <c r="X1103" s="227">
        <v>79.5</v>
      </c>
      <c r="Y1103" s="227">
        <v>79.5</v>
      </c>
      <c r="Z1103" s="227">
        <v>79.5</v>
      </c>
      <c r="AA1103" s="227">
        <v>79.5</v>
      </c>
      <c r="AB1103" s="227">
        <v>11.093</v>
      </c>
      <c r="AC1103" s="227">
        <v>774.65</v>
      </c>
      <c r="AD1103" s="230">
        <v>1.283912037037037E-4</v>
      </c>
      <c r="AE1103" s="230">
        <v>66.557999999999993</v>
      </c>
      <c r="AF1103" s="230">
        <v>3816</v>
      </c>
      <c r="AG1103" s="230">
        <v>505554.06289991963</v>
      </c>
      <c r="AH1103" s="230">
        <v>3997963.6542056487</v>
      </c>
      <c r="AI1103" s="230">
        <v>4647.8999999999996</v>
      </c>
    </row>
    <row r="1104" spans="5:35" x14ac:dyDescent="0.35">
      <c r="E1104" s="226">
        <v>3.6797400000000002</v>
      </c>
      <c r="F1104" s="227">
        <v>17.905380821917809</v>
      </c>
      <c r="G1104" s="227">
        <v>6535.4639999999999</v>
      </c>
      <c r="H1104" s="227">
        <v>0.98260000000000003</v>
      </c>
      <c r="I1104" s="227">
        <v>4.3757000000000001</v>
      </c>
      <c r="J1104" s="227">
        <v>0.58520892002305513</v>
      </c>
      <c r="K1104" s="227">
        <v>131.75</v>
      </c>
      <c r="L1104" s="227">
        <v>132.29</v>
      </c>
      <c r="M1104" s="227">
        <v>129.51</v>
      </c>
      <c r="N1104" s="227">
        <v>91.322000000000003</v>
      </c>
      <c r="O1104" s="227">
        <v>97.709000000000003</v>
      </c>
      <c r="P1104" s="227">
        <v>113.21</v>
      </c>
      <c r="Q1104" s="227">
        <v>105.6</v>
      </c>
      <c r="R1104" s="227">
        <v>110.38</v>
      </c>
      <c r="S1104" s="227"/>
      <c r="T1104" s="227">
        <v>79.5</v>
      </c>
      <c r="U1104" s="227">
        <v>79.5</v>
      </c>
      <c r="V1104" s="227">
        <v>79.5</v>
      </c>
      <c r="W1104" s="227">
        <v>79.5</v>
      </c>
      <c r="X1104" s="227">
        <v>79.5</v>
      </c>
      <c r="Y1104" s="227">
        <v>79.5</v>
      </c>
      <c r="Z1104" s="227">
        <v>79.5</v>
      </c>
      <c r="AA1104" s="227">
        <v>79.5</v>
      </c>
      <c r="AB1104" s="227">
        <v>11.074</v>
      </c>
      <c r="AC1104" s="227">
        <v>774.65</v>
      </c>
      <c r="AD1104" s="230">
        <v>1.2817129629629629E-4</v>
      </c>
      <c r="AE1104" s="230">
        <v>66.444000000000003</v>
      </c>
      <c r="AF1104" s="230">
        <v>3816</v>
      </c>
      <c r="AG1104" s="230">
        <v>505620.50689991965</v>
      </c>
      <c r="AH1104" s="230">
        <v>4001779.6542056487</v>
      </c>
      <c r="AI1104" s="230">
        <v>4647.8999999999996</v>
      </c>
    </row>
    <row r="1105" spans="5:35" x14ac:dyDescent="0.35">
      <c r="E1105" s="226">
        <v>3.6838400000000004</v>
      </c>
      <c r="F1105" s="227">
        <v>17.921819178082192</v>
      </c>
      <c r="G1105" s="227">
        <v>6541.4639999999999</v>
      </c>
      <c r="H1105" s="227">
        <v>0.98260000000000003</v>
      </c>
      <c r="I1105" s="227">
        <v>4.3798000000000004</v>
      </c>
      <c r="J1105" s="227">
        <v>0.58528568391194402</v>
      </c>
      <c r="K1105" s="227">
        <v>131.74</v>
      </c>
      <c r="L1105" s="227">
        <v>132.28</v>
      </c>
      <c r="M1105" s="227">
        <v>129.5</v>
      </c>
      <c r="N1105" s="227">
        <v>91.313999999999993</v>
      </c>
      <c r="O1105" s="227">
        <v>97.703000000000003</v>
      </c>
      <c r="P1105" s="227">
        <v>113.2</v>
      </c>
      <c r="Q1105" s="227">
        <v>105.59</v>
      </c>
      <c r="R1105" s="227">
        <v>110.37</v>
      </c>
      <c r="S1105" s="227"/>
      <c r="T1105" s="227">
        <v>79.5</v>
      </c>
      <c r="U1105" s="227">
        <v>79.5</v>
      </c>
      <c r="V1105" s="227">
        <v>79.5</v>
      </c>
      <c r="W1105" s="227">
        <v>79.5</v>
      </c>
      <c r="X1105" s="227">
        <v>79.5</v>
      </c>
      <c r="Y1105" s="227">
        <v>79.5</v>
      </c>
      <c r="Z1105" s="227">
        <v>79.5</v>
      </c>
      <c r="AA1105" s="227">
        <v>79.5</v>
      </c>
      <c r="AB1105" s="227">
        <v>11.054</v>
      </c>
      <c r="AC1105" s="227">
        <v>774.65</v>
      </c>
      <c r="AD1105" s="230">
        <v>1.2793981481481481E-4</v>
      </c>
      <c r="AE1105" s="230">
        <v>66.323999999999998</v>
      </c>
      <c r="AF1105" s="230">
        <v>3816</v>
      </c>
      <c r="AG1105" s="230">
        <v>505686.83089991967</v>
      </c>
      <c r="AH1105" s="230">
        <v>4005595.6542056487</v>
      </c>
      <c r="AI1105" s="230">
        <v>4647.8999999999996</v>
      </c>
    </row>
    <row r="1106" spans="5:35" x14ac:dyDescent="0.35">
      <c r="E1106" s="226">
        <v>3.68784</v>
      </c>
      <c r="F1106" s="227">
        <v>17.938257534246574</v>
      </c>
      <c r="G1106" s="227">
        <v>6547.4639999999999</v>
      </c>
      <c r="H1106" s="227">
        <v>0.98270000000000002</v>
      </c>
      <c r="I1106" s="227">
        <v>4.3837999999999999</v>
      </c>
      <c r="J1106" s="227">
        <v>0.58536231585638854</v>
      </c>
      <c r="K1106" s="227">
        <v>131.72</v>
      </c>
      <c r="L1106" s="227">
        <v>132.27000000000001</v>
      </c>
      <c r="M1106" s="227">
        <v>129.47999999999999</v>
      </c>
      <c r="N1106" s="227">
        <v>91.307000000000002</v>
      </c>
      <c r="O1106" s="227">
        <v>97.694999999999993</v>
      </c>
      <c r="P1106" s="227">
        <v>113.19</v>
      </c>
      <c r="Q1106" s="227">
        <v>105.58</v>
      </c>
      <c r="R1106" s="227">
        <v>110.37</v>
      </c>
      <c r="S1106" s="227"/>
      <c r="T1106" s="227">
        <v>79.5</v>
      </c>
      <c r="U1106" s="227">
        <v>79.5</v>
      </c>
      <c r="V1106" s="227">
        <v>79.5</v>
      </c>
      <c r="W1106" s="227">
        <v>79.5</v>
      </c>
      <c r="X1106" s="227">
        <v>79.5</v>
      </c>
      <c r="Y1106" s="227">
        <v>79.5</v>
      </c>
      <c r="Z1106" s="227">
        <v>79.5</v>
      </c>
      <c r="AA1106" s="227">
        <v>79.5</v>
      </c>
      <c r="AB1106" s="227">
        <v>11.035</v>
      </c>
      <c r="AC1106" s="227">
        <v>774.65</v>
      </c>
      <c r="AD1106" s="230">
        <v>1.2771990740740742E-4</v>
      </c>
      <c r="AE1106" s="230">
        <v>66.210000000000008</v>
      </c>
      <c r="AF1106" s="230">
        <v>3816</v>
      </c>
      <c r="AG1106" s="230">
        <v>505753.0408999197</v>
      </c>
      <c r="AH1106" s="230">
        <v>4009411.6542056487</v>
      </c>
      <c r="AI1106" s="230">
        <v>4647.8999999999996</v>
      </c>
    </row>
    <row r="1107" spans="5:35" x14ac:dyDescent="0.35">
      <c r="E1107" s="226">
        <v>3.6918400000000005</v>
      </c>
      <c r="F1107" s="227">
        <v>17.95469589041096</v>
      </c>
      <c r="G1107" s="227">
        <v>6553.4639999999999</v>
      </c>
      <c r="H1107" s="227">
        <v>0.98270000000000002</v>
      </c>
      <c r="I1107" s="227">
        <v>4.3878000000000004</v>
      </c>
      <c r="J1107" s="227">
        <v>0.58543881585638857</v>
      </c>
      <c r="K1107" s="227">
        <v>131.69999999999999</v>
      </c>
      <c r="L1107" s="227">
        <v>132.26</v>
      </c>
      <c r="M1107" s="227">
        <v>129.47</v>
      </c>
      <c r="N1107" s="227">
        <v>91.299000000000007</v>
      </c>
      <c r="O1107" s="227">
        <v>97.688999999999993</v>
      </c>
      <c r="P1107" s="227">
        <v>113.18</v>
      </c>
      <c r="Q1107" s="227">
        <v>105.58</v>
      </c>
      <c r="R1107" s="227">
        <v>110.36</v>
      </c>
      <c r="S1107" s="227"/>
      <c r="T1107" s="227">
        <v>79.5</v>
      </c>
      <c r="U1107" s="227">
        <v>79.5</v>
      </c>
      <c r="V1107" s="227">
        <v>79.5</v>
      </c>
      <c r="W1107" s="227">
        <v>79.5</v>
      </c>
      <c r="X1107" s="227">
        <v>79.5</v>
      </c>
      <c r="Y1107" s="227">
        <v>79.5</v>
      </c>
      <c r="Z1107" s="227">
        <v>79.5</v>
      </c>
      <c r="AA1107" s="227">
        <v>79.5</v>
      </c>
      <c r="AB1107" s="227">
        <v>11.016</v>
      </c>
      <c r="AC1107" s="227">
        <v>774.65</v>
      </c>
      <c r="AD1107" s="230">
        <v>1.2750000000000001E-4</v>
      </c>
      <c r="AE1107" s="230">
        <v>66.096000000000004</v>
      </c>
      <c r="AF1107" s="230">
        <v>3816</v>
      </c>
      <c r="AG1107" s="230">
        <v>505819.13689991971</v>
      </c>
      <c r="AH1107" s="230">
        <v>4013227.6542056487</v>
      </c>
      <c r="AI1107" s="230">
        <v>4647.8999999999996</v>
      </c>
    </row>
    <row r="1108" spans="5:35" x14ac:dyDescent="0.35">
      <c r="E1108" s="226">
        <v>3.69584</v>
      </c>
      <c r="F1108" s="227">
        <v>17.971134246575343</v>
      </c>
      <c r="G1108" s="227">
        <v>6559.4639999999999</v>
      </c>
      <c r="H1108" s="227">
        <v>0.98270000000000002</v>
      </c>
      <c r="I1108" s="227">
        <v>4.3917999999999999</v>
      </c>
      <c r="J1108" s="227">
        <v>0.58551517696749966</v>
      </c>
      <c r="K1108" s="227">
        <v>131.69</v>
      </c>
      <c r="L1108" s="227">
        <v>132.24</v>
      </c>
      <c r="M1108" s="227">
        <v>129.44999999999999</v>
      </c>
      <c r="N1108" s="227">
        <v>91.290999999999997</v>
      </c>
      <c r="O1108" s="227">
        <v>97.682000000000002</v>
      </c>
      <c r="P1108" s="227">
        <v>113.17</v>
      </c>
      <c r="Q1108" s="227">
        <v>105.57</v>
      </c>
      <c r="R1108" s="227">
        <v>110.35</v>
      </c>
      <c r="S1108" s="227"/>
      <c r="T1108" s="227">
        <v>79.5</v>
      </c>
      <c r="U1108" s="227">
        <v>79.5</v>
      </c>
      <c r="V1108" s="227">
        <v>79.5</v>
      </c>
      <c r="W1108" s="227">
        <v>79.5</v>
      </c>
      <c r="X1108" s="227">
        <v>79.5</v>
      </c>
      <c r="Y1108" s="227">
        <v>79.5</v>
      </c>
      <c r="Z1108" s="227">
        <v>79.5</v>
      </c>
      <c r="AA1108" s="227">
        <v>79.5</v>
      </c>
      <c r="AB1108" s="227">
        <v>10.996</v>
      </c>
      <c r="AC1108" s="227">
        <v>774.65</v>
      </c>
      <c r="AD1108" s="230">
        <v>1.2726851851851853E-4</v>
      </c>
      <c r="AE1108" s="230">
        <v>65.975999999999999</v>
      </c>
      <c r="AF1108" s="230">
        <v>3816</v>
      </c>
      <c r="AG1108" s="230">
        <v>505885.11289991974</v>
      </c>
      <c r="AH1108" s="230">
        <v>4017043.6542056487</v>
      </c>
      <c r="AI1108" s="230">
        <v>4647.8999999999996</v>
      </c>
    </row>
    <row r="1109" spans="5:35" x14ac:dyDescent="0.35">
      <c r="E1109" s="226">
        <v>3.6998400000000005</v>
      </c>
      <c r="F1109" s="227">
        <v>17.987572602739725</v>
      </c>
      <c r="G1109" s="227">
        <v>6565.4639999999999</v>
      </c>
      <c r="H1109" s="227">
        <v>0.98270000000000002</v>
      </c>
      <c r="I1109" s="227">
        <v>4.3958000000000004</v>
      </c>
      <c r="J1109" s="227">
        <v>0.58559140613416638</v>
      </c>
      <c r="K1109" s="227">
        <v>131.66999999999999</v>
      </c>
      <c r="L1109" s="227">
        <v>132.22999999999999</v>
      </c>
      <c r="M1109" s="227">
        <v>129.44</v>
      </c>
      <c r="N1109" s="227">
        <v>91.284000000000006</v>
      </c>
      <c r="O1109" s="227">
        <v>97.674999999999997</v>
      </c>
      <c r="P1109" s="227">
        <v>113.16</v>
      </c>
      <c r="Q1109" s="227">
        <v>105.57</v>
      </c>
      <c r="R1109" s="227">
        <v>110.34</v>
      </c>
      <c r="S1109" s="227"/>
      <c r="T1109" s="227">
        <v>79.5</v>
      </c>
      <c r="U1109" s="227">
        <v>79.5</v>
      </c>
      <c r="V1109" s="227">
        <v>79.5</v>
      </c>
      <c r="W1109" s="227">
        <v>79.5</v>
      </c>
      <c r="X1109" s="227">
        <v>79.5</v>
      </c>
      <c r="Y1109" s="227">
        <v>79.5</v>
      </c>
      <c r="Z1109" s="227">
        <v>79.5</v>
      </c>
      <c r="AA1109" s="227">
        <v>79.5</v>
      </c>
      <c r="AB1109" s="227">
        <v>10.977</v>
      </c>
      <c r="AC1109" s="227">
        <v>774.65</v>
      </c>
      <c r="AD1109" s="230">
        <v>1.2704861111111112E-4</v>
      </c>
      <c r="AE1109" s="230">
        <v>65.862000000000009</v>
      </c>
      <c r="AF1109" s="230">
        <v>3816</v>
      </c>
      <c r="AG1109" s="230">
        <v>505950.97489991976</v>
      </c>
      <c r="AH1109" s="230">
        <v>4020859.6542056487</v>
      </c>
      <c r="AI1109" s="230">
        <v>4647.8999999999996</v>
      </c>
    </row>
    <row r="1110" spans="5:35" x14ac:dyDescent="0.35">
      <c r="E1110" s="226">
        <v>3.70384</v>
      </c>
      <c r="F1110" s="227">
        <v>18.004010958904111</v>
      </c>
      <c r="G1110" s="227">
        <v>6571.4639999999999</v>
      </c>
      <c r="H1110" s="227">
        <v>0.98280000000000001</v>
      </c>
      <c r="I1110" s="227">
        <v>4.3997999999999999</v>
      </c>
      <c r="J1110" s="227">
        <v>0.58566750335638862</v>
      </c>
      <c r="K1110" s="227">
        <v>131.66</v>
      </c>
      <c r="L1110" s="227">
        <v>132.22</v>
      </c>
      <c r="M1110" s="227">
        <v>129.43</v>
      </c>
      <c r="N1110" s="227">
        <v>91.275999999999996</v>
      </c>
      <c r="O1110" s="227">
        <v>97.668999999999997</v>
      </c>
      <c r="P1110" s="227">
        <v>113.15</v>
      </c>
      <c r="Q1110" s="227">
        <v>105.56</v>
      </c>
      <c r="R1110" s="227">
        <v>110.34</v>
      </c>
      <c r="S1110" s="227"/>
      <c r="T1110" s="227">
        <v>79.5</v>
      </c>
      <c r="U1110" s="227">
        <v>79.5</v>
      </c>
      <c r="V1110" s="227">
        <v>79.5</v>
      </c>
      <c r="W1110" s="227">
        <v>79.5</v>
      </c>
      <c r="X1110" s="227">
        <v>79.5</v>
      </c>
      <c r="Y1110" s="227">
        <v>79.5</v>
      </c>
      <c r="Z1110" s="227">
        <v>79.5</v>
      </c>
      <c r="AA1110" s="227">
        <v>79.5</v>
      </c>
      <c r="AB1110" s="227">
        <v>10.958</v>
      </c>
      <c r="AC1110" s="227">
        <v>774.65</v>
      </c>
      <c r="AD1110" s="230">
        <v>1.2682870370370371E-4</v>
      </c>
      <c r="AE1110" s="230">
        <v>65.748000000000005</v>
      </c>
      <c r="AF1110" s="230">
        <v>3816</v>
      </c>
      <c r="AG1110" s="230">
        <v>506016.72289991978</v>
      </c>
      <c r="AH1110" s="230">
        <v>4024675.6542056487</v>
      </c>
      <c r="AI1110" s="230">
        <v>4647.8999999999996</v>
      </c>
    </row>
    <row r="1111" spans="5:35" x14ac:dyDescent="0.35">
      <c r="E1111" s="226">
        <v>3.7079400000000002</v>
      </c>
      <c r="F1111" s="227">
        <v>18.020449315068493</v>
      </c>
      <c r="G1111" s="227">
        <v>6577.4639999999999</v>
      </c>
      <c r="H1111" s="227">
        <v>0.98280000000000001</v>
      </c>
      <c r="I1111" s="227">
        <v>4.4039000000000001</v>
      </c>
      <c r="J1111" s="227">
        <v>0.58574346863416649</v>
      </c>
      <c r="K1111" s="227">
        <v>131.63999999999999</v>
      </c>
      <c r="L1111" s="227">
        <v>132.21</v>
      </c>
      <c r="M1111" s="227">
        <v>129.41</v>
      </c>
      <c r="N1111" s="227">
        <v>91.269000000000005</v>
      </c>
      <c r="O1111" s="227">
        <v>97.662000000000006</v>
      </c>
      <c r="P1111" s="227">
        <v>113.14</v>
      </c>
      <c r="Q1111" s="227">
        <v>105.56</v>
      </c>
      <c r="R1111" s="227">
        <v>110.33</v>
      </c>
      <c r="S1111" s="227"/>
      <c r="T1111" s="227">
        <v>79.5</v>
      </c>
      <c r="U1111" s="227">
        <v>79.5</v>
      </c>
      <c r="V1111" s="227">
        <v>79.5</v>
      </c>
      <c r="W1111" s="227">
        <v>79.5</v>
      </c>
      <c r="X1111" s="227">
        <v>79.5</v>
      </c>
      <c r="Y1111" s="227">
        <v>79.5</v>
      </c>
      <c r="Z1111" s="227">
        <v>79.5</v>
      </c>
      <c r="AA1111" s="227">
        <v>79.5</v>
      </c>
      <c r="AB1111" s="227">
        <v>10.939</v>
      </c>
      <c r="AC1111" s="227">
        <v>774.65</v>
      </c>
      <c r="AD1111" s="230">
        <v>1.2660879629629629E-4</v>
      </c>
      <c r="AE1111" s="230">
        <v>65.634</v>
      </c>
      <c r="AF1111" s="230">
        <v>3816</v>
      </c>
      <c r="AG1111" s="230">
        <v>506082.3568999198</v>
      </c>
      <c r="AH1111" s="230">
        <v>4028491.6542056487</v>
      </c>
      <c r="AI1111" s="230">
        <v>4647.8999999999996</v>
      </c>
    </row>
    <row r="1112" spans="5:35" x14ac:dyDescent="0.35">
      <c r="E1112" s="226">
        <v>3.7119399999999998</v>
      </c>
      <c r="F1112" s="227">
        <v>18.036887671232876</v>
      </c>
      <c r="G1112" s="227">
        <v>6583.4639999999999</v>
      </c>
      <c r="H1112" s="227">
        <v>0.98280000000000001</v>
      </c>
      <c r="I1112" s="227">
        <v>4.4078999999999997</v>
      </c>
      <c r="J1112" s="227">
        <v>0.58581930196749976</v>
      </c>
      <c r="K1112" s="227">
        <v>131.63</v>
      </c>
      <c r="L1112" s="227">
        <v>132.19999999999999</v>
      </c>
      <c r="M1112" s="227">
        <v>129.4</v>
      </c>
      <c r="N1112" s="227">
        <v>91.260999999999996</v>
      </c>
      <c r="O1112" s="227">
        <v>97.656000000000006</v>
      </c>
      <c r="P1112" s="227">
        <v>113.13</v>
      </c>
      <c r="Q1112" s="227">
        <v>105.55</v>
      </c>
      <c r="R1112" s="227">
        <v>110.32</v>
      </c>
      <c r="S1112" s="227"/>
      <c r="T1112" s="227">
        <v>79.5</v>
      </c>
      <c r="U1112" s="227">
        <v>79.5</v>
      </c>
      <c r="V1112" s="227">
        <v>79.5</v>
      </c>
      <c r="W1112" s="227">
        <v>79.5</v>
      </c>
      <c r="X1112" s="227">
        <v>79.5</v>
      </c>
      <c r="Y1112" s="227">
        <v>79.5</v>
      </c>
      <c r="Z1112" s="227">
        <v>79.5</v>
      </c>
      <c r="AA1112" s="227">
        <v>79.5</v>
      </c>
      <c r="AB1112" s="227">
        <v>10.92</v>
      </c>
      <c r="AC1112" s="227">
        <v>774.65</v>
      </c>
      <c r="AD1112" s="230">
        <v>1.2638888888888888E-4</v>
      </c>
      <c r="AE1112" s="230">
        <v>65.52</v>
      </c>
      <c r="AF1112" s="230">
        <v>3816</v>
      </c>
      <c r="AG1112" s="230">
        <v>506147.87689991982</v>
      </c>
      <c r="AH1112" s="230">
        <v>4032307.6542056487</v>
      </c>
      <c r="AI1112" s="230">
        <v>4647.8999999999996</v>
      </c>
    </row>
    <row r="1113" spans="5:35" x14ac:dyDescent="0.35">
      <c r="E1113" s="226">
        <v>3.7159400000000002</v>
      </c>
      <c r="F1113" s="227">
        <v>18.053326027397262</v>
      </c>
      <c r="G1113" s="227">
        <v>6589.4639999999999</v>
      </c>
      <c r="H1113" s="227">
        <v>0.9829</v>
      </c>
      <c r="I1113" s="227">
        <v>4.4119000000000002</v>
      </c>
      <c r="J1113" s="227">
        <v>0.58589500335638867</v>
      </c>
      <c r="K1113" s="227">
        <v>131.61000000000001</v>
      </c>
      <c r="L1113" s="227">
        <v>132.18</v>
      </c>
      <c r="M1113" s="227">
        <v>129.38</v>
      </c>
      <c r="N1113" s="227">
        <v>91.254000000000005</v>
      </c>
      <c r="O1113" s="227">
        <v>97.649000000000001</v>
      </c>
      <c r="P1113" s="227">
        <v>113.12</v>
      </c>
      <c r="Q1113" s="227">
        <v>105.54</v>
      </c>
      <c r="R1113" s="227">
        <v>110.32</v>
      </c>
      <c r="S1113" s="227"/>
      <c r="T1113" s="227">
        <v>79.5</v>
      </c>
      <c r="U1113" s="227">
        <v>79.5</v>
      </c>
      <c r="V1113" s="227">
        <v>79.5</v>
      </c>
      <c r="W1113" s="227">
        <v>79.5</v>
      </c>
      <c r="X1113" s="227">
        <v>79.5</v>
      </c>
      <c r="Y1113" s="227">
        <v>79.5</v>
      </c>
      <c r="Z1113" s="227">
        <v>79.5</v>
      </c>
      <c r="AA1113" s="227">
        <v>79.5</v>
      </c>
      <c r="AB1113" s="227">
        <v>10.901</v>
      </c>
      <c r="AC1113" s="227">
        <v>774.65</v>
      </c>
      <c r="AD1113" s="230">
        <v>1.2616898148148147E-4</v>
      </c>
      <c r="AE1113" s="230">
        <v>65.406000000000006</v>
      </c>
      <c r="AF1113" s="230">
        <v>3816</v>
      </c>
      <c r="AG1113" s="230">
        <v>506213.28289991984</v>
      </c>
      <c r="AH1113" s="230">
        <v>4036123.6542056487</v>
      </c>
      <c r="AI1113" s="230">
        <v>4647.8999999999996</v>
      </c>
    </row>
    <row r="1114" spans="5:35" x14ac:dyDescent="0.35">
      <c r="E1114" s="226">
        <v>3.7199399999999998</v>
      </c>
      <c r="F1114" s="227">
        <v>18.069764383561644</v>
      </c>
      <c r="G1114" s="227">
        <v>6595.4639999999999</v>
      </c>
      <c r="H1114" s="227">
        <v>0.9829</v>
      </c>
      <c r="I1114" s="227">
        <v>4.4158999999999997</v>
      </c>
      <c r="J1114" s="227">
        <v>0.5859705728008332</v>
      </c>
      <c r="K1114" s="227">
        <v>131.6</v>
      </c>
      <c r="L1114" s="227">
        <v>132.16999999999999</v>
      </c>
      <c r="M1114" s="227">
        <v>129.37</v>
      </c>
      <c r="N1114" s="227">
        <v>91.245999999999995</v>
      </c>
      <c r="O1114" s="227">
        <v>97.643000000000001</v>
      </c>
      <c r="P1114" s="227">
        <v>113.11</v>
      </c>
      <c r="Q1114" s="227">
        <v>105.54</v>
      </c>
      <c r="R1114" s="227">
        <v>110.31</v>
      </c>
      <c r="S1114" s="227"/>
      <c r="T1114" s="227">
        <v>79.5</v>
      </c>
      <c r="U1114" s="227">
        <v>79.5</v>
      </c>
      <c r="V1114" s="227">
        <v>79.5</v>
      </c>
      <c r="W1114" s="227">
        <v>79.5</v>
      </c>
      <c r="X1114" s="227">
        <v>79.5</v>
      </c>
      <c r="Y1114" s="227">
        <v>79.5</v>
      </c>
      <c r="Z1114" s="227">
        <v>79.5</v>
      </c>
      <c r="AA1114" s="227">
        <v>79.5</v>
      </c>
      <c r="AB1114" s="227">
        <v>10.882</v>
      </c>
      <c r="AC1114" s="227">
        <v>774.65</v>
      </c>
      <c r="AD1114" s="230">
        <v>1.2594907407407406E-4</v>
      </c>
      <c r="AE1114" s="230">
        <v>65.291999999999987</v>
      </c>
      <c r="AF1114" s="230">
        <v>3816</v>
      </c>
      <c r="AG1114" s="230">
        <v>506278.57489991985</v>
      </c>
      <c r="AH1114" s="230">
        <v>4039939.6542056487</v>
      </c>
      <c r="AI1114" s="230">
        <v>4647.8999999999996</v>
      </c>
    </row>
    <row r="1115" spans="5:35" x14ac:dyDescent="0.35">
      <c r="E1115" s="226">
        <v>3.7239400000000002</v>
      </c>
      <c r="F1115" s="227">
        <v>18.086202739726026</v>
      </c>
      <c r="G1115" s="227">
        <v>6601.4639999999999</v>
      </c>
      <c r="H1115" s="227">
        <v>0.9829</v>
      </c>
      <c r="I1115" s="227">
        <v>4.4199000000000002</v>
      </c>
      <c r="J1115" s="227">
        <v>0.58604601030083314</v>
      </c>
      <c r="K1115" s="227">
        <v>131.58000000000001</v>
      </c>
      <c r="L1115" s="227">
        <v>132.16</v>
      </c>
      <c r="M1115" s="227">
        <v>129.36000000000001</v>
      </c>
      <c r="N1115" s="227">
        <v>91.239000000000004</v>
      </c>
      <c r="O1115" s="227">
        <v>97.635999999999996</v>
      </c>
      <c r="P1115" s="227">
        <v>113.1</v>
      </c>
      <c r="Q1115" s="227">
        <v>105.53</v>
      </c>
      <c r="R1115" s="227">
        <v>110.3</v>
      </c>
      <c r="S1115" s="227"/>
      <c r="T1115" s="227">
        <v>79.5</v>
      </c>
      <c r="U1115" s="227">
        <v>79.5</v>
      </c>
      <c r="V1115" s="227">
        <v>79.5</v>
      </c>
      <c r="W1115" s="227">
        <v>79.5</v>
      </c>
      <c r="X1115" s="227">
        <v>79.5</v>
      </c>
      <c r="Y1115" s="227">
        <v>79.5</v>
      </c>
      <c r="Z1115" s="227">
        <v>79.5</v>
      </c>
      <c r="AA1115" s="227">
        <v>79.5</v>
      </c>
      <c r="AB1115" s="227">
        <v>10.863</v>
      </c>
      <c r="AC1115" s="227">
        <v>774.65</v>
      </c>
      <c r="AD1115" s="230">
        <v>1.2572916666666665E-4</v>
      </c>
      <c r="AE1115" s="230">
        <v>65.177999999999983</v>
      </c>
      <c r="AF1115" s="230">
        <v>3816</v>
      </c>
      <c r="AG1115" s="230">
        <v>506343.75289991987</v>
      </c>
      <c r="AH1115" s="230">
        <v>4043755.6542056487</v>
      </c>
      <c r="AI1115" s="230">
        <v>4647.8999999999996</v>
      </c>
    </row>
    <row r="1116" spans="5:35" x14ac:dyDescent="0.35">
      <c r="E1116" s="226">
        <v>3.7279399999999998</v>
      </c>
      <c r="F1116" s="227">
        <v>18.102641095890412</v>
      </c>
      <c r="G1116" s="227">
        <v>6607.4639999999999</v>
      </c>
      <c r="H1116" s="227">
        <v>0.98299999999999998</v>
      </c>
      <c r="I1116" s="227">
        <v>4.4238999999999997</v>
      </c>
      <c r="J1116" s="227">
        <v>0.58612131585638871</v>
      </c>
      <c r="K1116" s="227">
        <v>131.56</v>
      </c>
      <c r="L1116" s="227">
        <v>132.15</v>
      </c>
      <c r="M1116" s="227">
        <v>129.34</v>
      </c>
      <c r="N1116" s="227">
        <v>91.230999999999995</v>
      </c>
      <c r="O1116" s="227">
        <v>97.63</v>
      </c>
      <c r="P1116" s="227">
        <v>113.09</v>
      </c>
      <c r="Q1116" s="227">
        <v>105.53</v>
      </c>
      <c r="R1116" s="227">
        <v>110.3</v>
      </c>
      <c r="S1116" s="227"/>
      <c r="T1116" s="227">
        <v>79.5</v>
      </c>
      <c r="U1116" s="227">
        <v>79.5</v>
      </c>
      <c r="V1116" s="227">
        <v>79.5</v>
      </c>
      <c r="W1116" s="227">
        <v>79.5</v>
      </c>
      <c r="X1116" s="227">
        <v>79.5</v>
      </c>
      <c r="Y1116" s="227">
        <v>79.5</v>
      </c>
      <c r="Z1116" s="227">
        <v>79.5</v>
      </c>
      <c r="AA1116" s="227">
        <v>79.5</v>
      </c>
      <c r="AB1116" s="227">
        <v>10.843999999999999</v>
      </c>
      <c r="AC1116" s="227">
        <v>774.65</v>
      </c>
      <c r="AD1116" s="230">
        <v>1.2550925925925926E-4</v>
      </c>
      <c r="AE1116" s="230">
        <v>65.064000000000007</v>
      </c>
      <c r="AF1116" s="230">
        <v>3816</v>
      </c>
      <c r="AG1116" s="230">
        <v>506408.81689991988</v>
      </c>
      <c r="AH1116" s="230">
        <v>4047571.6542056487</v>
      </c>
      <c r="AI1116" s="230">
        <v>4647.8999999999996</v>
      </c>
    </row>
    <row r="1117" spans="5:35" x14ac:dyDescent="0.35">
      <c r="E1117" s="226">
        <v>3.73204</v>
      </c>
      <c r="F1117" s="227">
        <v>18.119079452054795</v>
      </c>
      <c r="G1117" s="227">
        <v>6613.4639999999999</v>
      </c>
      <c r="H1117" s="227">
        <v>0.98299999999999998</v>
      </c>
      <c r="I1117" s="227">
        <v>4.4279999999999999</v>
      </c>
      <c r="J1117" s="227">
        <v>0.58619648946749991</v>
      </c>
      <c r="K1117" s="227">
        <v>131.55000000000001</v>
      </c>
      <c r="L1117" s="227">
        <v>132.13999999999999</v>
      </c>
      <c r="M1117" s="227">
        <v>129.33000000000001</v>
      </c>
      <c r="N1117" s="227">
        <v>91.224000000000004</v>
      </c>
      <c r="O1117" s="227">
        <v>97.623000000000005</v>
      </c>
      <c r="P1117" s="227">
        <v>113.08</v>
      </c>
      <c r="Q1117" s="227">
        <v>105.52</v>
      </c>
      <c r="R1117" s="227">
        <v>110.29</v>
      </c>
      <c r="S1117" s="227"/>
      <c r="T1117" s="227">
        <v>79.5</v>
      </c>
      <c r="U1117" s="227">
        <v>79.5</v>
      </c>
      <c r="V1117" s="227">
        <v>79.5</v>
      </c>
      <c r="W1117" s="227">
        <v>79.5</v>
      </c>
      <c r="X1117" s="227">
        <v>79.5</v>
      </c>
      <c r="Y1117" s="227">
        <v>79.5</v>
      </c>
      <c r="Z1117" s="227">
        <v>79.5</v>
      </c>
      <c r="AA1117" s="227">
        <v>79.5</v>
      </c>
      <c r="AB1117" s="227">
        <v>10.824999999999999</v>
      </c>
      <c r="AC1117" s="227">
        <v>774.65</v>
      </c>
      <c r="AD1117" s="230">
        <v>1.2528935185185185E-4</v>
      </c>
      <c r="AE1117" s="230">
        <v>64.95</v>
      </c>
      <c r="AF1117" s="230">
        <v>3816</v>
      </c>
      <c r="AG1117" s="230">
        <v>506473.76689991989</v>
      </c>
      <c r="AH1117" s="230">
        <v>4051387.6542056487</v>
      </c>
      <c r="AI1117" s="230">
        <v>4647.8999999999996</v>
      </c>
    </row>
    <row r="1118" spans="5:35" x14ac:dyDescent="0.35">
      <c r="E1118" s="226">
        <v>3.7360400000000005</v>
      </c>
      <c r="F1118" s="227">
        <v>18.135517808219177</v>
      </c>
      <c r="G1118" s="227">
        <v>6619.4639999999999</v>
      </c>
      <c r="H1118" s="227">
        <v>0.98299999999999998</v>
      </c>
      <c r="I1118" s="227">
        <v>4.4320000000000004</v>
      </c>
      <c r="J1118" s="227">
        <v>0.58627153113416652</v>
      </c>
      <c r="K1118" s="227">
        <v>131.53</v>
      </c>
      <c r="L1118" s="227">
        <v>132.13</v>
      </c>
      <c r="M1118" s="227">
        <v>129.31</v>
      </c>
      <c r="N1118" s="227">
        <v>91.215999999999994</v>
      </c>
      <c r="O1118" s="227">
        <v>97.617000000000004</v>
      </c>
      <c r="P1118" s="227">
        <v>113.07</v>
      </c>
      <c r="Q1118" s="227">
        <v>105.52</v>
      </c>
      <c r="R1118" s="227">
        <v>110.28</v>
      </c>
      <c r="S1118" s="227"/>
      <c r="T1118" s="227">
        <v>79.5</v>
      </c>
      <c r="U1118" s="227">
        <v>79.5</v>
      </c>
      <c r="V1118" s="227">
        <v>79.5</v>
      </c>
      <c r="W1118" s="227">
        <v>79.5</v>
      </c>
      <c r="X1118" s="227">
        <v>79.5</v>
      </c>
      <c r="Y1118" s="227">
        <v>79.5</v>
      </c>
      <c r="Z1118" s="227">
        <v>79.5</v>
      </c>
      <c r="AA1118" s="227">
        <v>79.5</v>
      </c>
      <c r="AB1118" s="227">
        <v>10.805999999999999</v>
      </c>
      <c r="AC1118" s="227">
        <v>774.65</v>
      </c>
      <c r="AD1118" s="230">
        <v>1.2506944444444444E-4</v>
      </c>
      <c r="AE1118" s="230">
        <v>64.835999999999999</v>
      </c>
      <c r="AF1118" s="230">
        <v>3816</v>
      </c>
      <c r="AG1118" s="230">
        <v>506538.6028999199</v>
      </c>
      <c r="AH1118" s="230">
        <v>4055203.6542056487</v>
      </c>
      <c r="AI1118" s="230">
        <v>4647.8999999999996</v>
      </c>
    </row>
    <row r="1119" spans="5:35" x14ac:dyDescent="0.35">
      <c r="E1119" s="226">
        <v>3.74004</v>
      </c>
      <c r="F1119" s="227">
        <v>18.151956164383563</v>
      </c>
      <c r="G1119" s="227">
        <v>6625.4639999999999</v>
      </c>
      <c r="H1119" s="227">
        <v>0.98299999999999998</v>
      </c>
      <c r="I1119" s="227">
        <v>4.4359999999999999</v>
      </c>
      <c r="J1119" s="227">
        <v>0.58634644780083323</v>
      </c>
      <c r="K1119" s="227">
        <v>131.52000000000001</v>
      </c>
      <c r="L1119" s="227">
        <v>132.12</v>
      </c>
      <c r="M1119" s="227">
        <v>129.30000000000001</v>
      </c>
      <c r="N1119" s="227">
        <v>91.209000000000003</v>
      </c>
      <c r="O1119" s="227">
        <v>97.611000000000004</v>
      </c>
      <c r="P1119" s="227">
        <v>113.07</v>
      </c>
      <c r="Q1119" s="227">
        <v>105.51</v>
      </c>
      <c r="R1119" s="227">
        <v>110.28</v>
      </c>
      <c r="S1119" s="227"/>
      <c r="T1119" s="227">
        <v>79.5</v>
      </c>
      <c r="U1119" s="227">
        <v>79.5</v>
      </c>
      <c r="V1119" s="227">
        <v>79.5</v>
      </c>
      <c r="W1119" s="227">
        <v>79.5</v>
      </c>
      <c r="X1119" s="227">
        <v>79.5</v>
      </c>
      <c r="Y1119" s="227">
        <v>79.5</v>
      </c>
      <c r="Z1119" s="227">
        <v>79.5</v>
      </c>
      <c r="AA1119" s="227">
        <v>79.5</v>
      </c>
      <c r="AB1119" s="227">
        <v>10.788</v>
      </c>
      <c r="AC1119" s="227">
        <v>774.65</v>
      </c>
      <c r="AD1119" s="230">
        <v>1.2486111111111113E-4</v>
      </c>
      <c r="AE1119" s="230">
        <v>64.728000000000009</v>
      </c>
      <c r="AF1119" s="230">
        <v>3816</v>
      </c>
      <c r="AG1119" s="230">
        <v>506603.33089991991</v>
      </c>
      <c r="AH1119" s="230">
        <v>4059019.6542056487</v>
      </c>
      <c r="AI1119" s="230">
        <v>4647.8999999999996</v>
      </c>
    </row>
    <row r="1120" spans="5:35" x14ac:dyDescent="0.35">
      <c r="E1120" s="226">
        <v>3.7440400000000005</v>
      </c>
      <c r="F1120" s="227">
        <v>18.168394520547945</v>
      </c>
      <c r="G1120" s="227">
        <v>6631.4639999999999</v>
      </c>
      <c r="H1120" s="227">
        <v>0.98309999999999997</v>
      </c>
      <c r="I1120" s="227">
        <v>4.4400000000000004</v>
      </c>
      <c r="J1120" s="227">
        <v>0.58642123252305545</v>
      </c>
      <c r="K1120" s="227">
        <v>131.5</v>
      </c>
      <c r="L1120" s="227">
        <v>132.1</v>
      </c>
      <c r="M1120" s="227">
        <v>129.29</v>
      </c>
      <c r="N1120" s="227">
        <v>91.201999999999998</v>
      </c>
      <c r="O1120" s="227">
        <v>97.603999999999999</v>
      </c>
      <c r="P1120" s="227">
        <v>113.06</v>
      </c>
      <c r="Q1120" s="227">
        <v>105.5</v>
      </c>
      <c r="R1120" s="227">
        <v>110.27</v>
      </c>
      <c r="S1120" s="227"/>
      <c r="T1120" s="227">
        <v>79.5</v>
      </c>
      <c r="U1120" s="227">
        <v>79.5</v>
      </c>
      <c r="V1120" s="227">
        <v>79.5</v>
      </c>
      <c r="W1120" s="227">
        <v>79.5</v>
      </c>
      <c r="X1120" s="227">
        <v>79.5</v>
      </c>
      <c r="Y1120" s="227">
        <v>79.5</v>
      </c>
      <c r="Z1120" s="227">
        <v>79.5</v>
      </c>
      <c r="AA1120" s="227">
        <v>79.5</v>
      </c>
      <c r="AB1120" s="227">
        <v>10.769</v>
      </c>
      <c r="AC1120" s="227">
        <v>774.65</v>
      </c>
      <c r="AD1120" s="230">
        <v>1.2464120370370371E-4</v>
      </c>
      <c r="AE1120" s="230">
        <v>64.614000000000004</v>
      </c>
      <c r="AF1120" s="230">
        <v>3816</v>
      </c>
      <c r="AG1120" s="230">
        <v>506667.94489991991</v>
      </c>
      <c r="AH1120" s="230">
        <v>4062835.6542056487</v>
      </c>
      <c r="AI1120" s="230">
        <v>4647.8999999999996</v>
      </c>
    </row>
    <row r="1121" spans="5:35" x14ac:dyDescent="0.35">
      <c r="E1121" s="226">
        <v>3.74804</v>
      </c>
      <c r="F1121" s="227">
        <v>18.184832876712328</v>
      </c>
      <c r="G1121" s="227">
        <v>6637.4639999999999</v>
      </c>
      <c r="H1121" s="227">
        <v>0.98309999999999997</v>
      </c>
      <c r="I1121" s="227">
        <v>4.444</v>
      </c>
      <c r="J1121" s="227">
        <v>0.58649589224527765</v>
      </c>
      <c r="K1121" s="227">
        <v>131.49</v>
      </c>
      <c r="L1121" s="227">
        <v>132.09</v>
      </c>
      <c r="M1121" s="227">
        <v>129.27000000000001</v>
      </c>
      <c r="N1121" s="227">
        <v>91.194000000000003</v>
      </c>
      <c r="O1121" s="227">
        <v>97.597999999999999</v>
      </c>
      <c r="P1121" s="227">
        <v>113.05</v>
      </c>
      <c r="Q1121" s="227">
        <v>105.5</v>
      </c>
      <c r="R1121" s="227">
        <v>110.26</v>
      </c>
      <c r="S1121" s="227"/>
      <c r="T1121" s="227">
        <v>79.5</v>
      </c>
      <c r="U1121" s="227">
        <v>79.5</v>
      </c>
      <c r="V1121" s="227">
        <v>79.5</v>
      </c>
      <c r="W1121" s="227">
        <v>79.5</v>
      </c>
      <c r="X1121" s="227">
        <v>79.5</v>
      </c>
      <c r="Y1121" s="227">
        <v>79.5</v>
      </c>
      <c r="Z1121" s="227">
        <v>79.5</v>
      </c>
      <c r="AA1121" s="227">
        <v>79.5</v>
      </c>
      <c r="AB1121" s="227">
        <v>10.750999999999999</v>
      </c>
      <c r="AC1121" s="227">
        <v>774.65</v>
      </c>
      <c r="AD1121" s="230">
        <v>1.2443287037037037E-4</v>
      </c>
      <c r="AE1121" s="230">
        <v>64.506</v>
      </c>
      <c r="AF1121" s="230">
        <v>3816</v>
      </c>
      <c r="AG1121" s="230">
        <v>506732.4508999199</v>
      </c>
      <c r="AH1121" s="230">
        <v>4066651.6542056487</v>
      </c>
      <c r="AI1121" s="230">
        <v>4647.8999999999996</v>
      </c>
    </row>
    <row r="1122" spans="5:35" x14ac:dyDescent="0.35">
      <c r="E1122" s="226">
        <v>3.7520400000000005</v>
      </c>
      <c r="F1122" s="227">
        <v>18.201271232876714</v>
      </c>
      <c r="G1122" s="227">
        <v>6643.4639999999999</v>
      </c>
      <c r="H1122" s="227">
        <v>0.98309999999999997</v>
      </c>
      <c r="I1122" s="227">
        <v>4.4480000000000004</v>
      </c>
      <c r="J1122" s="227">
        <v>0.58657042002305548</v>
      </c>
      <c r="K1122" s="227">
        <v>131.47999999999999</v>
      </c>
      <c r="L1122" s="227">
        <v>132.08000000000001</v>
      </c>
      <c r="M1122" s="227">
        <v>129.26</v>
      </c>
      <c r="N1122" s="227">
        <v>91.186999999999998</v>
      </c>
      <c r="O1122" s="227">
        <v>97.591999999999999</v>
      </c>
      <c r="P1122" s="227">
        <v>113.04</v>
      </c>
      <c r="Q1122" s="227">
        <v>105.49</v>
      </c>
      <c r="R1122" s="227">
        <v>110.25</v>
      </c>
      <c r="S1122" s="227"/>
      <c r="T1122" s="227">
        <v>79.5</v>
      </c>
      <c r="U1122" s="227">
        <v>79.5</v>
      </c>
      <c r="V1122" s="227">
        <v>79.5</v>
      </c>
      <c r="W1122" s="227">
        <v>79.5</v>
      </c>
      <c r="X1122" s="227">
        <v>79.5</v>
      </c>
      <c r="Y1122" s="227">
        <v>79.5</v>
      </c>
      <c r="Z1122" s="227">
        <v>79.5</v>
      </c>
      <c r="AA1122" s="227">
        <v>79.5</v>
      </c>
      <c r="AB1122" s="227">
        <v>10.731999999999999</v>
      </c>
      <c r="AC1122" s="227">
        <v>774.65</v>
      </c>
      <c r="AD1122" s="230">
        <v>1.2421296296296296E-4</v>
      </c>
      <c r="AE1122" s="230">
        <v>64.391999999999996</v>
      </c>
      <c r="AF1122" s="230">
        <v>3816</v>
      </c>
      <c r="AG1122" s="230">
        <v>506796.84289991989</v>
      </c>
      <c r="AH1122" s="230">
        <v>4070467.6542056487</v>
      </c>
      <c r="AI1122" s="230">
        <v>4647.8999999999996</v>
      </c>
    </row>
    <row r="1123" spans="5:35" x14ac:dyDescent="0.35">
      <c r="E1123" s="226">
        <v>3.7561399999999998</v>
      </c>
      <c r="F1123" s="227">
        <v>18.217709589041096</v>
      </c>
      <c r="G1123" s="227">
        <v>6649.4639999999999</v>
      </c>
      <c r="H1123" s="227">
        <v>0.98319999999999996</v>
      </c>
      <c r="I1123" s="227">
        <v>4.4520999999999997</v>
      </c>
      <c r="J1123" s="227">
        <v>0.58664482280083319</v>
      </c>
      <c r="K1123" s="227">
        <v>131.46</v>
      </c>
      <c r="L1123" s="227">
        <v>132.07</v>
      </c>
      <c r="M1123" s="227">
        <v>129.25</v>
      </c>
      <c r="N1123" s="227">
        <v>91.179000000000002</v>
      </c>
      <c r="O1123" s="227">
        <v>97.584999999999994</v>
      </c>
      <c r="P1123" s="227">
        <v>113.03</v>
      </c>
      <c r="Q1123" s="227">
        <v>105.49</v>
      </c>
      <c r="R1123" s="227">
        <v>110.25</v>
      </c>
      <c r="S1123" s="227"/>
      <c r="T1123" s="227">
        <v>79.5</v>
      </c>
      <c r="U1123" s="227">
        <v>79.5</v>
      </c>
      <c r="V1123" s="227">
        <v>79.5</v>
      </c>
      <c r="W1123" s="227">
        <v>79.5</v>
      </c>
      <c r="X1123" s="227">
        <v>79.5</v>
      </c>
      <c r="Y1123" s="227">
        <v>79.5</v>
      </c>
      <c r="Z1123" s="227">
        <v>79.5</v>
      </c>
      <c r="AA1123" s="227">
        <v>79.5</v>
      </c>
      <c r="AB1123" s="227">
        <v>10.714</v>
      </c>
      <c r="AC1123" s="227">
        <v>774.65</v>
      </c>
      <c r="AD1123" s="230">
        <v>1.2400462962962964E-4</v>
      </c>
      <c r="AE1123" s="230">
        <v>64.284000000000006</v>
      </c>
      <c r="AF1123" s="230">
        <v>3816</v>
      </c>
      <c r="AG1123" s="230">
        <v>506861.12689991988</v>
      </c>
      <c r="AH1123" s="230">
        <v>4074283.6542056487</v>
      </c>
      <c r="AI1123" s="230">
        <v>4647.8999999999996</v>
      </c>
    </row>
    <row r="1124" spans="5:35" x14ac:dyDescent="0.35">
      <c r="E1124" s="226">
        <v>3.7601400000000003</v>
      </c>
      <c r="F1124" s="227">
        <v>18.234147945205478</v>
      </c>
      <c r="G1124" s="227">
        <v>6655.4639999999999</v>
      </c>
      <c r="H1124" s="227">
        <v>0.98319999999999996</v>
      </c>
      <c r="I1124" s="227">
        <v>4.4561000000000002</v>
      </c>
      <c r="J1124" s="227">
        <v>0.58671909363416652</v>
      </c>
      <c r="K1124" s="227">
        <v>131.44999999999999</v>
      </c>
      <c r="L1124" s="227">
        <v>132.06</v>
      </c>
      <c r="M1124" s="227">
        <v>129.22999999999999</v>
      </c>
      <c r="N1124" s="227">
        <v>91.171999999999997</v>
      </c>
      <c r="O1124" s="227">
        <v>97.578999999999994</v>
      </c>
      <c r="P1124" s="227">
        <v>113.02</v>
      </c>
      <c r="Q1124" s="227">
        <v>105.48</v>
      </c>
      <c r="R1124" s="227">
        <v>110.24</v>
      </c>
      <c r="S1124" s="227"/>
      <c r="T1124" s="227">
        <v>79.5</v>
      </c>
      <c r="U1124" s="227">
        <v>79.5</v>
      </c>
      <c r="V1124" s="227">
        <v>79.5</v>
      </c>
      <c r="W1124" s="227">
        <v>79.5</v>
      </c>
      <c r="X1124" s="227">
        <v>79.5</v>
      </c>
      <c r="Y1124" s="227">
        <v>79.5</v>
      </c>
      <c r="Z1124" s="227">
        <v>79.5</v>
      </c>
      <c r="AA1124" s="227">
        <v>79.5</v>
      </c>
      <c r="AB1124" s="227">
        <v>10.695</v>
      </c>
      <c r="AC1124" s="227">
        <v>774.65</v>
      </c>
      <c r="AD1124" s="230">
        <v>1.2378472222222223E-4</v>
      </c>
      <c r="AE1124" s="230">
        <v>64.17</v>
      </c>
      <c r="AF1124" s="230">
        <v>3816</v>
      </c>
      <c r="AG1124" s="230">
        <v>506925.29689991986</v>
      </c>
      <c r="AH1124" s="230">
        <v>4078099.6542056487</v>
      </c>
      <c r="AI1124" s="230">
        <v>4647.8999999999996</v>
      </c>
    </row>
    <row r="1125" spans="5:35" x14ac:dyDescent="0.35">
      <c r="E1125" s="226">
        <v>3.7641399999999998</v>
      </c>
      <c r="F1125" s="227">
        <v>18.250586301369864</v>
      </c>
      <c r="G1125" s="227">
        <v>6661.4639999999999</v>
      </c>
      <c r="H1125" s="227">
        <v>0.98319999999999996</v>
      </c>
      <c r="I1125" s="227">
        <v>4.4600999999999997</v>
      </c>
      <c r="J1125" s="227">
        <v>0.58679323946749984</v>
      </c>
      <c r="K1125" s="227">
        <v>131.43</v>
      </c>
      <c r="L1125" s="227">
        <v>132.05000000000001</v>
      </c>
      <c r="M1125" s="227">
        <v>129.22</v>
      </c>
      <c r="N1125" s="227">
        <v>91.165000000000006</v>
      </c>
      <c r="O1125" s="227">
        <v>97.572000000000003</v>
      </c>
      <c r="P1125" s="227">
        <v>113.01</v>
      </c>
      <c r="Q1125" s="227">
        <v>105.48</v>
      </c>
      <c r="R1125" s="227">
        <v>110.23</v>
      </c>
      <c r="S1125" s="227"/>
      <c r="T1125" s="227">
        <v>79.5</v>
      </c>
      <c r="U1125" s="227">
        <v>79.5</v>
      </c>
      <c r="V1125" s="227">
        <v>79.5</v>
      </c>
      <c r="W1125" s="227">
        <v>79.5</v>
      </c>
      <c r="X1125" s="227">
        <v>79.5</v>
      </c>
      <c r="Y1125" s="227">
        <v>79.5</v>
      </c>
      <c r="Z1125" s="227">
        <v>79.5</v>
      </c>
      <c r="AA1125" s="227">
        <v>79.5</v>
      </c>
      <c r="AB1125" s="227">
        <v>10.677</v>
      </c>
      <c r="AC1125" s="227">
        <v>774.65</v>
      </c>
      <c r="AD1125" s="230">
        <v>1.2357638888888889E-4</v>
      </c>
      <c r="AE1125" s="230">
        <v>64.061999999999998</v>
      </c>
      <c r="AF1125" s="230">
        <v>3816</v>
      </c>
      <c r="AG1125" s="230">
        <v>506989.35889991984</v>
      </c>
      <c r="AH1125" s="230">
        <v>4081915.6542056487</v>
      </c>
      <c r="AI1125" s="230">
        <v>4647.8999999999996</v>
      </c>
    </row>
    <row r="1126" spans="5:35" x14ac:dyDescent="0.35">
      <c r="E1126" s="226">
        <v>3.7681400000000003</v>
      </c>
      <c r="F1126" s="227">
        <v>18.267024657534247</v>
      </c>
      <c r="G1126" s="227">
        <v>6667.4639999999999</v>
      </c>
      <c r="H1126" s="227">
        <v>0.98319999999999996</v>
      </c>
      <c r="I1126" s="227">
        <v>4.4641000000000002</v>
      </c>
      <c r="J1126" s="227">
        <v>0.58686726030083314</v>
      </c>
      <c r="K1126" s="227">
        <v>131.41999999999999</v>
      </c>
      <c r="L1126" s="227">
        <v>132.04</v>
      </c>
      <c r="M1126" s="227">
        <v>129.21</v>
      </c>
      <c r="N1126" s="227">
        <v>91.156999999999996</v>
      </c>
      <c r="O1126" s="227">
        <v>97.566000000000003</v>
      </c>
      <c r="P1126" s="227">
        <v>113</v>
      </c>
      <c r="Q1126" s="227">
        <v>105.47</v>
      </c>
      <c r="R1126" s="227">
        <v>110.23</v>
      </c>
      <c r="S1126" s="227"/>
      <c r="T1126" s="227">
        <v>79.5</v>
      </c>
      <c r="U1126" s="227">
        <v>79.5</v>
      </c>
      <c r="V1126" s="227">
        <v>79.5</v>
      </c>
      <c r="W1126" s="227">
        <v>79.5</v>
      </c>
      <c r="X1126" s="227">
        <v>79.5</v>
      </c>
      <c r="Y1126" s="227">
        <v>79.5</v>
      </c>
      <c r="Z1126" s="227">
        <v>79.5</v>
      </c>
      <c r="AA1126" s="227">
        <v>79.5</v>
      </c>
      <c r="AB1126" s="227">
        <v>10.659000000000001</v>
      </c>
      <c r="AC1126" s="227">
        <v>774.65</v>
      </c>
      <c r="AD1126" s="230">
        <v>1.2336805555555557E-4</v>
      </c>
      <c r="AE1126" s="230">
        <v>63.954000000000008</v>
      </c>
      <c r="AF1126" s="230">
        <v>3816</v>
      </c>
      <c r="AG1126" s="230">
        <v>507053.31289991987</v>
      </c>
      <c r="AH1126" s="230">
        <v>4085731.6542056487</v>
      </c>
      <c r="AI1126" s="230">
        <v>4647.8999999999996</v>
      </c>
    </row>
    <row r="1127" spans="5:35" x14ac:dyDescent="0.35">
      <c r="E1127" s="226">
        <v>3.7721399999999998</v>
      </c>
      <c r="F1127" s="227">
        <v>18.283463013698629</v>
      </c>
      <c r="G1127" s="227">
        <v>6673.4639999999999</v>
      </c>
      <c r="H1127" s="227">
        <v>0.98329999999999995</v>
      </c>
      <c r="I1127" s="227">
        <v>4.4680999999999997</v>
      </c>
      <c r="J1127" s="227">
        <v>0.58694115613416653</v>
      </c>
      <c r="K1127" s="227">
        <v>131.4</v>
      </c>
      <c r="L1127" s="227">
        <v>132.03</v>
      </c>
      <c r="M1127" s="227">
        <v>129.19</v>
      </c>
      <c r="N1127" s="227">
        <v>91.15</v>
      </c>
      <c r="O1127" s="227">
        <v>97.558999999999997</v>
      </c>
      <c r="P1127" s="227">
        <v>112.99</v>
      </c>
      <c r="Q1127" s="227">
        <v>105.47</v>
      </c>
      <c r="R1127" s="227">
        <v>110.22</v>
      </c>
      <c r="S1127" s="227"/>
      <c r="T1127" s="227">
        <v>79.5</v>
      </c>
      <c r="U1127" s="227">
        <v>79.5</v>
      </c>
      <c r="V1127" s="227">
        <v>79.5</v>
      </c>
      <c r="W1127" s="227">
        <v>79.5</v>
      </c>
      <c r="X1127" s="227">
        <v>79.5</v>
      </c>
      <c r="Y1127" s="227">
        <v>79.5</v>
      </c>
      <c r="Z1127" s="227">
        <v>79.5</v>
      </c>
      <c r="AA1127" s="227">
        <v>79.5</v>
      </c>
      <c r="AB1127" s="227">
        <v>10.641</v>
      </c>
      <c r="AC1127" s="227">
        <v>774.65</v>
      </c>
      <c r="AD1127" s="230">
        <v>1.2315972222222223E-4</v>
      </c>
      <c r="AE1127" s="230">
        <v>63.846000000000011</v>
      </c>
      <c r="AF1127" s="230">
        <v>3816</v>
      </c>
      <c r="AG1127" s="230">
        <v>507117.15889991989</v>
      </c>
      <c r="AH1127" s="230">
        <v>4089547.6542056487</v>
      </c>
      <c r="AI1127" s="230">
        <v>4647.8999999999996</v>
      </c>
    </row>
    <row r="1128" spans="5:35" x14ac:dyDescent="0.35">
      <c r="E1128" s="226">
        <v>3.7761400000000003</v>
      </c>
      <c r="F1128" s="227">
        <v>18.299901369863015</v>
      </c>
      <c r="G1128" s="227">
        <v>6679.4639999999999</v>
      </c>
      <c r="H1128" s="227">
        <v>0.98329999999999995</v>
      </c>
      <c r="I1128" s="227">
        <v>4.4721000000000002</v>
      </c>
      <c r="J1128" s="227">
        <v>0.58701492002305544</v>
      </c>
      <c r="K1128" s="227">
        <v>131.38999999999999</v>
      </c>
      <c r="L1128" s="227">
        <v>132.01</v>
      </c>
      <c r="M1128" s="227">
        <v>129.18</v>
      </c>
      <c r="N1128" s="227">
        <v>91.143000000000001</v>
      </c>
      <c r="O1128" s="227">
        <v>97.554000000000002</v>
      </c>
      <c r="P1128" s="227">
        <v>112.98</v>
      </c>
      <c r="Q1128" s="227">
        <v>105.46</v>
      </c>
      <c r="R1128" s="227">
        <v>110.21</v>
      </c>
      <c r="S1128" s="227"/>
      <c r="T1128" s="227">
        <v>79.5</v>
      </c>
      <c r="U1128" s="227">
        <v>79.5</v>
      </c>
      <c r="V1128" s="227">
        <v>79.5</v>
      </c>
      <c r="W1128" s="227">
        <v>79.5</v>
      </c>
      <c r="X1128" s="227">
        <v>79.5</v>
      </c>
      <c r="Y1128" s="227">
        <v>79.5</v>
      </c>
      <c r="Z1128" s="227">
        <v>79.5</v>
      </c>
      <c r="AA1128" s="227">
        <v>79.5</v>
      </c>
      <c r="AB1128" s="227">
        <v>10.622</v>
      </c>
      <c r="AC1128" s="227">
        <v>774.65</v>
      </c>
      <c r="AD1128" s="230">
        <v>1.2293981481481482E-4</v>
      </c>
      <c r="AE1128" s="230">
        <v>63.731999999999999</v>
      </c>
      <c r="AF1128" s="230">
        <v>3816</v>
      </c>
      <c r="AG1128" s="230">
        <v>507180.8908999199</v>
      </c>
      <c r="AH1128" s="230">
        <v>4093363.6542056487</v>
      </c>
      <c r="AI1128" s="230">
        <v>4647.8999999999996</v>
      </c>
    </row>
    <row r="1129" spans="5:35" x14ac:dyDescent="0.35">
      <c r="E1129" s="226">
        <v>3.7802400000000005</v>
      </c>
      <c r="F1129" s="227">
        <v>18.316339726027397</v>
      </c>
      <c r="G1129" s="227">
        <v>6685.4639999999999</v>
      </c>
      <c r="H1129" s="227">
        <v>0.98329999999999995</v>
      </c>
      <c r="I1129" s="227">
        <v>4.4762000000000004</v>
      </c>
      <c r="J1129" s="227">
        <v>0.58708855891194434</v>
      </c>
      <c r="K1129" s="227">
        <v>131.37</v>
      </c>
      <c r="L1129" s="227">
        <v>132</v>
      </c>
      <c r="M1129" s="227">
        <v>129.16999999999999</v>
      </c>
      <c r="N1129" s="227">
        <v>91.135999999999996</v>
      </c>
      <c r="O1129" s="227">
        <v>97.546000000000006</v>
      </c>
      <c r="P1129" s="227">
        <v>112.97</v>
      </c>
      <c r="Q1129" s="227">
        <v>105.45</v>
      </c>
      <c r="R1129" s="227">
        <v>110.2</v>
      </c>
      <c r="S1129" s="227"/>
      <c r="T1129" s="227">
        <v>79.5</v>
      </c>
      <c r="U1129" s="227">
        <v>79.5</v>
      </c>
      <c r="V1129" s="227">
        <v>79.5</v>
      </c>
      <c r="W1129" s="227">
        <v>79.5</v>
      </c>
      <c r="X1129" s="227">
        <v>79.5</v>
      </c>
      <c r="Y1129" s="227">
        <v>79.5</v>
      </c>
      <c r="Z1129" s="227">
        <v>79.5</v>
      </c>
      <c r="AA1129" s="227">
        <v>79.5</v>
      </c>
      <c r="AB1129" s="227">
        <v>10.603999999999999</v>
      </c>
      <c r="AC1129" s="227">
        <v>774.65</v>
      </c>
      <c r="AD1129" s="230">
        <v>1.2273148148148148E-4</v>
      </c>
      <c r="AE1129" s="230">
        <v>63.623999999999995</v>
      </c>
      <c r="AF1129" s="230">
        <v>3816</v>
      </c>
      <c r="AG1129" s="230">
        <v>507244.51489991992</v>
      </c>
      <c r="AH1129" s="230">
        <v>4097179.6542056487</v>
      </c>
      <c r="AI1129" s="230">
        <v>4647.8999999999996</v>
      </c>
    </row>
    <row r="1130" spans="5:35" x14ac:dyDescent="0.35">
      <c r="E1130" s="226">
        <v>3.78424</v>
      </c>
      <c r="F1130" s="227">
        <v>18.33277808219178</v>
      </c>
      <c r="G1130" s="227">
        <v>6691.4639999999999</v>
      </c>
      <c r="H1130" s="227">
        <v>0.98340000000000005</v>
      </c>
      <c r="I1130" s="227">
        <v>4.4802</v>
      </c>
      <c r="J1130" s="227">
        <v>0.58716207280083321</v>
      </c>
      <c r="K1130" s="227">
        <v>131.36000000000001</v>
      </c>
      <c r="L1130" s="227">
        <v>131.99</v>
      </c>
      <c r="M1130" s="227">
        <v>129.15</v>
      </c>
      <c r="N1130" s="227">
        <v>91.128</v>
      </c>
      <c r="O1130" s="227">
        <v>97.540999999999997</v>
      </c>
      <c r="P1130" s="227">
        <v>112.96</v>
      </c>
      <c r="Q1130" s="227">
        <v>105.45</v>
      </c>
      <c r="R1130" s="227">
        <v>110.2</v>
      </c>
      <c r="S1130" s="227"/>
      <c r="T1130" s="227">
        <v>79.5</v>
      </c>
      <c r="U1130" s="227">
        <v>79.5</v>
      </c>
      <c r="V1130" s="227">
        <v>79.5</v>
      </c>
      <c r="W1130" s="227">
        <v>79.5</v>
      </c>
      <c r="X1130" s="227">
        <v>79.5</v>
      </c>
      <c r="Y1130" s="227">
        <v>79.5</v>
      </c>
      <c r="Z1130" s="227">
        <v>79.5</v>
      </c>
      <c r="AA1130" s="227">
        <v>79.5</v>
      </c>
      <c r="AB1130" s="227">
        <v>10.586</v>
      </c>
      <c r="AC1130" s="227">
        <v>774.65</v>
      </c>
      <c r="AD1130" s="230">
        <v>1.2252314814814816E-4</v>
      </c>
      <c r="AE1130" s="230">
        <v>63.515999999999998</v>
      </c>
      <c r="AF1130" s="230">
        <v>3816</v>
      </c>
      <c r="AG1130" s="230">
        <v>507308.03089991992</v>
      </c>
      <c r="AH1130" s="230">
        <v>4100995.6542056487</v>
      </c>
      <c r="AI1130" s="230">
        <v>4647.8999999999996</v>
      </c>
    </row>
    <row r="1131" spans="5:35" x14ac:dyDescent="0.35">
      <c r="E1131" s="226">
        <v>3.7882400000000005</v>
      </c>
      <c r="F1131" s="227">
        <v>18.349216438356166</v>
      </c>
      <c r="G1131" s="227">
        <v>6697.4639999999999</v>
      </c>
      <c r="H1131" s="227">
        <v>0.98340000000000005</v>
      </c>
      <c r="I1131" s="227">
        <v>4.4842000000000004</v>
      </c>
      <c r="J1131" s="227">
        <v>0.58723546168972207</v>
      </c>
      <c r="K1131" s="227">
        <v>131.34</v>
      </c>
      <c r="L1131" s="227">
        <v>131.97999999999999</v>
      </c>
      <c r="M1131" s="227">
        <v>129.13999999999999</v>
      </c>
      <c r="N1131" s="227">
        <v>91.120999999999995</v>
      </c>
      <c r="O1131" s="227">
        <v>97.534000000000006</v>
      </c>
      <c r="P1131" s="227">
        <v>112.95</v>
      </c>
      <c r="Q1131" s="227">
        <v>105.44</v>
      </c>
      <c r="R1131" s="227">
        <v>110.19</v>
      </c>
      <c r="S1131" s="227"/>
      <c r="T1131" s="227">
        <v>79.5</v>
      </c>
      <c r="U1131" s="227">
        <v>79.5</v>
      </c>
      <c r="V1131" s="227">
        <v>79.5</v>
      </c>
      <c r="W1131" s="227">
        <v>79.5</v>
      </c>
      <c r="X1131" s="227">
        <v>79.5</v>
      </c>
      <c r="Y1131" s="227">
        <v>79.5</v>
      </c>
      <c r="Z1131" s="227">
        <v>79.5</v>
      </c>
      <c r="AA1131" s="227">
        <v>79.5</v>
      </c>
      <c r="AB1131" s="227">
        <v>10.568</v>
      </c>
      <c r="AC1131" s="227">
        <v>774.65</v>
      </c>
      <c r="AD1131" s="230">
        <v>1.2231481481481482E-4</v>
      </c>
      <c r="AE1131" s="230">
        <v>63.408000000000008</v>
      </c>
      <c r="AF1131" s="230">
        <v>3816</v>
      </c>
      <c r="AG1131" s="230">
        <v>507371.43889991991</v>
      </c>
      <c r="AH1131" s="230">
        <v>4104811.6542056487</v>
      </c>
      <c r="AI1131" s="230">
        <v>4647.8999999999996</v>
      </c>
    </row>
    <row r="1132" spans="5:35" x14ac:dyDescent="0.35">
      <c r="E1132" s="226">
        <v>3.7922400000000001</v>
      </c>
      <c r="F1132" s="227">
        <v>18.365654794520548</v>
      </c>
      <c r="G1132" s="227">
        <v>6703.4639999999999</v>
      </c>
      <c r="H1132" s="227">
        <v>0.98340000000000005</v>
      </c>
      <c r="I1132" s="227">
        <v>4.4882</v>
      </c>
      <c r="J1132" s="227">
        <v>0.58730872557861102</v>
      </c>
      <c r="K1132" s="227">
        <v>131.33000000000001</v>
      </c>
      <c r="L1132" s="227">
        <v>131.97</v>
      </c>
      <c r="M1132" s="227">
        <v>129.13</v>
      </c>
      <c r="N1132" s="227">
        <v>91.114000000000004</v>
      </c>
      <c r="O1132" s="227">
        <v>97.528000000000006</v>
      </c>
      <c r="P1132" s="227">
        <v>112.94</v>
      </c>
      <c r="Q1132" s="227">
        <v>105.44</v>
      </c>
      <c r="R1132" s="227">
        <v>110.19</v>
      </c>
      <c r="S1132" s="227"/>
      <c r="T1132" s="227">
        <v>79.5</v>
      </c>
      <c r="U1132" s="227">
        <v>79.5</v>
      </c>
      <c r="V1132" s="227">
        <v>79.5</v>
      </c>
      <c r="W1132" s="227">
        <v>79.5</v>
      </c>
      <c r="X1132" s="227">
        <v>79.5</v>
      </c>
      <c r="Y1132" s="227">
        <v>79.5</v>
      </c>
      <c r="Z1132" s="227">
        <v>79.5</v>
      </c>
      <c r="AA1132" s="227">
        <v>79.5</v>
      </c>
      <c r="AB1132" s="227">
        <v>10.55</v>
      </c>
      <c r="AC1132" s="227">
        <v>774.65</v>
      </c>
      <c r="AD1132" s="230">
        <v>1.221064814814815E-4</v>
      </c>
      <c r="AE1132" s="230">
        <v>63.300000000000011</v>
      </c>
      <c r="AF1132" s="230">
        <v>3816</v>
      </c>
      <c r="AG1132" s="230">
        <v>507434.7388999199</v>
      </c>
      <c r="AH1132" s="230">
        <v>4108627.6542056487</v>
      </c>
      <c r="AI1132" s="230">
        <v>4647.8999999999996</v>
      </c>
    </row>
    <row r="1133" spans="5:35" x14ac:dyDescent="0.35">
      <c r="E1133" s="226">
        <v>3.7962400000000005</v>
      </c>
      <c r="F1133" s="227">
        <v>18.382093150684931</v>
      </c>
      <c r="G1133" s="227">
        <v>6709.4639999999999</v>
      </c>
      <c r="H1133" s="227">
        <v>0.98340000000000005</v>
      </c>
      <c r="I1133" s="227">
        <v>4.4922000000000004</v>
      </c>
      <c r="J1133" s="227">
        <v>0.58738186446749985</v>
      </c>
      <c r="K1133" s="227">
        <v>131.31</v>
      </c>
      <c r="L1133" s="227">
        <v>131.96</v>
      </c>
      <c r="M1133" s="227">
        <v>129.11000000000001</v>
      </c>
      <c r="N1133" s="227">
        <v>91.106999999999999</v>
      </c>
      <c r="O1133" s="227">
        <v>97.521000000000001</v>
      </c>
      <c r="P1133" s="227">
        <v>112.93</v>
      </c>
      <c r="Q1133" s="227">
        <v>105.43</v>
      </c>
      <c r="R1133" s="227">
        <v>110.18</v>
      </c>
      <c r="S1133" s="227"/>
      <c r="T1133" s="227">
        <v>79.5</v>
      </c>
      <c r="U1133" s="227">
        <v>79.5</v>
      </c>
      <c r="V1133" s="227">
        <v>79.5</v>
      </c>
      <c r="W1133" s="227">
        <v>79.5</v>
      </c>
      <c r="X1133" s="227">
        <v>79.5</v>
      </c>
      <c r="Y1133" s="227">
        <v>79.5</v>
      </c>
      <c r="Z1133" s="227">
        <v>79.5</v>
      </c>
      <c r="AA1133" s="227">
        <v>79.5</v>
      </c>
      <c r="AB1133" s="227">
        <v>10.532</v>
      </c>
      <c r="AC1133" s="227">
        <v>774.65</v>
      </c>
      <c r="AD1133" s="230">
        <v>1.2189814814814815E-4</v>
      </c>
      <c r="AE1133" s="230">
        <v>63.191999999999993</v>
      </c>
      <c r="AF1133" s="230">
        <v>3816</v>
      </c>
      <c r="AG1133" s="230">
        <v>507497.93089991988</v>
      </c>
      <c r="AH1133" s="230">
        <v>4112443.6542056487</v>
      </c>
      <c r="AI1133" s="230">
        <v>4647.8999999999996</v>
      </c>
    </row>
    <row r="1134" spans="5:35" x14ac:dyDescent="0.35">
      <c r="E1134" s="226">
        <v>3.8003399999999998</v>
      </c>
      <c r="F1134" s="227">
        <v>18.398531506849316</v>
      </c>
      <c r="G1134" s="227">
        <v>6715.4639999999999</v>
      </c>
      <c r="H1134" s="227">
        <v>0.98350000000000004</v>
      </c>
      <c r="I1134" s="227">
        <v>4.4962999999999997</v>
      </c>
      <c r="J1134" s="227">
        <v>0.58745487835638877</v>
      </c>
      <c r="K1134" s="227">
        <v>131.30000000000001</v>
      </c>
      <c r="L1134" s="227">
        <v>131.94999999999999</v>
      </c>
      <c r="M1134" s="227">
        <v>129.1</v>
      </c>
      <c r="N1134" s="227">
        <v>91.099000000000004</v>
      </c>
      <c r="O1134" s="227">
        <v>97.515000000000001</v>
      </c>
      <c r="P1134" s="227">
        <v>112.92</v>
      </c>
      <c r="Q1134" s="227">
        <v>105.43</v>
      </c>
      <c r="R1134" s="227">
        <v>110.17</v>
      </c>
      <c r="S1134" s="227"/>
      <c r="T1134" s="227">
        <v>79.5</v>
      </c>
      <c r="U1134" s="227">
        <v>79.5</v>
      </c>
      <c r="V1134" s="227">
        <v>79.5</v>
      </c>
      <c r="W1134" s="227">
        <v>79.5</v>
      </c>
      <c r="X1134" s="227">
        <v>79.5</v>
      </c>
      <c r="Y1134" s="227">
        <v>79.5</v>
      </c>
      <c r="Z1134" s="227">
        <v>79.5</v>
      </c>
      <c r="AA1134" s="227">
        <v>79.5</v>
      </c>
      <c r="AB1134" s="227">
        <v>10.513999999999999</v>
      </c>
      <c r="AC1134" s="227">
        <v>774.65</v>
      </c>
      <c r="AD1134" s="230">
        <v>1.216898148148148E-4</v>
      </c>
      <c r="AE1134" s="230">
        <v>63.083999999999989</v>
      </c>
      <c r="AF1134" s="230">
        <v>3816</v>
      </c>
      <c r="AG1134" s="230">
        <v>507561.01489991986</v>
      </c>
      <c r="AH1134" s="230">
        <v>4116259.6542056487</v>
      </c>
      <c r="AI1134" s="230">
        <v>4647.8999999999996</v>
      </c>
    </row>
    <row r="1135" spans="5:35" x14ac:dyDescent="0.35">
      <c r="E1135" s="226">
        <v>3.8043400000000003</v>
      </c>
      <c r="F1135" s="227">
        <v>18.414969863013699</v>
      </c>
      <c r="G1135" s="227">
        <v>6721.4639999999999</v>
      </c>
      <c r="H1135" s="227">
        <v>0.98350000000000004</v>
      </c>
      <c r="I1135" s="227">
        <v>4.5003000000000002</v>
      </c>
      <c r="J1135" s="227">
        <v>0.58752776724527767</v>
      </c>
      <c r="K1135" s="227">
        <v>131.28</v>
      </c>
      <c r="L1135" s="227">
        <v>131.93</v>
      </c>
      <c r="M1135" s="227">
        <v>129.09</v>
      </c>
      <c r="N1135" s="227">
        <v>91.091999999999999</v>
      </c>
      <c r="O1135" s="227">
        <v>97.509</v>
      </c>
      <c r="P1135" s="227">
        <v>112.91</v>
      </c>
      <c r="Q1135" s="227">
        <v>105.42</v>
      </c>
      <c r="R1135" s="227">
        <v>110.17</v>
      </c>
      <c r="S1135" s="227"/>
      <c r="T1135" s="227">
        <v>79.5</v>
      </c>
      <c r="U1135" s="227">
        <v>79.5</v>
      </c>
      <c r="V1135" s="227">
        <v>79.5</v>
      </c>
      <c r="W1135" s="227">
        <v>79.5</v>
      </c>
      <c r="X1135" s="227">
        <v>79.5</v>
      </c>
      <c r="Y1135" s="227">
        <v>79.5</v>
      </c>
      <c r="Z1135" s="227">
        <v>79.5</v>
      </c>
      <c r="AA1135" s="227">
        <v>79.5</v>
      </c>
      <c r="AB1135" s="227">
        <v>10.496</v>
      </c>
      <c r="AC1135" s="227">
        <v>774.65</v>
      </c>
      <c r="AD1135" s="230">
        <v>1.2148148148148149E-4</v>
      </c>
      <c r="AE1135" s="230">
        <v>62.976000000000006</v>
      </c>
      <c r="AF1135" s="230">
        <v>3816</v>
      </c>
      <c r="AG1135" s="230">
        <v>507623.99089991988</v>
      </c>
      <c r="AH1135" s="230">
        <v>4120075.6542056487</v>
      </c>
      <c r="AI1135" s="230">
        <v>4647.8999999999996</v>
      </c>
    </row>
    <row r="1136" spans="5:35" x14ac:dyDescent="0.35">
      <c r="E1136" s="226">
        <v>3.8083399999999998</v>
      </c>
      <c r="F1136" s="227">
        <v>18.431408219178081</v>
      </c>
      <c r="G1136" s="227">
        <v>6727.4639999999999</v>
      </c>
      <c r="H1136" s="227">
        <v>0.98350000000000004</v>
      </c>
      <c r="I1136" s="227">
        <v>4.5042999999999997</v>
      </c>
      <c r="J1136" s="227">
        <v>0.58760053113416655</v>
      </c>
      <c r="K1136" s="227">
        <v>131.27000000000001</v>
      </c>
      <c r="L1136" s="227">
        <v>131.91999999999999</v>
      </c>
      <c r="M1136" s="227">
        <v>129.07</v>
      </c>
      <c r="N1136" s="227">
        <v>91.084999999999994</v>
      </c>
      <c r="O1136" s="227">
        <v>97.503</v>
      </c>
      <c r="P1136" s="227">
        <v>112.91</v>
      </c>
      <c r="Q1136" s="227">
        <v>105.42</v>
      </c>
      <c r="R1136" s="227">
        <v>110.16</v>
      </c>
      <c r="S1136" s="227"/>
      <c r="T1136" s="227">
        <v>79.5</v>
      </c>
      <c r="U1136" s="227">
        <v>79.5</v>
      </c>
      <c r="V1136" s="227">
        <v>79.5</v>
      </c>
      <c r="W1136" s="227">
        <v>79.5</v>
      </c>
      <c r="X1136" s="227">
        <v>79.5</v>
      </c>
      <c r="Y1136" s="227">
        <v>79.5</v>
      </c>
      <c r="Z1136" s="227">
        <v>79.5</v>
      </c>
      <c r="AA1136" s="227">
        <v>79.5</v>
      </c>
      <c r="AB1136" s="227">
        <v>10.478</v>
      </c>
      <c r="AC1136" s="227">
        <v>774.65</v>
      </c>
      <c r="AD1136" s="230">
        <v>1.2127314814814814E-4</v>
      </c>
      <c r="AE1136" s="230">
        <v>62.868000000000002</v>
      </c>
      <c r="AF1136" s="230">
        <v>3816</v>
      </c>
      <c r="AG1136" s="230">
        <v>507686.8588999199</v>
      </c>
      <c r="AH1136" s="230">
        <v>4123891.6542056487</v>
      </c>
      <c r="AI1136" s="230">
        <v>4647.8999999999996</v>
      </c>
    </row>
    <row r="1137" spans="5:35" x14ac:dyDescent="0.35">
      <c r="E1137" s="226">
        <v>3.8123400000000003</v>
      </c>
      <c r="F1137" s="227">
        <v>18.447846575342467</v>
      </c>
      <c r="G1137" s="227">
        <v>6733.4639999999999</v>
      </c>
      <c r="H1137" s="227">
        <v>0.98360000000000003</v>
      </c>
      <c r="I1137" s="227">
        <v>4.5083000000000002</v>
      </c>
      <c r="J1137" s="227">
        <v>0.58767317696749988</v>
      </c>
      <c r="K1137" s="227">
        <v>131.25</v>
      </c>
      <c r="L1137" s="227">
        <v>131.91</v>
      </c>
      <c r="M1137" s="227">
        <v>129.06</v>
      </c>
      <c r="N1137" s="227">
        <v>91.078000000000003</v>
      </c>
      <c r="O1137" s="227">
        <v>97.495999999999995</v>
      </c>
      <c r="P1137" s="227">
        <v>112.9</v>
      </c>
      <c r="Q1137" s="227">
        <v>105.41</v>
      </c>
      <c r="R1137" s="227">
        <v>110.15</v>
      </c>
      <c r="S1137" s="227"/>
      <c r="T1137" s="227">
        <v>79.5</v>
      </c>
      <c r="U1137" s="227">
        <v>79.5</v>
      </c>
      <c r="V1137" s="227">
        <v>79.5</v>
      </c>
      <c r="W1137" s="227">
        <v>79.5</v>
      </c>
      <c r="X1137" s="227">
        <v>79.5</v>
      </c>
      <c r="Y1137" s="227">
        <v>79.5</v>
      </c>
      <c r="Z1137" s="227">
        <v>79.5</v>
      </c>
      <c r="AA1137" s="227">
        <v>79.5</v>
      </c>
      <c r="AB1137" s="227">
        <v>10.461</v>
      </c>
      <c r="AC1137" s="227">
        <v>774.65</v>
      </c>
      <c r="AD1137" s="230">
        <v>1.210763888888889E-4</v>
      </c>
      <c r="AE1137" s="230">
        <v>62.766000000000005</v>
      </c>
      <c r="AF1137" s="230">
        <v>3816</v>
      </c>
      <c r="AG1137" s="230">
        <v>507749.6248999199</v>
      </c>
      <c r="AH1137" s="230">
        <v>4127707.6542056487</v>
      </c>
      <c r="AI1137" s="230">
        <v>4647.8999999999996</v>
      </c>
    </row>
    <row r="1138" spans="5:35" x14ac:dyDescent="0.35">
      <c r="E1138" s="226">
        <v>3.8163399999999998</v>
      </c>
      <c r="F1138" s="227">
        <v>18.46428493150685</v>
      </c>
      <c r="G1138" s="227">
        <v>6739.4639999999999</v>
      </c>
      <c r="H1138" s="227">
        <v>0.98360000000000003</v>
      </c>
      <c r="I1138" s="227">
        <v>4.5122999999999998</v>
      </c>
      <c r="J1138" s="227">
        <v>0.58774569780083319</v>
      </c>
      <c r="K1138" s="227">
        <v>131.24</v>
      </c>
      <c r="L1138" s="227">
        <v>131.9</v>
      </c>
      <c r="M1138" s="227">
        <v>129.05000000000001</v>
      </c>
      <c r="N1138" s="227">
        <v>91.070999999999998</v>
      </c>
      <c r="O1138" s="227">
        <v>97.49</v>
      </c>
      <c r="P1138" s="227">
        <v>112.89</v>
      </c>
      <c r="Q1138" s="227">
        <v>105.4</v>
      </c>
      <c r="R1138" s="227">
        <v>110.15</v>
      </c>
      <c r="S1138" s="227"/>
      <c r="T1138" s="227">
        <v>79.5</v>
      </c>
      <c r="U1138" s="227">
        <v>79.5</v>
      </c>
      <c r="V1138" s="227">
        <v>79.5</v>
      </c>
      <c r="W1138" s="227">
        <v>79.5</v>
      </c>
      <c r="X1138" s="227">
        <v>79.5</v>
      </c>
      <c r="Y1138" s="227">
        <v>79.5</v>
      </c>
      <c r="Z1138" s="227">
        <v>79.5</v>
      </c>
      <c r="AA1138" s="227">
        <v>79.5</v>
      </c>
      <c r="AB1138" s="227">
        <v>10.443</v>
      </c>
      <c r="AC1138" s="227">
        <v>774.65</v>
      </c>
      <c r="AD1138" s="230">
        <v>1.2086805555555555E-4</v>
      </c>
      <c r="AE1138" s="230">
        <v>62.658000000000001</v>
      </c>
      <c r="AF1138" s="230">
        <v>3816</v>
      </c>
      <c r="AG1138" s="230">
        <v>507812.2828999199</v>
      </c>
      <c r="AH1138" s="230">
        <v>4131523.6542056487</v>
      </c>
      <c r="AI1138" s="230">
        <v>4647.8999999999996</v>
      </c>
    </row>
    <row r="1139" spans="5:35" x14ac:dyDescent="0.35">
      <c r="E1139" s="226">
        <v>3.8203400000000003</v>
      </c>
      <c r="F1139" s="227">
        <v>18.480723287671232</v>
      </c>
      <c r="G1139" s="227">
        <v>6745.4639999999999</v>
      </c>
      <c r="H1139" s="227">
        <v>0.98360000000000003</v>
      </c>
      <c r="I1139" s="227">
        <v>4.5163000000000002</v>
      </c>
      <c r="J1139" s="227">
        <v>0.58781809363416648</v>
      </c>
      <c r="K1139" s="227">
        <v>131.22999999999999</v>
      </c>
      <c r="L1139" s="227">
        <v>131.88999999999999</v>
      </c>
      <c r="M1139" s="227">
        <v>129.03</v>
      </c>
      <c r="N1139" s="227">
        <v>91.063999999999993</v>
      </c>
      <c r="O1139" s="227">
        <v>97.483999999999995</v>
      </c>
      <c r="P1139" s="227">
        <v>112.88</v>
      </c>
      <c r="Q1139" s="227">
        <v>105.4</v>
      </c>
      <c r="R1139" s="227">
        <v>110.14</v>
      </c>
      <c r="S1139" s="227"/>
      <c r="T1139" s="227">
        <v>79.5</v>
      </c>
      <c r="U1139" s="227">
        <v>79.5</v>
      </c>
      <c r="V1139" s="227">
        <v>79.5</v>
      </c>
      <c r="W1139" s="227">
        <v>79.5</v>
      </c>
      <c r="X1139" s="227">
        <v>79.5</v>
      </c>
      <c r="Y1139" s="227">
        <v>79.5</v>
      </c>
      <c r="Z1139" s="227">
        <v>79.5</v>
      </c>
      <c r="AA1139" s="227">
        <v>79.5</v>
      </c>
      <c r="AB1139" s="227">
        <v>10.425000000000001</v>
      </c>
      <c r="AC1139" s="227">
        <v>774.65</v>
      </c>
      <c r="AD1139" s="230">
        <v>1.2065972222222222E-4</v>
      </c>
      <c r="AE1139" s="230">
        <v>62.550000000000004</v>
      </c>
      <c r="AF1139" s="230">
        <v>3816</v>
      </c>
      <c r="AG1139" s="230">
        <v>507874.83289991989</v>
      </c>
      <c r="AH1139" s="230">
        <v>4135339.6542056487</v>
      </c>
      <c r="AI1139" s="230">
        <v>4647.8999999999996</v>
      </c>
    </row>
    <row r="1140" spans="5:35" x14ac:dyDescent="0.35">
      <c r="E1140" s="226">
        <v>3.8244400000000005</v>
      </c>
      <c r="F1140" s="227">
        <v>18.497161643835618</v>
      </c>
      <c r="G1140" s="227">
        <v>6751.4639999999999</v>
      </c>
      <c r="H1140" s="227">
        <v>0.98360000000000003</v>
      </c>
      <c r="I1140" s="227">
        <v>4.5204000000000004</v>
      </c>
      <c r="J1140" s="227">
        <v>0.58789037141194433</v>
      </c>
      <c r="K1140" s="227">
        <v>131.21</v>
      </c>
      <c r="L1140" s="227">
        <v>131.88</v>
      </c>
      <c r="M1140" s="227">
        <v>129.02000000000001</v>
      </c>
      <c r="N1140" s="227">
        <v>91.055999999999997</v>
      </c>
      <c r="O1140" s="227">
        <v>97.477999999999994</v>
      </c>
      <c r="P1140" s="227">
        <v>112.87</v>
      </c>
      <c r="Q1140" s="227">
        <v>105.39</v>
      </c>
      <c r="R1140" s="227">
        <v>110.13</v>
      </c>
      <c r="S1140" s="227"/>
      <c r="T1140" s="227">
        <v>79.5</v>
      </c>
      <c r="U1140" s="227">
        <v>79.5</v>
      </c>
      <c r="V1140" s="227">
        <v>79.5</v>
      </c>
      <c r="W1140" s="227">
        <v>79.5</v>
      </c>
      <c r="X1140" s="227">
        <v>79.5</v>
      </c>
      <c r="Y1140" s="227">
        <v>79.5</v>
      </c>
      <c r="Z1140" s="227">
        <v>79.5</v>
      </c>
      <c r="AA1140" s="227">
        <v>79.5</v>
      </c>
      <c r="AB1140" s="227">
        <v>10.407999999999999</v>
      </c>
      <c r="AC1140" s="227">
        <v>774.65</v>
      </c>
      <c r="AD1140" s="230">
        <v>1.2046296296296296E-4</v>
      </c>
      <c r="AE1140" s="230">
        <v>62.448</v>
      </c>
      <c r="AF1140" s="230">
        <v>3816</v>
      </c>
      <c r="AG1140" s="230">
        <v>507937.28089991986</v>
      </c>
      <c r="AH1140" s="230">
        <v>4139155.6542056487</v>
      </c>
      <c r="AI1140" s="230">
        <v>4647.8999999999996</v>
      </c>
    </row>
    <row r="1141" spans="5:35" x14ac:dyDescent="0.35">
      <c r="E1141" s="226">
        <v>3.8284400000000001</v>
      </c>
      <c r="F1141" s="227">
        <v>18.5136</v>
      </c>
      <c r="G1141" s="227">
        <v>6757.4639999999999</v>
      </c>
      <c r="H1141" s="227">
        <v>0.98370000000000002</v>
      </c>
      <c r="I1141" s="227">
        <v>4.5244</v>
      </c>
      <c r="J1141" s="227">
        <v>0.58796252418972206</v>
      </c>
      <c r="K1141" s="227">
        <v>131.19999999999999</v>
      </c>
      <c r="L1141" s="227">
        <v>131.87</v>
      </c>
      <c r="M1141" s="227">
        <v>129.01</v>
      </c>
      <c r="N1141" s="227">
        <v>91.049000000000007</v>
      </c>
      <c r="O1141" s="227">
        <v>97.471999999999994</v>
      </c>
      <c r="P1141" s="227">
        <v>112.86</v>
      </c>
      <c r="Q1141" s="227">
        <v>105.39</v>
      </c>
      <c r="R1141" s="227">
        <v>110.13</v>
      </c>
      <c r="S1141" s="227"/>
      <c r="T1141" s="227">
        <v>79.5</v>
      </c>
      <c r="U1141" s="227">
        <v>79.5</v>
      </c>
      <c r="V1141" s="227">
        <v>79.5</v>
      </c>
      <c r="W1141" s="227">
        <v>79.5</v>
      </c>
      <c r="X1141" s="227">
        <v>79.5</v>
      </c>
      <c r="Y1141" s="227">
        <v>79.5</v>
      </c>
      <c r="Z1141" s="227">
        <v>79.5</v>
      </c>
      <c r="AA1141" s="227">
        <v>79.5</v>
      </c>
      <c r="AB1141" s="227">
        <v>10.39</v>
      </c>
      <c r="AC1141" s="227">
        <v>774.65</v>
      </c>
      <c r="AD1141" s="230">
        <v>1.2025462962962963E-4</v>
      </c>
      <c r="AE1141" s="230">
        <v>62.339999999999996</v>
      </c>
      <c r="AF1141" s="230">
        <v>3816</v>
      </c>
      <c r="AG1141" s="230">
        <v>507999.62089991989</v>
      </c>
      <c r="AH1141" s="230">
        <v>4142971.6542056487</v>
      </c>
      <c r="AI1141" s="230">
        <v>4647.8999999999996</v>
      </c>
    </row>
    <row r="1142" spans="5:35" x14ac:dyDescent="0.35">
      <c r="E1142" s="226">
        <v>3.8324400000000005</v>
      </c>
      <c r="F1142" s="227">
        <v>18.530038356164383</v>
      </c>
      <c r="G1142" s="227">
        <v>6763.4639999999999</v>
      </c>
      <c r="H1142" s="227">
        <v>0.98370000000000002</v>
      </c>
      <c r="I1142" s="227">
        <v>4.5284000000000004</v>
      </c>
      <c r="J1142" s="227">
        <v>0.58803455891194434</v>
      </c>
      <c r="K1142" s="227">
        <v>131.18</v>
      </c>
      <c r="L1142" s="227">
        <v>131.86000000000001</v>
      </c>
      <c r="M1142" s="227">
        <v>129</v>
      </c>
      <c r="N1142" s="227">
        <v>91.042000000000002</v>
      </c>
      <c r="O1142" s="227">
        <v>97.465999999999994</v>
      </c>
      <c r="P1142" s="227">
        <v>112.85</v>
      </c>
      <c r="Q1142" s="227">
        <v>105.38</v>
      </c>
      <c r="R1142" s="227">
        <v>110.12</v>
      </c>
      <c r="S1142" s="227"/>
      <c r="T1142" s="227">
        <v>79.5</v>
      </c>
      <c r="U1142" s="227">
        <v>79.5</v>
      </c>
      <c r="V1142" s="227">
        <v>79.5</v>
      </c>
      <c r="W1142" s="227">
        <v>79.5</v>
      </c>
      <c r="X1142" s="227">
        <v>79.5</v>
      </c>
      <c r="Y1142" s="227">
        <v>79.5</v>
      </c>
      <c r="Z1142" s="227">
        <v>79.5</v>
      </c>
      <c r="AA1142" s="227">
        <v>79.5</v>
      </c>
      <c r="AB1142" s="227">
        <v>10.372999999999999</v>
      </c>
      <c r="AC1142" s="227">
        <v>774.65</v>
      </c>
      <c r="AD1142" s="230">
        <v>1.2005787037037036E-4</v>
      </c>
      <c r="AE1142" s="230">
        <v>62.237999999999992</v>
      </c>
      <c r="AF1142" s="230">
        <v>3816</v>
      </c>
      <c r="AG1142" s="230">
        <v>508061.8588999199</v>
      </c>
      <c r="AH1142" s="230">
        <v>4146787.6542056487</v>
      </c>
      <c r="AI1142" s="230">
        <v>4647.8999999999996</v>
      </c>
    </row>
    <row r="1143" spans="5:35" x14ac:dyDescent="0.35">
      <c r="E1143" s="226">
        <v>3.8364400000000001</v>
      </c>
      <c r="F1143" s="227">
        <v>18.546476712328769</v>
      </c>
      <c r="G1143" s="227">
        <v>6769.4639999999999</v>
      </c>
      <c r="H1143" s="227">
        <v>0.98370000000000002</v>
      </c>
      <c r="I1143" s="227">
        <v>4.5324</v>
      </c>
      <c r="J1143" s="227">
        <v>0.5881064686341666</v>
      </c>
      <c r="K1143" s="227">
        <v>131.16999999999999</v>
      </c>
      <c r="L1143" s="227">
        <v>131.85</v>
      </c>
      <c r="M1143" s="227">
        <v>128.97999999999999</v>
      </c>
      <c r="N1143" s="227">
        <v>91.034999999999997</v>
      </c>
      <c r="O1143" s="227">
        <v>97.46</v>
      </c>
      <c r="P1143" s="227">
        <v>112.84</v>
      </c>
      <c r="Q1143" s="227">
        <v>105.38</v>
      </c>
      <c r="R1143" s="227">
        <v>110.11</v>
      </c>
      <c r="S1143" s="227"/>
      <c r="T1143" s="227">
        <v>79.5</v>
      </c>
      <c r="U1143" s="227">
        <v>79.5</v>
      </c>
      <c r="V1143" s="227">
        <v>79.5</v>
      </c>
      <c r="W1143" s="227">
        <v>79.5</v>
      </c>
      <c r="X1143" s="227">
        <v>79.5</v>
      </c>
      <c r="Y1143" s="227">
        <v>79.5</v>
      </c>
      <c r="Z1143" s="227">
        <v>79.5</v>
      </c>
      <c r="AA1143" s="227">
        <v>79.5</v>
      </c>
      <c r="AB1143" s="227">
        <v>10.355</v>
      </c>
      <c r="AC1143" s="227">
        <v>774.65</v>
      </c>
      <c r="AD1143" s="230">
        <v>1.1984953703703704E-4</v>
      </c>
      <c r="AE1143" s="230">
        <v>62.13000000000001</v>
      </c>
      <c r="AF1143" s="230">
        <v>3816</v>
      </c>
      <c r="AG1143" s="230">
        <v>508123.9888999199</v>
      </c>
      <c r="AH1143" s="230">
        <v>4150603.6542056487</v>
      </c>
      <c r="AI1143" s="230">
        <v>4647.8999999999996</v>
      </c>
    </row>
    <row r="1144" spans="5:35" x14ac:dyDescent="0.35">
      <c r="E1144" s="226">
        <v>3.8404400000000005</v>
      </c>
      <c r="F1144" s="227">
        <v>18.562915068493151</v>
      </c>
      <c r="G1144" s="227">
        <v>6775.4639999999999</v>
      </c>
      <c r="H1144" s="227">
        <v>0.98370000000000002</v>
      </c>
      <c r="I1144" s="227">
        <v>4.5364000000000004</v>
      </c>
      <c r="J1144" s="227">
        <v>0.5881782603008332</v>
      </c>
      <c r="K1144" s="227">
        <v>131.15</v>
      </c>
      <c r="L1144" s="227">
        <v>131.84</v>
      </c>
      <c r="M1144" s="227">
        <v>128.97</v>
      </c>
      <c r="N1144" s="227">
        <v>91.028000000000006</v>
      </c>
      <c r="O1144" s="227">
        <v>97.453000000000003</v>
      </c>
      <c r="P1144" s="227">
        <v>112.83</v>
      </c>
      <c r="Q1144" s="227">
        <v>105.37</v>
      </c>
      <c r="R1144" s="227">
        <v>110.11</v>
      </c>
      <c r="S1144" s="227"/>
      <c r="T1144" s="227">
        <v>79.5</v>
      </c>
      <c r="U1144" s="227">
        <v>79.5</v>
      </c>
      <c r="V1144" s="227">
        <v>79.5</v>
      </c>
      <c r="W1144" s="227">
        <v>79.5</v>
      </c>
      <c r="X1144" s="227">
        <v>79.5</v>
      </c>
      <c r="Y1144" s="227">
        <v>79.5</v>
      </c>
      <c r="Z1144" s="227">
        <v>79.5</v>
      </c>
      <c r="AA1144" s="227">
        <v>79.5</v>
      </c>
      <c r="AB1144" s="227">
        <v>10.337999999999999</v>
      </c>
      <c r="AC1144" s="227">
        <v>774.65</v>
      </c>
      <c r="AD1144" s="230">
        <v>1.1965277777777777E-4</v>
      </c>
      <c r="AE1144" s="230">
        <v>62.027999999999999</v>
      </c>
      <c r="AF1144" s="230">
        <v>3816</v>
      </c>
      <c r="AG1144" s="230">
        <v>508186.01689991989</v>
      </c>
      <c r="AH1144" s="230">
        <v>4154419.6542056487</v>
      </c>
      <c r="AI1144" s="230">
        <v>4647.8999999999996</v>
      </c>
    </row>
    <row r="1145" spans="5:35" x14ac:dyDescent="0.35">
      <c r="E1145" s="226">
        <v>3.8444400000000001</v>
      </c>
      <c r="F1145" s="227">
        <v>18.579353424657533</v>
      </c>
      <c r="G1145" s="227">
        <v>6781.4639999999999</v>
      </c>
      <c r="H1145" s="227">
        <v>0.98380000000000001</v>
      </c>
      <c r="I1145" s="227">
        <v>4.5404</v>
      </c>
      <c r="J1145" s="227">
        <v>0.58824992696749989</v>
      </c>
      <c r="K1145" s="227">
        <v>131.13999999999999</v>
      </c>
      <c r="L1145" s="227">
        <v>131.82</v>
      </c>
      <c r="M1145" s="227">
        <v>128.96</v>
      </c>
      <c r="N1145" s="227">
        <v>91.021000000000001</v>
      </c>
      <c r="O1145" s="227">
        <v>97.447000000000003</v>
      </c>
      <c r="P1145" s="227">
        <v>112.82</v>
      </c>
      <c r="Q1145" s="227">
        <v>105.37</v>
      </c>
      <c r="R1145" s="227">
        <v>110.1</v>
      </c>
      <c r="S1145" s="227"/>
      <c r="T1145" s="227">
        <v>79.5</v>
      </c>
      <c r="U1145" s="227">
        <v>79.5</v>
      </c>
      <c r="V1145" s="227">
        <v>79.5</v>
      </c>
      <c r="W1145" s="227">
        <v>79.5</v>
      </c>
      <c r="X1145" s="227">
        <v>79.5</v>
      </c>
      <c r="Y1145" s="227">
        <v>79.5</v>
      </c>
      <c r="Z1145" s="227">
        <v>79.5</v>
      </c>
      <c r="AA1145" s="227">
        <v>79.5</v>
      </c>
      <c r="AB1145" s="227">
        <v>10.32</v>
      </c>
      <c r="AC1145" s="227">
        <v>774.65</v>
      </c>
      <c r="AD1145" s="230">
        <v>1.1944444444444445E-4</v>
      </c>
      <c r="AE1145" s="230">
        <v>61.92</v>
      </c>
      <c r="AF1145" s="230">
        <v>3816</v>
      </c>
      <c r="AG1145" s="230">
        <v>508247.93689991988</v>
      </c>
      <c r="AH1145" s="230">
        <v>4158235.6542056487</v>
      </c>
      <c r="AI1145" s="230">
        <v>4647.8999999999996</v>
      </c>
    </row>
    <row r="1146" spans="5:35" x14ac:dyDescent="0.35">
      <c r="E1146" s="226">
        <v>3.8485400000000003</v>
      </c>
      <c r="F1146" s="227">
        <v>18.595791780821919</v>
      </c>
      <c r="G1146" s="227">
        <v>6787.4639999999999</v>
      </c>
      <c r="H1146" s="227">
        <v>0.98380000000000001</v>
      </c>
      <c r="I1146" s="227">
        <v>4.5445000000000002</v>
      </c>
      <c r="J1146" s="227">
        <v>0.58832147557861103</v>
      </c>
      <c r="K1146" s="227">
        <v>131.12</v>
      </c>
      <c r="L1146" s="227">
        <v>131.81</v>
      </c>
      <c r="M1146" s="227">
        <v>128.94</v>
      </c>
      <c r="N1146" s="227">
        <v>91.013999999999996</v>
      </c>
      <c r="O1146" s="227">
        <v>97.441000000000003</v>
      </c>
      <c r="P1146" s="227">
        <v>112.81</v>
      </c>
      <c r="Q1146" s="227">
        <v>105.36</v>
      </c>
      <c r="R1146" s="227">
        <v>110.09</v>
      </c>
      <c r="S1146" s="227"/>
      <c r="T1146" s="227">
        <v>79.5</v>
      </c>
      <c r="U1146" s="227">
        <v>79.5</v>
      </c>
      <c r="V1146" s="227">
        <v>79.5</v>
      </c>
      <c r="W1146" s="227">
        <v>79.5</v>
      </c>
      <c r="X1146" s="227">
        <v>79.5</v>
      </c>
      <c r="Y1146" s="227">
        <v>79.5</v>
      </c>
      <c r="Z1146" s="227">
        <v>79.5</v>
      </c>
      <c r="AA1146" s="227">
        <v>79.5</v>
      </c>
      <c r="AB1146" s="227">
        <v>10.303000000000001</v>
      </c>
      <c r="AC1146" s="227">
        <v>774.65</v>
      </c>
      <c r="AD1146" s="230">
        <v>1.1924768518518519E-4</v>
      </c>
      <c r="AE1146" s="230">
        <v>61.818000000000005</v>
      </c>
      <c r="AF1146" s="230">
        <v>3816</v>
      </c>
      <c r="AG1146" s="230">
        <v>508309.75489991991</v>
      </c>
      <c r="AH1146" s="230">
        <v>4162051.6542056487</v>
      </c>
      <c r="AI1146" s="230">
        <v>4647.8999999999996</v>
      </c>
    </row>
    <row r="1147" spans="5:35" x14ac:dyDescent="0.35">
      <c r="E1147" s="226">
        <v>3.8525399999999999</v>
      </c>
      <c r="F1147" s="227">
        <v>18.612230136986302</v>
      </c>
      <c r="G1147" s="227">
        <v>6793.4639999999999</v>
      </c>
      <c r="H1147" s="227">
        <v>0.98380000000000001</v>
      </c>
      <c r="I1147" s="227">
        <v>4.5484999999999998</v>
      </c>
      <c r="J1147" s="227">
        <v>0.58839290613416662</v>
      </c>
      <c r="K1147" s="227">
        <v>131.11000000000001</v>
      </c>
      <c r="L1147" s="227">
        <v>131.80000000000001</v>
      </c>
      <c r="M1147" s="227">
        <v>128.93</v>
      </c>
      <c r="N1147" s="227">
        <v>91.007000000000005</v>
      </c>
      <c r="O1147" s="227">
        <v>97.435000000000002</v>
      </c>
      <c r="P1147" s="227">
        <v>112.8</v>
      </c>
      <c r="Q1147" s="227">
        <v>105.36</v>
      </c>
      <c r="R1147" s="227">
        <v>110.09</v>
      </c>
      <c r="S1147" s="227"/>
      <c r="T1147" s="227">
        <v>79.5</v>
      </c>
      <c r="U1147" s="227">
        <v>79.5</v>
      </c>
      <c r="V1147" s="227">
        <v>79.5</v>
      </c>
      <c r="W1147" s="227">
        <v>79.5</v>
      </c>
      <c r="X1147" s="227">
        <v>79.5</v>
      </c>
      <c r="Y1147" s="227">
        <v>79.5</v>
      </c>
      <c r="Z1147" s="227">
        <v>79.5</v>
      </c>
      <c r="AA1147" s="227">
        <v>79.5</v>
      </c>
      <c r="AB1147" s="227">
        <v>10.286</v>
      </c>
      <c r="AC1147" s="227">
        <v>774.65</v>
      </c>
      <c r="AD1147" s="230">
        <v>1.1905092592592592E-4</v>
      </c>
      <c r="AE1147" s="230">
        <v>61.715999999999994</v>
      </c>
      <c r="AF1147" s="230">
        <v>3816</v>
      </c>
      <c r="AG1147" s="230">
        <v>508371.47089991992</v>
      </c>
      <c r="AH1147" s="230">
        <v>4165867.6542056487</v>
      </c>
      <c r="AI1147" s="230">
        <v>4647.8999999999996</v>
      </c>
    </row>
    <row r="1148" spans="5:35" x14ac:dyDescent="0.35">
      <c r="E1148" s="226">
        <v>3.8565400000000003</v>
      </c>
      <c r="F1148" s="227">
        <v>18.628668493150684</v>
      </c>
      <c r="G1148" s="227">
        <v>6799.4639999999999</v>
      </c>
      <c r="H1148" s="227">
        <v>0.9839</v>
      </c>
      <c r="I1148" s="227">
        <v>4.5525000000000002</v>
      </c>
      <c r="J1148" s="227">
        <v>0.58846421863416654</v>
      </c>
      <c r="K1148" s="227">
        <v>131.09</v>
      </c>
      <c r="L1148" s="227">
        <v>131.79</v>
      </c>
      <c r="M1148" s="227">
        <v>128.91999999999999</v>
      </c>
      <c r="N1148" s="227">
        <v>91</v>
      </c>
      <c r="O1148" s="227">
        <v>97.429000000000002</v>
      </c>
      <c r="P1148" s="227">
        <v>112.8</v>
      </c>
      <c r="Q1148" s="227">
        <v>105.35</v>
      </c>
      <c r="R1148" s="227">
        <v>110.08</v>
      </c>
      <c r="S1148" s="227"/>
      <c r="T1148" s="227">
        <v>79.5</v>
      </c>
      <c r="U1148" s="227">
        <v>79.5</v>
      </c>
      <c r="V1148" s="227">
        <v>79.5</v>
      </c>
      <c r="W1148" s="227">
        <v>79.5</v>
      </c>
      <c r="X1148" s="227">
        <v>79.5</v>
      </c>
      <c r="Y1148" s="227">
        <v>79.5</v>
      </c>
      <c r="Z1148" s="227">
        <v>79.5</v>
      </c>
      <c r="AA1148" s="227">
        <v>79.5</v>
      </c>
      <c r="AB1148" s="227">
        <v>10.269</v>
      </c>
      <c r="AC1148" s="227">
        <v>774.65</v>
      </c>
      <c r="AD1148" s="230">
        <v>1.1885416666666667E-4</v>
      </c>
      <c r="AE1148" s="230">
        <v>61.613999999999997</v>
      </c>
      <c r="AF1148" s="230">
        <v>3816</v>
      </c>
      <c r="AG1148" s="230">
        <v>508433.08489991992</v>
      </c>
      <c r="AH1148" s="230">
        <v>4169683.6542056487</v>
      </c>
      <c r="AI1148" s="230">
        <v>4647.8999999999996</v>
      </c>
    </row>
    <row r="1149" spans="5:35" x14ac:dyDescent="0.35">
      <c r="E1149" s="226">
        <v>3.8605399999999999</v>
      </c>
      <c r="F1149" s="227">
        <v>18.64510684931507</v>
      </c>
      <c r="G1149" s="227">
        <v>6805.4639999999999</v>
      </c>
      <c r="H1149" s="227">
        <v>0.9839</v>
      </c>
      <c r="I1149" s="227">
        <v>4.5564999999999998</v>
      </c>
      <c r="J1149" s="227">
        <v>0.58853540613416655</v>
      </c>
      <c r="K1149" s="227">
        <v>131.08000000000001</v>
      </c>
      <c r="L1149" s="227">
        <v>131.78</v>
      </c>
      <c r="M1149" s="227">
        <v>128.9</v>
      </c>
      <c r="N1149" s="227">
        <v>90.992999999999995</v>
      </c>
      <c r="O1149" s="227">
        <v>97.423000000000002</v>
      </c>
      <c r="P1149" s="227">
        <v>112.79</v>
      </c>
      <c r="Q1149" s="227">
        <v>105.35</v>
      </c>
      <c r="R1149" s="227">
        <v>110.07</v>
      </c>
      <c r="S1149" s="227"/>
      <c r="T1149" s="227">
        <v>79.5</v>
      </c>
      <c r="U1149" s="227">
        <v>79.5</v>
      </c>
      <c r="V1149" s="227">
        <v>79.5</v>
      </c>
      <c r="W1149" s="227">
        <v>79.5</v>
      </c>
      <c r="X1149" s="227">
        <v>79.5</v>
      </c>
      <c r="Y1149" s="227">
        <v>79.5</v>
      </c>
      <c r="Z1149" s="227">
        <v>79.5</v>
      </c>
      <c r="AA1149" s="227">
        <v>79.5</v>
      </c>
      <c r="AB1149" s="227">
        <v>10.250999999999999</v>
      </c>
      <c r="AC1149" s="227">
        <v>774.65</v>
      </c>
      <c r="AD1149" s="230">
        <v>1.1864583333333333E-4</v>
      </c>
      <c r="AE1149" s="230">
        <v>61.505999999999993</v>
      </c>
      <c r="AF1149" s="230">
        <v>3816</v>
      </c>
      <c r="AG1149" s="230">
        <v>508494.59089991992</v>
      </c>
      <c r="AH1149" s="230">
        <v>4173499.6542056487</v>
      </c>
      <c r="AI1149" s="230">
        <v>4647.8999999999996</v>
      </c>
    </row>
    <row r="1150" spans="5:35" x14ac:dyDescent="0.35">
      <c r="E1150" s="226">
        <v>3.8645400000000003</v>
      </c>
      <c r="F1150" s="227">
        <v>18.661545205479452</v>
      </c>
      <c r="G1150" s="227">
        <v>6811.4639999999999</v>
      </c>
      <c r="H1150" s="227">
        <v>0.9839</v>
      </c>
      <c r="I1150" s="227">
        <v>4.5605000000000002</v>
      </c>
      <c r="J1150" s="227">
        <v>0.58860647557861101</v>
      </c>
      <c r="K1150" s="227">
        <v>131.07</v>
      </c>
      <c r="L1150" s="227">
        <v>131.77000000000001</v>
      </c>
      <c r="M1150" s="227">
        <v>128.88999999999999</v>
      </c>
      <c r="N1150" s="227">
        <v>90.986000000000004</v>
      </c>
      <c r="O1150" s="227">
        <v>97.417000000000002</v>
      </c>
      <c r="P1150" s="227">
        <v>112.78</v>
      </c>
      <c r="Q1150" s="227">
        <v>105.34</v>
      </c>
      <c r="R1150" s="227">
        <v>110.07</v>
      </c>
      <c r="S1150" s="227"/>
      <c r="T1150" s="227">
        <v>79.5</v>
      </c>
      <c r="U1150" s="227">
        <v>79.5</v>
      </c>
      <c r="V1150" s="227">
        <v>79.5</v>
      </c>
      <c r="W1150" s="227">
        <v>79.5</v>
      </c>
      <c r="X1150" s="227">
        <v>79.5</v>
      </c>
      <c r="Y1150" s="227">
        <v>79.5</v>
      </c>
      <c r="Z1150" s="227">
        <v>79.5</v>
      </c>
      <c r="AA1150" s="227">
        <v>79.5</v>
      </c>
      <c r="AB1150" s="227">
        <v>10.234</v>
      </c>
      <c r="AC1150" s="227">
        <v>774.65</v>
      </c>
      <c r="AD1150" s="230">
        <v>1.1844907407407407E-4</v>
      </c>
      <c r="AE1150" s="230">
        <v>61.403999999999989</v>
      </c>
      <c r="AF1150" s="230">
        <v>3816</v>
      </c>
      <c r="AG1150" s="230">
        <v>508555.9948999199</v>
      </c>
      <c r="AH1150" s="230">
        <v>4177315.6542056487</v>
      </c>
      <c r="AI1150" s="230">
        <v>4647.8999999999996</v>
      </c>
    </row>
    <row r="1151" spans="5:35" x14ac:dyDescent="0.35">
      <c r="E1151" s="226">
        <v>3.8685399999999999</v>
      </c>
      <c r="F1151" s="227">
        <v>18.677983561643835</v>
      </c>
      <c r="G1151" s="227">
        <v>6817.4639999999999</v>
      </c>
      <c r="H1151" s="227">
        <v>0.9839</v>
      </c>
      <c r="I1151" s="227">
        <v>4.5644999999999998</v>
      </c>
      <c r="J1151" s="227">
        <v>0.58867742696749992</v>
      </c>
      <c r="K1151" s="227">
        <v>131.05000000000001</v>
      </c>
      <c r="L1151" s="227">
        <v>131.76</v>
      </c>
      <c r="M1151" s="227">
        <v>128.88</v>
      </c>
      <c r="N1151" s="227">
        <v>90.978999999999999</v>
      </c>
      <c r="O1151" s="227">
        <v>97.41</v>
      </c>
      <c r="P1151" s="227">
        <v>112.77</v>
      </c>
      <c r="Q1151" s="227">
        <v>105.34</v>
      </c>
      <c r="R1151" s="227">
        <v>110.06</v>
      </c>
      <c r="S1151" s="227"/>
      <c r="T1151" s="227">
        <v>79.5</v>
      </c>
      <c r="U1151" s="227">
        <v>79.5</v>
      </c>
      <c r="V1151" s="227">
        <v>79.5</v>
      </c>
      <c r="W1151" s="227">
        <v>79.5</v>
      </c>
      <c r="X1151" s="227">
        <v>79.5</v>
      </c>
      <c r="Y1151" s="227">
        <v>79.5</v>
      </c>
      <c r="Z1151" s="227">
        <v>79.5</v>
      </c>
      <c r="AA1151" s="227">
        <v>79.5</v>
      </c>
      <c r="AB1151" s="227">
        <v>10.217000000000001</v>
      </c>
      <c r="AC1151" s="227">
        <v>774.65</v>
      </c>
      <c r="AD1151" s="230">
        <v>1.1825231481481482E-4</v>
      </c>
      <c r="AE1151" s="230">
        <v>61.302</v>
      </c>
      <c r="AF1151" s="230">
        <v>3816</v>
      </c>
      <c r="AG1151" s="230">
        <v>508617.29689991992</v>
      </c>
      <c r="AH1151" s="230">
        <v>4181131.6542056487</v>
      </c>
      <c r="AI1151" s="230">
        <v>4647.8999999999996</v>
      </c>
    </row>
    <row r="1152" spans="5:35" x14ac:dyDescent="0.35">
      <c r="E1152" s="226">
        <v>3.8726400000000001</v>
      </c>
      <c r="F1152" s="227">
        <v>18.694421917808221</v>
      </c>
      <c r="G1152" s="227">
        <v>6823.4639999999999</v>
      </c>
      <c r="H1152" s="227">
        <v>0.98399999999999999</v>
      </c>
      <c r="I1152" s="227">
        <v>4.5686</v>
      </c>
      <c r="J1152" s="227">
        <v>0.58874826030083327</v>
      </c>
      <c r="K1152" s="227">
        <v>131.04</v>
      </c>
      <c r="L1152" s="227">
        <v>131.75</v>
      </c>
      <c r="M1152" s="227">
        <v>128.87</v>
      </c>
      <c r="N1152" s="227">
        <v>90.971999999999994</v>
      </c>
      <c r="O1152" s="227">
        <v>97.403999999999996</v>
      </c>
      <c r="P1152" s="227">
        <v>112.76</v>
      </c>
      <c r="Q1152" s="227">
        <v>105.33</v>
      </c>
      <c r="R1152" s="227">
        <v>110.05</v>
      </c>
      <c r="S1152" s="227"/>
      <c r="T1152" s="227">
        <v>79.5</v>
      </c>
      <c r="U1152" s="227">
        <v>79.5</v>
      </c>
      <c r="V1152" s="227">
        <v>79.5</v>
      </c>
      <c r="W1152" s="227">
        <v>79.5</v>
      </c>
      <c r="X1152" s="227">
        <v>79.5</v>
      </c>
      <c r="Y1152" s="227">
        <v>79.5</v>
      </c>
      <c r="Z1152" s="227">
        <v>79.5</v>
      </c>
      <c r="AA1152" s="227">
        <v>79.5</v>
      </c>
      <c r="AB1152" s="227">
        <v>10.199999999999999</v>
      </c>
      <c r="AC1152" s="227">
        <v>774.65</v>
      </c>
      <c r="AD1152" s="230">
        <v>1.1805555555555555E-4</v>
      </c>
      <c r="AE1152" s="230">
        <v>61.199999999999996</v>
      </c>
      <c r="AF1152" s="230">
        <v>3816</v>
      </c>
      <c r="AG1152" s="230">
        <v>508678.49689991993</v>
      </c>
      <c r="AH1152" s="230">
        <v>4184947.6542056487</v>
      </c>
      <c r="AI1152" s="230">
        <v>4647.8999999999996</v>
      </c>
    </row>
    <row r="1153" spans="5:35" x14ac:dyDescent="0.35">
      <c r="E1153" s="226">
        <v>3.8766400000000005</v>
      </c>
      <c r="F1153" s="227">
        <v>18.710860273972603</v>
      </c>
      <c r="G1153" s="227">
        <v>6829.4639999999999</v>
      </c>
      <c r="H1153" s="227">
        <v>0.98399999999999999</v>
      </c>
      <c r="I1153" s="227">
        <v>4.5726000000000004</v>
      </c>
      <c r="J1153" s="227">
        <v>0.58881897557861107</v>
      </c>
      <c r="K1153" s="227">
        <v>131.03</v>
      </c>
      <c r="L1153" s="227">
        <v>131.74</v>
      </c>
      <c r="M1153" s="227">
        <v>128.86000000000001</v>
      </c>
      <c r="N1153" s="227">
        <v>90.965000000000003</v>
      </c>
      <c r="O1153" s="227">
        <v>97.399000000000001</v>
      </c>
      <c r="P1153" s="227">
        <v>112.75</v>
      </c>
      <c r="Q1153" s="227">
        <v>105.32</v>
      </c>
      <c r="R1153" s="227">
        <v>110.05</v>
      </c>
      <c r="S1153" s="227"/>
      <c r="T1153" s="227">
        <v>79.5</v>
      </c>
      <c r="U1153" s="227">
        <v>79.5</v>
      </c>
      <c r="V1153" s="227">
        <v>79.5</v>
      </c>
      <c r="W1153" s="227">
        <v>79.5</v>
      </c>
      <c r="X1153" s="227">
        <v>79.5</v>
      </c>
      <c r="Y1153" s="227">
        <v>79.5</v>
      </c>
      <c r="Z1153" s="227">
        <v>79.5</v>
      </c>
      <c r="AA1153" s="227">
        <v>79.5</v>
      </c>
      <c r="AB1153" s="227">
        <v>10.183</v>
      </c>
      <c r="AC1153" s="227">
        <v>774.65</v>
      </c>
      <c r="AD1153" s="230">
        <v>1.178587962962963E-4</v>
      </c>
      <c r="AE1153" s="230">
        <v>61.097999999999999</v>
      </c>
      <c r="AF1153" s="230">
        <v>3816</v>
      </c>
      <c r="AG1153" s="230">
        <v>508739.59489991993</v>
      </c>
      <c r="AH1153" s="230">
        <v>4188763.6542056487</v>
      </c>
      <c r="AI1153" s="230">
        <v>4647.8999999999996</v>
      </c>
    </row>
    <row r="1154" spans="5:35" x14ac:dyDescent="0.35">
      <c r="E1154" s="226">
        <v>3.8806400000000001</v>
      </c>
      <c r="F1154" s="227">
        <v>18.727298630136985</v>
      </c>
      <c r="G1154" s="227">
        <v>6835.4639999999999</v>
      </c>
      <c r="H1154" s="227">
        <v>0.98399999999999999</v>
      </c>
      <c r="I1154" s="227">
        <v>4.5766</v>
      </c>
      <c r="J1154" s="227">
        <v>0.58888957280083321</v>
      </c>
      <c r="K1154" s="227">
        <v>131.01</v>
      </c>
      <c r="L1154" s="227">
        <v>131.72999999999999</v>
      </c>
      <c r="M1154" s="227">
        <v>128.84</v>
      </c>
      <c r="N1154" s="227">
        <v>90.959000000000003</v>
      </c>
      <c r="O1154" s="227">
        <v>97.391999999999996</v>
      </c>
      <c r="P1154" s="227">
        <v>112.74</v>
      </c>
      <c r="Q1154" s="227">
        <v>105.32</v>
      </c>
      <c r="R1154" s="227">
        <v>110.04</v>
      </c>
      <c r="S1154" s="227"/>
      <c r="T1154" s="227">
        <v>79.5</v>
      </c>
      <c r="U1154" s="227">
        <v>79.5</v>
      </c>
      <c r="V1154" s="227">
        <v>79.5</v>
      </c>
      <c r="W1154" s="227">
        <v>79.5</v>
      </c>
      <c r="X1154" s="227">
        <v>79.5</v>
      </c>
      <c r="Y1154" s="227">
        <v>79.5</v>
      </c>
      <c r="Z1154" s="227">
        <v>79.5</v>
      </c>
      <c r="AA1154" s="227">
        <v>79.5</v>
      </c>
      <c r="AB1154" s="227">
        <v>10.166</v>
      </c>
      <c r="AC1154" s="227">
        <v>774.65</v>
      </c>
      <c r="AD1154" s="230">
        <v>1.1766203703703704E-4</v>
      </c>
      <c r="AE1154" s="230">
        <v>60.995999999999995</v>
      </c>
      <c r="AF1154" s="230">
        <v>3816</v>
      </c>
      <c r="AG1154" s="230">
        <v>508800.59089991992</v>
      </c>
      <c r="AH1154" s="230">
        <v>4192579.6542056487</v>
      </c>
      <c r="AI1154" s="230">
        <v>4647.8999999999996</v>
      </c>
    </row>
    <row r="1155" spans="5:35" x14ac:dyDescent="0.35">
      <c r="E1155" s="226">
        <v>3.8846399999999996</v>
      </c>
      <c r="F1155" s="227">
        <v>18.743736986301371</v>
      </c>
      <c r="G1155" s="227">
        <v>6841.4639999999999</v>
      </c>
      <c r="H1155" s="227">
        <v>0.98399999999999999</v>
      </c>
      <c r="I1155" s="227">
        <v>4.5805999999999996</v>
      </c>
      <c r="J1155" s="227">
        <v>0.5889600519674999</v>
      </c>
      <c r="K1155" s="227">
        <v>131</v>
      </c>
      <c r="L1155" s="227">
        <v>131.72</v>
      </c>
      <c r="M1155" s="227">
        <v>128.83000000000001</v>
      </c>
      <c r="N1155" s="227">
        <v>90.951999999999998</v>
      </c>
      <c r="O1155" s="227">
        <v>97.387</v>
      </c>
      <c r="P1155" s="227">
        <v>112.73</v>
      </c>
      <c r="Q1155" s="227">
        <v>105.31</v>
      </c>
      <c r="R1155" s="227">
        <v>110.03</v>
      </c>
      <c r="S1155" s="227"/>
      <c r="T1155" s="227">
        <v>79.5</v>
      </c>
      <c r="U1155" s="227">
        <v>79.5</v>
      </c>
      <c r="V1155" s="227">
        <v>79.5</v>
      </c>
      <c r="W1155" s="227">
        <v>79.5</v>
      </c>
      <c r="X1155" s="227">
        <v>79.5</v>
      </c>
      <c r="Y1155" s="227">
        <v>79.5</v>
      </c>
      <c r="Z1155" s="227">
        <v>79.5</v>
      </c>
      <c r="AA1155" s="227">
        <v>79.5</v>
      </c>
      <c r="AB1155" s="227">
        <v>10.148999999999999</v>
      </c>
      <c r="AC1155" s="227">
        <v>774.65</v>
      </c>
      <c r="AD1155" s="230">
        <v>1.1746527777777776E-4</v>
      </c>
      <c r="AE1155" s="230">
        <v>60.893999999999998</v>
      </c>
      <c r="AF1155" s="230">
        <v>3816</v>
      </c>
      <c r="AG1155" s="230">
        <v>508861.48489991989</v>
      </c>
      <c r="AH1155" s="230">
        <v>4196395.6542056482</v>
      </c>
      <c r="AI1155" s="230">
        <v>4647.8999999999996</v>
      </c>
    </row>
    <row r="1156" spans="5:35" x14ac:dyDescent="0.35">
      <c r="E1156" s="226">
        <v>3.8886400000000001</v>
      </c>
      <c r="F1156" s="227">
        <v>18.760175342465754</v>
      </c>
      <c r="G1156" s="227">
        <v>6847.4639999999999</v>
      </c>
      <c r="H1156" s="227">
        <v>0.98409999999999997</v>
      </c>
      <c r="I1156" s="227">
        <v>4.5846</v>
      </c>
      <c r="J1156" s="227">
        <v>0.58903041307861104</v>
      </c>
      <c r="K1156" s="227">
        <v>130.97999999999999</v>
      </c>
      <c r="L1156" s="227">
        <v>131.71</v>
      </c>
      <c r="M1156" s="227">
        <v>128.81</v>
      </c>
      <c r="N1156" s="227">
        <v>90.944999999999993</v>
      </c>
      <c r="O1156" s="227">
        <v>97.38</v>
      </c>
      <c r="P1156" s="227">
        <v>112.72</v>
      </c>
      <c r="Q1156" s="227">
        <v>105.31</v>
      </c>
      <c r="R1156" s="227">
        <v>110.03</v>
      </c>
      <c r="S1156" s="227"/>
      <c r="T1156" s="227">
        <v>79.5</v>
      </c>
      <c r="U1156" s="227">
        <v>79.5</v>
      </c>
      <c r="V1156" s="227">
        <v>79.5</v>
      </c>
      <c r="W1156" s="227">
        <v>79.5</v>
      </c>
      <c r="X1156" s="227">
        <v>79.5</v>
      </c>
      <c r="Y1156" s="227">
        <v>79.5</v>
      </c>
      <c r="Z1156" s="227">
        <v>79.5</v>
      </c>
      <c r="AA1156" s="227">
        <v>79.5</v>
      </c>
      <c r="AB1156" s="227">
        <v>10.132</v>
      </c>
      <c r="AC1156" s="227">
        <v>774.65</v>
      </c>
      <c r="AD1156" s="230">
        <v>1.1726851851851852E-4</v>
      </c>
      <c r="AE1156" s="230">
        <v>60.792000000000002</v>
      </c>
      <c r="AF1156" s="230">
        <v>3816</v>
      </c>
      <c r="AG1156" s="230">
        <v>508922.2768999199</v>
      </c>
      <c r="AH1156" s="230">
        <v>4200211.6542056482</v>
      </c>
      <c r="AI1156" s="230">
        <v>4647.8999999999996</v>
      </c>
    </row>
    <row r="1157" spans="5:35" x14ac:dyDescent="0.35">
      <c r="E1157" s="226">
        <v>3.8926399999999997</v>
      </c>
      <c r="F1157" s="227">
        <v>18.776613698630136</v>
      </c>
      <c r="G1157" s="227">
        <v>6853.4639999999999</v>
      </c>
      <c r="H1157" s="227">
        <v>0.98409999999999997</v>
      </c>
      <c r="I1157" s="227">
        <v>4.5885999999999996</v>
      </c>
      <c r="J1157" s="227">
        <v>0.58910066307861098</v>
      </c>
      <c r="K1157" s="227">
        <v>130.97</v>
      </c>
      <c r="L1157" s="227">
        <v>131.69999999999999</v>
      </c>
      <c r="M1157" s="227">
        <v>128.80000000000001</v>
      </c>
      <c r="N1157" s="227">
        <v>90.938000000000002</v>
      </c>
      <c r="O1157" s="227">
        <v>97.375</v>
      </c>
      <c r="P1157" s="227">
        <v>112.72</v>
      </c>
      <c r="Q1157" s="227">
        <v>105.3</v>
      </c>
      <c r="R1157" s="227">
        <v>110.02</v>
      </c>
      <c r="S1157" s="227"/>
      <c r="T1157" s="227">
        <v>79.5</v>
      </c>
      <c r="U1157" s="227">
        <v>79.5</v>
      </c>
      <c r="V1157" s="227">
        <v>79.5</v>
      </c>
      <c r="W1157" s="227">
        <v>79.5</v>
      </c>
      <c r="X1157" s="227">
        <v>79.5</v>
      </c>
      <c r="Y1157" s="227">
        <v>79.5</v>
      </c>
      <c r="Z1157" s="227">
        <v>79.5</v>
      </c>
      <c r="AA1157" s="227">
        <v>79.5</v>
      </c>
      <c r="AB1157" s="227">
        <v>10.116</v>
      </c>
      <c r="AC1157" s="227">
        <v>774.65</v>
      </c>
      <c r="AD1157" s="230">
        <v>1.1708333333333332E-4</v>
      </c>
      <c r="AE1157" s="230">
        <v>60.695999999999998</v>
      </c>
      <c r="AF1157" s="230">
        <v>3816</v>
      </c>
      <c r="AG1157" s="230">
        <v>508982.9728999199</v>
      </c>
      <c r="AH1157" s="230">
        <v>4204027.6542056482</v>
      </c>
      <c r="AI1157" s="230">
        <v>4647.8999999999996</v>
      </c>
    </row>
    <row r="1158" spans="5:35" x14ac:dyDescent="0.35">
      <c r="E1158" s="226">
        <v>3.8967399999999999</v>
      </c>
      <c r="F1158" s="227">
        <v>18.793052054794522</v>
      </c>
      <c r="G1158" s="227">
        <v>6859.4639999999999</v>
      </c>
      <c r="H1158" s="227">
        <v>0.98409999999999997</v>
      </c>
      <c r="I1158" s="227">
        <v>4.5926999999999998</v>
      </c>
      <c r="J1158" s="227">
        <v>0.58917079502305547</v>
      </c>
      <c r="K1158" s="227">
        <v>130.96</v>
      </c>
      <c r="L1158" s="227">
        <v>131.68</v>
      </c>
      <c r="M1158" s="227">
        <v>128.79</v>
      </c>
      <c r="N1158" s="227">
        <v>90.930999999999997</v>
      </c>
      <c r="O1158" s="227">
        <v>97.369</v>
      </c>
      <c r="P1158" s="227">
        <v>112.71</v>
      </c>
      <c r="Q1158" s="227">
        <v>105.3</v>
      </c>
      <c r="R1158" s="227">
        <v>110.01</v>
      </c>
      <c r="S1158" s="227"/>
      <c r="T1158" s="227">
        <v>79.5</v>
      </c>
      <c r="U1158" s="227">
        <v>79.5</v>
      </c>
      <c r="V1158" s="227">
        <v>79.5</v>
      </c>
      <c r="W1158" s="227">
        <v>79.5</v>
      </c>
      <c r="X1158" s="227">
        <v>79.5</v>
      </c>
      <c r="Y1158" s="227">
        <v>79.5</v>
      </c>
      <c r="Z1158" s="227">
        <v>79.5</v>
      </c>
      <c r="AA1158" s="227">
        <v>79.5</v>
      </c>
      <c r="AB1158" s="227">
        <v>10.099</v>
      </c>
      <c r="AC1158" s="227">
        <v>774.65</v>
      </c>
      <c r="AD1158" s="230">
        <v>1.1688657407407408E-4</v>
      </c>
      <c r="AE1158" s="230">
        <v>60.594000000000008</v>
      </c>
      <c r="AF1158" s="230">
        <v>3816</v>
      </c>
      <c r="AG1158" s="230">
        <v>509043.56689991988</v>
      </c>
      <c r="AH1158" s="230">
        <v>4207843.6542056482</v>
      </c>
      <c r="AI1158" s="230">
        <v>4647.8999999999996</v>
      </c>
    </row>
    <row r="1159" spans="5:35" x14ac:dyDescent="0.35">
      <c r="E1159" s="226">
        <v>3.9007400000000003</v>
      </c>
      <c r="F1159" s="227">
        <v>18.809490410958905</v>
      </c>
      <c r="G1159" s="227">
        <v>6865.4639999999999</v>
      </c>
      <c r="H1159" s="227">
        <v>0.98409999999999997</v>
      </c>
      <c r="I1159" s="227">
        <v>4.5967000000000002</v>
      </c>
      <c r="J1159" s="227">
        <v>0.5892408089119443</v>
      </c>
      <c r="K1159" s="227">
        <v>130.94</v>
      </c>
      <c r="L1159" s="227">
        <v>131.66999999999999</v>
      </c>
      <c r="M1159" s="227">
        <v>128.78</v>
      </c>
      <c r="N1159" s="227">
        <v>90.924000000000007</v>
      </c>
      <c r="O1159" s="227">
        <v>97.363</v>
      </c>
      <c r="P1159" s="227">
        <v>112.7</v>
      </c>
      <c r="Q1159" s="227">
        <v>105.29</v>
      </c>
      <c r="R1159" s="227">
        <v>110.01</v>
      </c>
      <c r="S1159" s="227"/>
      <c r="T1159" s="227">
        <v>79.5</v>
      </c>
      <c r="U1159" s="227">
        <v>79.5</v>
      </c>
      <c r="V1159" s="227">
        <v>79.5</v>
      </c>
      <c r="W1159" s="227">
        <v>79.5</v>
      </c>
      <c r="X1159" s="227">
        <v>79.5</v>
      </c>
      <c r="Y1159" s="227">
        <v>79.5</v>
      </c>
      <c r="Z1159" s="227">
        <v>79.5</v>
      </c>
      <c r="AA1159" s="227">
        <v>79.5</v>
      </c>
      <c r="AB1159" s="227">
        <v>10.082000000000001</v>
      </c>
      <c r="AC1159" s="227">
        <v>774.65</v>
      </c>
      <c r="AD1159" s="230">
        <v>1.1668981481481483E-4</v>
      </c>
      <c r="AE1159" s="230">
        <v>60.492000000000012</v>
      </c>
      <c r="AF1159" s="230">
        <v>3816</v>
      </c>
      <c r="AG1159" s="230">
        <v>509104.05889991991</v>
      </c>
      <c r="AH1159" s="230">
        <v>4211659.6542056482</v>
      </c>
      <c r="AI1159" s="230">
        <v>4647.8999999999996</v>
      </c>
    </row>
    <row r="1160" spans="5:35" x14ac:dyDescent="0.35">
      <c r="E1160" s="226">
        <v>3.9047399999999999</v>
      </c>
      <c r="F1160" s="227">
        <v>18.825928767123287</v>
      </c>
      <c r="G1160" s="227">
        <v>6871.4639999999999</v>
      </c>
      <c r="H1160" s="227">
        <v>0.98419999999999996</v>
      </c>
      <c r="I1160" s="227">
        <v>4.6006999999999998</v>
      </c>
      <c r="J1160" s="227">
        <v>0.58931071168972216</v>
      </c>
      <c r="K1160" s="227">
        <v>130.93</v>
      </c>
      <c r="L1160" s="227">
        <v>131.66</v>
      </c>
      <c r="M1160" s="227">
        <v>128.76</v>
      </c>
      <c r="N1160" s="227">
        <v>90.917000000000002</v>
      </c>
      <c r="O1160" s="227">
        <v>97.356999999999999</v>
      </c>
      <c r="P1160" s="227">
        <v>112.69</v>
      </c>
      <c r="Q1160" s="227">
        <v>105.29</v>
      </c>
      <c r="R1160" s="227">
        <v>110</v>
      </c>
      <c r="S1160" s="227"/>
      <c r="T1160" s="227">
        <v>79.5</v>
      </c>
      <c r="U1160" s="227">
        <v>79.5</v>
      </c>
      <c r="V1160" s="227">
        <v>79.5</v>
      </c>
      <c r="W1160" s="227">
        <v>79.5</v>
      </c>
      <c r="X1160" s="227">
        <v>79.5</v>
      </c>
      <c r="Y1160" s="227">
        <v>79.5</v>
      </c>
      <c r="Z1160" s="227">
        <v>79.5</v>
      </c>
      <c r="AA1160" s="227">
        <v>79.5</v>
      </c>
      <c r="AB1160" s="227">
        <v>10.066000000000001</v>
      </c>
      <c r="AC1160" s="227">
        <v>774.65</v>
      </c>
      <c r="AD1160" s="230">
        <v>1.1650462962962964E-4</v>
      </c>
      <c r="AE1160" s="230">
        <v>60.396000000000001</v>
      </c>
      <c r="AF1160" s="230">
        <v>3816</v>
      </c>
      <c r="AG1160" s="230">
        <v>509164.45489991992</v>
      </c>
      <c r="AH1160" s="230">
        <v>4215475.6542056482</v>
      </c>
      <c r="AI1160" s="230">
        <v>4647.8999999999996</v>
      </c>
    </row>
    <row r="1161" spans="5:35" x14ac:dyDescent="0.35">
      <c r="E1161" s="226">
        <v>3.9087400000000003</v>
      </c>
      <c r="F1161" s="227">
        <v>18.842367123287673</v>
      </c>
      <c r="G1161" s="227">
        <v>6877.4639999999999</v>
      </c>
      <c r="H1161" s="227">
        <v>0.98419999999999996</v>
      </c>
      <c r="I1161" s="227">
        <v>4.6047000000000002</v>
      </c>
      <c r="J1161" s="227">
        <v>0.58938049641194434</v>
      </c>
      <c r="K1161" s="227">
        <v>130.91</v>
      </c>
      <c r="L1161" s="227">
        <v>131.65</v>
      </c>
      <c r="M1161" s="227">
        <v>128.75</v>
      </c>
      <c r="N1161" s="227">
        <v>90.91</v>
      </c>
      <c r="O1161" s="227">
        <v>97.350999999999999</v>
      </c>
      <c r="P1161" s="227">
        <v>112.68</v>
      </c>
      <c r="Q1161" s="227">
        <v>105.28</v>
      </c>
      <c r="R1161" s="227">
        <v>110</v>
      </c>
      <c r="S1161" s="227"/>
      <c r="T1161" s="227">
        <v>79.5</v>
      </c>
      <c r="U1161" s="227">
        <v>79.5</v>
      </c>
      <c r="V1161" s="227">
        <v>79.5</v>
      </c>
      <c r="W1161" s="227">
        <v>79.5</v>
      </c>
      <c r="X1161" s="227">
        <v>79.5</v>
      </c>
      <c r="Y1161" s="227">
        <v>79.5</v>
      </c>
      <c r="Z1161" s="227">
        <v>79.5</v>
      </c>
      <c r="AA1161" s="227">
        <v>79.5</v>
      </c>
      <c r="AB1161" s="227">
        <v>10.048999999999999</v>
      </c>
      <c r="AC1161" s="227">
        <v>774.65</v>
      </c>
      <c r="AD1161" s="230">
        <v>1.1630787037037036E-4</v>
      </c>
      <c r="AE1161" s="230">
        <v>60.293999999999997</v>
      </c>
      <c r="AF1161" s="230">
        <v>3816</v>
      </c>
      <c r="AG1161" s="230">
        <v>509224.74889991991</v>
      </c>
      <c r="AH1161" s="230">
        <v>4219291.6542056482</v>
      </c>
      <c r="AI1161" s="230">
        <v>4647.8999999999996</v>
      </c>
    </row>
    <row r="1162" spans="5:35" x14ac:dyDescent="0.35">
      <c r="E1162" s="226">
        <v>3.9127399999999999</v>
      </c>
      <c r="F1162" s="227">
        <v>18.858805479452055</v>
      </c>
      <c r="G1162" s="227">
        <v>6883.4639999999999</v>
      </c>
      <c r="H1162" s="227">
        <v>0.98419999999999996</v>
      </c>
      <c r="I1162" s="227">
        <v>4.6086999999999998</v>
      </c>
      <c r="J1162" s="227">
        <v>0.58945016307861098</v>
      </c>
      <c r="K1162" s="227">
        <v>130.9</v>
      </c>
      <c r="L1162" s="227">
        <v>131.63999999999999</v>
      </c>
      <c r="M1162" s="227">
        <v>128.74</v>
      </c>
      <c r="N1162" s="227">
        <v>90.903999999999996</v>
      </c>
      <c r="O1162" s="227">
        <v>97.344999999999999</v>
      </c>
      <c r="P1162" s="227">
        <v>112.67</v>
      </c>
      <c r="Q1162" s="227">
        <v>105.28</v>
      </c>
      <c r="R1162" s="227">
        <v>109.99</v>
      </c>
      <c r="S1162" s="227"/>
      <c r="T1162" s="227">
        <v>79.5</v>
      </c>
      <c r="U1162" s="227">
        <v>79.5</v>
      </c>
      <c r="V1162" s="227">
        <v>79.5</v>
      </c>
      <c r="W1162" s="227">
        <v>79.5</v>
      </c>
      <c r="X1162" s="227">
        <v>79.5</v>
      </c>
      <c r="Y1162" s="227">
        <v>79.5</v>
      </c>
      <c r="Z1162" s="227">
        <v>79.5</v>
      </c>
      <c r="AA1162" s="227">
        <v>79.5</v>
      </c>
      <c r="AB1162" s="227">
        <v>10.032</v>
      </c>
      <c r="AC1162" s="227">
        <v>774.65</v>
      </c>
      <c r="AD1162" s="230">
        <v>1.1611111111111112E-4</v>
      </c>
      <c r="AE1162" s="230">
        <v>60.192000000000007</v>
      </c>
      <c r="AF1162" s="230">
        <v>3816</v>
      </c>
      <c r="AG1162" s="230">
        <v>509284.94089991989</v>
      </c>
      <c r="AH1162" s="230">
        <v>4223107.6542056482</v>
      </c>
      <c r="AI1162" s="230">
        <v>4647.8999999999996</v>
      </c>
    </row>
    <row r="1163" spans="5:35" x14ac:dyDescent="0.35">
      <c r="E1163" s="226">
        <v>3.9168400000000001</v>
      </c>
      <c r="F1163" s="227">
        <v>18.875243835616438</v>
      </c>
      <c r="G1163" s="227">
        <v>6889.4639999999999</v>
      </c>
      <c r="H1163" s="227">
        <v>0.98429999999999995</v>
      </c>
      <c r="I1163" s="227">
        <v>4.6128</v>
      </c>
      <c r="J1163" s="227">
        <v>0.58951971863416652</v>
      </c>
      <c r="K1163" s="227">
        <v>130.88</v>
      </c>
      <c r="L1163" s="227">
        <v>131.63</v>
      </c>
      <c r="M1163" s="227">
        <v>128.72999999999999</v>
      </c>
      <c r="N1163" s="227">
        <v>90.897000000000006</v>
      </c>
      <c r="O1163" s="227">
        <v>97.338999999999999</v>
      </c>
      <c r="P1163" s="227">
        <v>112.66</v>
      </c>
      <c r="Q1163" s="227">
        <v>105.27</v>
      </c>
      <c r="R1163" s="227">
        <v>109.98</v>
      </c>
      <c r="S1163" s="227"/>
      <c r="T1163" s="227">
        <v>79.5</v>
      </c>
      <c r="U1163" s="227">
        <v>79.5</v>
      </c>
      <c r="V1163" s="227">
        <v>79.5</v>
      </c>
      <c r="W1163" s="227">
        <v>79.5</v>
      </c>
      <c r="X1163" s="227">
        <v>79.5</v>
      </c>
      <c r="Y1163" s="227">
        <v>79.5</v>
      </c>
      <c r="Z1163" s="227">
        <v>79.5</v>
      </c>
      <c r="AA1163" s="227">
        <v>79.5</v>
      </c>
      <c r="AB1163" s="227">
        <v>10.016</v>
      </c>
      <c r="AC1163" s="227">
        <v>774.65</v>
      </c>
      <c r="AD1163" s="230">
        <v>1.1592592592592592E-4</v>
      </c>
      <c r="AE1163" s="230">
        <v>60.096000000000004</v>
      </c>
      <c r="AF1163" s="230">
        <v>3816</v>
      </c>
      <c r="AG1163" s="230">
        <v>509345.03689991991</v>
      </c>
      <c r="AH1163" s="230">
        <v>4226923.6542056482</v>
      </c>
      <c r="AI1163" s="230">
        <v>4647.8999999999996</v>
      </c>
    </row>
    <row r="1164" spans="5:35" x14ac:dyDescent="0.35">
      <c r="E1164" s="226">
        <v>3.9208399999999997</v>
      </c>
      <c r="F1164" s="227">
        <v>18.891682191780824</v>
      </c>
      <c r="G1164" s="227">
        <v>6895.4639999999999</v>
      </c>
      <c r="H1164" s="227">
        <v>0.98429999999999995</v>
      </c>
      <c r="I1164" s="227">
        <v>4.6167999999999996</v>
      </c>
      <c r="J1164" s="227">
        <v>0.58958915821749991</v>
      </c>
      <c r="K1164" s="227">
        <v>130.87</v>
      </c>
      <c r="L1164" s="227">
        <v>131.62</v>
      </c>
      <c r="M1164" s="227">
        <v>128.71</v>
      </c>
      <c r="N1164" s="227">
        <v>90.89</v>
      </c>
      <c r="O1164" s="227">
        <v>97.332999999999998</v>
      </c>
      <c r="P1164" s="227">
        <v>112.65</v>
      </c>
      <c r="Q1164" s="227">
        <v>105.27</v>
      </c>
      <c r="R1164" s="227">
        <v>109.98</v>
      </c>
      <c r="S1164" s="227"/>
      <c r="T1164" s="227">
        <v>79.5</v>
      </c>
      <c r="U1164" s="227">
        <v>79.5</v>
      </c>
      <c r="V1164" s="227">
        <v>79.5</v>
      </c>
      <c r="W1164" s="227">
        <v>79.5</v>
      </c>
      <c r="X1164" s="227">
        <v>79.5</v>
      </c>
      <c r="Y1164" s="227">
        <v>79.5</v>
      </c>
      <c r="Z1164" s="227">
        <v>79.5</v>
      </c>
      <c r="AA1164" s="227">
        <v>79.5</v>
      </c>
      <c r="AB1164" s="227">
        <v>9.9992999999999999</v>
      </c>
      <c r="AC1164" s="227">
        <v>774.65</v>
      </c>
      <c r="AD1164" s="230">
        <v>1.1573263888888889E-4</v>
      </c>
      <c r="AE1164" s="230">
        <v>59.995800000000003</v>
      </c>
      <c r="AF1164" s="230">
        <v>3816</v>
      </c>
      <c r="AG1164" s="230">
        <v>509405.03269991989</v>
      </c>
      <c r="AH1164" s="230">
        <v>4230739.6542056482</v>
      </c>
      <c r="AI1164" s="230">
        <v>4647.8999999999996</v>
      </c>
    </row>
    <row r="1165" spans="5:35" x14ac:dyDescent="0.35">
      <c r="E1165" s="226">
        <v>3.9248400000000001</v>
      </c>
      <c r="F1165" s="227">
        <v>18.908120547945206</v>
      </c>
      <c r="G1165" s="227">
        <v>6901.4639999999999</v>
      </c>
      <c r="H1165" s="227">
        <v>0.98429999999999995</v>
      </c>
      <c r="I1165" s="227">
        <v>4.6208</v>
      </c>
      <c r="J1165" s="227">
        <v>0.58965848321749981</v>
      </c>
      <c r="K1165" s="227">
        <v>130.86000000000001</v>
      </c>
      <c r="L1165" s="227">
        <v>131.61000000000001</v>
      </c>
      <c r="M1165" s="227">
        <v>128.69999999999999</v>
      </c>
      <c r="N1165" s="227">
        <v>90.882999999999996</v>
      </c>
      <c r="O1165" s="227">
        <v>97.326999999999998</v>
      </c>
      <c r="P1165" s="227">
        <v>112.64</v>
      </c>
      <c r="Q1165" s="227">
        <v>105.26</v>
      </c>
      <c r="R1165" s="227">
        <v>109.97</v>
      </c>
      <c r="S1165" s="227"/>
      <c r="T1165" s="227">
        <v>79.5</v>
      </c>
      <c r="U1165" s="227">
        <v>79.5</v>
      </c>
      <c r="V1165" s="227">
        <v>79.5</v>
      </c>
      <c r="W1165" s="227">
        <v>79.5</v>
      </c>
      <c r="X1165" s="227">
        <v>79.5</v>
      </c>
      <c r="Y1165" s="227">
        <v>79.5</v>
      </c>
      <c r="Z1165" s="227">
        <v>79.5</v>
      </c>
      <c r="AA1165" s="227">
        <v>79.5</v>
      </c>
      <c r="AB1165" s="227">
        <v>9.9827999999999992</v>
      </c>
      <c r="AC1165" s="227">
        <v>774.65</v>
      </c>
      <c r="AD1165" s="230">
        <v>1.1554166666666665E-4</v>
      </c>
      <c r="AE1165" s="230">
        <v>59.896799999999985</v>
      </c>
      <c r="AF1165" s="230">
        <v>3816</v>
      </c>
      <c r="AG1165" s="230">
        <v>509464.92949991988</v>
      </c>
      <c r="AH1165" s="230">
        <v>4234555.6542056482</v>
      </c>
      <c r="AI1165" s="230">
        <v>4647.8999999999996</v>
      </c>
    </row>
    <row r="1166" spans="5:35" x14ac:dyDescent="0.35">
      <c r="E1166" s="226">
        <v>3.9288399999999997</v>
      </c>
      <c r="F1166" s="227">
        <v>18.924558904109588</v>
      </c>
      <c r="G1166" s="227">
        <v>6907.4639999999999</v>
      </c>
      <c r="H1166" s="227">
        <v>0.98429999999999995</v>
      </c>
      <c r="I1166" s="227">
        <v>4.6247999999999996</v>
      </c>
      <c r="J1166" s="227">
        <v>0.58972769432861105</v>
      </c>
      <c r="K1166" s="227">
        <v>130.84</v>
      </c>
      <c r="L1166" s="227">
        <v>131.6</v>
      </c>
      <c r="M1166" s="227">
        <v>128.69</v>
      </c>
      <c r="N1166" s="227">
        <v>90.876999999999995</v>
      </c>
      <c r="O1166" s="227">
        <v>97.320999999999998</v>
      </c>
      <c r="P1166" s="227">
        <v>112.64</v>
      </c>
      <c r="Q1166" s="227">
        <v>105.26</v>
      </c>
      <c r="R1166" s="227">
        <v>109.96</v>
      </c>
      <c r="S1166" s="227"/>
      <c r="T1166" s="227">
        <v>79.5</v>
      </c>
      <c r="U1166" s="227">
        <v>79.5</v>
      </c>
      <c r="V1166" s="227">
        <v>79.5</v>
      </c>
      <c r="W1166" s="227">
        <v>79.5</v>
      </c>
      <c r="X1166" s="227">
        <v>79.5</v>
      </c>
      <c r="Y1166" s="227">
        <v>79.5</v>
      </c>
      <c r="Z1166" s="227">
        <v>79.5</v>
      </c>
      <c r="AA1166" s="227">
        <v>79.5</v>
      </c>
      <c r="AB1166" s="227">
        <v>9.9664000000000001</v>
      </c>
      <c r="AC1166" s="227">
        <v>774.65</v>
      </c>
      <c r="AD1166" s="230">
        <v>1.1535185185185185E-4</v>
      </c>
      <c r="AE1166" s="230">
        <v>59.798400000000001</v>
      </c>
      <c r="AF1166" s="230">
        <v>3816</v>
      </c>
      <c r="AG1166" s="230">
        <v>509524.7278999199</v>
      </c>
      <c r="AH1166" s="230">
        <v>4238371.6542056482</v>
      </c>
      <c r="AI1166" s="230">
        <v>4647.8999999999996</v>
      </c>
    </row>
    <row r="1167" spans="5:35" x14ac:dyDescent="0.35">
      <c r="E1167" s="226">
        <v>3.9328400000000001</v>
      </c>
      <c r="F1167" s="227">
        <v>18.940997260273971</v>
      </c>
      <c r="G1167" s="227">
        <v>6913.4639999999999</v>
      </c>
      <c r="H1167" s="227">
        <v>0.98440000000000005</v>
      </c>
      <c r="I1167" s="227">
        <v>4.6288</v>
      </c>
      <c r="J1167" s="227">
        <v>0.5897967922452777</v>
      </c>
      <c r="K1167" s="227">
        <v>130.83000000000001</v>
      </c>
      <c r="L1167" s="227">
        <v>131.59</v>
      </c>
      <c r="M1167" s="227">
        <v>128.68</v>
      </c>
      <c r="N1167" s="227">
        <v>90.87</v>
      </c>
      <c r="O1167" s="227">
        <v>97.314999999999998</v>
      </c>
      <c r="P1167" s="227">
        <v>112.63</v>
      </c>
      <c r="Q1167" s="227">
        <v>105.25</v>
      </c>
      <c r="R1167" s="227">
        <v>109.96</v>
      </c>
      <c r="S1167" s="227"/>
      <c r="T1167" s="227">
        <v>79.5</v>
      </c>
      <c r="U1167" s="227">
        <v>79.5</v>
      </c>
      <c r="V1167" s="227">
        <v>79.5</v>
      </c>
      <c r="W1167" s="227">
        <v>79.5</v>
      </c>
      <c r="X1167" s="227">
        <v>79.5</v>
      </c>
      <c r="Y1167" s="227">
        <v>79.5</v>
      </c>
      <c r="Z1167" s="227">
        <v>79.5</v>
      </c>
      <c r="AA1167" s="227">
        <v>79.5</v>
      </c>
      <c r="AB1167" s="227">
        <v>9.9501000000000008</v>
      </c>
      <c r="AC1167" s="227">
        <v>774.65</v>
      </c>
      <c r="AD1167" s="230">
        <v>1.1516319444444445E-4</v>
      </c>
      <c r="AE1167" s="230">
        <v>59.700600000000009</v>
      </c>
      <c r="AF1167" s="230">
        <v>3816</v>
      </c>
      <c r="AG1167" s="230">
        <v>509584.42849991989</v>
      </c>
      <c r="AH1167" s="230">
        <v>4242187.6542056482</v>
      </c>
      <c r="AI1167" s="230">
        <v>4647.8999999999996</v>
      </c>
    </row>
    <row r="1168" spans="5:35" x14ac:dyDescent="0.35">
      <c r="E1168" s="226">
        <v>3.9368399999999997</v>
      </c>
      <c r="F1168" s="227">
        <v>18.957435616438357</v>
      </c>
      <c r="G1168" s="227">
        <v>6919.4639999999999</v>
      </c>
      <c r="H1168" s="227">
        <v>0.98440000000000005</v>
      </c>
      <c r="I1168" s="227">
        <v>4.6327999999999996</v>
      </c>
      <c r="J1168" s="227">
        <v>0.58986577766194437</v>
      </c>
      <c r="K1168" s="227">
        <v>130.82</v>
      </c>
      <c r="L1168" s="227">
        <v>131.58000000000001</v>
      </c>
      <c r="M1168" s="227">
        <v>128.66</v>
      </c>
      <c r="N1168" s="227">
        <v>90.863</v>
      </c>
      <c r="O1168" s="227">
        <v>97.31</v>
      </c>
      <c r="P1168" s="227">
        <v>112.62</v>
      </c>
      <c r="Q1168" s="227">
        <v>105.25</v>
      </c>
      <c r="R1168" s="227">
        <v>109.95</v>
      </c>
      <c r="S1168" s="227"/>
      <c r="T1168" s="227">
        <v>79.5</v>
      </c>
      <c r="U1168" s="227">
        <v>79.5</v>
      </c>
      <c r="V1168" s="227">
        <v>79.5</v>
      </c>
      <c r="W1168" s="227">
        <v>79.5</v>
      </c>
      <c r="X1168" s="227">
        <v>79.5</v>
      </c>
      <c r="Y1168" s="227">
        <v>79.5</v>
      </c>
      <c r="Z1168" s="227">
        <v>79.5</v>
      </c>
      <c r="AA1168" s="227">
        <v>79.5</v>
      </c>
      <c r="AB1168" s="227">
        <v>9.9338999999999995</v>
      </c>
      <c r="AC1168" s="227">
        <v>774.65</v>
      </c>
      <c r="AD1168" s="230">
        <v>1.1497569444444444E-4</v>
      </c>
      <c r="AE1168" s="230">
        <v>59.603399999999993</v>
      </c>
      <c r="AF1168" s="230">
        <v>3816</v>
      </c>
      <c r="AG1168" s="230">
        <v>509644.03189991991</v>
      </c>
      <c r="AH1168" s="230">
        <v>4246003.6542056482</v>
      </c>
      <c r="AI1168" s="230">
        <v>4647.8999999999996</v>
      </c>
    </row>
    <row r="1169" spans="5:35" x14ac:dyDescent="0.35">
      <c r="E1169" s="226">
        <v>3.9409399999999999</v>
      </c>
      <c r="F1169" s="227">
        <v>18.973873972602739</v>
      </c>
      <c r="G1169" s="227">
        <v>6925.4639999999999</v>
      </c>
      <c r="H1169" s="227">
        <v>0.98440000000000005</v>
      </c>
      <c r="I1169" s="227">
        <v>4.6368999999999998</v>
      </c>
      <c r="J1169" s="227">
        <v>0.58993464988416655</v>
      </c>
      <c r="K1169" s="227">
        <v>130.80000000000001</v>
      </c>
      <c r="L1169" s="227">
        <v>131.57</v>
      </c>
      <c r="M1169" s="227">
        <v>128.65</v>
      </c>
      <c r="N1169" s="227">
        <v>90.855999999999995</v>
      </c>
      <c r="O1169" s="227">
        <v>97.304000000000002</v>
      </c>
      <c r="P1169" s="227">
        <v>112.61</v>
      </c>
      <c r="Q1169" s="227">
        <v>105.24</v>
      </c>
      <c r="R1169" s="227">
        <v>109.95</v>
      </c>
      <c r="S1169" s="227"/>
      <c r="T1169" s="227">
        <v>79.5</v>
      </c>
      <c r="U1169" s="227">
        <v>79.5</v>
      </c>
      <c r="V1169" s="227">
        <v>79.5</v>
      </c>
      <c r="W1169" s="227">
        <v>79.5</v>
      </c>
      <c r="X1169" s="227">
        <v>79.5</v>
      </c>
      <c r="Y1169" s="227">
        <v>79.5</v>
      </c>
      <c r="Z1169" s="227">
        <v>79.5</v>
      </c>
      <c r="AA1169" s="227">
        <v>79.5</v>
      </c>
      <c r="AB1169" s="227">
        <v>9.9176000000000002</v>
      </c>
      <c r="AC1169" s="227">
        <v>774.65</v>
      </c>
      <c r="AD1169" s="230">
        <v>1.1478703703703704E-4</v>
      </c>
      <c r="AE1169" s="230">
        <v>59.505599999999994</v>
      </c>
      <c r="AF1169" s="230">
        <v>3816</v>
      </c>
      <c r="AG1169" s="230">
        <v>509703.53749991988</v>
      </c>
      <c r="AH1169" s="230">
        <v>4249819.6542056482</v>
      </c>
      <c r="AI1169" s="230">
        <v>4647.8999999999996</v>
      </c>
    </row>
    <row r="1170" spans="5:35" x14ac:dyDescent="0.35">
      <c r="E1170" s="226">
        <v>3.9449400000000003</v>
      </c>
      <c r="F1170" s="227">
        <v>18.990312328767121</v>
      </c>
      <c r="G1170" s="227">
        <v>6931.4639999999999</v>
      </c>
      <c r="H1170" s="227">
        <v>0.98440000000000005</v>
      </c>
      <c r="I1170" s="227">
        <v>4.6409000000000002</v>
      </c>
      <c r="J1170" s="227">
        <v>0.59000340960638875</v>
      </c>
      <c r="K1170" s="227">
        <v>130.79</v>
      </c>
      <c r="L1170" s="227">
        <v>131.56</v>
      </c>
      <c r="M1170" s="227">
        <v>128.63999999999999</v>
      </c>
      <c r="N1170" s="227">
        <v>90.85</v>
      </c>
      <c r="O1170" s="227">
        <v>97.298000000000002</v>
      </c>
      <c r="P1170" s="227">
        <v>112.6</v>
      </c>
      <c r="Q1170" s="227">
        <v>105.24</v>
      </c>
      <c r="R1170" s="227">
        <v>109.94</v>
      </c>
      <c r="S1170" s="227"/>
      <c r="T1170" s="227">
        <v>79.5</v>
      </c>
      <c r="U1170" s="227">
        <v>79.5</v>
      </c>
      <c r="V1170" s="227">
        <v>79.5</v>
      </c>
      <c r="W1170" s="227">
        <v>79.5</v>
      </c>
      <c r="X1170" s="227">
        <v>79.5</v>
      </c>
      <c r="Y1170" s="227">
        <v>79.5</v>
      </c>
      <c r="Z1170" s="227">
        <v>79.5</v>
      </c>
      <c r="AA1170" s="227">
        <v>79.5</v>
      </c>
      <c r="AB1170" s="227">
        <v>9.9014000000000006</v>
      </c>
      <c r="AC1170" s="227">
        <v>774.65</v>
      </c>
      <c r="AD1170" s="230">
        <v>1.1459953703703704E-4</v>
      </c>
      <c r="AE1170" s="230">
        <v>59.4084</v>
      </c>
      <c r="AF1170" s="230">
        <v>3816</v>
      </c>
      <c r="AG1170" s="230">
        <v>509762.9458999199</v>
      </c>
      <c r="AH1170" s="230">
        <v>4253635.6542056482</v>
      </c>
      <c r="AI1170" s="230">
        <v>4647.8999999999996</v>
      </c>
    </row>
    <row r="1171" spans="5:35" x14ac:dyDescent="0.35">
      <c r="E1171" s="226">
        <v>3.9489399999999999</v>
      </c>
      <c r="F1171" s="227">
        <v>19.006750684931507</v>
      </c>
      <c r="G1171" s="227">
        <v>6937.4639999999999</v>
      </c>
      <c r="H1171" s="227">
        <v>0.98450000000000004</v>
      </c>
      <c r="I1171" s="227">
        <v>4.6448999999999998</v>
      </c>
      <c r="J1171" s="227">
        <v>0.59007205682861097</v>
      </c>
      <c r="K1171" s="227">
        <v>130.78</v>
      </c>
      <c r="L1171" s="227">
        <v>131.55000000000001</v>
      </c>
      <c r="M1171" s="227">
        <v>128.63</v>
      </c>
      <c r="N1171" s="227">
        <v>90.843000000000004</v>
      </c>
      <c r="O1171" s="227">
        <v>97.292000000000002</v>
      </c>
      <c r="P1171" s="227">
        <v>112.59</v>
      </c>
      <c r="Q1171" s="227">
        <v>105.23</v>
      </c>
      <c r="R1171" s="227">
        <v>109.93</v>
      </c>
      <c r="S1171" s="227"/>
      <c r="T1171" s="227">
        <v>79.5</v>
      </c>
      <c r="U1171" s="227">
        <v>79.5</v>
      </c>
      <c r="V1171" s="227">
        <v>79.5</v>
      </c>
      <c r="W1171" s="227">
        <v>79.5</v>
      </c>
      <c r="X1171" s="227">
        <v>79.5</v>
      </c>
      <c r="Y1171" s="227">
        <v>79.5</v>
      </c>
      <c r="Z1171" s="227">
        <v>79.5</v>
      </c>
      <c r="AA1171" s="227">
        <v>79.5</v>
      </c>
      <c r="AB1171" s="227">
        <v>9.8851999999999993</v>
      </c>
      <c r="AC1171" s="227">
        <v>774.65</v>
      </c>
      <c r="AD1171" s="230">
        <v>1.1441203703703703E-4</v>
      </c>
      <c r="AE1171" s="230">
        <v>59.311199999999999</v>
      </c>
      <c r="AF1171" s="230">
        <v>3816</v>
      </c>
      <c r="AG1171" s="230">
        <v>509822.25709991989</v>
      </c>
      <c r="AH1171" s="230">
        <v>4257451.6542056482</v>
      </c>
      <c r="AI1171" s="230">
        <v>4647.8999999999996</v>
      </c>
    </row>
    <row r="1172" spans="5:35" x14ac:dyDescent="0.35">
      <c r="E1172" s="226">
        <v>3.9529400000000003</v>
      </c>
      <c r="F1172" s="227">
        <v>19.02318904109589</v>
      </c>
      <c r="G1172" s="227">
        <v>6943.4639999999999</v>
      </c>
      <c r="H1172" s="227">
        <v>0.98450000000000004</v>
      </c>
      <c r="I1172" s="227">
        <v>4.6489000000000003</v>
      </c>
      <c r="J1172" s="227">
        <v>0.59014059224527771</v>
      </c>
      <c r="K1172" s="227">
        <v>130.76</v>
      </c>
      <c r="L1172" s="227">
        <v>131.54</v>
      </c>
      <c r="M1172" s="227">
        <v>128.62</v>
      </c>
      <c r="N1172" s="227">
        <v>90.835999999999999</v>
      </c>
      <c r="O1172" s="227">
        <v>97.286000000000001</v>
      </c>
      <c r="P1172" s="227">
        <v>112.58</v>
      </c>
      <c r="Q1172" s="227">
        <v>105.23</v>
      </c>
      <c r="R1172" s="227">
        <v>109.93</v>
      </c>
      <c r="S1172" s="227"/>
      <c r="T1172" s="227">
        <v>79.5</v>
      </c>
      <c r="U1172" s="227">
        <v>79.5</v>
      </c>
      <c r="V1172" s="227">
        <v>79.5</v>
      </c>
      <c r="W1172" s="227">
        <v>79.5</v>
      </c>
      <c r="X1172" s="227">
        <v>79.5</v>
      </c>
      <c r="Y1172" s="227">
        <v>79.5</v>
      </c>
      <c r="Z1172" s="227">
        <v>79.5</v>
      </c>
      <c r="AA1172" s="227">
        <v>79.5</v>
      </c>
      <c r="AB1172" s="227">
        <v>9.8690999999999995</v>
      </c>
      <c r="AC1172" s="227">
        <v>774.65</v>
      </c>
      <c r="AD1172" s="230">
        <v>1.1422569444444444E-4</v>
      </c>
      <c r="AE1172" s="230">
        <v>59.21459999999999</v>
      </c>
      <c r="AF1172" s="230">
        <v>3816</v>
      </c>
      <c r="AG1172" s="230">
        <v>509881.4716999199</v>
      </c>
      <c r="AH1172" s="230">
        <v>4261267.6542056482</v>
      </c>
      <c r="AI1172" s="230">
        <v>4647.8999999999996</v>
      </c>
    </row>
    <row r="1173" spans="5:35" x14ac:dyDescent="0.35">
      <c r="E1173" s="226">
        <v>3.9569399999999999</v>
      </c>
      <c r="F1173" s="227">
        <v>19.039627397260272</v>
      </c>
      <c r="G1173" s="227">
        <v>6949.4639999999999</v>
      </c>
      <c r="H1173" s="227">
        <v>0.98450000000000004</v>
      </c>
      <c r="I1173" s="227">
        <v>4.6528999999999998</v>
      </c>
      <c r="J1173" s="227">
        <v>0.59020901585638874</v>
      </c>
      <c r="K1173" s="227">
        <v>130.75</v>
      </c>
      <c r="L1173" s="227">
        <v>131.53</v>
      </c>
      <c r="M1173" s="227">
        <v>128.6</v>
      </c>
      <c r="N1173" s="227">
        <v>90.83</v>
      </c>
      <c r="O1173" s="227">
        <v>97.281000000000006</v>
      </c>
      <c r="P1173" s="227">
        <v>112.57</v>
      </c>
      <c r="Q1173" s="227">
        <v>105.22</v>
      </c>
      <c r="R1173" s="227">
        <v>109.92</v>
      </c>
      <c r="S1173" s="227"/>
      <c r="T1173" s="227">
        <v>79.5</v>
      </c>
      <c r="U1173" s="227">
        <v>79.5</v>
      </c>
      <c r="V1173" s="227">
        <v>79.5</v>
      </c>
      <c r="W1173" s="227">
        <v>79.5</v>
      </c>
      <c r="X1173" s="227">
        <v>79.5</v>
      </c>
      <c r="Y1173" s="227">
        <v>79.5</v>
      </c>
      <c r="Z1173" s="227">
        <v>79.5</v>
      </c>
      <c r="AA1173" s="227">
        <v>79.5</v>
      </c>
      <c r="AB1173" s="227">
        <v>9.8529999999999998</v>
      </c>
      <c r="AC1173" s="227">
        <v>774.65</v>
      </c>
      <c r="AD1173" s="230">
        <v>1.1403935185185185E-4</v>
      </c>
      <c r="AE1173" s="230">
        <v>59.118000000000002</v>
      </c>
      <c r="AF1173" s="230">
        <v>3816</v>
      </c>
      <c r="AG1173" s="230">
        <v>509940.58969991992</v>
      </c>
      <c r="AH1173" s="230">
        <v>4265083.6542056482</v>
      </c>
      <c r="AI1173" s="230">
        <v>4647.8999999999996</v>
      </c>
    </row>
    <row r="1174" spans="5:35" x14ac:dyDescent="0.35">
      <c r="E1174" s="226">
        <v>3.9609400000000003</v>
      </c>
      <c r="F1174" s="227">
        <v>19.056065753424658</v>
      </c>
      <c r="G1174" s="227">
        <v>6955.4639999999999</v>
      </c>
      <c r="H1174" s="227">
        <v>0.98450000000000004</v>
      </c>
      <c r="I1174" s="227">
        <v>4.6569000000000003</v>
      </c>
      <c r="J1174" s="227">
        <v>0.5902773290508333</v>
      </c>
      <c r="K1174" s="227">
        <v>130.74</v>
      </c>
      <c r="L1174" s="227">
        <v>131.52000000000001</v>
      </c>
      <c r="M1174" s="227">
        <v>128.59</v>
      </c>
      <c r="N1174" s="227">
        <v>90.822999999999993</v>
      </c>
      <c r="O1174" s="227">
        <v>97.275000000000006</v>
      </c>
      <c r="P1174" s="227">
        <v>112.57</v>
      </c>
      <c r="Q1174" s="227">
        <v>105.22</v>
      </c>
      <c r="R1174" s="227">
        <v>109.91</v>
      </c>
      <c r="S1174" s="227"/>
      <c r="T1174" s="227">
        <v>79.5</v>
      </c>
      <c r="U1174" s="227">
        <v>79.5</v>
      </c>
      <c r="V1174" s="227">
        <v>79.5</v>
      </c>
      <c r="W1174" s="227">
        <v>79.5</v>
      </c>
      <c r="X1174" s="227">
        <v>79.5</v>
      </c>
      <c r="Y1174" s="227">
        <v>79.5</v>
      </c>
      <c r="Z1174" s="227">
        <v>79.5</v>
      </c>
      <c r="AA1174" s="227">
        <v>79.5</v>
      </c>
      <c r="AB1174" s="227">
        <v>9.8370999999999995</v>
      </c>
      <c r="AC1174" s="227">
        <v>774.65</v>
      </c>
      <c r="AD1174" s="230">
        <v>1.1385532407407407E-4</v>
      </c>
      <c r="AE1174" s="230">
        <v>59.022599999999997</v>
      </c>
      <c r="AF1174" s="230">
        <v>3816</v>
      </c>
      <c r="AG1174" s="230">
        <v>509999.61229991994</v>
      </c>
      <c r="AH1174" s="230">
        <v>4268899.6542056482</v>
      </c>
      <c r="AI1174" s="230">
        <v>4647.8999999999996</v>
      </c>
    </row>
    <row r="1175" spans="5:35" x14ac:dyDescent="0.35">
      <c r="E1175" s="226">
        <v>3.9650399999999997</v>
      </c>
      <c r="F1175" s="227">
        <v>19.07250410958904</v>
      </c>
      <c r="G1175" s="227">
        <v>6961.4639999999999</v>
      </c>
      <c r="H1175" s="227">
        <v>0.98460000000000003</v>
      </c>
      <c r="I1175" s="227">
        <v>4.6609999999999996</v>
      </c>
      <c r="J1175" s="227">
        <v>0.59034552974527776</v>
      </c>
      <c r="K1175" s="227">
        <v>130.72</v>
      </c>
      <c r="L1175" s="227">
        <v>131.51</v>
      </c>
      <c r="M1175" s="227">
        <v>128.58000000000001</v>
      </c>
      <c r="N1175" s="227">
        <v>90.816999999999993</v>
      </c>
      <c r="O1175" s="227">
        <v>97.268000000000001</v>
      </c>
      <c r="P1175" s="227">
        <v>112.56</v>
      </c>
      <c r="Q1175" s="227">
        <v>105.21</v>
      </c>
      <c r="R1175" s="227">
        <v>109.91</v>
      </c>
      <c r="S1175" s="227"/>
      <c r="T1175" s="227">
        <v>79.5</v>
      </c>
      <c r="U1175" s="227">
        <v>79.5</v>
      </c>
      <c r="V1175" s="227">
        <v>79.5</v>
      </c>
      <c r="W1175" s="227">
        <v>79.5</v>
      </c>
      <c r="X1175" s="227">
        <v>79.5</v>
      </c>
      <c r="Y1175" s="227">
        <v>79.5</v>
      </c>
      <c r="Z1175" s="227">
        <v>79.5</v>
      </c>
      <c r="AA1175" s="227">
        <v>79.5</v>
      </c>
      <c r="AB1175" s="227">
        <v>9.8209</v>
      </c>
      <c r="AC1175" s="227">
        <v>774.65</v>
      </c>
      <c r="AD1175" s="230">
        <v>1.1366782407407407E-4</v>
      </c>
      <c r="AE1175" s="230">
        <v>58.925399999999996</v>
      </c>
      <c r="AF1175" s="230">
        <v>3816</v>
      </c>
      <c r="AG1175" s="230">
        <v>510058.53769991995</v>
      </c>
      <c r="AH1175" s="230">
        <v>4272715.6542056482</v>
      </c>
      <c r="AI1175" s="230">
        <v>4647.8999999999996</v>
      </c>
    </row>
    <row r="1176" spans="5:35" x14ac:dyDescent="0.35">
      <c r="E1176" s="226">
        <v>3.9690400000000001</v>
      </c>
      <c r="F1176" s="227">
        <v>19.088942465753423</v>
      </c>
      <c r="G1176" s="227">
        <v>6967.4639999999999</v>
      </c>
      <c r="H1176" s="227">
        <v>0.98460000000000003</v>
      </c>
      <c r="I1176" s="227">
        <v>4.665</v>
      </c>
      <c r="J1176" s="227">
        <v>0.59041362002305553</v>
      </c>
      <c r="K1176" s="227">
        <v>130.71</v>
      </c>
      <c r="L1176" s="227">
        <v>131.5</v>
      </c>
      <c r="M1176" s="227">
        <v>128.57</v>
      </c>
      <c r="N1176" s="227">
        <v>90.81</v>
      </c>
      <c r="O1176" s="227">
        <v>97.263000000000005</v>
      </c>
      <c r="P1176" s="227">
        <v>112.55</v>
      </c>
      <c r="Q1176" s="227">
        <v>105.21</v>
      </c>
      <c r="R1176" s="227">
        <v>109.9</v>
      </c>
      <c r="S1176" s="227"/>
      <c r="T1176" s="227">
        <v>79.5</v>
      </c>
      <c r="U1176" s="227">
        <v>79.5</v>
      </c>
      <c r="V1176" s="227">
        <v>79.5</v>
      </c>
      <c r="W1176" s="227">
        <v>79.5</v>
      </c>
      <c r="X1176" s="227">
        <v>79.5</v>
      </c>
      <c r="Y1176" s="227">
        <v>79.5</v>
      </c>
      <c r="Z1176" s="227">
        <v>79.5</v>
      </c>
      <c r="AA1176" s="227">
        <v>79.5</v>
      </c>
      <c r="AB1176" s="227">
        <v>9.8049999999999997</v>
      </c>
      <c r="AC1176" s="227">
        <v>774.65</v>
      </c>
      <c r="AD1176" s="230">
        <v>1.1348379629629629E-4</v>
      </c>
      <c r="AE1176" s="230">
        <v>58.829999999999991</v>
      </c>
      <c r="AF1176" s="230">
        <v>3816</v>
      </c>
      <c r="AG1176" s="230">
        <v>510117.36769991997</v>
      </c>
      <c r="AH1176" s="230">
        <v>4276531.6542056482</v>
      </c>
      <c r="AI1176" s="230">
        <v>4647.8999999999996</v>
      </c>
    </row>
    <row r="1177" spans="5:35" x14ac:dyDescent="0.35">
      <c r="E1177" s="226">
        <v>3.9730399999999997</v>
      </c>
      <c r="F1177" s="227">
        <v>19.105380821917809</v>
      </c>
      <c r="G1177" s="227">
        <v>6973.4639999999999</v>
      </c>
      <c r="H1177" s="227">
        <v>0.98460000000000003</v>
      </c>
      <c r="I1177" s="227">
        <v>4.6689999999999996</v>
      </c>
      <c r="J1177" s="227">
        <v>0.59048159988416671</v>
      </c>
      <c r="K1177" s="227">
        <v>130.69</v>
      </c>
      <c r="L1177" s="227">
        <v>131.49</v>
      </c>
      <c r="M1177" s="227">
        <v>128.55000000000001</v>
      </c>
      <c r="N1177" s="227">
        <v>90.802999999999997</v>
      </c>
      <c r="O1177" s="227">
        <v>97.257000000000005</v>
      </c>
      <c r="P1177" s="227">
        <v>112.54</v>
      </c>
      <c r="Q1177" s="227">
        <v>105.2</v>
      </c>
      <c r="R1177" s="227">
        <v>109.9</v>
      </c>
      <c r="S1177" s="227"/>
      <c r="T1177" s="227">
        <v>79.5</v>
      </c>
      <c r="U1177" s="227">
        <v>79.5</v>
      </c>
      <c r="V1177" s="227">
        <v>79.5</v>
      </c>
      <c r="W1177" s="227">
        <v>79.5</v>
      </c>
      <c r="X1177" s="227">
        <v>79.5</v>
      </c>
      <c r="Y1177" s="227">
        <v>79.5</v>
      </c>
      <c r="Z1177" s="227">
        <v>79.5</v>
      </c>
      <c r="AA1177" s="227">
        <v>79.5</v>
      </c>
      <c r="AB1177" s="227">
        <v>9.7890999999999995</v>
      </c>
      <c r="AC1177" s="227">
        <v>774.65</v>
      </c>
      <c r="AD1177" s="230">
        <v>1.1329976851851852E-4</v>
      </c>
      <c r="AE1177" s="230">
        <v>58.734599999999993</v>
      </c>
      <c r="AF1177" s="230">
        <v>3816</v>
      </c>
      <c r="AG1177" s="230">
        <v>510176.10229991999</v>
      </c>
      <c r="AH1177" s="230">
        <v>4280347.6542056482</v>
      </c>
      <c r="AI1177" s="230">
        <v>4647.8999999999996</v>
      </c>
    </row>
    <row r="1178" spans="5:35" x14ac:dyDescent="0.35">
      <c r="E1178" s="226">
        <v>3.9770400000000001</v>
      </c>
      <c r="F1178" s="227">
        <v>19.121819178082191</v>
      </c>
      <c r="G1178" s="227">
        <v>6979.4639999999999</v>
      </c>
      <c r="H1178" s="227">
        <v>0.98460000000000003</v>
      </c>
      <c r="I1178" s="227">
        <v>4.673</v>
      </c>
      <c r="J1178" s="227">
        <v>0.59054946932861108</v>
      </c>
      <c r="K1178" s="227">
        <v>130.68</v>
      </c>
      <c r="L1178" s="227">
        <v>131.47999999999999</v>
      </c>
      <c r="M1178" s="227">
        <v>128.54</v>
      </c>
      <c r="N1178" s="227">
        <v>90.796999999999997</v>
      </c>
      <c r="O1178" s="227">
        <v>97.251999999999995</v>
      </c>
      <c r="P1178" s="227">
        <v>112.53</v>
      </c>
      <c r="Q1178" s="227">
        <v>105.2</v>
      </c>
      <c r="R1178" s="227">
        <v>109.89</v>
      </c>
      <c r="S1178" s="227"/>
      <c r="T1178" s="227">
        <v>79.5</v>
      </c>
      <c r="U1178" s="227">
        <v>79.5</v>
      </c>
      <c r="V1178" s="227">
        <v>79.5</v>
      </c>
      <c r="W1178" s="227">
        <v>79.5</v>
      </c>
      <c r="X1178" s="227">
        <v>79.5</v>
      </c>
      <c r="Y1178" s="227">
        <v>79.5</v>
      </c>
      <c r="Z1178" s="227">
        <v>79.5</v>
      </c>
      <c r="AA1178" s="227">
        <v>79.5</v>
      </c>
      <c r="AB1178" s="227">
        <v>9.7731999999999992</v>
      </c>
      <c r="AC1178" s="227">
        <v>774.65</v>
      </c>
      <c r="AD1178" s="230">
        <v>1.1311574074074074E-4</v>
      </c>
      <c r="AE1178" s="230">
        <v>58.639200000000002</v>
      </c>
      <c r="AF1178" s="230">
        <v>3816</v>
      </c>
      <c r="AG1178" s="230">
        <v>510234.74149991997</v>
      </c>
      <c r="AH1178" s="230">
        <v>4284163.6542056482</v>
      </c>
      <c r="AI1178" s="230">
        <v>4647.8999999999996</v>
      </c>
    </row>
    <row r="1179" spans="5:35" x14ac:dyDescent="0.35">
      <c r="E1179" s="226">
        <v>3.9810399999999997</v>
      </c>
      <c r="F1179" s="227">
        <v>19.138257534246573</v>
      </c>
      <c r="G1179" s="227">
        <v>6985.4639999999999</v>
      </c>
      <c r="H1179" s="227">
        <v>0.98470000000000002</v>
      </c>
      <c r="I1179" s="227">
        <v>4.6769999999999996</v>
      </c>
      <c r="J1179" s="227">
        <v>0.59061722905083336</v>
      </c>
      <c r="K1179" s="227">
        <v>130.66999999999999</v>
      </c>
      <c r="L1179" s="227">
        <v>131.47</v>
      </c>
      <c r="M1179" s="227">
        <v>128.53</v>
      </c>
      <c r="N1179" s="227">
        <v>90.79</v>
      </c>
      <c r="O1179" s="227">
        <v>97.245999999999995</v>
      </c>
      <c r="P1179" s="227">
        <v>112.52</v>
      </c>
      <c r="Q1179" s="227">
        <v>105.19</v>
      </c>
      <c r="R1179" s="227">
        <v>109.88</v>
      </c>
      <c r="S1179" s="227"/>
      <c r="T1179" s="227">
        <v>79.5</v>
      </c>
      <c r="U1179" s="227">
        <v>79.5</v>
      </c>
      <c r="V1179" s="227">
        <v>79.5</v>
      </c>
      <c r="W1179" s="227">
        <v>79.5</v>
      </c>
      <c r="X1179" s="227">
        <v>79.5</v>
      </c>
      <c r="Y1179" s="227">
        <v>79.5</v>
      </c>
      <c r="Z1179" s="227">
        <v>79.5</v>
      </c>
      <c r="AA1179" s="227">
        <v>79.5</v>
      </c>
      <c r="AB1179" s="227">
        <v>9.7574000000000005</v>
      </c>
      <c r="AC1179" s="227">
        <v>774.65</v>
      </c>
      <c r="AD1179" s="230">
        <v>1.1293287037037038E-4</v>
      </c>
      <c r="AE1179" s="230">
        <v>58.544400000000003</v>
      </c>
      <c r="AF1179" s="230">
        <v>3816</v>
      </c>
      <c r="AG1179" s="230">
        <v>510293.28589991998</v>
      </c>
      <c r="AH1179" s="230">
        <v>4287979.6542056482</v>
      </c>
      <c r="AI1179" s="230">
        <v>4647.8999999999996</v>
      </c>
    </row>
    <row r="1180" spans="5:35" x14ac:dyDescent="0.35">
      <c r="E1180" s="226">
        <v>3.9850400000000001</v>
      </c>
      <c r="F1180" s="227">
        <v>19.154695890410959</v>
      </c>
      <c r="G1180" s="227">
        <v>6991.4639999999999</v>
      </c>
      <c r="H1180" s="227">
        <v>0.98470000000000002</v>
      </c>
      <c r="I1180" s="227">
        <v>4.681</v>
      </c>
      <c r="J1180" s="227">
        <v>0.59068487974527784</v>
      </c>
      <c r="K1180" s="227">
        <v>130.66</v>
      </c>
      <c r="L1180" s="227">
        <v>131.44999999999999</v>
      </c>
      <c r="M1180" s="227">
        <v>128.52000000000001</v>
      </c>
      <c r="N1180" s="227">
        <v>90.783000000000001</v>
      </c>
      <c r="O1180" s="227">
        <v>97.241</v>
      </c>
      <c r="P1180" s="227">
        <v>112.52</v>
      </c>
      <c r="Q1180" s="227">
        <v>105.19</v>
      </c>
      <c r="R1180" s="227">
        <v>109.88</v>
      </c>
      <c r="S1180" s="227"/>
      <c r="T1180" s="227">
        <v>79.5</v>
      </c>
      <c r="U1180" s="227">
        <v>79.5</v>
      </c>
      <c r="V1180" s="227">
        <v>79.5</v>
      </c>
      <c r="W1180" s="227">
        <v>79.5</v>
      </c>
      <c r="X1180" s="227">
        <v>79.5</v>
      </c>
      <c r="Y1180" s="227">
        <v>79.5</v>
      </c>
      <c r="Z1180" s="227">
        <v>79.5</v>
      </c>
      <c r="AA1180" s="227">
        <v>79.5</v>
      </c>
      <c r="AB1180" s="227">
        <v>9.7416999999999998</v>
      </c>
      <c r="AC1180" s="227">
        <v>774.65</v>
      </c>
      <c r="AD1180" s="230">
        <v>1.127511574074074E-4</v>
      </c>
      <c r="AE1180" s="230">
        <v>58.450199999999995</v>
      </c>
      <c r="AF1180" s="230">
        <v>3816</v>
      </c>
      <c r="AG1180" s="230">
        <v>510351.73609992</v>
      </c>
      <c r="AH1180" s="230">
        <v>4291795.6542056482</v>
      </c>
      <c r="AI1180" s="230">
        <v>4647.8999999999996</v>
      </c>
    </row>
    <row r="1181" spans="5:35" x14ac:dyDescent="0.35">
      <c r="E1181" s="226">
        <v>3.9891400000000004</v>
      </c>
      <c r="F1181" s="227">
        <v>19.171134246575342</v>
      </c>
      <c r="G1181" s="227">
        <v>6997.4639999999999</v>
      </c>
      <c r="H1181" s="227">
        <v>0.98470000000000002</v>
      </c>
      <c r="I1181" s="227">
        <v>4.6851000000000003</v>
      </c>
      <c r="J1181" s="227">
        <v>0.5907524200230555</v>
      </c>
      <c r="K1181" s="227">
        <v>130.63999999999999</v>
      </c>
      <c r="L1181" s="227">
        <v>131.44</v>
      </c>
      <c r="M1181" s="227">
        <v>128.51</v>
      </c>
      <c r="N1181" s="227">
        <v>90.777000000000001</v>
      </c>
      <c r="O1181" s="227">
        <v>97.233999999999995</v>
      </c>
      <c r="P1181" s="227">
        <v>112.51</v>
      </c>
      <c r="Q1181" s="227">
        <v>105.18</v>
      </c>
      <c r="R1181" s="227">
        <v>109.87</v>
      </c>
      <c r="S1181" s="227"/>
      <c r="T1181" s="227">
        <v>79.5</v>
      </c>
      <c r="U1181" s="227">
        <v>79.5</v>
      </c>
      <c r="V1181" s="227">
        <v>79.5</v>
      </c>
      <c r="W1181" s="227">
        <v>79.5</v>
      </c>
      <c r="X1181" s="227">
        <v>79.5</v>
      </c>
      <c r="Y1181" s="227">
        <v>79.5</v>
      </c>
      <c r="Z1181" s="227">
        <v>79.5</v>
      </c>
      <c r="AA1181" s="227">
        <v>79.5</v>
      </c>
      <c r="AB1181" s="227">
        <v>9.7257999999999996</v>
      </c>
      <c r="AC1181" s="227">
        <v>774.65</v>
      </c>
      <c r="AD1181" s="230">
        <v>1.1256712962962963E-4</v>
      </c>
      <c r="AE1181" s="230">
        <v>58.354800000000004</v>
      </c>
      <c r="AF1181" s="230">
        <v>3816</v>
      </c>
      <c r="AG1181" s="230">
        <v>510410.09089991997</v>
      </c>
      <c r="AH1181" s="230">
        <v>4295611.6542056482</v>
      </c>
      <c r="AI1181" s="230">
        <v>4647.8999999999996</v>
      </c>
    </row>
    <row r="1182" spans="5:35" x14ac:dyDescent="0.35">
      <c r="E1182" s="226">
        <v>3.9931399999999999</v>
      </c>
      <c r="F1182" s="227">
        <v>19.187572602739724</v>
      </c>
      <c r="G1182" s="227">
        <v>7003.4639999999999</v>
      </c>
      <c r="H1182" s="227">
        <v>0.98470000000000002</v>
      </c>
      <c r="I1182" s="227">
        <v>4.6890999999999998</v>
      </c>
      <c r="J1182" s="227">
        <v>0.59081985057861108</v>
      </c>
      <c r="K1182" s="227">
        <v>130.63</v>
      </c>
      <c r="L1182" s="227">
        <v>131.43</v>
      </c>
      <c r="M1182" s="227">
        <v>128.49</v>
      </c>
      <c r="N1182" s="227">
        <v>90.77</v>
      </c>
      <c r="O1182" s="227">
        <v>97.227999999999994</v>
      </c>
      <c r="P1182" s="227">
        <v>112.5</v>
      </c>
      <c r="Q1182" s="227">
        <v>105.18</v>
      </c>
      <c r="R1182" s="227">
        <v>109.86</v>
      </c>
      <c r="S1182" s="227"/>
      <c r="T1182" s="227">
        <v>79.5</v>
      </c>
      <c r="U1182" s="227">
        <v>79.5</v>
      </c>
      <c r="V1182" s="227">
        <v>79.5</v>
      </c>
      <c r="W1182" s="227">
        <v>79.5</v>
      </c>
      <c r="X1182" s="227">
        <v>79.5</v>
      </c>
      <c r="Y1182" s="227">
        <v>79.5</v>
      </c>
      <c r="Z1182" s="227">
        <v>79.5</v>
      </c>
      <c r="AA1182" s="227">
        <v>79.5</v>
      </c>
      <c r="AB1182" s="227">
        <v>9.7100000000000009</v>
      </c>
      <c r="AC1182" s="227">
        <v>774.65</v>
      </c>
      <c r="AD1182" s="230">
        <v>1.1238425925925927E-4</v>
      </c>
      <c r="AE1182" s="230">
        <v>58.260000000000005</v>
      </c>
      <c r="AF1182" s="230">
        <v>3816</v>
      </c>
      <c r="AG1182" s="230">
        <v>510468.35089991998</v>
      </c>
      <c r="AH1182" s="230">
        <v>4299427.6542056482</v>
      </c>
      <c r="AI1182" s="230">
        <v>4647.8999999999996</v>
      </c>
    </row>
    <row r="1183" spans="5:35" x14ac:dyDescent="0.35">
      <c r="E1183" s="226">
        <v>3.9971400000000004</v>
      </c>
      <c r="F1183" s="227">
        <v>19.20401095890411</v>
      </c>
      <c r="G1183" s="227">
        <v>7009.4639999999999</v>
      </c>
      <c r="H1183" s="227">
        <v>0.98480000000000001</v>
      </c>
      <c r="I1183" s="227">
        <v>4.6931000000000003</v>
      </c>
      <c r="J1183" s="227">
        <v>0.59088717349527775</v>
      </c>
      <c r="K1183" s="227">
        <v>130.61000000000001</v>
      </c>
      <c r="L1183" s="227">
        <v>131.41999999999999</v>
      </c>
      <c r="M1183" s="227">
        <v>128.47999999999999</v>
      </c>
      <c r="N1183" s="227">
        <v>90.763999999999996</v>
      </c>
      <c r="O1183" s="227">
        <v>97.222999999999999</v>
      </c>
      <c r="P1183" s="227">
        <v>112.49</v>
      </c>
      <c r="Q1183" s="227">
        <v>105.17</v>
      </c>
      <c r="R1183" s="227">
        <v>109.86</v>
      </c>
      <c r="S1183" s="227"/>
      <c r="T1183" s="227">
        <v>79.5</v>
      </c>
      <c r="U1183" s="227">
        <v>79.5</v>
      </c>
      <c r="V1183" s="227">
        <v>79.5</v>
      </c>
      <c r="W1183" s="227">
        <v>79.5</v>
      </c>
      <c r="X1183" s="227">
        <v>79.5</v>
      </c>
      <c r="Y1183" s="227">
        <v>79.5</v>
      </c>
      <c r="Z1183" s="227">
        <v>79.5</v>
      </c>
      <c r="AA1183" s="227">
        <v>79.5</v>
      </c>
      <c r="AB1183" s="227">
        <v>9.6944999999999997</v>
      </c>
      <c r="AC1183" s="227">
        <v>774.65</v>
      </c>
      <c r="AD1183" s="230">
        <v>1.1220486111111111E-4</v>
      </c>
      <c r="AE1183" s="230">
        <v>58.167000000000002</v>
      </c>
      <c r="AF1183" s="230">
        <v>3816</v>
      </c>
      <c r="AG1183" s="230">
        <v>510526.51789992</v>
      </c>
      <c r="AH1183" s="230">
        <v>4303243.6542056482</v>
      </c>
      <c r="AI1183" s="230">
        <v>4647.8999999999996</v>
      </c>
    </row>
    <row r="1184" spans="5:35" x14ac:dyDescent="0.35">
      <c r="E1184" s="226">
        <v>4.0011399999999995</v>
      </c>
      <c r="F1184" s="227">
        <v>19.220449315068493</v>
      </c>
      <c r="G1184" s="227">
        <v>7015.4639999999999</v>
      </c>
      <c r="H1184" s="227">
        <v>0.98480000000000001</v>
      </c>
      <c r="I1184" s="227">
        <v>4.6970999999999998</v>
      </c>
      <c r="J1184" s="227">
        <v>0.59095438807861111</v>
      </c>
      <c r="K1184" s="227">
        <v>130.6</v>
      </c>
      <c r="L1184" s="227">
        <v>131.41</v>
      </c>
      <c r="M1184" s="227">
        <v>128.47</v>
      </c>
      <c r="N1184" s="227">
        <v>90.757000000000005</v>
      </c>
      <c r="O1184" s="227">
        <v>97.216999999999999</v>
      </c>
      <c r="P1184" s="227">
        <v>112.48</v>
      </c>
      <c r="Q1184" s="227">
        <v>105.17</v>
      </c>
      <c r="R1184" s="227">
        <v>109.85</v>
      </c>
      <c r="S1184" s="227"/>
      <c r="T1184" s="227">
        <v>79.5</v>
      </c>
      <c r="U1184" s="227">
        <v>79.5</v>
      </c>
      <c r="V1184" s="227">
        <v>79.5</v>
      </c>
      <c r="W1184" s="227">
        <v>79.5</v>
      </c>
      <c r="X1184" s="227">
        <v>79.5</v>
      </c>
      <c r="Y1184" s="227">
        <v>79.5</v>
      </c>
      <c r="Z1184" s="227">
        <v>79.5</v>
      </c>
      <c r="AA1184" s="227">
        <v>79.5</v>
      </c>
      <c r="AB1184" s="227">
        <v>9.6789000000000005</v>
      </c>
      <c r="AC1184" s="227">
        <v>774.65</v>
      </c>
      <c r="AD1184" s="230">
        <v>1.1202430555555556E-4</v>
      </c>
      <c r="AE1184" s="230">
        <v>58.073400000000007</v>
      </c>
      <c r="AF1184" s="230">
        <v>3816</v>
      </c>
      <c r="AG1184" s="230">
        <v>510584.59129991999</v>
      </c>
      <c r="AH1184" s="230">
        <v>4307059.6542056482</v>
      </c>
      <c r="AI1184" s="230">
        <v>4647.8999999999996</v>
      </c>
    </row>
    <row r="1185" spans="5:35" x14ac:dyDescent="0.35">
      <c r="E1185" s="226">
        <v>4.0051399999999999</v>
      </c>
      <c r="F1185" s="227">
        <v>19.236887671232875</v>
      </c>
      <c r="G1185" s="227">
        <v>7021.4639999999999</v>
      </c>
      <c r="H1185" s="227">
        <v>0.98480000000000001</v>
      </c>
      <c r="I1185" s="227">
        <v>4.7011000000000003</v>
      </c>
      <c r="J1185" s="227">
        <v>0.59102149432861106</v>
      </c>
      <c r="K1185" s="227">
        <v>130.59</v>
      </c>
      <c r="L1185" s="227">
        <v>131.4</v>
      </c>
      <c r="M1185" s="227">
        <v>128.46</v>
      </c>
      <c r="N1185" s="227">
        <v>90.751000000000005</v>
      </c>
      <c r="O1185" s="227">
        <v>97.210999999999999</v>
      </c>
      <c r="P1185" s="227">
        <v>112.47</v>
      </c>
      <c r="Q1185" s="227">
        <v>105.16</v>
      </c>
      <c r="R1185" s="227">
        <v>109.85</v>
      </c>
      <c r="S1185" s="227"/>
      <c r="T1185" s="227">
        <v>79.5</v>
      </c>
      <c r="U1185" s="227">
        <v>79.5</v>
      </c>
      <c r="V1185" s="227">
        <v>79.5</v>
      </c>
      <c r="W1185" s="227">
        <v>79.5</v>
      </c>
      <c r="X1185" s="227">
        <v>79.5</v>
      </c>
      <c r="Y1185" s="227">
        <v>79.5</v>
      </c>
      <c r="Z1185" s="227">
        <v>79.5</v>
      </c>
      <c r="AA1185" s="227">
        <v>79.5</v>
      </c>
      <c r="AB1185" s="227">
        <v>9.6632999999999996</v>
      </c>
      <c r="AC1185" s="227">
        <v>774.65</v>
      </c>
      <c r="AD1185" s="230">
        <v>1.1184374999999999E-4</v>
      </c>
      <c r="AE1185" s="230">
        <v>57.979799999999997</v>
      </c>
      <c r="AF1185" s="230">
        <v>3816</v>
      </c>
      <c r="AG1185" s="230">
        <v>510642.57109991997</v>
      </c>
      <c r="AH1185" s="230">
        <v>4310875.6542056482</v>
      </c>
      <c r="AI1185" s="230">
        <v>4647.8999999999996</v>
      </c>
    </row>
    <row r="1186" spans="5:35" x14ac:dyDescent="0.35">
      <c r="E1186" s="226">
        <v>4.0091399999999995</v>
      </c>
      <c r="F1186" s="227">
        <v>19.253326027397261</v>
      </c>
      <c r="G1186" s="227">
        <v>7027.4639999999999</v>
      </c>
      <c r="H1186" s="227">
        <v>0.98480000000000001</v>
      </c>
      <c r="I1186" s="227">
        <v>4.7050999999999998</v>
      </c>
      <c r="J1186" s="227">
        <v>0.59108849085638882</v>
      </c>
      <c r="K1186" s="227">
        <v>130.57</v>
      </c>
      <c r="L1186" s="227">
        <v>131.38999999999999</v>
      </c>
      <c r="M1186" s="227">
        <v>128.44</v>
      </c>
      <c r="N1186" s="227">
        <v>90.744</v>
      </c>
      <c r="O1186" s="227">
        <v>97.204999999999998</v>
      </c>
      <c r="P1186" s="227">
        <v>112.46</v>
      </c>
      <c r="Q1186" s="227">
        <v>105.16</v>
      </c>
      <c r="R1186" s="227">
        <v>109.84</v>
      </c>
      <c r="S1186" s="227"/>
      <c r="T1186" s="227">
        <v>79.5</v>
      </c>
      <c r="U1186" s="227">
        <v>79.5</v>
      </c>
      <c r="V1186" s="227">
        <v>79.5</v>
      </c>
      <c r="W1186" s="227">
        <v>79.5</v>
      </c>
      <c r="X1186" s="227">
        <v>79.5</v>
      </c>
      <c r="Y1186" s="227">
        <v>79.5</v>
      </c>
      <c r="Z1186" s="227">
        <v>79.5</v>
      </c>
      <c r="AA1186" s="227">
        <v>79.5</v>
      </c>
      <c r="AB1186" s="227">
        <v>9.6475000000000009</v>
      </c>
      <c r="AC1186" s="227">
        <v>774.65</v>
      </c>
      <c r="AD1186" s="230">
        <v>1.1166087962962965E-4</v>
      </c>
      <c r="AE1186" s="230">
        <v>57.885000000000012</v>
      </c>
      <c r="AF1186" s="230">
        <v>3816</v>
      </c>
      <c r="AG1186" s="230">
        <v>510700.45609991997</v>
      </c>
      <c r="AH1186" s="230">
        <v>4314691.6542056482</v>
      </c>
      <c r="AI1186" s="230">
        <v>4647.8999999999996</v>
      </c>
    </row>
    <row r="1187" spans="5:35" x14ac:dyDescent="0.35">
      <c r="E1187" s="226">
        <v>4.0132399999999997</v>
      </c>
      <c r="F1187" s="227">
        <v>19.269764383561643</v>
      </c>
      <c r="G1187" s="227">
        <v>7033.4639999999999</v>
      </c>
      <c r="H1187" s="227">
        <v>0.9849</v>
      </c>
      <c r="I1187" s="227">
        <v>4.7092000000000001</v>
      </c>
      <c r="J1187" s="227">
        <v>0.59115538043972216</v>
      </c>
      <c r="K1187" s="227">
        <v>130.56</v>
      </c>
      <c r="L1187" s="227">
        <v>131.38</v>
      </c>
      <c r="M1187" s="227">
        <v>128.43</v>
      </c>
      <c r="N1187" s="227">
        <v>90.738</v>
      </c>
      <c r="O1187" s="227">
        <v>97.2</v>
      </c>
      <c r="P1187" s="227">
        <v>112.46</v>
      </c>
      <c r="Q1187" s="227">
        <v>105.15</v>
      </c>
      <c r="R1187" s="227">
        <v>109.83</v>
      </c>
      <c r="S1187" s="227"/>
      <c r="T1187" s="227">
        <v>79.5</v>
      </c>
      <c r="U1187" s="227">
        <v>79.5</v>
      </c>
      <c r="V1187" s="227">
        <v>79.5</v>
      </c>
      <c r="W1187" s="227">
        <v>79.5</v>
      </c>
      <c r="X1187" s="227">
        <v>79.5</v>
      </c>
      <c r="Y1187" s="227">
        <v>79.5</v>
      </c>
      <c r="Z1187" s="227">
        <v>79.5</v>
      </c>
      <c r="AA1187" s="227">
        <v>79.5</v>
      </c>
      <c r="AB1187" s="227">
        <v>9.6320999999999994</v>
      </c>
      <c r="AC1187" s="227">
        <v>774.65</v>
      </c>
      <c r="AD1187" s="230">
        <v>1.1148263888888888E-4</v>
      </c>
      <c r="AE1187" s="230">
        <v>57.7926</v>
      </c>
      <c r="AF1187" s="230">
        <v>3816</v>
      </c>
      <c r="AG1187" s="230">
        <v>510758.24869991996</v>
      </c>
      <c r="AH1187" s="230">
        <v>4318507.6542056482</v>
      </c>
      <c r="AI1187" s="230">
        <v>4647.8999999999996</v>
      </c>
    </row>
    <row r="1188" spans="5:35" x14ac:dyDescent="0.35">
      <c r="E1188" s="226">
        <v>4.0172399999999993</v>
      </c>
      <c r="F1188" s="227">
        <v>19.286202739726026</v>
      </c>
      <c r="G1188" s="227">
        <v>7039.4639999999999</v>
      </c>
      <c r="H1188" s="227">
        <v>0.9849</v>
      </c>
      <c r="I1188" s="227">
        <v>4.7131999999999996</v>
      </c>
      <c r="J1188" s="227">
        <v>0.59122216377305548</v>
      </c>
      <c r="K1188" s="227">
        <v>130.55000000000001</v>
      </c>
      <c r="L1188" s="227">
        <v>131.37</v>
      </c>
      <c r="M1188" s="227">
        <v>128.41999999999999</v>
      </c>
      <c r="N1188" s="227">
        <v>90.730999999999995</v>
      </c>
      <c r="O1188" s="227">
        <v>97.194999999999993</v>
      </c>
      <c r="P1188" s="227">
        <v>112.45</v>
      </c>
      <c r="Q1188" s="227">
        <v>105.15</v>
      </c>
      <c r="R1188" s="227">
        <v>109.83</v>
      </c>
      <c r="S1188" s="227"/>
      <c r="T1188" s="227">
        <v>79.5</v>
      </c>
      <c r="U1188" s="227">
        <v>79.5</v>
      </c>
      <c r="V1188" s="227">
        <v>79.5</v>
      </c>
      <c r="W1188" s="227">
        <v>79.5</v>
      </c>
      <c r="X1188" s="227">
        <v>79.5</v>
      </c>
      <c r="Y1188" s="227">
        <v>79.5</v>
      </c>
      <c r="Z1188" s="227">
        <v>79.5</v>
      </c>
      <c r="AA1188" s="227">
        <v>79.5</v>
      </c>
      <c r="AB1188" s="227">
        <v>9.6167999999999996</v>
      </c>
      <c r="AC1188" s="227">
        <v>774.65</v>
      </c>
      <c r="AD1188" s="230">
        <v>1.1130555555555554E-4</v>
      </c>
      <c r="AE1188" s="230">
        <v>57.700799999999987</v>
      </c>
      <c r="AF1188" s="230">
        <v>3816</v>
      </c>
      <c r="AG1188" s="230">
        <v>510815.94949991995</v>
      </c>
      <c r="AH1188" s="230">
        <v>4322323.6542056482</v>
      </c>
      <c r="AI1188" s="230">
        <v>4647.8999999999996</v>
      </c>
    </row>
    <row r="1189" spans="5:35" x14ac:dyDescent="0.35">
      <c r="E1189" s="226">
        <v>4.0212399999999997</v>
      </c>
      <c r="F1189" s="227">
        <v>19.302641095890412</v>
      </c>
      <c r="G1189" s="227">
        <v>7045.4639999999999</v>
      </c>
      <c r="H1189" s="227">
        <v>0.9849</v>
      </c>
      <c r="I1189" s="227">
        <v>4.7172000000000001</v>
      </c>
      <c r="J1189" s="227">
        <v>0.59128883946749999</v>
      </c>
      <c r="K1189" s="227">
        <v>130.53</v>
      </c>
      <c r="L1189" s="227">
        <v>131.36000000000001</v>
      </c>
      <c r="M1189" s="227">
        <v>128.41</v>
      </c>
      <c r="N1189" s="227">
        <v>90.724999999999994</v>
      </c>
      <c r="O1189" s="227">
        <v>97.188999999999993</v>
      </c>
      <c r="P1189" s="227">
        <v>112.44</v>
      </c>
      <c r="Q1189" s="227">
        <v>105.14</v>
      </c>
      <c r="R1189" s="227">
        <v>109.82</v>
      </c>
      <c r="S1189" s="227"/>
      <c r="T1189" s="227">
        <v>79.5</v>
      </c>
      <c r="U1189" s="227">
        <v>79.5</v>
      </c>
      <c r="V1189" s="227">
        <v>79.5</v>
      </c>
      <c r="W1189" s="227">
        <v>79.5</v>
      </c>
      <c r="X1189" s="227">
        <v>79.5</v>
      </c>
      <c r="Y1189" s="227">
        <v>79.5</v>
      </c>
      <c r="Z1189" s="227">
        <v>79.5</v>
      </c>
      <c r="AA1189" s="227">
        <v>79.5</v>
      </c>
      <c r="AB1189" s="227">
        <v>9.6013000000000002</v>
      </c>
      <c r="AC1189" s="227">
        <v>774.65</v>
      </c>
      <c r="AD1189" s="230">
        <v>1.1112615740740741E-4</v>
      </c>
      <c r="AE1189" s="230">
        <v>57.607799999999997</v>
      </c>
      <c r="AF1189" s="230">
        <v>3816</v>
      </c>
      <c r="AG1189" s="230">
        <v>510873.55729991995</v>
      </c>
      <c r="AH1189" s="230">
        <v>4326139.6542056482</v>
      </c>
      <c r="AI1189" s="230">
        <v>4647.8999999999996</v>
      </c>
    </row>
    <row r="1190" spans="5:35" x14ac:dyDescent="0.35">
      <c r="E1190" s="226">
        <v>4.0252399999999993</v>
      </c>
      <c r="F1190" s="227">
        <v>19.319079452054794</v>
      </c>
      <c r="G1190" s="227">
        <v>7051.4639999999999</v>
      </c>
      <c r="H1190" s="227">
        <v>0.9849</v>
      </c>
      <c r="I1190" s="227">
        <v>4.7211999999999996</v>
      </c>
      <c r="J1190" s="227">
        <v>0.59135540960638877</v>
      </c>
      <c r="K1190" s="227">
        <v>130.52000000000001</v>
      </c>
      <c r="L1190" s="227">
        <v>131.35</v>
      </c>
      <c r="M1190" s="227">
        <v>128.4</v>
      </c>
      <c r="N1190" s="227">
        <v>90.718000000000004</v>
      </c>
      <c r="O1190" s="227">
        <v>97.183999999999997</v>
      </c>
      <c r="P1190" s="227">
        <v>112.43</v>
      </c>
      <c r="Q1190" s="227">
        <v>105.14</v>
      </c>
      <c r="R1190" s="227">
        <v>109.82</v>
      </c>
      <c r="S1190" s="227"/>
      <c r="T1190" s="227">
        <v>79.5</v>
      </c>
      <c r="U1190" s="227">
        <v>79.5</v>
      </c>
      <c r="V1190" s="227">
        <v>79.5</v>
      </c>
      <c r="W1190" s="227">
        <v>79.5</v>
      </c>
      <c r="X1190" s="227">
        <v>79.5</v>
      </c>
      <c r="Y1190" s="227">
        <v>79.5</v>
      </c>
      <c r="Z1190" s="227">
        <v>79.5</v>
      </c>
      <c r="AA1190" s="227">
        <v>79.5</v>
      </c>
      <c r="AB1190" s="227">
        <v>9.5861000000000001</v>
      </c>
      <c r="AC1190" s="227">
        <v>774.65</v>
      </c>
      <c r="AD1190" s="230">
        <v>1.1095023148148148E-4</v>
      </c>
      <c r="AE1190" s="230">
        <v>57.516599999999997</v>
      </c>
      <c r="AF1190" s="230">
        <v>3816</v>
      </c>
      <c r="AG1190" s="230">
        <v>510931.07389991992</v>
      </c>
      <c r="AH1190" s="230">
        <v>4329955.6542056482</v>
      </c>
      <c r="AI1190" s="230">
        <v>4647.8999999999996</v>
      </c>
    </row>
    <row r="1191" spans="5:35" x14ac:dyDescent="0.35">
      <c r="E1191" s="226">
        <v>4.0292399999999997</v>
      </c>
      <c r="F1191" s="227">
        <v>19.335517808219176</v>
      </c>
      <c r="G1191" s="227">
        <v>7057.4639999999999</v>
      </c>
      <c r="H1191" s="227">
        <v>0.98499999999999999</v>
      </c>
      <c r="I1191" s="227">
        <v>4.7252000000000001</v>
      </c>
      <c r="J1191" s="227">
        <v>0.59142187210638875</v>
      </c>
      <c r="K1191" s="227">
        <v>130.51</v>
      </c>
      <c r="L1191" s="227">
        <v>131.34</v>
      </c>
      <c r="M1191" s="227">
        <v>128.38999999999999</v>
      </c>
      <c r="N1191" s="227">
        <v>90.712000000000003</v>
      </c>
      <c r="O1191" s="227">
        <v>97.177000000000007</v>
      </c>
      <c r="P1191" s="227">
        <v>112.42</v>
      </c>
      <c r="Q1191" s="227">
        <v>105.13</v>
      </c>
      <c r="R1191" s="227">
        <v>109.81</v>
      </c>
      <c r="S1191" s="227"/>
      <c r="T1191" s="227">
        <v>79.5</v>
      </c>
      <c r="U1191" s="227">
        <v>79.5</v>
      </c>
      <c r="V1191" s="227">
        <v>79.5</v>
      </c>
      <c r="W1191" s="227">
        <v>79.5</v>
      </c>
      <c r="X1191" s="227">
        <v>79.5</v>
      </c>
      <c r="Y1191" s="227">
        <v>79.5</v>
      </c>
      <c r="Z1191" s="227">
        <v>79.5</v>
      </c>
      <c r="AA1191" s="227">
        <v>79.5</v>
      </c>
      <c r="AB1191" s="227">
        <v>9.5706000000000007</v>
      </c>
      <c r="AC1191" s="227">
        <v>774.65</v>
      </c>
      <c r="AD1191" s="230">
        <v>1.1077083333333334E-4</v>
      </c>
      <c r="AE1191" s="230">
        <v>57.423600000000008</v>
      </c>
      <c r="AF1191" s="230">
        <v>3816</v>
      </c>
      <c r="AG1191" s="230">
        <v>510988.4974999199</v>
      </c>
      <c r="AH1191" s="230">
        <v>4333771.6542056482</v>
      </c>
      <c r="AI1191" s="230">
        <v>4647.8999999999996</v>
      </c>
    </row>
    <row r="1192" spans="5:35" x14ac:dyDescent="0.35">
      <c r="E1192" s="226">
        <v>4.0333399999999999</v>
      </c>
      <c r="F1192" s="227">
        <v>19.351956164383562</v>
      </c>
      <c r="G1192" s="227">
        <v>7063.4639999999999</v>
      </c>
      <c r="H1192" s="227">
        <v>0.98499999999999999</v>
      </c>
      <c r="I1192" s="227">
        <v>4.7293000000000003</v>
      </c>
      <c r="J1192" s="227">
        <v>0.59148822766194431</v>
      </c>
      <c r="K1192" s="227">
        <v>130.49</v>
      </c>
      <c r="L1192" s="227">
        <v>131.33000000000001</v>
      </c>
      <c r="M1192" s="227">
        <v>128.37</v>
      </c>
      <c r="N1192" s="227">
        <v>90.704999999999998</v>
      </c>
      <c r="O1192" s="227">
        <v>97.171999999999997</v>
      </c>
      <c r="P1192" s="227">
        <v>112.41</v>
      </c>
      <c r="Q1192" s="227">
        <v>105.13</v>
      </c>
      <c r="R1192" s="227">
        <v>109.8</v>
      </c>
      <c r="S1192" s="227"/>
      <c r="T1192" s="227">
        <v>79.5</v>
      </c>
      <c r="U1192" s="227">
        <v>79.5</v>
      </c>
      <c r="V1192" s="227">
        <v>79.5</v>
      </c>
      <c r="W1192" s="227">
        <v>79.5</v>
      </c>
      <c r="X1192" s="227">
        <v>79.5</v>
      </c>
      <c r="Y1192" s="227">
        <v>79.5</v>
      </c>
      <c r="Z1192" s="227">
        <v>79.5</v>
      </c>
      <c r="AA1192" s="227">
        <v>79.5</v>
      </c>
      <c r="AB1192" s="227">
        <v>9.5551999999999992</v>
      </c>
      <c r="AC1192" s="227">
        <v>774.65</v>
      </c>
      <c r="AD1192" s="230">
        <v>1.1059259259259258E-4</v>
      </c>
      <c r="AE1192" s="230">
        <v>57.331199999999995</v>
      </c>
      <c r="AF1192" s="230">
        <v>3816</v>
      </c>
      <c r="AG1192" s="230">
        <v>511045.82869991992</v>
      </c>
      <c r="AH1192" s="230">
        <v>4337587.6542056482</v>
      </c>
      <c r="AI1192" s="230">
        <v>4647.8999999999996</v>
      </c>
    </row>
    <row r="1193" spans="5:35" x14ac:dyDescent="0.35">
      <c r="E1193" s="226">
        <v>4.0373399999999995</v>
      </c>
      <c r="F1193" s="227">
        <v>19.368394520547945</v>
      </c>
      <c r="G1193" s="227">
        <v>7069.4639999999999</v>
      </c>
      <c r="H1193" s="227">
        <v>0.98499999999999999</v>
      </c>
      <c r="I1193" s="227">
        <v>4.7332999999999998</v>
      </c>
      <c r="J1193" s="227">
        <v>0.59155447696749996</v>
      </c>
      <c r="K1193" s="227">
        <v>130.47999999999999</v>
      </c>
      <c r="L1193" s="227">
        <v>131.32</v>
      </c>
      <c r="M1193" s="227">
        <v>128.36000000000001</v>
      </c>
      <c r="N1193" s="227">
        <v>90.698999999999998</v>
      </c>
      <c r="O1193" s="227">
        <v>97.167000000000002</v>
      </c>
      <c r="P1193" s="227">
        <v>112.41</v>
      </c>
      <c r="Q1193" s="227">
        <v>105.12</v>
      </c>
      <c r="R1193" s="227">
        <v>109.8</v>
      </c>
      <c r="S1193" s="227"/>
      <c r="T1193" s="227">
        <v>79.5</v>
      </c>
      <c r="U1193" s="227">
        <v>79.5</v>
      </c>
      <c r="V1193" s="227">
        <v>79.5</v>
      </c>
      <c r="W1193" s="227">
        <v>79.5</v>
      </c>
      <c r="X1193" s="227">
        <v>79.5</v>
      </c>
      <c r="Y1193" s="227">
        <v>79.5</v>
      </c>
      <c r="Z1193" s="227">
        <v>79.5</v>
      </c>
      <c r="AA1193" s="227">
        <v>79.5</v>
      </c>
      <c r="AB1193" s="227">
        <v>9.5398999999999994</v>
      </c>
      <c r="AC1193" s="227">
        <v>774.65</v>
      </c>
      <c r="AD1193" s="230">
        <v>1.1041550925925925E-4</v>
      </c>
      <c r="AE1193" s="230">
        <v>57.239399999999996</v>
      </c>
      <c r="AF1193" s="230">
        <v>3816</v>
      </c>
      <c r="AG1193" s="230">
        <v>511103.06809991994</v>
      </c>
      <c r="AH1193" s="230">
        <v>4341403.6542056482</v>
      </c>
      <c r="AI1193" s="230">
        <v>4647.8999999999996</v>
      </c>
    </row>
    <row r="1194" spans="5:35" x14ac:dyDescent="0.35">
      <c r="E1194" s="226">
        <v>4.0413399999999999</v>
      </c>
      <c r="F1194" s="227">
        <v>19.384832876712327</v>
      </c>
      <c r="G1194" s="227">
        <v>7075.4639999999999</v>
      </c>
      <c r="H1194" s="227">
        <v>0.98499999999999999</v>
      </c>
      <c r="I1194" s="227">
        <v>4.7373000000000003</v>
      </c>
      <c r="J1194" s="227">
        <v>0.59162062071749988</v>
      </c>
      <c r="K1194" s="227">
        <v>130.47</v>
      </c>
      <c r="L1194" s="227">
        <v>131.31</v>
      </c>
      <c r="M1194" s="227">
        <v>128.35</v>
      </c>
      <c r="N1194" s="227">
        <v>90.691999999999993</v>
      </c>
      <c r="O1194" s="227">
        <v>97.161000000000001</v>
      </c>
      <c r="P1194" s="227">
        <v>112.4</v>
      </c>
      <c r="Q1194" s="227">
        <v>105.12</v>
      </c>
      <c r="R1194" s="227">
        <v>109.79</v>
      </c>
      <c r="S1194" s="227"/>
      <c r="T1194" s="227">
        <v>79.5</v>
      </c>
      <c r="U1194" s="227">
        <v>79.5</v>
      </c>
      <c r="V1194" s="227">
        <v>79.5</v>
      </c>
      <c r="W1194" s="227">
        <v>79.5</v>
      </c>
      <c r="X1194" s="227">
        <v>79.5</v>
      </c>
      <c r="Y1194" s="227">
        <v>79.5</v>
      </c>
      <c r="Z1194" s="227">
        <v>79.5</v>
      </c>
      <c r="AA1194" s="227">
        <v>79.5</v>
      </c>
      <c r="AB1194" s="227">
        <v>9.5246999999999993</v>
      </c>
      <c r="AC1194" s="227">
        <v>774.65</v>
      </c>
      <c r="AD1194" s="230">
        <v>1.1023958333333332E-4</v>
      </c>
      <c r="AE1194" s="230">
        <v>57.148199999999996</v>
      </c>
      <c r="AF1194" s="230">
        <v>3816</v>
      </c>
      <c r="AG1194" s="230">
        <v>511160.21629991994</v>
      </c>
      <c r="AH1194" s="230">
        <v>4345219.6542056482</v>
      </c>
      <c r="AI1194" s="230">
        <v>4647.8999999999996</v>
      </c>
    </row>
    <row r="1195" spans="5:35" x14ac:dyDescent="0.35">
      <c r="E1195" s="226">
        <v>4.0453399999999995</v>
      </c>
      <c r="F1195" s="227">
        <v>19.401271232876713</v>
      </c>
      <c r="G1195" s="227">
        <v>7081.4639999999999</v>
      </c>
      <c r="H1195" s="227">
        <v>0.98499999999999999</v>
      </c>
      <c r="I1195" s="227">
        <v>4.7412999999999998</v>
      </c>
      <c r="J1195" s="227">
        <v>0.59168665891194439</v>
      </c>
      <c r="K1195" s="227">
        <v>130.46</v>
      </c>
      <c r="L1195" s="227">
        <v>131.30000000000001</v>
      </c>
      <c r="M1195" s="227">
        <v>128.34</v>
      </c>
      <c r="N1195" s="227">
        <v>90.686000000000007</v>
      </c>
      <c r="O1195" s="227">
        <v>97.156000000000006</v>
      </c>
      <c r="P1195" s="227">
        <v>112.39</v>
      </c>
      <c r="Q1195" s="227">
        <v>105.11</v>
      </c>
      <c r="R1195" s="227">
        <v>109.79</v>
      </c>
      <c r="S1195" s="227"/>
      <c r="T1195" s="227">
        <v>79.5</v>
      </c>
      <c r="U1195" s="227">
        <v>79.5</v>
      </c>
      <c r="V1195" s="227">
        <v>79.5</v>
      </c>
      <c r="W1195" s="227">
        <v>79.5</v>
      </c>
      <c r="X1195" s="227">
        <v>79.5</v>
      </c>
      <c r="Y1195" s="227">
        <v>79.5</v>
      </c>
      <c r="Z1195" s="227">
        <v>79.5</v>
      </c>
      <c r="AA1195" s="227">
        <v>79.5</v>
      </c>
      <c r="AB1195" s="227">
        <v>9.5094999999999992</v>
      </c>
      <c r="AC1195" s="227">
        <v>774.65</v>
      </c>
      <c r="AD1195" s="230">
        <v>1.1006365740740739E-4</v>
      </c>
      <c r="AE1195" s="230">
        <v>57.056999999999988</v>
      </c>
      <c r="AF1195" s="230">
        <v>3816</v>
      </c>
      <c r="AG1195" s="230">
        <v>511217.27329991991</v>
      </c>
      <c r="AH1195" s="230">
        <v>4349035.6542056482</v>
      </c>
      <c r="AI1195" s="230">
        <v>4647.8999999999996</v>
      </c>
    </row>
    <row r="1196" spans="5:35" x14ac:dyDescent="0.35">
      <c r="E1196" s="226">
        <v>4.0493399999999999</v>
      </c>
      <c r="F1196" s="227">
        <v>19.417709589041095</v>
      </c>
      <c r="G1196" s="227">
        <v>7087.4639999999999</v>
      </c>
      <c r="H1196" s="227">
        <v>0.98509999999999998</v>
      </c>
      <c r="I1196" s="227">
        <v>4.7453000000000003</v>
      </c>
      <c r="J1196" s="227">
        <v>0.59175259224527765</v>
      </c>
      <c r="K1196" s="227">
        <v>130.44</v>
      </c>
      <c r="L1196" s="227">
        <v>131.29</v>
      </c>
      <c r="M1196" s="227">
        <v>128.33000000000001</v>
      </c>
      <c r="N1196" s="227">
        <v>90.68</v>
      </c>
      <c r="O1196" s="227">
        <v>97.15</v>
      </c>
      <c r="P1196" s="227">
        <v>112.38</v>
      </c>
      <c r="Q1196" s="227">
        <v>105.11</v>
      </c>
      <c r="R1196" s="227">
        <v>109.78</v>
      </c>
      <c r="S1196" s="227"/>
      <c r="T1196" s="227">
        <v>79.5</v>
      </c>
      <c r="U1196" s="227">
        <v>79.5</v>
      </c>
      <c r="V1196" s="227">
        <v>79.5</v>
      </c>
      <c r="W1196" s="227">
        <v>79.5</v>
      </c>
      <c r="X1196" s="227">
        <v>79.5</v>
      </c>
      <c r="Y1196" s="227">
        <v>79.5</v>
      </c>
      <c r="Z1196" s="227">
        <v>79.5</v>
      </c>
      <c r="AA1196" s="227">
        <v>79.5</v>
      </c>
      <c r="AB1196" s="227">
        <v>9.4944000000000006</v>
      </c>
      <c r="AC1196" s="227">
        <v>774.65</v>
      </c>
      <c r="AD1196" s="230">
        <v>1.098888888888889E-4</v>
      </c>
      <c r="AE1196" s="230">
        <v>56.966400000000007</v>
      </c>
      <c r="AF1196" s="230">
        <v>3816</v>
      </c>
      <c r="AG1196" s="230">
        <v>511274.23969991988</v>
      </c>
      <c r="AH1196" s="230">
        <v>4352851.6542056482</v>
      </c>
      <c r="AI1196" s="230">
        <v>4647.8999999999996</v>
      </c>
    </row>
    <row r="1197" spans="5:35" x14ac:dyDescent="0.35">
      <c r="E1197" s="226">
        <v>4.0533399999999995</v>
      </c>
      <c r="F1197" s="227">
        <v>19.434147945205478</v>
      </c>
      <c r="G1197" s="227">
        <v>7093.4639999999999</v>
      </c>
      <c r="H1197" s="227">
        <v>0.98509999999999998</v>
      </c>
      <c r="I1197" s="227">
        <v>4.7492999999999999</v>
      </c>
      <c r="J1197" s="227">
        <v>0.5918184214119443</v>
      </c>
      <c r="K1197" s="227">
        <v>130.43</v>
      </c>
      <c r="L1197" s="227">
        <v>131.28</v>
      </c>
      <c r="M1197" s="227">
        <v>128.32</v>
      </c>
      <c r="N1197" s="227">
        <v>90.673000000000002</v>
      </c>
      <c r="O1197" s="227">
        <v>97.144999999999996</v>
      </c>
      <c r="P1197" s="227">
        <v>112.37</v>
      </c>
      <c r="Q1197" s="227">
        <v>105.1</v>
      </c>
      <c r="R1197" s="227">
        <v>109.77</v>
      </c>
      <c r="S1197" s="227"/>
      <c r="T1197" s="227">
        <v>79.5</v>
      </c>
      <c r="U1197" s="227">
        <v>79.5</v>
      </c>
      <c r="V1197" s="227">
        <v>79.5</v>
      </c>
      <c r="W1197" s="227">
        <v>79.5</v>
      </c>
      <c r="X1197" s="227">
        <v>79.5</v>
      </c>
      <c r="Y1197" s="227">
        <v>79.5</v>
      </c>
      <c r="Z1197" s="227">
        <v>79.5</v>
      </c>
      <c r="AA1197" s="227">
        <v>79.5</v>
      </c>
      <c r="AB1197" s="227">
        <v>9.4794</v>
      </c>
      <c r="AC1197" s="227">
        <v>774.65</v>
      </c>
      <c r="AD1197" s="230">
        <v>1.0971527777777778E-4</v>
      </c>
      <c r="AE1197" s="230">
        <v>56.876399999999997</v>
      </c>
      <c r="AF1197" s="230">
        <v>3816</v>
      </c>
      <c r="AG1197" s="230">
        <v>511331.11609991989</v>
      </c>
      <c r="AH1197" s="230">
        <v>4356667.6542056482</v>
      </c>
      <c r="AI1197" s="230">
        <v>4647.8999999999996</v>
      </c>
    </row>
    <row r="1198" spans="5:35" x14ac:dyDescent="0.35">
      <c r="E1198" s="226">
        <v>4.0574399999999997</v>
      </c>
      <c r="F1198" s="227">
        <v>19.450586301369864</v>
      </c>
      <c r="G1198" s="227">
        <v>7099.4639999999999</v>
      </c>
      <c r="H1198" s="227">
        <v>0.98509999999999998</v>
      </c>
      <c r="I1198" s="227">
        <v>4.7534000000000001</v>
      </c>
      <c r="J1198" s="227">
        <v>0.59188414502305542</v>
      </c>
      <c r="K1198" s="227">
        <v>130.41999999999999</v>
      </c>
      <c r="L1198" s="227">
        <v>131.27000000000001</v>
      </c>
      <c r="M1198" s="227">
        <v>128.30000000000001</v>
      </c>
      <c r="N1198" s="227">
        <v>90.667000000000002</v>
      </c>
      <c r="O1198" s="227">
        <v>97.138999999999996</v>
      </c>
      <c r="P1198" s="227">
        <v>112.36</v>
      </c>
      <c r="Q1198" s="227">
        <v>105.1</v>
      </c>
      <c r="R1198" s="227">
        <v>109.77</v>
      </c>
      <c r="S1198" s="227"/>
      <c r="T1198" s="227">
        <v>79.5</v>
      </c>
      <c r="U1198" s="227">
        <v>79.5</v>
      </c>
      <c r="V1198" s="227">
        <v>79.5</v>
      </c>
      <c r="W1198" s="227">
        <v>79.5</v>
      </c>
      <c r="X1198" s="227">
        <v>79.5</v>
      </c>
      <c r="Y1198" s="227">
        <v>79.5</v>
      </c>
      <c r="Z1198" s="227">
        <v>79.5</v>
      </c>
      <c r="AA1198" s="227">
        <v>79.5</v>
      </c>
      <c r="AB1198" s="227">
        <v>9.4641999999999999</v>
      </c>
      <c r="AC1198" s="227">
        <v>774.65</v>
      </c>
      <c r="AD1198" s="230">
        <v>1.0953935185185185E-4</v>
      </c>
      <c r="AE1198" s="230">
        <v>56.785199999999996</v>
      </c>
      <c r="AF1198" s="230">
        <v>3816</v>
      </c>
      <c r="AG1198" s="230">
        <v>511387.90129991987</v>
      </c>
      <c r="AH1198" s="230">
        <v>4360483.6542056482</v>
      </c>
      <c r="AI1198" s="230">
        <v>4647.8999999999996</v>
      </c>
    </row>
    <row r="1199" spans="5:35" x14ac:dyDescent="0.35">
      <c r="E1199" s="226">
        <v>4.0614399999999993</v>
      </c>
      <c r="F1199" s="227">
        <v>19.467024657534246</v>
      </c>
      <c r="G1199" s="227">
        <v>7105.4639999999999</v>
      </c>
      <c r="H1199" s="227">
        <v>0.98509999999999998</v>
      </c>
      <c r="I1199" s="227">
        <v>4.7573999999999996</v>
      </c>
      <c r="J1199" s="227">
        <v>0.59194976377305542</v>
      </c>
      <c r="K1199" s="227">
        <v>130.4</v>
      </c>
      <c r="L1199" s="227">
        <v>131.26</v>
      </c>
      <c r="M1199" s="227">
        <v>128.29</v>
      </c>
      <c r="N1199" s="227">
        <v>90.661000000000001</v>
      </c>
      <c r="O1199" s="227">
        <v>97.132999999999996</v>
      </c>
      <c r="P1199" s="227">
        <v>112.36</v>
      </c>
      <c r="Q1199" s="227">
        <v>105.09</v>
      </c>
      <c r="R1199" s="227">
        <v>109.76</v>
      </c>
      <c r="S1199" s="227"/>
      <c r="T1199" s="227">
        <v>79.5</v>
      </c>
      <c r="U1199" s="227">
        <v>79.5</v>
      </c>
      <c r="V1199" s="227">
        <v>79.5</v>
      </c>
      <c r="W1199" s="227">
        <v>79.5</v>
      </c>
      <c r="X1199" s="227">
        <v>79.5</v>
      </c>
      <c r="Y1199" s="227">
        <v>79.5</v>
      </c>
      <c r="Z1199" s="227">
        <v>79.5</v>
      </c>
      <c r="AA1199" s="227">
        <v>79.5</v>
      </c>
      <c r="AB1199" s="227">
        <v>9.4490999999999996</v>
      </c>
      <c r="AC1199" s="227">
        <v>774.65</v>
      </c>
      <c r="AD1199" s="230">
        <v>1.0936458333333333E-4</v>
      </c>
      <c r="AE1199" s="230">
        <v>56.694600000000001</v>
      </c>
      <c r="AF1199" s="230">
        <v>3816</v>
      </c>
      <c r="AG1199" s="230">
        <v>511444.59589991986</v>
      </c>
      <c r="AH1199" s="230">
        <v>4364299.6542056482</v>
      </c>
      <c r="AI1199" s="230">
        <v>4647.8999999999996</v>
      </c>
    </row>
    <row r="1200" spans="5:35" x14ac:dyDescent="0.35">
      <c r="E1200" s="226">
        <v>4.0654399999999997</v>
      </c>
      <c r="F1200" s="227">
        <v>19.483463013698628</v>
      </c>
      <c r="G1200" s="227">
        <v>7111.4639999999999</v>
      </c>
      <c r="H1200" s="227">
        <v>0.98519999999999996</v>
      </c>
      <c r="I1200" s="227">
        <v>4.7614000000000001</v>
      </c>
      <c r="J1200" s="227">
        <v>0.59201527835638879</v>
      </c>
      <c r="K1200" s="227">
        <v>130.38999999999999</v>
      </c>
      <c r="L1200" s="227">
        <v>131.25</v>
      </c>
      <c r="M1200" s="227">
        <v>128.28</v>
      </c>
      <c r="N1200" s="227">
        <v>90.653999999999996</v>
      </c>
      <c r="O1200" s="227">
        <v>97.128</v>
      </c>
      <c r="P1200" s="227">
        <v>112.35</v>
      </c>
      <c r="Q1200" s="227">
        <v>105.09</v>
      </c>
      <c r="R1200" s="227">
        <v>109.76</v>
      </c>
      <c r="S1200" s="227"/>
      <c r="T1200" s="227">
        <v>79.5</v>
      </c>
      <c r="U1200" s="227">
        <v>79.5</v>
      </c>
      <c r="V1200" s="227">
        <v>79.5</v>
      </c>
      <c r="W1200" s="227">
        <v>79.5</v>
      </c>
      <c r="X1200" s="227">
        <v>79.5</v>
      </c>
      <c r="Y1200" s="227">
        <v>79.5</v>
      </c>
      <c r="Z1200" s="227">
        <v>79.5</v>
      </c>
      <c r="AA1200" s="227">
        <v>79.5</v>
      </c>
      <c r="AB1200" s="227">
        <v>9.4341000000000008</v>
      </c>
      <c r="AC1200" s="227">
        <v>774.65</v>
      </c>
      <c r="AD1200" s="230">
        <v>1.0919097222222223E-4</v>
      </c>
      <c r="AE1200" s="230">
        <v>56.604600000000005</v>
      </c>
      <c r="AF1200" s="230">
        <v>3816</v>
      </c>
      <c r="AG1200" s="230">
        <v>511501.20049991988</v>
      </c>
      <c r="AH1200" s="230">
        <v>4368115.6542056482</v>
      </c>
      <c r="AI1200" s="230">
        <v>4647.8999999999996</v>
      </c>
    </row>
    <row r="1201" spans="5:35" x14ac:dyDescent="0.35">
      <c r="E1201" s="226">
        <v>4.0694399999999993</v>
      </c>
      <c r="F1201" s="227">
        <v>19.499901369863014</v>
      </c>
      <c r="G1201" s="227">
        <v>7117.4639999999999</v>
      </c>
      <c r="H1201" s="227">
        <v>0.98519999999999996</v>
      </c>
      <c r="I1201" s="227">
        <v>4.7653999999999996</v>
      </c>
      <c r="J1201" s="227">
        <v>0.59208068946749992</v>
      </c>
      <c r="K1201" s="227">
        <v>130.38</v>
      </c>
      <c r="L1201" s="227">
        <v>131.24</v>
      </c>
      <c r="M1201" s="227">
        <v>128.27000000000001</v>
      </c>
      <c r="N1201" s="227">
        <v>90.647999999999996</v>
      </c>
      <c r="O1201" s="227">
        <v>97.122</v>
      </c>
      <c r="P1201" s="227">
        <v>112.34</v>
      </c>
      <c r="Q1201" s="227">
        <v>105.08</v>
      </c>
      <c r="R1201" s="227">
        <v>109.75</v>
      </c>
      <c r="S1201" s="227"/>
      <c r="T1201" s="227">
        <v>79.5</v>
      </c>
      <c r="U1201" s="227">
        <v>79.5</v>
      </c>
      <c r="V1201" s="227">
        <v>79.5</v>
      </c>
      <c r="W1201" s="227">
        <v>79.5</v>
      </c>
      <c r="X1201" s="227">
        <v>79.5</v>
      </c>
      <c r="Y1201" s="227">
        <v>79.5</v>
      </c>
      <c r="Z1201" s="227">
        <v>79.5</v>
      </c>
      <c r="AA1201" s="227">
        <v>79.5</v>
      </c>
      <c r="AB1201" s="227">
        <v>9.4192</v>
      </c>
      <c r="AC1201" s="227">
        <v>774.65</v>
      </c>
      <c r="AD1201" s="230">
        <v>1.0901851851851852E-4</v>
      </c>
      <c r="AE1201" s="230">
        <v>56.515200000000007</v>
      </c>
      <c r="AF1201" s="230">
        <v>3816</v>
      </c>
      <c r="AG1201" s="230">
        <v>511557.71569991991</v>
      </c>
      <c r="AH1201" s="230">
        <v>4371931.6542056482</v>
      </c>
      <c r="AI1201" s="230">
        <v>4647.8999999999996</v>
      </c>
    </row>
    <row r="1202" spans="5:35" x14ac:dyDescent="0.35">
      <c r="E1202" s="226">
        <v>4.0734399999999997</v>
      </c>
      <c r="F1202" s="227">
        <v>19.516339726027397</v>
      </c>
      <c r="G1202" s="227">
        <v>7123.4639999999999</v>
      </c>
      <c r="H1202" s="227">
        <v>0.98519999999999996</v>
      </c>
      <c r="I1202" s="227">
        <v>4.7694000000000001</v>
      </c>
      <c r="J1202" s="227">
        <v>0.59214599641194432</v>
      </c>
      <c r="K1202" s="227">
        <v>130.37</v>
      </c>
      <c r="L1202" s="227">
        <v>131.22999999999999</v>
      </c>
      <c r="M1202" s="227">
        <v>128.26</v>
      </c>
      <c r="N1202" s="227">
        <v>90.641999999999996</v>
      </c>
      <c r="O1202" s="227">
        <v>97.117000000000004</v>
      </c>
      <c r="P1202" s="227">
        <v>112.33</v>
      </c>
      <c r="Q1202" s="227">
        <v>105.08</v>
      </c>
      <c r="R1202" s="227">
        <v>109.74</v>
      </c>
      <c r="S1202" s="227"/>
      <c r="T1202" s="227">
        <v>79.5</v>
      </c>
      <c r="U1202" s="227">
        <v>79.5</v>
      </c>
      <c r="V1202" s="227">
        <v>79.5</v>
      </c>
      <c r="W1202" s="227">
        <v>79.5</v>
      </c>
      <c r="X1202" s="227">
        <v>79.5</v>
      </c>
      <c r="Y1202" s="227">
        <v>79.5</v>
      </c>
      <c r="Z1202" s="227">
        <v>79.5</v>
      </c>
      <c r="AA1202" s="227">
        <v>79.5</v>
      </c>
      <c r="AB1202" s="227">
        <v>9.4041999999999994</v>
      </c>
      <c r="AC1202" s="227">
        <v>774.65</v>
      </c>
      <c r="AD1202" s="230">
        <v>1.088449074074074E-4</v>
      </c>
      <c r="AE1202" s="230">
        <v>56.425199999999997</v>
      </c>
      <c r="AF1202" s="230">
        <v>3816</v>
      </c>
      <c r="AG1202" s="230">
        <v>511614.1408999199</v>
      </c>
      <c r="AH1202" s="230">
        <v>4375747.6542056482</v>
      </c>
      <c r="AI1202" s="230">
        <v>4647.8999999999996</v>
      </c>
    </row>
    <row r="1203" spans="5:35" x14ac:dyDescent="0.35">
      <c r="E1203" s="226">
        <v>4.0774399999999993</v>
      </c>
      <c r="F1203" s="227">
        <v>19.532778082191779</v>
      </c>
      <c r="G1203" s="227">
        <v>7129.4639999999999</v>
      </c>
      <c r="H1203" s="227">
        <v>0.98519999999999996</v>
      </c>
      <c r="I1203" s="227">
        <v>4.7733999999999996</v>
      </c>
      <c r="J1203" s="227">
        <v>0.59221119988416659</v>
      </c>
      <c r="K1203" s="227">
        <v>130.35</v>
      </c>
      <c r="L1203" s="227">
        <v>131.22</v>
      </c>
      <c r="M1203" s="227">
        <v>128.24</v>
      </c>
      <c r="N1203" s="227">
        <v>90.635000000000005</v>
      </c>
      <c r="O1203" s="227">
        <v>97.111000000000004</v>
      </c>
      <c r="P1203" s="227">
        <v>112.32</v>
      </c>
      <c r="Q1203" s="227">
        <v>105.08</v>
      </c>
      <c r="R1203" s="227">
        <v>109.74</v>
      </c>
      <c r="S1203" s="227"/>
      <c r="T1203" s="227">
        <v>79.5</v>
      </c>
      <c r="U1203" s="227">
        <v>79.5</v>
      </c>
      <c r="V1203" s="227">
        <v>79.5</v>
      </c>
      <c r="W1203" s="227">
        <v>79.5</v>
      </c>
      <c r="X1203" s="227">
        <v>79.5</v>
      </c>
      <c r="Y1203" s="227">
        <v>79.5</v>
      </c>
      <c r="Z1203" s="227">
        <v>79.5</v>
      </c>
      <c r="AA1203" s="227">
        <v>79.5</v>
      </c>
      <c r="AB1203" s="227">
        <v>9.3893000000000004</v>
      </c>
      <c r="AC1203" s="227">
        <v>774.65</v>
      </c>
      <c r="AD1203" s="230">
        <v>1.0867245370370371E-4</v>
      </c>
      <c r="AE1203" s="230">
        <v>56.335800000000006</v>
      </c>
      <c r="AF1203" s="230">
        <v>3816</v>
      </c>
      <c r="AG1203" s="230">
        <v>511670.47669991991</v>
      </c>
      <c r="AH1203" s="230">
        <v>4379563.6542056482</v>
      </c>
      <c r="AI1203" s="230">
        <v>4647.8999999999996</v>
      </c>
    </row>
    <row r="1204" spans="5:35" x14ac:dyDescent="0.35">
      <c r="E1204" s="226">
        <v>4.0815399999999995</v>
      </c>
      <c r="F1204" s="227">
        <v>19.549216438356165</v>
      </c>
      <c r="G1204" s="227">
        <v>7135.4639999999999</v>
      </c>
      <c r="H1204" s="227">
        <v>0.98529999999999995</v>
      </c>
      <c r="I1204" s="227">
        <v>4.7774999999999999</v>
      </c>
      <c r="J1204" s="227">
        <v>0.59227630057861103</v>
      </c>
      <c r="K1204" s="227">
        <v>130.34</v>
      </c>
      <c r="L1204" s="227">
        <v>131.21</v>
      </c>
      <c r="M1204" s="227">
        <v>128.22999999999999</v>
      </c>
      <c r="N1204" s="227">
        <v>90.629000000000005</v>
      </c>
      <c r="O1204" s="227">
        <v>97.105999999999995</v>
      </c>
      <c r="P1204" s="227">
        <v>112.32</v>
      </c>
      <c r="Q1204" s="227">
        <v>105.07</v>
      </c>
      <c r="R1204" s="227">
        <v>109.73</v>
      </c>
      <c r="S1204" s="227"/>
      <c r="T1204" s="227">
        <v>79.5</v>
      </c>
      <c r="U1204" s="227">
        <v>79.5</v>
      </c>
      <c r="V1204" s="227">
        <v>79.5</v>
      </c>
      <c r="W1204" s="227">
        <v>79.5</v>
      </c>
      <c r="X1204" s="227">
        <v>79.5</v>
      </c>
      <c r="Y1204" s="227">
        <v>79.5</v>
      </c>
      <c r="Z1204" s="227">
        <v>79.5</v>
      </c>
      <c r="AA1204" s="227">
        <v>79.5</v>
      </c>
      <c r="AB1204" s="227">
        <v>9.3744999999999994</v>
      </c>
      <c r="AC1204" s="227">
        <v>774.65</v>
      </c>
      <c r="AD1204" s="230">
        <v>1.085011574074074E-4</v>
      </c>
      <c r="AE1204" s="230">
        <v>56.246999999999993</v>
      </c>
      <c r="AF1204" s="230">
        <v>3816</v>
      </c>
      <c r="AG1204" s="230">
        <v>511726.72369991988</v>
      </c>
      <c r="AH1204" s="230">
        <v>4383379.6542056482</v>
      </c>
      <c r="AI1204" s="230">
        <v>4647.8999999999996</v>
      </c>
    </row>
    <row r="1205" spans="5:35" x14ac:dyDescent="0.35">
      <c r="E1205" s="226">
        <v>4.0855399999999999</v>
      </c>
      <c r="F1205" s="227">
        <v>19.565654794520547</v>
      </c>
      <c r="G1205" s="227">
        <v>7141.4639999999999</v>
      </c>
      <c r="H1205" s="227">
        <v>0.98529999999999995</v>
      </c>
      <c r="I1205" s="227">
        <v>4.7815000000000003</v>
      </c>
      <c r="J1205" s="227">
        <v>0.59234129988416651</v>
      </c>
      <c r="K1205" s="227">
        <v>130.33000000000001</v>
      </c>
      <c r="L1205" s="227">
        <v>131.21</v>
      </c>
      <c r="M1205" s="227">
        <v>128.22</v>
      </c>
      <c r="N1205" s="227">
        <v>90.623000000000005</v>
      </c>
      <c r="O1205" s="227">
        <v>97.100999999999999</v>
      </c>
      <c r="P1205" s="227">
        <v>112.31</v>
      </c>
      <c r="Q1205" s="227">
        <v>105.07</v>
      </c>
      <c r="R1205" s="227">
        <v>109.73</v>
      </c>
      <c r="S1205" s="227"/>
      <c r="T1205" s="227">
        <v>79.5</v>
      </c>
      <c r="U1205" s="227">
        <v>79.5</v>
      </c>
      <c r="V1205" s="227">
        <v>79.5</v>
      </c>
      <c r="W1205" s="227">
        <v>79.5</v>
      </c>
      <c r="X1205" s="227">
        <v>79.5</v>
      </c>
      <c r="Y1205" s="227">
        <v>79.5</v>
      </c>
      <c r="Z1205" s="227">
        <v>79.5</v>
      </c>
      <c r="AA1205" s="227">
        <v>79.5</v>
      </c>
      <c r="AB1205" s="227">
        <v>9.3598999999999997</v>
      </c>
      <c r="AC1205" s="227">
        <v>774.65</v>
      </c>
      <c r="AD1205" s="230">
        <v>1.0833217592592592E-4</v>
      </c>
      <c r="AE1205" s="230">
        <v>56.159399999999998</v>
      </c>
      <c r="AF1205" s="230">
        <v>3816</v>
      </c>
      <c r="AG1205" s="230">
        <v>511782.88309991988</v>
      </c>
      <c r="AH1205" s="230">
        <v>4387195.6542056482</v>
      </c>
      <c r="AI1205" s="230">
        <v>4647.8999999999996</v>
      </c>
    </row>
    <row r="1206" spans="5:35" x14ac:dyDescent="0.35">
      <c r="E1206" s="226">
        <v>4.0895399999999995</v>
      </c>
      <c r="F1206" s="227">
        <v>19.58209315068493</v>
      </c>
      <c r="G1206" s="227">
        <v>7147.4639999999999</v>
      </c>
      <c r="H1206" s="227">
        <v>0.98529999999999995</v>
      </c>
      <c r="I1206" s="227">
        <v>4.7854999999999999</v>
      </c>
      <c r="J1206" s="227">
        <v>0.59240619571749986</v>
      </c>
      <c r="K1206" s="227">
        <v>130.31</v>
      </c>
      <c r="L1206" s="227">
        <v>131.19999999999999</v>
      </c>
      <c r="M1206" s="227">
        <v>128.21</v>
      </c>
      <c r="N1206" s="227">
        <v>90.617000000000004</v>
      </c>
      <c r="O1206" s="227">
        <v>97.094999999999999</v>
      </c>
      <c r="P1206" s="227">
        <v>112.3</v>
      </c>
      <c r="Q1206" s="227">
        <v>105.06</v>
      </c>
      <c r="R1206" s="227">
        <v>109.72</v>
      </c>
      <c r="S1206" s="227"/>
      <c r="T1206" s="227">
        <v>79.5</v>
      </c>
      <c r="U1206" s="227">
        <v>79.5</v>
      </c>
      <c r="V1206" s="227">
        <v>79.5</v>
      </c>
      <c r="W1206" s="227">
        <v>79.5</v>
      </c>
      <c r="X1206" s="227">
        <v>79.5</v>
      </c>
      <c r="Y1206" s="227">
        <v>79.5</v>
      </c>
      <c r="Z1206" s="227">
        <v>79.5</v>
      </c>
      <c r="AA1206" s="227">
        <v>79.5</v>
      </c>
      <c r="AB1206" s="227">
        <v>9.3450000000000006</v>
      </c>
      <c r="AC1206" s="227">
        <v>774.65</v>
      </c>
      <c r="AD1206" s="230">
        <v>1.0815972222222223E-4</v>
      </c>
      <c r="AE1206" s="230">
        <v>56.070000000000007</v>
      </c>
      <c r="AF1206" s="230">
        <v>3816</v>
      </c>
      <c r="AG1206" s="230">
        <v>511838.95309991989</v>
      </c>
      <c r="AH1206" s="230">
        <v>4391011.6542056482</v>
      </c>
      <c r="AI1206" s="230">
        <v>4647.8999999999996</v>
      </c>
    </row>
    <row r="1207" spans="5:35" x14ac:dyDescent="0.35">
      <c r="E1207" s="226">
        <v>4.09354</v>
      </c>
      <c r="F1207" s="227">
        <v>19.598531506849316</v>
      </c>
      <c r="G1207" s="227">
        <v>7153.4639999999999</v>
      </c>
      <c r="H1207" s="227">
        <v>0.98529999999999995</v>
      </c>
      <c r="I1207" s="227">
        <v>4.7895000000000003</v>
      </c>
      <c r="J1207" s="227">
        <v>0.59247098877305537</v>
      </c>
      <c r="K1207" s="227">
        <v>130.30000000000001</v>
      </c>
      <c r="L1207" s="227">
        <v>131.18</v>
      </c>
      <c r="M1207" s="227">
        <v>128.19999999999999</v>
      </c>
      <c r="N1207" s="227">
        <v>90.61</v>
      </c>
      <c r="O1207" s="227">
        <v>97.09</v>
      </c>
      <c r="P1207" s="227">
        <v>112.29</v>
      </c>
      <c r="Q1207" s="227">
        <v>105.06</v>
      </c>
      <c r="R1207" s="227">
        <v>109.72</v>
      </c>
      <c r="S1207" s="227"/>
      <c r="T1207" s="227">
        <v>79.5</v>
      </c>
      <c r="U1207" s="227">
        <v>79.5</v>
      </c>
      <c r="V1207" s="227">
        <v>79.5</v>
      </c>
      <c r="W1207" s="227">
        <v>79.5</v>
      </c>
      <c r="X1207" s="227">
        <v>79.5</v>
      </c>
      <c r="Y1207" s="227">
        <v>79.5</v>
      </c>
      <c r="Z1207" s="227">
        <v>79.5</v>
      </c>
      <c r="AA1207" s="227">
        <v>79.5</v>
      </c>
      <c r="AB1207" s="227">
        <v>9.3301999999999996</v>
      </c>
      <c r="AC1207" s="227">
        <v>774.65</v>
      </c>
      <c r="AD1207" s="230">
        <v>1.0798842592592593E-4</v>
      </c>
      <c r="AE1207" s="230">
        <v>55.981200000000001</v>
      </c>
      <c r="AF1207" s="230">
        <v>3816</v>
      </c>
      <c r="AG1207" s="230">
        <v>511894.93429991987</v>
      </c>
      <c r="AH1207" s="230">
        <v>4394827.6542056482</v>
      </c>
      <c r="AI1207" s="230">
        <v>4647.8999999999996</v>
      </c>
    </row>
    <row r="1208" spans="5:35" x14ac:dyDescent="0.35">
      <c r="E1208" s="226">
        <v>4.0975399999999995</v>
      </c>
      <c r="F1208" s="227">
        <v>19.614969863013698</v>
      </c>
      <c r="G1208" s="227">
        <v>7159.4639999999999</v>
      </c>
      <c r="H1208" s="227">
        <v>0.98540000000000005</v>
      </c>
      <c r="I1208" s="227">
        <v>4.7934999999999999</v>
      </c>
      <c r="J1208" s="227">
        <v>0.59253567974527765</v>
      </c>
      <c r="K1208" s="227">
        <v>130.29</v>
      </c>
      <c r="L1208" s="227">
        <v>131.18</v>
      </c>
      <c r="M1208" s="227">
        <v>128.19</v>
      </c>
      <c r="N1208" s="227">
        <v>90.603999999999999</v>
      </c>
      <c r="O1208" s="227">
        <v>97.084000000000003</v>
      </c>
      <c r="P1208" s="227">
        <v>112.28</v>
      </c>
      <c r="Q1208" s="227">
        <v>105.05</v>
      </c>
      <c r="R1208" s="227">
        <v>109.71</v>
      </c>
      <c r="S1208" s="227"/>
      <c r="T1208" s="227">
        <v>79.5</v>
      </c>
      <c r="U1208" s="227">
        <v>79.5</v>
      </c>
      <c r="V1208" s="227">
        <v>79.5</v>
      </c>
      <c r="W1208" s="227">
        <v>79.5</v>
      </c>
      <c r="X1208" s="227">
        <v>79.5</v>
      </c>
      <c r="Y1208" s="227">
        <v>79.5</v>
      </c>
      <c r="Z1208" s="227">
        <v>79.5</v>
      </c>
      <c r="AA1208" s="227">
        <v>79.5</v>
      </c>
      <c r="AB1208" s="227">
        <v>9.3155000000000001</v>
      </c>
      <c r="AC1208" s="227">
        <v>774.65</v>
      </c>
      <c r="AD1208" s="230">
        <v>1.0781828703703703E-4</v>
      </c>
      <c r="AE1208" s="230">
        <v>55.893000000000001</v>
      </c>
      <c r="AF1208" s="230">
        <v>3816</v>
      </c>
      <c r="AG1208" s="230">
        <v>511950.82729991985</v>
      </c>
      <c r="AH1208" s="230">
        <v>4398643.6542056482</v>
      </c>
      <c r="AI1208" s="230">
        <v>4647.8999999999996</v>
      </c>
    </row>
    <row r="1209" spans="5:35" x14ac:dyDescent="0.35">
      <c r="E1209" s="226">
        <v>4.10154</v>
      </c>
      <c r="F1209" s="227">
        <v>19.631408219178081</v>
      </c>
      <c r="G1209" s="227">
        <v>7165.4639999999999</v>
      </c>
      <c r="H1209" s="227">
        <v>0.98540000000000005</v>
      </c>
      <c r="I1209" s="227">
        <v>4.7975000000000003</v>
      </c>
      <c r="J1209" s="227">
        <v>0.59260026863416648</v>
      </c>
      <c r="K1209" s="227">
        <v>130.28</v>
      </c>
      <c r="L1209" s="227">
        <v>131.16999999999999</v>
      </c>
      <c r="M1209" s="227">
        <v>128.18</v>
      </c>
      <c r="N1209" s="227">
        <v>90.597999999999999</v>
      </c>
      <c r="O1209" s="227">
        <v>97.078999999999994</v>
      </c>
      <c r="P1209" s="227">
        <v>112.27</v>
      </c>
      <c r="Q1209" s="227">
        <v>105.05</v>
      </c>
      <c r="R1209" s="227">
        <v>109.7</v>
      </c>
      <c r="S1209" s="227"/>
      <c r="T1209" s="227">
        <v>79.5</v>
      </c>
      <c r="U1209" s="227">
        <v>79.5</v>
      </c>
      <c r="V1209" s="227">
        <v>79.5</v>
      </c>
      <c r="W1209" s="227">
        <v>79.5</v>
      </c>
      <c r="X1209" s="227">
        <v>79.5</v>
      </c>
      <c r="Y1209" s="227">
        <v>79.5</v>
      </c>
      <c r="Z1209" s="227">
        <v>79.5</v>
      </c>
      <c r="AA1209" s="227">
        <v>79.5</v>
      </c>
      <c r="AB1209" s="227">
        <v>9.3008000000000006</v>
      </c>
      <c r="AC1209" s="227">
        <v>774.65</v>
      </c>
      <c r="AD1209" s="230">
        <v>1.0764814814814815E-4</v>
      </c>
      <c r="AE1209" s="230">
        <v>55.8048</v>
      </c>
      <c r="AF1209" s="230">
        <v>3816</v>
      </c>
      <c r="AG1209" s="230">
        <v>512006.63209991984</v>
      </c>
      <c r="AH1209" s="230">
        <v>4402459.6542056482</v>
      </c>
      <c r="AI1209" s="230">
        <v>4647.8999999999996</v>
      </c>
    </row>
    <row r="1210" spans="5:35" x14ac:dyDescent="0.35">
      <c r="E1210" s="226">
        <v>4.1056399999999993</v>
      </c>
      <c r="F1210" s="227">
        <v>19.647846575342466</v>
      </c>
      <c r="G1210" s="227">
        <v>7171.4639999999999</v>
      </c>
      <c r="H1210" s="227">
        <v>0.98540000000000005</v>
      </c>
      <c r="I1210" s="227">
        <v>4.8015999999999996</v>
      </c>
      <c r="J1210" s="227">
        <v>0.59266475613416647</v>
      </c>
      <c r="K1210" s="227">
        <v>130.26</v>
      </c>
      <c r="L1210" s="227">
        <v>131.16</v>
      </c>
      <c r="M1210" s="227">
        <v>128.16</v>
      </c>
      <c r="N1210" s="227">
        <v>90.590999999999994</v>
      </c>
      <c r="O1210" s="227">
        <v>97.072999999999993</v>
      </c>
      <c r="P1210" s="227">
        <v>112.27</v>
      </c>
      <c r="Q1210" s="227">
        <v>105.04</v>
      </c>
      <c r="R1210" s="227">
        <v>109.7</v>
      </c>
      <c r="S1210" s="227"/>
      <c r="T1210" s="227">
        <v>79.5</v>
      </c>
      <c r="U1210" s="227">
        <v>79.5</v>
      </c>
      <c r="V1210" s="227">
        <v>79.5</v>
      </c>
      <c r="W1210" s="227">
        <v>79.5</v>
      </c>
      <c r="X1210" s="227">
        <v>79.5</v>
      </c>
      <c r="Y1210" s="227">
        <v>79.5</v>
      </c>
      <c r="Z1210" s="227">
        <v>79.5</v>
      </c>
      <c r="AA1210" s="227">
        <v>79.5</v>
      </c>
      <c r="AB1210" s="227">
        <v>9.2861999999999991</v>
      </c>
      <c r="AC1210" s="227">
        <v>774.65</v>
      </c>
      <c r="AD1210" s="230">
        <v>1.0747916666666665E-4</v>
      </c>
      <c r="AE1210" s="230">
        <v>55.717199999999998</v>
      </c>
      <c r="AF1210" s="230">
        <v>3816</v>
      </c>
      <c r="AG1210" s="230">
        <v>512062.34929991985</v>
      </c>
      <c r="AH1210" s="230">
        <v>4406275.6542056482</v>
      </c>
      <c r="AI1210" s="230">
        <v>4647.8999999999996</v>
      </c>
    </row>
    <row r="1211" spans="5:35" x14ac:dyDescent="0.35">
      <c r="E1211" s="226">
        <v>4.1096399999999997</v>
      </c>
      <c r="F1211" s="227">
        <v>19.664284931506849</v>
      </c>
      <c r="G1211" s="227">
        <v>7177.4639999999999</v>
      </c>
      <c r="H1211" s="227">
        <v>0.98540000000000005</v>
      </c>
      <c r="I1211" s="227">
        <v>4.8056000000000001</v>
      </c>
      <c r="J1211" s="227">
        <v>0.59272914224527762</v>
      </c>
      <c r="K1211" s="227">
        <v>130.25</v>
      </c>
      <c r="L1211" s="227">
        <v>131.15</v>
      </c>
      <c r="M1211" s="227">
        <v>128.15</v>
      </c>
      <c r="N1211" s="227">
        <v>90.584999999999994</v>
      </c>
      <c r="O1211" s="227">
        <v>97.067999999999998</v>
      </c>
      <c r="P1211" s="227">
        <v>112.26</v>
      </c>
      <c r="Q1211" s="227">
        <v>105.04</v>
      </c>
      <c r="R1211" s="227">
        <v>109.69</v>
      </c>
      <c r="S1211" s="227"/>
      <c r="T1211" s="227">
        <v>79.5</v>
      </c>
      <c r="U1211" s="227">
        <v>79.5</v>
      </c>
      <c r="V1211" s="227">
        <v>79.5</v>
      </c>
      <c r="W1211" s="227">
        <v>79.5</v>
      </c>
      <c r="X1211" s="227">
        <v>79.5</v>
      </c>
      <c r="Y1211" s="227">
        <v>79.5</v>
      </c>
      <c r="Z1211" s="227">
        <v>79.5</v>
      </c>
      <c r="AA1211" s="227">
        <v>79.5</v>
      </c>
      <c r="AB1211" s="227">
        <v>9.2715999999999994</v>
      </c>
      <c r="AC1211" s="227">
        <v>774.65</v>
      </c>
      <c r="AD1211" s="230">
        <v>1.0731018518518518E-4</v>
      </c>
      <c r="AE1211" s="230">
        <v>55.629599999999996</v>
      </c>
      <c r="AF1211" s="230">
        <v>3816</v>
      </c>
      <c r="AG1211" s="230">
        <v>512117.97889991984</v>
      </c>
      <c r="AH1211" s="230">
        <v>4410091.6542056482</v>
      </c>
      <c r="AI1211" s="230">
        <v>4647.8999999999996</v>
      </c>
    </row>
    <row r="1212" spans="5:35" x14ac:dyDescent="0.35">
      <c r="E1212" s="226">
        <v>4.1136399999999993</v>
      </c>
      <c r="F1212" s="227">
        <v>19.680723287671231</v>
      </c>
      <c r="G1212" s="227">
        <v>7183.4639999999999</v>
      </c>
      <c r="H1212" s="227">
        <v>0.98540000000000005</v>
      </c>
      <c r="I1212" s="227">
        <v>4.8095999999999997</v>
      </c>
      <c r="J1212" s="227">
        <v>0.59279342835638871</v>
      </c>
      <c r="K1212" s="227">
        <v>130.24</v>
      </c>
      <c r="L1212" s="227">
        <v>131.13999999999999</v>
      </c>
      <c r="M1212" s="227">
        <v>128.13999999999999</v>
      </c>
      <c r="N1212" s="227">
        <v>90.578999999999994</v>
      </c>
      <c r="O1212" s="227">
        <v>97.063000000000002</v>
      </c>
      <c r="P1212" s="227">
        <v>112.25</v>
      </c>
      <c r="Q1212" s="227">
        <v>105.03</v>
      </c>
      <c r="R1212" s="227">
        <v>109.69</v>
      </c>
      <c r="S1212" s="227"/>
      <c r="T1212" s="227">
        <v>79.5</v>
      </c>
      <c r="U1212" s="227">
        <v>79.5</v>
      </c>
      <c r="V1212" s="227">
        <v>79.5</v>
      </c>
      <c r="W1212" s="227">
        <v>79.5</v>
      </c>
      <c r="X1212" s="227">
        <v>79.5</v>
      </c>
      <c r="Y1212" s="227">
        <v>79.5</v>
      </c>
      <c r="Z1212" s="227">
        <v>79.5</v>
      </c>
      <c r="AA1212" s="227">
        <v>79.5</v>
      </c>
      <c r="AB1212" s="227">
        <v>9.2571999999999992</v>
      </c>
      <c r="AC1212" s="227">
        <v>774.65</v>
      </c>
      <c r="AD1212" s="230">
        <v>1.0714351851851851E-4</v>
      </c>
      <c r="AE1212" s="230">
        <v>55.543199999999999</v>
      </c>
      <c r="AF1212" s="230">
        <v>3816</v>
      </c>
      <c r="AG1212" s="230">
        <v>512173.52209991985</v>
      </c>
      <c r="AH1212" s="230">
        <v>4413907.6542056482</v>
      </c>
      <c r="AI1212" s="230">
        <v>4647.8999999999996</v>
      </c>
    </row>
    <row r="1213" spans="5:35" x14ac:dyDescent="0.35">
      <c r="E1213" s="226">
        <v>4.1176399999999997</v>
      </c>
      <c r="F1213" s="227">
        <v>19.697161643835617</v>
      </c>
      <c r="G1213" s="227">
        <v>7189.4639999999999</v>
      </c>
      <c r="H1213" s="227">
        <v>0.98550000000000004</v>
      </c>
      <c r="I1213" s="227">
        <v>4.8136000000000001</v>
      </c>
      <c r="J1213" s="227">
        <v>0.59285761238416657</v>
      </c>
      <c r="K1213" s="227">
        <v>130.22999999999999</v>
      </c>
      <c r="L1213" s="227">
        <v>131.13</v>
      </c>
      <c r="M1213" s="227">
        <v>128.13</v>
      </c>
      <c r="N1213" s="227">
        <v>90.572999999999993</v>
      </c>
      <c r="O1213" s="227">
        <v>97.057000000000002</v>
      </c>
      <c r="P1213" s="227">
        <v>112.24</v>
      </c>
      <c r="Q1213" s="227">
        <v>105.03</v>
      </c>
      <c r="R1213" s="227">
        <v>109.68</v>
      </c>
      <c r="S1213" s="227"/>
      <c r="T1213" s="227">
        <v>79.5</v>
      </c>
      <c r="U1213" s="227">
        <v>79.5</v>
      </c>
      <c r="V1213" s="227">
        <v>79.5</v>
      </c>
      <c r="W1213" s="227">
        <v>79.5</v>
      </c>
      <c r="X1213" s="227">
        <v>79.5</v>
      </c>
      <c r="Y1213" s="227">
        <v>79.5</v>
      </c>
      <c r="Z1213" s="227">
        <v>79.5</v>
      </c>
      <c r="AA1213" s="227">
        <v>79.5</v>
      </c>
      <c r="AB1213" s="227">
        <v>9.2424999999999997</v>
      </c>
      <c r="AC1213" s="227">
        <v>774.65</v>
      </c>
      <c r="AD1213" s="230">
        <v>1.0697337962962963E-4</v>
      </c>
      <c r="AE1213" s="230">
        <v>55.455000000000005</v>
      </c>
      <c r="AF1213" s="230">
        <v>3816</v>
      </c>
      <c r="AG1213" s="230">
        <v>512228.97709991987</v>
      </c>
      <c r="AH1213" s="230">
        <v>4417723.6542056482</v>
      </c>
      <c r="AI1213" s="230">
        <v>4647.8999999999996</v>
      </c>
    </row>
    <row r="1214" spans="5:35" x14ac:dyDescent="0.35">
      <c r="E1214" s="226">
        <v>4.1216399999999993</v>
      </c>
      <c r="F1214" s="227">
        <v>19.7136</v>
      </c>
      <c r="G1214" s="227">
        <v>7195.4639999999999</v>
      </c>
      <c r="H1214" s="227">
        <v>0.98550000000000004</v>
      </c>
      <c r="I1214" s="227">
        <v>4.8175999999999997</v>
      </c>
      <c r="J1214" s="227">
        <v>0.59292169571749986</v>
      </c>
      <c r="K1214" s="227">
        <v>130.21</v>
      </c>
      <c r="L1214" s="227">
        <v>131.12</v>
      </c>
      <c r="M1214" s="227">
        <v>128.12</v>
      </c>
      <c r="N1214" s="227">
        <v>90.566999999999993</v>
      </c>
      <c r="O1214" s="227">
        <v>97.052000000000007</v>
      </c>
      <c r="P1214" s="227">
        <v>112.23</v>
      </c>
      <c r="Q1214" s="227">
        <v>105.02</v>
      </c>
      <c r="R1214" s="227">
        <v>109.67</v>
      </c>
      <c r="S1214" s="227"/>
      <c r="T1214" s="227">
        <v>79.5</v>
      </c>
      <c r="U1214" s="227">
        <v>79.5</v>
      </c>
      <c r="V1214" s="227">
        <v>79.5</v>
      </c>
      <c r="W1214" s="227">
        <v>79.5</v>
      </c>
      <c r="X1214" s="227">
        <v>79.5</v>
      </c>
      <c r="Y1214" s="227">
        <v>79.5</v>
      </c>
      <c r="Z1214" s="227">
        <v>79.5</v>
      </c>
      <c r="AA1214" s="227">
        <v>79.5</v>
      </c>
      <c r="AB1214" s="227">
        <v>9.2279999999999998</v>
      </c>
      <c r="AC1214" s="227">
        <v>774.65</v>
      </c>
      <c r="AD1214" s="230">
        <v>1.0680555555555556E-4</v>
      </c>
      <c r="AE1214" s="230">
        <v>55.367999999999995</v>
      </c>
      <c r="AF1214" s="230">
        <v>3816</v>
      </c>
      <c r="AG1214" s="230">
        <v>512284.34509991988</v>
      </c>
      <c r="AH1214" s="230">
        <v>4421539.6542056482</v>
      </c>
      <c r="AI1214" s="230">
        <v>4647.8999999999996</v>
      </c>
    </row>
    <row r="1215" spans="5:35" x14ac:dyDescent="0.35">
      <c r="E1215" s="226">
        <v>4.1256399999999998</v>
      </c>
      <c r="F1215" s="227">
        <v>19.730038356164382</v>
      </c>
      <c r="G1215" s="227">
        <v>7201.4639999999999</v>
      </c>
      <c r="H1215" s="227">
        <v>0.98550000000000004</v>
      </c>
      <c r="I1215" s="227">
        <v>4.8216000000000001</v>
      </c>
      <c r="J1215" s="227">
        <v>0.59298567905083321</v>
      </c>
      <c r="K1215" s="227">
        <v>130.19999999999999</v>
      </c>
      <c r="L1215" s="227">
        <v>131.11000000000001</v>
      </c>
      <c r="M1215" s="227">
        <v>128.11000000000001</v>
      </c>
      <c r="N1215" s="227">
        <v>90.56</v>
      </c>
      <c r="O1215" s="227">
        <v>97.046000000000006</v>
      </c>
      <c r="P1215" s="227">
        <v>112.23</v>
      </c>
      <c r="Q1215" s="227">
        <v>105.02</v>
      </c>
      <c r="R1215" s="227">
        <v>109.67</v>
      </c>
      <c r="S1215" s="227"/>
      <c r="T1215" s="227">
        <v>79.5</v>
      </c>
      <c r="U1215" s="227">
        <v>79.5</v>
      </c>
      <c r="V1215" s="227">
        <v>79.5</v>
      </c>
      <c r="W1215" s="227">
        <v>79.5</v>
      </c>
      <c r="X1215" s="227">
        <v>79.5</v>
      </c>
      <c r="Y1215" s="227">
        <v>79.5</v>
      </c>
      <c r="Z1215" s="227">
        <v>79.5</v>
      </c>
      <c r="AA1215" s="227">
        <v>79.5</v>
      </c>
      <c r="AB1215" s="227">
        <v>9.2135999999999996</v>
      </c>
      <c r="AC1215" s="227">
        <v>774.65</v>
      </c>
      <c r="AD1215" s="230">
        <v>1.0663888888888888E-4</v>
      </c>
      <c r="AE1215" s="230">
        <v>55.281599999999997</v>
      </c>
      <c r="AF1215" s="230">
        <v>3816</v>
      </c>
      <c r="AG1215" s="230">
        <v>512339.62669991987</v>
      </c>
      <c r="AH1215" s="230">
        <v>4425355.6542056482</v>
      </c>
      <c r="AI1215" s="230">
        <v>4647.8999999999996</v>
      </c>
    </row>
    <row r="1216" spans="5:35" x14ac:dyDescent="0.35">
      <c r="E1216" s="226">
        <v>4.12974</v>
      </c>
      <c r="F1216" s="227">
        <v>19.746476712328768</v>
      </c>
      <c r="G1216" s="227">
        <v>7207.4639999999999</v>
      </c>
      <c r="H1216" s="227">
        <v>0.98550000000000004</v>
      </c>
      <c r="I1216" s="227">
        <v>4.8257000000000003</v>
      </c>
      <c r="J1216" s="227">
        <v>0.59304956238416651</v>
      </c>
      <c r="K1216" s="227">
        <v>130.19</v>
      </c>
      <c r="L1216" s="227">
        <v>131.1</v>
      </c>
      <c r="M1216" s="227">
        <v>128.1</v>
      </c>
      <c r="N1216" s="227">
        <v>90.554000000000002</v>
      </c>
      <c r="O1216" s="227">
        <v>97.040999999999997</v>
      </c>
      <c r="P1216" s="227">
        <v>112.22</v>
      </c>
      <c r="Q1216" s="227">
        <v>105.01</v>
      </c>
      <c r="R1216" s="227">
        <v>109.66</v>
      </c>
      <c r="S1216" s="227"/>
      <c r="T1216" s="227">
        <v>79.5</v>
      </c>
      <c r="U1216" s="227">
        <v>79.5</v>
      </c>
      <c r="V1216" s="227">
        <v>79.5</v>
      </c>
      <c r="W1216" s="227">
        <v>79.5</v>
      </c>
      <c r="X1216" s="227">
        <v>79.5</v>
      </c>
      <c r="Y1216" s="227">
        <v>79.5</v>
      </c>
      <c r="Z1216" s="227">
        <v>79.5</v>
      </c>
      <c r="AA1216" s="227">
        <v>79.5</v>
      </c>
      <c r="AB1216" s="227">
        <v>9.1991999999999994</v>
      </c>
      <c r="AC1216" s="227">
        <v>774.65</v>
      </c>
      <c r="AD1216" s="230">
        <v>1.0647222222222221E-4</v>
      </c>
      <c r="AE1216" s="230">
        <v>55.195199999999993</v>
      </c>
      <c r="AF1216" s="230">
        <v>3816</v>
      </c>
      <c r="AG1216" s="230">
        <v>512394.82189991989</v>
      </c>
      <c r="AH1216" s="230">
        <v>4429171.6542056482</v>
      </c>
      <c r="AI1216" s="230">
        <v>4647.8999999999996</v>
      </c>
    </row>
    <row r="1217" spans="5:35" x14ac:dyDescent="0.35">
      <c r="E1217" s="226">
        <v>4.1337399999999995</v>
      </c>
      <c r="F1217" s="227">
        <v>19.76291506849315</v>
      </c>
      <c r="G1217" s="227">
        <v>7213.4639999999999</v>
      </c>
      <c r="H1217" s="227">
        <v>0.98560000000000003</v>
      </c>
      <c r="I1217" s="227">
        <v>4.8296999999999999</v>
      </c>
      <c r="J1217" s="227">
        <v>0.59311334641194435</v>
      </c>
      <c r="K1217" s="227">
        <v>130.18</v>
      </c>
      <c r="L1217" s="227">
        <v>131.09</v>
      </c>
      <c r="M1217" s="227">
        <v>128.09</v>
      </c>
      <c r="N1217" s="227">
        <v>90.548000000000002</v>
      </c>
      <c r="O1217" s="227">
        <v>97.036000000000001</v>
      </c>
      <c r="P1217" s="227">
        <v>112.21</v>
      </c>
      <c r="Q1217" s="227">
        <v>105.01</v>
      </c>
      <c r="R1217" s="227">
        <v>109.66</v>
      </c>
      <c r="S1217" s="227"/>
      <c r="T1217" s="227">
        <v>79.5</v>
      </c>
      <c r="U1217" s="227">
        <v>79.5</v>
      </c>
      <c r="V1217" s="227">
        <v>79.5</v>
      </c>
      <c r="W1217" s="227">
        <v>79.5</v>
      </c>
      <c r="X1217" s="227">
        <v>79.5</v>
      </c>
      <c r="Y1217" s="227">
        <v>79.5</v>
      </c>
      <c r="Z1217" s="227">
        <v>79.5</v>
      </c>
      <c r="AA1217" s="227">
        <v>79.5</v>
      </c>
      <c r="AB1217" s="227">
        <v>9.1849000000000007</v>
      </c>
      <c r="AC1217" s="227">
        <v>774.65</v>
      </c>
      <c r="AD1217" s="230">
        <v>1.0630671296296297E-4</v>
      </c>
      <c r="AE1217" s="230">
        <v>55.109400000000001</v>
      </c>
      <c r="AF1217" s="230">
        <v>3816</v>
      </c>
      <c r="AG1217" s="230">
        <v>512449.9312999199</v>
      </c>
      <c r="AH1217" s="230">
        <v>4432987.6542056482</v>
      </c>
      <c r="AI1217" s="230">
        <v>4647.8999999999996</v>
      </c>
    </row>
    <row r="1218" spans="5:35" x14ac:dyDescent="0.35">
      <c r="E1218" s="226">
        <v>4.13774</v>
      </c>
      <c r="F1218" s="227">
        <v>19.779353424657533</v>
      </c>
      <c r="G1218" s="227">
        <v>7219.4639999999999</v>
      </c>
      <c r="H1218" s="227">
        <v>0.98560000000000003</v>
      </c>
      <c r="I1218" s="227">
        <v>4.8337000000000003</v>
      </c>
      <c r="J1218" s="227">
        <v>0.59317703113416653</v>
      </c>
      <c r="K1218" s="227">
        <v>130.16999999999999</v>
      </c>
      <c r="L1218" s="227">
        <v>131.08000000000001</v>
      </c>
      <c r="M1218" s="227">
        <v>128.07</v>
      </c>
      <c r="N1218" s="227">
        <v>90.542000000000002</v>
      </c>
      <c r="O1218" s="227">
        <v>97.031000000000006</v>
      </c>
      <c r="P1218" s="227">
        <v>112.2</v>
      </c>
      <c r="Q1218" s="227">
        <v>105</v>
      </c>
      <c r="R1218" s="227">
        <v>109.65</v>
      </c>
      <c r="S1218" s="227"/>
      <c r="T1218" s="227">
        <v>79.5</v>
      </c>
      <c r="U1218" s="227">
        <v>79.5</v>
      </c>
      <c r="V1218" s="227">
        <v>79.5</v>
      </c>
      <c r="W1218" s="227">
        <v>79.5</v>
      </c>
      <c r="X1218" s="227">
        <v>79.5</v>
      </c>
      <c r="Y1218" s="227">
        <v>79.5</v>
      </c>
      <c r="Z1218" s="227">
        <v>79.5</v>
      </c>
      <c r="AA1218" s="227">
        <v>79.5</v>
      </c>
      <c r="AB1218" s="227">
        <v>9.1706000000000003</v>
      </c>
      <c r="AC1218" s="227">
        <v>774.65</v>
      </c>
      <c r="AD1218" s="230">
        <v>1.0614120370370371E-4</v>
      </c>
      <c r="AE1218" s="230">
        <v>55.023600000000002</v>
      </c>
      <c r="AF1218" s="230">
        <v>3816</v>
      </c>
      <c r="AG1218" s="230">
        <v>512504.95489991992</v>
      </c>
      <c r="AH1218" s="230">
        <v>4436803.6542056482</v>
      </c>
      <c r="AI1218" s="230">
        <v>4647.8999999999996</v>
      </c>
    </row>
    <row r="1219" spans="5:35" x14ac:dyDescent="0.35">
      <c r="E1219" s="226">
        <v>4.1417399999999995</v>
      </c>
      <c r="F1219" s="227">
        <v>19.795791780821919</v>
      </c>
      <c r="G1219" s="227">
        <v>7225.4639999999999</v>
      </c>
      <c r="H1219" s="227">
        <v>0.98560000000000003</v>
      </c>
      <c r="I1219" s="227">
        <v>4.8376999999999999</v>
      </c>
      <c r="J1219" s="227">
        <v>0.59324061446749987</v>
      </c>
      <c r="K1219" s="227">
        <v>130.15</v>
      </c>
      <c r="L1219" s="227">
        <v>131.07</v>
      </c>
      <c r="M1219" s="227">
        <v>128.06</v>
      </c>
      <c r="N1219" s="227">
        <v>90.536000000000001</v>
      </c>
      <c r="O1219" s="227">
        <v>97.025000000000006</v>
      </c>
      <c r="P1219" s="227">
        <v>112.19</v>
      </c>
      <c r="Q1219" s="227">
        <v>105</v>
      </c>
      <c r="R1219" s="227">
        <v>109.65</v>
      </c>
      <c r="S1219" s="227"/>
      <c r="T1219" s="227">
        <v>79.5</v>
      </c>
      <c r="U1219" s="227">
        <v>79.5</v>
      </c>
      <c r="V1219" s="227">
        <v>79.5</v>
      </c>
      <c r="W1219" s="227">
        <v>79.5</v>
      </c>
      <c r="X1219" s="227">
        <v>79.5</v>
      </c>
      <c r="Y1219" s="227">
        <v>79.5</v>
      </c>
      <c r="Z1219" s="227">
        <v>79.5</v>
      </c>
      <c r="AA1219" s="227">
        <v>79.5</v>
      </c>
      <c r="AB1219" s="227">
        <v>9.1560000000000006</v>
      </c>
      <c r="AC1219" s="227">
        <v>774.65</v>
      </c>
      <c r="AD1219" s="230">
        <v>1.0597222222222223E-4</v>
      </c>
      <c r="AE1219" s="230">
        <v>54.936</v>
      </c>
      <c r="AF1219" s="230">
        <v>3816</v>
      </c>
      <c r="AG1219" s="230">
        <v>512559.8908999199</v>
      </c>
      <c r="AH1219" s="230">
        <v>4440619.6542056482</v>
      </c>
      <c r="AI1219" s="230">
        <v>4647.8999999999996</v>
      </c>
    </row>
    <row r="1220" spans="5:35" x14ac:dyDescent="0.35">
      <c r="E1220" s="226">
        <v>4.14574</v>
      </c>
      <c r="F1220" s="227">
        <v>19.812230136986301</v>
      </c>
      <c r="G1220" s="227">
        <v>7231.4639999999999</v>
      </c>
      <c r="H1220" s="227">
        <v>0.98560000000000003</v>
      </c>
      <c r="I1220" s="227">
        <v>4.8417000000000003</v>
      </c>
      <c r="J1220" s="227">
        <v>0.59330409918972216</v>
      </c>
      <c r="K1220" s="227">
        <v>130.13999999999999</v>
      </c>
      <c r="L1220" s="227">
        <v>131.06</v>
      </c>
      <c r="M1220" s="227">
        <v>128.05000000000001</v>
      </c>
      <c r="N1220" s="227">
        <v>90.53</v>
      </c>
      <c r="O1220" s="227">
        <v>97.02</v>
      </c>
      <c r="P1220" s="227">
        <v>112.19</v>
      </c>
      <c r="Q1220" s="227">
        <v>105</v>
      </c>
      <c r="R1220" s="227">
        <v>109.64</v>
      </c>
      <c r="S1220" s="227"/>
      <c r="T1220" s="227">
        <v>79.5</v>
      </c>
      <c r="U1220" s="227">
        <v>79.5</v>
      </c>
      <c r="V1220" s="227">
        <v>79.5</v>
      </c>
      <c r="W1220" s="227">
        <v>79.5</v>
      </c>
      <c r="X1220" s="227">
        <v>79.5</v>
      </c>
      <c r="Y1220" s="227">
        <v>79.5</v>
      </c>
      <c r="Z1220" s="227">
        <v>79.5</v>
      </c>
      <c r="AA1220" s="227">
        <v>79.5</v>
      </c>
      <c r="AB1220" s="227">
        <v>9.1417999999999999</v>
      </c>
      <c r="AC1220" s="227">
        <v>774.65</v>
      </c>
      <c r="AD1220" s="230">
        <v>1.0580787037037037E-4</v>
      </c>
      <c r="AE1220" s="230">
        <v>54.8508</v>
      </c>
      <c r="AF1220" s="230">
        <v>3816</v>
      </c>
      <c r="AG1220" s="230">
        <v>512614.74169991992</v>
      </c>
      <c r="AH1220" s="230">
        <v>4444435.6542056482</v>
      </c>
      <c r="AI1220" s="230">
        <v>4647.8999999999996</v>
      </c>
    </row>
    <row r="1221" spans="5:35" x14ac:dyDescent="0.35">
      <c r="E1221" s="226">
        <v>4.1498399999999993</v>
      </c>
      <c r="F1221" s="227">
        <v>19.828668493150683</v>
      </c>
      <c r="G1221" s="227">
        <v>7237.4639999999999</v>
      </c>
      <c r="H1221" s="227">
        <v>0.98560000000000003</v>
      </c>
      <c r="I1221" s="227">
        <v>4.8457999999999997</v>
      </c>
      <c r="J1221" s="227">
        <v>0.59336748599527767</v>
      </c>
      <c r="K1221" s="227">
        <v>130.13</v>
      </c>
      <c r="L1221" s="227">
        <v>131.05000000000001</v>
      </c>
      <c r="M1221" s="227">
        <v>128.04</v>
      </c>
      <c r="N1221" s="227">
        <v>90.524000000000001</v>
      </c>
      <c r="O1221" s="227">
        <v>97.013999999999996</v>
      </c>
      <c r="P1221" s="227">
        <v>112.18</v>
      </c>
      <c r="Q1221" s="227">
        <v>104.99</v>
      </c>
      <c r="R1221" s="227">
        <v>109.63</v>
      </c>
      <c r="S1221" s="227"/>
      <c r="T1221" s="227">
        <v>79.5</v>
      </c>
      <c r="U1221" s="227">
        <v>79.5</v>
      </c>
      <c r="V1221" s="227">
        <v>79.5</v>
      </c>
      <c r="W1221" s="227">
        <v>79.5</v>
      </c>
      <c r="X1221" s="227">
        <v>79.5</v>
      </c>
      <c r="Y1221" s="227">
        <v>79.5</v>
      </c>
      <c r="Z1221" s="227">
        <v>79.5</v>
      </c>
      <c r="AA1221" s="227">
        <v>79.5</v>
      </c>
      <c r="AB1221" s="227">
        <v>9.1277000000000008</v>
      </c>
      <c r="AC1221" s="227">
        <v>774.65</v>
      </c>
      <c r="AD1221" s="230">
        <v>1.0564467592592594E-4</v>
      </c>
      <c r="AE1221" s="230">
        <v>54.766200000000012</v>
      </c>
      <c r="AF1221" s="230">
        <v>3816</v>
      </c>
      <c r="AG1221" s="230">
        <v>512669.50789991993</v>
      </c>
      <c r="AH1221" s="230">
        <v>4448251.6542056482</v>
      </c>
      <c r="AI1221" s="230">
        <v>4647.8999999999996</v>
      </c>
    </row>
    <row r="1222" spans="5:35" x14ac:dyDescent="0.35">
      <c r="E1222" s="226">
        <v>4.1538399999999998</v>
      </c>
      <c r="F1222" s="227">
        <v>19.845106849315069</v>
      </c>
      <c r="G1222" s="227">
        <v>7243.4639999999999</v>
      </c>
      <c r="H1222" s="227">
        <v>0.98570000000000002</v>
      </c>
      <c r="I1222" s="227">
        <v>4.8498000000000001</v>
      </c>
      <c r="J1222" s="227">
        <v>0.59343077349527773</v>
      </c>
      <c r="K1222" s="227">
        <v>130.11000000000001</v>
      </c>
      <c r="L1222" s="227">
        <v>131.04</v>
      </c>
      <c r="M1222" s="227">
        <v>128.03</v>
      </c>
      <c r="N1222" s="227">
        <v>90.516999999999996</v>
      </c>
      <c r="O1222" s="227">
        <v>97.009</v>
      </c>
      <c r="P1222" s="227">
        <v>112.17</v>
      </c>
      <c r="Q1222" s="227">
        <v>104.99</v>
      </c>
      <c r="R1222" s="227">
        <v>109.63</v>
      </c>
      <c r="S1222" s="227"/>
      <c r="T1222" s="227">
        <v>79.5</v>
      </c>
      <c r="U1222" s="227">
        <v>79.5</v>
      </c>
      <c r="V1222" s="227">
        <v>79.5</v>
      </c>
      <c r="W1222" s="227">
        <v>79.5</v>
      </c>
      <c r="X1222" s="227">
        <v>79.5</v>
      </c>
      <c r="Y1222" s="227">
        <v>79.5</v>
      </c>
      <c r="Z1222" s="227">
        <v>79.5</v>
      </c>
      <c r="AA1222" s="227">
        <v>79.5</v>
      </c>
      <c r="AB1222" s="227">
        <v>9.1134000000000004</v>
      </c>
      <c r="AC1222" s="227">
        <v>774.65</v>
      </c>
      <c r="AD1222" s="230">
        <v>1.0547916666666667E-4</v>
      </c>
      <c r="AE1222" s="230">
        <v>54.680399999999999</v>
      </c>
      <c r="AF1222" s="230">
        <v>3816</v>
      </c>
      <c r="AG1222" s="230">
        <v>512724.18829991994</v>
      </c>
      <c r="AH1222" s="230">
        <v>4452067.6542056482</v>
      </c>
      <c r="AI1222" s="230">
        <v>4647.8999999999996</v>
      </c>
    </row>
    <row r="1223" spans="5:35" x14ac:dyDescent="0.35">
      <c r="E1223" s="226">
        <v>4.1578399999999993</v>
      </c>
      <c r="F1223" s="227">
        <v>19.861545205479452</v>
      </c>
      <c r="G1223" s="227">
        <v>7249.4639999999999</v>
      </c>
      <c r="H1223" s="227">
        <v>0.98570000000000002</v>
      </c>
      <c r="I1223" s="227">
        <v>4.8537999999999997</v>
      </c>
      <c r="J1223" s="227">
        <v>0.59349396307861102</v>
      </c>
      <c r="K1223" s="227">
        <v>130.1</v>
      </c>
      <c r="L1223" s="227">
        <v>131.03</v>
      </c>
      <c r="M1223" s="227">
        <v>128.02000000000001</v>
      </c>
      <c r="N1223" s="227">
        <v>90.510999999999996</v>
      </c>
      <c r="O1223" s="227">
        <v>97.004000000000005</v>
      </c>
      <c r="P1223" s="227">
        <v>112.16</v>
      </c>
      <c r="Q1223" s="227">
        <v>104.98</v>
      </c>
      <c r="R1223" s="227">
        <v>109.62</v>
      </c>
      <c r="S1223" s="227"/>
      <c r="T1223" s="227">
        <v>79.5</v>
      </c>
      <c r="U1223" s="227">
        <v>79.5</v>
      </c>
      <c r="V1223" s="227">
        <v>79.5</v>
      </c>
      <c r="W1223" s="227">
        <v>79.5</v>
      </c>
      <c r="X1223" s="227">
        <v>79.5</v>
      </c>
      <c r="Y1223" s="227">
        <v>79.5</v>
      </c>
      <c r="Z1223" s="227">
        <v>79.5</v>
      </c>
      <c r="AA1223" s="227">
        <v>79.5</v>
      </c>
      <c r="AB1223" s="227">
        <v>9.0992999999999995</v>
      </c>
      <c r="AC1223" s="227">
        <v>774.65</v>
      </c>
      <c r="AD1223" s="230">
        <v>1.0531597222222222E-4</v>
      </c>
      <c r="AE1223" s="230">
        <v>54.595799999999997</v>
      </c>
      <c r="AF1223" s="230">
        <v>3816</v>
      </c>
      <c r="AG1223" s="230">
        <v>512778.78409991995</v>
      </c>
      <c r="AH1223" s="230">
        <v>4455883.6542056482</v>
      </c>
      <c r="AI1223" s="230">
        <v>4647.8999999999996</v>
      </c>
    </row>
    <row r="1224" spans="5:35" x14ac:dyDescent="0.35">
      <c r="E1224" s="226">
        <v>4.1618399999999998</v>
      </c>
      <c r="F1224" s="227">
        <v>19.877983561643834</v>
      </c>
      <c r="G1224" s="227">
        <v>7255.4639999999999</v>
      </c>
      <c r="H1224" s="227">
        <v>0.98570000000000002</v>
      </c>
      <c r="I1224" s="227">
        <v>4.8578000000000001</v>
      </c>
      <c r="J1224" s="227">
        <v>0.59355705543972215</v>
      </c>
      <c r="K1224" s="227">
        <v>130.09</v>
      </c>
      <c r="L1224" s="227">
        <v>131.02000000000001</v>
      </c>
      <c r="M1224" s="227">
        <v>128.01</v>
      </c>
      <c r="N1224" s="227">
        <v>90.504999999999995</v>
      </c>
      <c r="O1224" s="227">
        <v>96.998999999999995</v>
      </c>
      <c r="P1224" s="227">
        <v>112.16</v>
      </c>
      <c r="Q1224" s="227">
        <v>104.98</v>
      </c>
      <c r="R1224" s="227">
        <v>109.62</v>
      </c>
      <c r="S1224" s="227"/>
      <c r="T1224" s="227">
        <v>79.5</v>
      </c>
      <c r="U1224" s="227">
        <v>79.5</v>
      </c>
      <c r="V1224" s="227">
        <v>79.5</v>
      </c>
      <c r="W1224" s="227">
        <v>79.5</v>
      </c>
      <c r="X1224" s="227">
        <v>79.5</v>
      </c>
      <c r="Y1224" s="227">
        <v>79.5</v>
      </c>
      <c r="Z1224" s="227">
        <v>79.5</v>
      </c>
      <c r="AA1224" s="227">
        <v>79.5</v>
      </c>
      <c r="AB1224" s="227">
        <v>9.0853000000000002</v>
      </c>
      <c r="AC1224" s="227">
        <v>774.65</v>
      </c>
      <c r="AD1224" s="230">
        <v>1.0515393518518519E-4</v>
      </c>
      <c r="AE1224" s="230">
        <v>54.511800000000008</v>
      </c>
      <c r="AF1224" s="230">
        <v>3816</v>
      </c>
      <c r="AG1224" s="230">
        <v>512833.29589991993</v>
      </c>
      <c r="AH1224" s="230">
        <v>4459699.6542056482</v>
      </c>
      <c r="AI1224" s="230">
        <v>4647.8999999999996</v>
      </c>
    </row>
    <row r="1225" spans="5:35" x14ac:dyDescent="0.35">
      <c r="E1225" s="226">
        <v>4.1658399999999993</v>
      </c>
      <c r="F1225" s="227">
        <v>19.89442191780822</v>
      </c>
      <c r="G1225" s="227">
        <v>7261.4639999999999</v>
      </c>
      <c r="H1225" s="227">
        <v>0.98570000000000002</v>
      </c>
      <c r="I1225" s="227">
        <v>4.8617999999999997</v>
      </c>
      <c r="J1225" s="227">
        <v>0.59362004849527772</v>
      </c>
      <c r="K1225" s="227">
        <v>130.08000000000001</v>
      </c>
      <c r="L1225" s="227">
        <v>131.01</v>
      </c>
      <c r="M1225" s="227">
        <v>128</v>
      </c>
      <c r="N1225" s="227">
        <v>90.498999999999995</v>
      </c>
      <c r="O1225" s="227">
        <v>96.992999999999995</v>
      </c>
      <c r="P1225" s="227">
        <v>112.15</v>
      </c>
      <c r="Q1225" s="227">
        <v>104.97</v>
      </c>
      <c r="R1225" s="227">
        <v>109.61</v>
      </c>
      <c r="S1225" s="227"/>
      <c r="T1225" s="227">
        <v>79.5</v>
      </c>
      <c r="U1225" s="227">
        <v>79.5</v>
      </c>
      <c r="V1225" s="227">
        <v>79.5</v>
      </c>
      <c r="W1225" s="227">
        <v>79.5</v>
      </c>
      <c r="X1225" s="227">
        <v>79.5</v>
      </c>
      <c r="Y1225" s="227">
        <v>79.5</v>
      </c>
      <c r="Z1225" s="227">
        <v>79.5</v>
      </c>
      <c r="AA1225" s="227">
        <v>79.5</v>
      </c>
      <c r="AB1225" s="227">
        <v>9.0709999999999997</v>
      </c>
      <c r="AC1225" s="227">
        <v>774.65</v>
      </c>
      <c r="AD1225" s="230">
        <v>1.0498842592592592E-4</v>
      </c>
      <c r="AE1225" s="230">
        <v>54.426000000000002</v>
      </c>
      <c r="AF1225" s="230">
        <v>3816</v>
      </c>
      <c r="AG1225" s="230">
        <v>512887.72189991991</v>
      </c>
      <c r="AH1225" s="230">
        <v>4463515.6542056482</v>
      </c>
      <c r="AI1225" s="230">
        <v>4647.8999999999996</v>
      </c>
    </row>
    <row r="1226" spans="5:35" x14ac:dyDescent="0.35">
      <c r="E1226" s="226">
        <v>4.1698399999999998</v>
      </c>
      <c r="F1226" s="227">
        <v>19.910860273972602</v>
      </c>
      <c r="G1226" s="227">
        <v>7267.4639999999999</v>
      </c>
      <c r="H1226" s="227">
        <v>0.98580000000000001</v>
      </c>
      <c r="I1226" s="227">
        <v>4.8658000000000001</v>
      </c>
      <c r="J1226" s="227">
        <v>0.59368294432861102</v>
      </c>
      <c r="K1226" s="227">
        <v>130.06</v>
      </c>
      <c r="L1226" s="227">
        <v>131</v>
      </c>
      <c r="M1226" s="227">
        <v>127.98</v>
      </c>
      <c r="N1226" s="227">
        <v>90.492999999999995</v>
      </c>
      <c r="O1226" s="227">
        <v>96.988</v>
      </c>
      <c r="P1226" s="227">
        <v>112.14</v>
      </c>
      <c r="Q1226" s="227">
        <v>104.97</v>
      </c>
      <c r="R1226" s="227">
        <v>109.61</v>
      </c>
      <c r="S1226" s="227"/>
      <c r="T1226" s="227">
        <v>79.5</v>
      </c>
      <c r="U1226" s="227">
        <v>79.5</v>
      </c>
      <c r="V1226" s="227">
        <v>79.5</v>
      </c>
      <c r="W1226" s="227">
        <v>79.5</v>
      </c>
      <c r="X1226" s="227">
        <v>79.5</v>
      </c>
      <c r="Y1226" s="227">
        <v>79.5</v>
      </c>
      <c r="Z1226" s="227">
        <v>79.5</v>
      </c>
      <c r="AA1226" s="227">
        <v>79.5</v>
      </c>
      <c r="AB1226" s="227">
        <v>9.0570000000000004</v>
      </c>
      <c r="AC1226" s="227">
        <v>774.65</v>
      </c>
      <c r="AD1226" s="230">
        <v>1.0482638888888889E-4</v>
      </c>
      <c r="AE1226" s="230">
        <v>54.342000000000006</v>
      </c>
      <c r="AF1226" s="230">
        <v>3816</v>
      </c>
      <c r="AG1226" s="230">
        <v>512942.06389991991</v>
      </c>
      <c r="AH1226" s="230">
        <v>4467331.6542056482</v>
      </c>
      <c r="AI1226" s="230">
        <v>4647.8999999999996</v>
      </c>
    </row>
    <row r="1227" spans="5:35" x14ac:dyDescent="0.35">
      <c r="E1227" s="226">
        <v>4.17394</v>
      </c>
      <c r="F1227" s="227">
        <v>19.927298630136985</v>
      </c>
      <c r="G1227" s="227">
        <v>7273.4639999999999</v>
      </c>
      <c r="H1227" s="227">
        <v>0.98580000000000001</v>
      </c>
      <c r="I1227" s="227">
        <v>4.8699000000000003</v>
      </c>
      <c r="J1227" s="227">
        <v>0.59374574293972204</v>
      </c>
      <c r="K1227" s="227">
        <v>130.05000000000001</v>
      </c>
      <c r="L1227" s="227">
        <v>130.99</v>
      </c>
      <c r="M1227" s="227">
        <v>127.97</v>
      </c>
      <c r="N1227" s="227">
        <v>90.486999999999995</v>
      </c>
      <c r="O1227" s="227">
        <v>96.983000000000004</v>
      </c>
      <c r="P1227" s="227">
        <v>112.13</v>
      </c>
      <c r="Q1227" s="227">
        <v>104.96</v>
      </c>
      <c r="R1227" s="227">
        <v>109.6</v>
      </c>
      <c r="S1227" s="227"/>
      <c r="T1227" s="227">
        <v>79.5</v>
      </c>
      <c r="U1227" s="227">
        <v>79.5</v>
      </c>
      <c r="V1227" s="227">
        <v>79.5</v>
      </c>
      <c r="W1227" s="227">
        <v>79.5</v>
      </c>
      <c r="X1227" s="227">
        <v>79.5</v>
      </c>
      <c r="Y1227" s="227">
        <v>79.5</v>
      </c>
      <c r="Z1227" s="227">
        <v>79.5</v>
      </c>
      <c r="AA1227" s="227">
        <v>79.5</v>
      </c>
      <c r="AB1227" s="227">
        <v>9.0429999999999993</v>
      </c>
      <c r="AC1227" s="227">
        <v>774.65</v>
      </c>
      <c r="AD1227" s="230">
        <v>1.0466435185185184E-4</v>
      </c>
      <c r="AE1227" s="230">
        <v>54.257999999999996</v>
      </c>
      <c r="AF1227" s="230">
        <v>3816</v>
      </c>
      <c r="AG1227" s="230">
        <v>512996.32189991989</v>
      </c>
      <c r="AH1227" s="230">
        <v>4471147.6542056482</v>
      </c>
      <c r="AI1227" s="230">
        <v>4647.8999999999996</v>
      </c>
    </row>
    <row r="1228" spans="5:35" x14ac:dyDescent="0.35">
      <c r="E1228" s="226">
        <v>4.1779399999999995</v>
      </c>
      <c r="F1228" s="227">
        <v>19.943736986301371</v>
      </c>
      <c r="G1228" s="227">
        <v>7279.4639999999999</v>
      </c>
      <c r="H1228" s="227">
        <v>0.98580000000000001</v>
      </c>
      <c r="I1228" s="227">
        <v>4.8738999999999999</v>
      </c>
      <c r="J1228" s="227">
        <v>0.59380844432861102</v>
      </c>
      <c r="K1228" s="227">
        <v>130.04</v>
      </c>
      <c r="L1228" s="227">
        <v>130.97999999999999</v>
      </c>
      <c r="M1228" s="227">
        <v>127.96</v>
      </c>
      <c r="N1228" s="227">
        <v>90.480999999999995</v>
      </c>
      <c r="O1228" s="227">
        <v>96.977999999999994</v>
      </c>
      <c r="P1228" s="227">
        <v>112.12</v>
      </c>
      <c r="Q1228" s="227">
        <v>104.96</v>
      </c>
      <c r="R1228" s="227">
        <v>109.6</v>
      </c>
      <c r="S1228" s="227"/>
      <c r="T1228" s="227">
        <v>79.5</v>
      </c>
      <c r="U1228" s="227">
        <v>79.5</v>
      </c>
      <c r="V1228" s="227">
        <v>79.5</v>
      </c>
      <c r="W1228" s="227">
        <v>79.5</v>
      </c>
      <c r="X1228" s="227">
        <v>79.5</v>
      </c>
      <c r="Y1228" s="227">
        <v>79.5</v>
      </c>
      <c r="Z1228" s="227">
        <v>79.5</v>
      </c>
      <c r="AA1228" s="227">
        <v>79.5</v>
      </c>
      <c r="AB1228" s="227">
        <v>9.0289999999999999</v>
      </c>
      <c r="AC1228" s="227">
        <v>774.65</v>
      </c>
      <c r="AD1228" s="230">
        <v>1.0450231481481481E-4</v>
      </c>
      <c r="AE1228" s="230">
        <v>54.173999999999999</v>
      </c>
      <c r="AF1228" s="230">
        <v>3816</v>
      </c>
      <c r="AG1228" s="230">
        <v>513050.49589991989</v>
      </c>
      <c r="AH1228" s="230">
        <v>4474963.6542056482</v>
      </c>
      <c r="AI1228" s="230">
        <v>4647.8999999999996</v>
      </c>
    </row>
    <row r="1229" spans="5:35" x14ac:dyDescent="0.35">
      <c r="E1229" s="226">
        <v>4.18194</v>
      </c>
      <c r="F1229" s="227">
        <v>19.960175342465753</v>
      </c>
      <c r="G1229" s="227">
        <v>7285.4639999999999</v>
      </c>
      <c r="H1229" s="227">
        <v>0.98580000000000001</v>
      </c>
      <c r="I1229" s="227">
        <v>4.8779000000000003</v>
      </c>
      <c r="J1229" s="227">
        <v>0.59387104849527772</v>
      </c>
      <c r="K1229" s="227">
        <v>130.03</v>
      </c>
      <c r="L1229" s="227">
        <v>130.97</v>
      </c>
      <c r="M1229" s="227">
        <v>127.95</v>
      </c>
      <c r="N1229" s="227">
        <v>90.474999999999994</v>
      </c>
      <c r="O1229" s="227">
        <v>96.971999999999994</v>
      </c>
      <c r="P1229" s="227">
        <v>112.12</v>
      </c>
      <c r="Q1229" s="227">
        <v>104.95</v>
      </c>
      <c r="R1229" s="227">
        <v>109.59</v>
      </c>
      <c r="S1229" s="227"/>
      <c r="T1229" s="227">
        <v>79.5</v>
      </c>
      <c r="U1229" s="227">
        <v>79.5</v>
      </c>
      <c r="V1229" s="227">
        <v>79.5</v>
      </c>
      <c r="W1229" s="227">
        <v>79.5</v>
      </c>
      <c r="X1229" s="227">
        <v>79.5</v>
      </c>
      <c r="Y1229" s="227">
        <v>79.5</v>
      </c>
      <c r="Z1229" s="227">
        <v>79.5</v>
      </c>
      <c r="AA1229" s="227">
        <v>79.5</v>
      </c>
      <c r="AB1229" s="227">
        <v>9.0150000000000006</v>
      </c>
      <c r="AC1229" s="227">
        <v>774.65</v>
      </c>
      <c r="AD1229" s="230">
        <v>1.0434027777777778E-4</v>
      </c>
      <c r="AE1229" s="230">
        <v>54.09</v>
      </c>
      <c r="AF1229" s="230">
        <v>3816</v>
      </c>
      <c r="AG1229" s="230">
        <v>513104.58589991991</v>
      </c>
      <c r="AH1229" s="230">
        <v>4478779.6542056482</v>
      </c>
      <c r="AI1229" s="230">
        <v>4647.8999999999996</v>
      </c>
    </row>
    <row r="1230" spans="5:35" x14ac:dyDescent="0.35">
      <c r="E1230" s="226">
        <v>4.1859399999999996</v>
      </c>
      <c r="F1230" s="227">
        <v>19.976613698630135</v>
      </c>
      <c r="G1230" s="227">
        <v>7291.4639999999999</v>
      </c>
      <c r="H1230" s="227">
        <v>0.98580000000000001</v>
      </c>
      <c r="I1230" s="227">
        <v>4.8818999999999999</v>
      </c>
      <c r="J1230" s="227">
        <v>0.59393355613416654</v>
      </c>
      <c r="K1230" s="227">
        <v>130.02000000000001</v>
      </c>
      <c r="L1230" s="227">
        <v>130.96</v>
      </c>
      <c r="M1230" s="227">
        <v>127.94</v>
      </c>
      <c r="N1230" s="227">
        <v>90.468999999999994</v>
      </c>
      <c r="O1230" s="227">
        <v>96.966999999999999</v>
      </c>
      <c r="P1230" s="227">
        <v>112.11</v>
      </c>
      <c r="Q1230" s="227">
        <v>104.95</v>
      </c>
      <c r="R1230" s="227">
        <v>109.58</v>
      </c>
      <c r="S1230" s="227"/>
      <c r="T1230" s="227">
        <v>79.5</v>
      </c>
      <c r="U1230" s="227">
        <v>79.5</v>
      </c>
      <c r="V1230" s="227">
        <v>79.5</v>
      </c>
      <c r="W1230" s="227">
        <v>79.5</v>
      </c>
      <c r="X1230" s="227">
        <v>79.5</v>
      </c>
      <c r="Y1230" s="227">
        <v>79.5</v>
      </c>
      <c r="Z1230" s="227">
        <v>79.5</v>
      </c>
      <c r="AA1230" s="227">
        <v>79.5</v>
      </c>
      <c r="AB1230" s="227">
        <v>9.0010999999999992</v>
      </c>
      <c r="AC1230" s="227">
        <v>774.65</v>
      </c>
      <c r="AD1230" s="230">
        <v>1.0417939814814814E-4</v>
      </c>
      <c r="AE1230" s="230">
        <v>54.006599999999992</v>
      </c>
      <c r="AF1230" s="230">
        <v>3816</v>
      </c>
      <c r="AG1230" s="230">
        <v>513158.59249991993</v>
      </c>
      <c r="AH1230" s="230">
        <v>4482595.6542056482</v>
      </c>
      <c r="AI1230" s="230">
        <v>4647.8999999999996</v>
      </c>
    </row>
    <row r="1231" spans="5:35" x14ac:dyDescent="0.35">
      <c r="E1231" s="226">
        <v>4.18994</v>
      </c>
      <c r="F1231" s="227">
        <v>19.993052054794521</v>
      </c>
      <c r="G1231" s="227">
        <v>7297.4639999999999</v>
      </c>
      <c r="H1231" s="227">
        <v>0.9859</v>
      </c>
      <c r="I1231" s="227">
        <v>4.8859000000000004</v>
      </c>
      <c r="J1231" s="227">
        <v>0.5939959672452777</v>
      </c>
      <c r="K1231" s="227">
        <v>130</v>
      </c>
      <c r="L1231" s="227">
        <v>130.96</v>
      </c>
      <c r="M1231" s="227">
        <v>127.93</v>
      </c>
      <c r="N1231" s="227">
        <v>90.462999999999994</v>
      </c>
      <c r="O1231" s="227">
        <v>96.962000000000003</v>
      </c>
      <c r="P1231" s="227">
        <v>112.1</v>
      </c>
      <c r="Q1231" s="227">
        <v>104.95</v>
      </c>
      <c r="R1231" s="227">
        <v>109.58</v>
      </c>
      <c r="S1231" s="227"/>
      <c r="T1231" s="227">
        <v>79.5</v>
      </c>
      <c r="U1231" s="227">
        <v>79.5</v>
      </c>
      <c r="V1231" s="227">
        <v>79.5</v>
      </c>
      <c r="W1231" s="227">
        <v>79.5</v>
      </c>
      <c r="X1231" s="227">
        <v>79.5</v>
      </c>
      <c r="Y1231" s="227">
        <v>79.5</v>
      </c>
      <c r="Z1231" s="227">
        <v>79.5</v>
      </c>
      <c r="AA1231" s="227">
        <v>79.5</v>
      </c>
      <c r="AB1231" s="227">
        <v>8.9871999999999996</v>
      </c>
      <c r="AC1231" s="227">
        <v>774.65</v>
      </c>
      <c r="AD1231" s="230">
        <v>1.0401851851851852E-4</v>
      </c>
      <c r="AE1231" s="230">
        <v>53.923200000000001</v>
      </c>
      <c r="AF1231" s="230">
        <v>3816</v>
      </c>
      <c r="AG1231" s="230">
        <v>513212.51569991995</v>
      </c>
      <c r="AH1231" s="230">
        <v>4486411.6542056482</v>
      </c>
      <c r="AI1231" s="230">
        <v>4647.8999999999996</v>
      </c>
    </row>
    <row r="1232" spans="5:35" x14ac:dyDescent="0.35">
      <c r="E1232" s="226">
        <v>4.1939399999999996</v>
      </c>
      <c r="F1232" s="227">
        <v>20.009490410958904</v>
      </c>
      <c r="G1232" s="227">
        <v>7303.4639999999999</v>
      </c>
      <c r="H1232" s="227">
        <v>0.9859</v>
      </c>
      <c r="I1232" s="227">
        <v>4.8898999999999999</v>
      </c>
      <c r="J1232" s="227">
        <v>0.59405828182861109</v>
      </c>
      <c r="K1232" s="227">
        <v>129.99</v>
      </c>
      <c r="L1232" s="227">
        <v>130.94999999999999</v>
      </c>
      <c r="M1232" s="227">
        <v>127.92</v>
      </c>
      <c r="N1232" s="227">
        <v>90.456999999999994</v>
      </c>
      <c r="O1232" s="227">
        <v>96.956999999999994</v>
      </c>
      <c r="P1232" s="227">
        <v>112.09</v>
      </c>
      <c r="Q1232" s="227">
        <v>104.94</v>
      </c>
      <c r="R1232" s="227">
        <v>109.57</v>
      </c>
      <c r="S1232" s="227"/>
      <c r="T1232" s="227">
        <v>79.5</v>
      </c>
      <c r="U1232" s="227">
        <v>79.5</v>
      </c>
      <c r="V1232" s="227">
        <v>79.5</v>
      </c>
      <c r="W1232" s="227">
        <v>79.5</v>
      </c>
      <c r="X1232" s="227">
        <v>79.5</v>
      </c>
      <c r="Y1232" s="227">
        <v>79.5</v>
      </c>
      <c r="Z1232" s="227">
        <v>79.5</v>
      </c>
      <c r="AA1232" s="227">
        <v>79.5</v>
      </c>
      <c r="AB1232" s="227">
        <v>8.9733000000000001</v>
      </c>
      <c r="AC1232" s="227">
        <v>774.65</v>
      </c>
      <c r="AD1232" s="230">
        <v>1.0385763888888889E-4</v>
      </c>
      <c r="AE1232" s="230">
        <v>53.839799999999997</v>
      </c>
      <c r="AF1232" s="230">
        <v>3816</v>
      </c>
      <c r="AG1232" s="230">
        <v>513266.35549991997</v>
      </c>
      <c r="AH1232" s="230">
        <v>4490227.6542056482</v>
      </c>
      <c r="AI1232" s="230">
        <v>4647.8999999999996</v>
      </c>
    </row>
    <row r="1233" spans="5:35" x14ac:dyDescent="0.35">
      <c r="E1233" s="226">
        <v>4.1980399999999998</v>
      </c>
      <c r="F1233" s="227">
        <v>20.025928767123286</v>
      </c>
      <c r="G1233" s="227">
        <v>7309.4639999999999</v>
      </c>
      <c r="H1233" s="227">
        <v>0.9859</v>
      </c>
      <c r="I1233" s="227">
        <v>4.8940000000000001</v>
      </c>
      <c r="J1233" s="227">
        <v>0.5941205005786111</v>
      </c>
      <c r="K1233" s="227">
        <v>129.97999999999999</v>
      </c>
      <c r="L1233" s="227">
        <v>130.94</v>
      </c>
      <c r="M1233" s="227">
        <v>127.91</v>
      </c>
      <c r="N1233" s="227">
        <v>90.450999999999993</v>
      </c>
      <c r="O1233" s="227">
        <v>96.950999999999993</v>
      </c>
      <c r="P1233" s="227">
        <v>112.08</v>
      </c>
      <c r="Q1233" s="227">
        <v>104.94</v>
      </c>
      <c r="R1233" s="227">
        <v>109.57</v>
      </c>
      <c r="S1233" s="227"/>
      <c r="T1233" s="227">
        <v>79.5</v>
      </c>
      <c r="U1233" s="227">
        <v>79.5</v>
      </c>
      <c r="V1233" s="227">
        <v>79.5</v>
      </c>
      <c r="W1233" s="227">
        <v>79.5</v>
      </c>
      <c r="X1233" s="227">
        <v>79.5</v>
      </c>
      <c r="Y1233" s="227">
        <v>79.5</v>
      </c>
      <c r="Z1233" s="227">
        <v>79.5</v>
      </c>
      <c r="AA1233" s="227">
        <v>79.5</v>
      </c>
      <c r="AB1233" s="227">
        <v>8.9595000000000002</v>
      </c>
      <c r="AC1233" s="227">
        <v>774.65</v>
      </c>
      <c r="AD1233" s="230">
        <v>1.0369791666666667E-4</v>
      </c>
      <c r="AE1233" s="230">
        <v>53.757000000000005</v>
      </c>
      <c r="AF1233" s="230">
        <v>3816</v>
      </c>
      <c r="AG1233" s="230">
        <v>513320.11249991995</v>
      </c>
      <c r="AH1233" s="230">
        <v>4494043.6542056482</v>
      </c>
      <c r="AI1233" s="230">
        <v>4647.8999999999996</v>
      </c>
    </row>
    <row r="1234" spans="5:35" x14ac:dyDescent="0.35">
      <c r="E1234" s="226">
        <v>4.2020399999999993</v>
      </c>
      <c r="F1234" s="227">
        <v>20.042367123287672</v>
      </c>
      <c r="G1234" s="227">
        <v>7315.4639999999999</v>
      </c>
      <c r="H1234" s="227">
        <v>0.9859</v>
      </c>
      <c r="I1234" s="227">
        <v>4.8979999999999997</v>
      </c>
      <c r="J1234" s="227">
        <v>0.59418262349527773</v>
      </c>
      <c r="K1234" s="227">
        <v>129.97</v>
      </c>
      <c r="L1234" s="227">
        <v>130.93</v>
      </c>
      <c r="M1234" s="227">
        <v>127.9</v>
      </c>
      <c r="N1234" s="227">
        <v>90.444999999999993</v>
      </c>
      <c r="O1234" s="227">
        <v>96.945999999999998</v>
      </c>
      <c r="P1234" s="227">
        <v>112.08</v>
      </c>
      <c r="Q1234" s="227">
        <v>104.93</v>
      </c>
      <c r="R1234" s="227">
        <v>109.56</v>
      </c>
      <c r="S1234" s="227"/>
      <c r="T1234" s="227">
        <v>79.5</v>
      </c>
      <c r="U1234" s="227">
        <v>79.5</v>
      </c>
      <c r="V1234" s="227">
        <v>79.5</v>
      </c>
      <c r="W1234" s="227">
        <v>79.5</v>
      </c>
      <c r="X1234" s="227">
        <v>79.5</v>
      </c>
      <c r="Y1234" s="227">
        <v>79.5</v>
      </c>
      <c r="Z1234" s="227">
        <v>79.5</v>
      </c>
      <c r="AA1234" s="227">
        <v>79.5</v>
      </c>
      <c r="AB1234" s="227">
        <v>8.9457000000000004</v>
      </c>
      <c r="AC1234" s="227">
        <v>774.65</v>
      </c>
      <c r="AD1234" s="230">
        <v>1.0353819444444444E-4</v>
      </c>
      <c r="AE1234" s="230">
        <v>53.674199999999999</v>
      </c>
      <c r="AF1234" s="230">
        <v>3816</v>
      </c>
      <c r="AG1234" s="230">
        <v>513373.78669991996</v>
      </c>
      <c r="AH1234" s="230">
        <v>4497859.6542056482</v>
      </c>
      <c r="AI1234" s="230">
        <v>4647.8999999999996</v>
      </c>
    </row>
    <row r="1235" spans="5:35" x14ac:dyDescent="0.35">
      <c r="E1235" s="226">
        <v>4.2060399999999998</v>
      </c>
      <c r="F1235" s="227">
        <v>20.058805479452054</v>
      </c>
      <c r="G1235" s="227">
        <v>7321.4639999999999</v>
      </c>
      <c r="H1235" s="227">
        <v>0.98599999999999999</v>
      </c>
      <c r="I1235" s="227">
        <v>4.9020000000000001</v>
      </c>
      <c r="J1235" s="227">
        <v>0.59424465057861109</v>
      </c>
      <c r="K1235" s="227">
        <v>129.94999999999999</v>
      </c>
      <c r="L1235" s="227">
        <v>130.91999999999999</v>
      </c>
      <c r="M1235" s="227">
        <v>127.88</v>
      </c>
      <c r="N1235" s="227">
        <v>90.438999999999993</v>
      </c>
      <c r="O1235" s="227">
        <v>96.941000000000003</v>
      </c>
      <c r="P1235" s="227">
        <v>112.07</v>
      </c>
      <c r="Q1235" s="227">
        <v>104.93</v>
      </c>
      <c r="R1235" s="227">
        <v>109.56</v>
      </c>
      <c r="S1235" s="227"/>
      <c r="T1235" s="227">
        <v>79.5</v>
      </c>
      <c r="U1235" s="227">
        <v>79.5</v>
      </c>
      <c r="V1235" s="227">
        <v>79.5</v>
      </c>
      <c r="W1235" s="227">
        <v>79.5</v>
      </c>
      <c r="X1235" s="227">
        <v>79.5</v>
      </c>
      <c r="Y1235" s="227">
        <v>79.5</v>
      </c>
      <c r="Z1235" s="227">
        <v>79.5</v>
      </c>
      <c r="AA1235" s="227">
        <v>79.5</v>
      </c>
      <c r="AB1235" s="227">
        <v>8.9319000000000006</v>
      </c>
      <c r="AC1235" s="227">
        <v>774.65</v>
      </c>
      <c r="AD1235" s="230">
        <v>1.0337847222222223E-4</v>
      </c>
      <c r="AE1235" s="230">
        <v>53.5914</v>
      </c>
      <c r="AF1235" s="230">
        <v>3816</v>
      </c>
      <c r="AG1235" s="230">
        <v>513427.37809991994</v>
      </c>
      <c r="AH1235" s="230">
        <v>4501675.6542056482</v>
      </c>
      <c r="AI1235" s="230">
        <v>4647.8999999999996</v>
      </c>
    </row>
    <row r="1236" spans="5:35" x14ac:dyDescent="0.35">
      <c r="E1236" s="226">
        <v>4.2100399999999993</v>
      </c>
      <c r="F1236" s="227">
        <v>20.075243835616437</v>
      </c>
      <c r="G1236" s="227">
        <v>7327.4639999999999</v>
      </c>
      <c r="H1236" s="227">
        <v>0.98599999999999999</v>
      </c>
      <c r="I1236" s="227">
        <v>4.9059999999999997</v>
      </c>
      <c r="J1236" s="227">
        <v>0.59430658391194435</v>
      </c>
      <c r="K1236" s="227">
        <v>129.94</v>
      </c>
      <c r="L1236" s="227">
        <v>130.91</v>
      </c>
      <c r="M1236" s="227">
        <v>127.88</v>
      </c>
      <c r="N1236" s="227">
        <v>90.433000000000007</v>
      </c>
      <c r="O1236" s="227">
        <v>96.936999999999998</v>
      </c>
      <c r="P1236" s="227">
        <v>112.06</v>
      </c>
      <c r="Q1236" s="227">
        <v>104.92</v>
      </c>
      <c r="R1236" s="227">
        <v>109.55</v>
      </c>
      <c r="S1236" s="227"/>
      <c r="T1236" s="227">
        <v>79.5</v>
      </c>
      <c r="U1236" s="227">
        <v>79.5</v>
      </c>
      <c r="V1236" s="227">
        <v>79.5</v>
      </c>
      <c r="W1236" s="227">
        <v>79.5</v>
      </c>
      <c r="X1236" s="227">
        <v>79.5</v>
      </c>
      <c r="Y1236" s="227">
        <v>79.5</v>
      </c>
      <c r="Z1236" s="227">
        <v>79.5</v>
      </c>
      <c r="AA1236" s="227">
        <v>79.5</v>
      </c>
      <c r="AB1236" s="227">
        <v>8.9184000000000001</v>
      </c>
      <c r="AC1236" s="227">
        <v>774.65</v>
      </c>
      <c r="AD1236" s="230">
        <v>1.0322222222222223E-4</v>
      </c>
      <c r="AE1236" s="230">
        <v>53.510400000000004</v>
      </c>
      <c r="AF1236" s="230">
        <v>3816</v>
      </c>
      <c r="AG1236" s="230">
        <v>513480.88849991997</v>
      </c>
      <c r="AH1236" s="230">
        <v>4505491.6542056482</v>
      </c>
      <c r="AI1236" s="230">
        <v>4647.8999999999996</v>
      </c>
    </row>
    <row r="1237" spans="5:35" x14ac:dyDescent="0.35">
      <c r="E1237" s="226">
        <v>4.2140399999999998</v>
      </c>
      <c r="F1237" s="227">
        <v>20.091682191780823</v>
      </c>
      <c r="G1237" s="227">
        <v>7333.4639999999999</v>
      </c>
      <c r="H1237" s="227">
        <v>0.98599999999999999</v>
      </c>
      <c r="I1237" s="227">
        <v>4.91</v>
      </c>
      <c r="J1237" s="227">
        <v>0.59436842002305557</v>
      </c>
      <c r="K1237" s="227">
        <v>129.93</v>
      </c>
      <c r="L1237" s="227">
        <v>130.9</v>
      </c>
      <c r="M1237" s="227">
        <v>127.86</v>
      </c>
      <c r="N1237" s="227">
        <v>90.427000000000007</v>
      </c>
      <c r="O1237" s="227">
        <v>96.93</v>
      </c>
      <c r="P1237" s="227">
        <v>112.05</v>
      </c>
      <c r="Q1237" s="227">
        <v>104.92</v>
      </c>
      <c r="R1237" s="227">
        <v>109.54</v>
      </c>
      <c r="S1237" s="227"/>
      <c r="T1237" s="227">
        <v>79.5</v>
      </c>
      <c r="U1237" s="227">
        <v>79.5</v>
      </c>
      <c r="V1237" s="227">
        <v>79.5</v>
      </c>
      <c r="W1237" s="227">
        <v>79.5</v>
      </c>
      <c r="X1237" s="227">
        <v>79.5</v>
      </c>
      <c r="Y1237" s="227">
        <v>79.5</v>
      </c>
      <c r="Z1237" s="227">
        <v>79.5</v>
      </c>
      <c r="AA1237" s="227">
        <v>79.5</v>
      </c>
      <c r="AB1237" s="227">
        <v>8.9044000000000008</v>
      </c>
      <c r="AC1237" s="227">
        <v>774.65</v>
      </c>
      <c r="AD1237" s="230">
        <v>1.030601851851852E-4</v>
      </c>
      <c r="AE1237" s="230">
        <v>53.426400000000008</v>
      </c>
      <c r="AF1237" s="230">
        <v>3816</v>
      </c>
      <c r="AG1237" s="230">
        <v>513534.31489991996</v>
      </c>
      <c r="AH1237" s="230">
        <v>4509307.6542056482</v>
      </c>
      <c r="AI1237" s="230">
        <v>4647.8999999999996</v>
      </c>
    </row>
    <row r="1238" spans="5:35" x14ac:dyDescent="0.35">
      <c r="E1238" s="226">
        <v>4.2180399999999993</v>
      </c>
      <c r="F1238" s="227">
        <v>20.108120547945205</v>
      </c>
      <c r="G1238" s="227">
        <v>7339.4639999999999</v>
      </c>
      <c r="H1238" s="227">
        <v>0.98599999999999999</v>
      </c>
      <c r="I1238" s="227">
        <v>4.9139999999999997</v>
      </c>
      <c r="J1238" s="227">
        <v>0.59443016168972218</v>
      </c>
      <c r="K1238" s="227">
        <v>129.91999999999999</v>
      </c>
      <c r="L1238" s="227">
        <v>130.88999999999999</v>
      </c>
      <c r="M1238" s="227">
        <v>127.85</v>
      </c>
      <c r="N1238" s="227">
        <v>90.421000000000006</v>
      </c>
      <c r="O1238" s="227">
        <v>96.926000000000002</v>
      </c>
      <c r="P1238" s="227">
        <v>112.05</v>
      </c>
      <c r="Q1238" s="227">
        <v>104.91</v>
      </c>
      <c r="R1238" s="227">
        <v>109.54</v>
      </c>
      <c r="S1238" s="227"/>
      <c r="T1238" s="227">
        <v>79.5</v>
      </c>
      <c r="U1238" s="227">
        <v>79.5</v>
      </c>
      <c r="V1238" s="227">
        <v>79.5</v>
      </c>
      <c r="W1238" s="227">
        <v>79.5</v>
      </c>
      <c r="X1238" s="227">
        <v>79.5</v>
      </c>
      <c r="Y1238" s="227">
        <v>79.5</v>
      </c>
      <c r="Z1238" s="227">
        <v>79.5</v>
      </c>
      <c r="AA1238" s="227">
        <v>79.5</v>
      </c>
      <c r="AB1238" s="227">
        <v>8.8908000000000005</v>
      </c>
      <c r="AC1238" s="227">
        <v>774.65</v>
      </c>
      <c r="AD1238" s="230">
        <v>1.0290277777777778E-4</v>
      </c>
      <c r="AE1238" s="230">
        <v>53.344800000000006</v>
      </c>
      <c r="AF1238" s="230">
        <v>3816</v>
      </c>
      <c r="AG1238" s="230">
        <v>513587.65969991998</v>
      </c>
      <c r="AH1238" s="230">
        <v>4513123.6542056482</v>
      </c>
      <c r="AI1238" s="230">
        <v>4647.8999999999996</v>
      </c>
    </row>
    <row r="1239" spans="5:35" x14ac:dyDescent="0.35">
      <c r="E1239" s="226">
        <v>4.2221399999999996</v>
      </c>
      <c r="F1239" s="227">
        <v>20.124558904109588</v>
      </c>
      <c r="G1239" s="227">
        <v>7345.4639999999999</v>
      </c>
      <c r="H1239" s="227">
        <v>0.98599999999999999</v>
      </c>
      <c r="I1239" s="227">
        <v>4.9180999999999999</v>
      </c>
      <c r="J1239" s="227">
        <v>0.59449180891194442</v>
      </c>
      <c r="K1239" s="227">
        <v>129.91</v>
      </c>
      <c r="L1239" s="227">
        <v>130.88</v>
      </c>
      <c r="M1239" s="227">
        <v>127.84</v>
      </c>
      <c r="N1239" s="227">
        <v>90.415000000000006</v>
      </c>
      <c r="O1239" s="227">
        <v>96.92</v>
      </c>
      <c r="P1239" s="227">
        <v>112.04</v>
      </c>
      <c r="Q1239" s="227">
        <v>104.91</v>
      </c>
      <c r="R1239" s="227">
        <v>109.53</v>
      </c>
      <c r="S1239" s="227"/>
      <c r="T1239" s="227">
        <v>79.5</v>
      </c>
      <c r="U1239" s="227">
        <v>79.5</v>
      </c>
      <c r="V1239" s="227">
        <v>79.5</v>
      </c>
      <c r="W1239" s="227">
        <v>79.5</v>
      </c>
      <c r="X1239" s="227">
        <v>79.5</v>
      </c>
      <c r="Y1239" s="227">
        <v>79.5</v>
      </c>
      <c r="Z1239" s="227">
        <v>79.5</v>
      </c>
      <c r="AA1239" s="227">
        <v>79.5</v>
      </c>
      <c r="AB1239" s="227">
        <v>8.8772000000000002</v>
      </c>
      <c r="AC1239" s="227">
        <v>774.65</v>
      </c>
      <c r="AD1239" s="230">
        <v>1.0274537037037038E-4</v>
      </c>
      <c r="AE1239" s="230">
        <v>53.263200000000005</v>
      </c>
      <c r="AF1239" s="230">
        <v>3816</v>
      </c>
      <c r="AG1239" s="230">
        <v>513640.92289991997</v>
      </c>
      <c r="AH1239" s="230">
        <v>4516939.6542056482</v>
      </c>
      <c r="AI1239" s="230">
        <v>4647.8999999999996</v>
      </c>
    </row>
    <row r="1240" spans="5:35" x14ac:dyDescent="0.35">
      <c r="E1240" s="226">
        <v>4.22614</v>
      </c>
      <c r="F1240" s="227">
        <v>20.140997260273974</v>
      </c>
      <c r="G1240" s="227">
        <v>7351.4639999999999</v>
      </c>
      <c r="H1240" s="227">
        <v>0.98609999999999998</v>
      </c>
      <c r="I1240" s="227">
        <v>4.9221000000000004</v>
      </c>
      <c r="J1240" s="227">
        <v>0.59455336238416656</v>
      </c>
      <c r="K1240" s="227">
        <v>129.9</v>
      </c>
      <c r="L1240" s="227">
        <v>130.87</v>
      </c>
      <c r="M1240" s="227">
        <v>127.83</v>
      </c>
      <c r="N1240" s="227">
        <v>90.409000000000006</v>
      </c>
      <c r="O1240" s="227">
        <v>96.915999999999997</v>
      </c>
      <c r="P1240" s="227">
        <v>112.03</v>
      </c>
      <c r="Q1240" s="227">
        <v>104.91</v>
      </c>
      <c r="R1240" s="227">
        <v>109.53</v>
      </c>
      <c r="S1240" s="227"/>
      <c r="T1240" s="227">
        <v>79.5</v>
      </c>
      <c r="U1240" s="227">
        <v>79.5</v>
      </c>
      <c r="V1240" s="227">
        <v>79.5</v>
      </c>
      <c r="W1240" s="227">
        <v>79.5</v>
      </c>
      <c r="X1240" s="227">
        <v>79.5</v>
      </c>
      <c r="Y1240" s="227">
        <v>79.5</v>
      </c>
      <c r="Z1240" s="227">
        <v>79.5</v>
      </c>
      <c r="AA1240" s="227">
        <v>79.5</v>
      </c>
      <c r="AB1240" s="227">
        <v>8.8636999999999997</v>
      </c>
      <c r="AC1240" s="227">
        <v>774.65</v>
      </c>
      <c r="AD1240" s="230">
        <v>1.0258912037037037E-4</v>
      </c>
      <c r="AE1240" s="230">
        <v>53.182199999999995</v>
      </c>
      <c r="AF1240" s="230">
        <v>3816</v>
      </c>
      <c r="AG1240" s="230">
        <v>513694.10509991995</v>
      </c>
      <c r="AH1240" s="230">
        <v>4520755.6542056482</v>
      </c>
      <c r="AI1240" s="230">
        <v>4647.8999999999996</v>
      </c>
    </row>
    <row r="1241" spans="5:35" x14ac:dyDescent="0.35">
      <c r="E1241" s="226">
        <v>4.2301399999999996</v>
      </c>
      <c r="F1241" s="227">
        <v>20.157435616438356</v>
      </c>
      <c r="G1241" s="227">
        <v>7357.4639999999999</v>
      </c>
      <c r="H1241" s="227">
        <v>0.98609999999999998</v>
      </c>
      <c r="I1241" s="227">
        <v>4.9260999999999999</v>
      </c>
      <c r="J1241" s="227">
        <v>0.59461482071749994</v>
      </c>
      <c r="K1241" s="227">
        <v>129.88</v>
      </c>
      <c r="L1241" s="227">
        <v>130.86000000000001</v>
      </c>
      <c r="M1241" s="227">
        <v>127.82</v>
      </c>
      <c r="N1241" s="227">
        <v>90.403000000000006</v>
      </c>
      <c r="O1241" s="227">
        <v>96.91</v>
      </c>
      <c r="P1241" s="227">
        <v>112.02</v>
      </c>
      <c r="Q1241" s="227">
        <v>104.9</v>
      </c>
      <c r="R1241" s="227">
        <v>109.52</v>
      </c>
      <c r="S1241" s="227"/>
      <c r="T1241" s="227">
        <v>79.5</v>
      </c>
      <c r="U1241" s="227">
        <v>79.5</v>
      </c>
      <c r="V1241" s="227">
        <v>79.5</v>
      </c>
      <c r="W1241" s="227">
        <v>79.5</v>
      </c>
      <c r="X1241" s="227">
        <v>79.5</v>
      </c>
      <c r="Y1241" s="227">
        <v>79.5</v>
      </c>
      <c r="Z1241" s="227">
        <v>79.5</v>
      </c>
      <c r="AA1241" s="227">
        <v>79.5</v>
      </c>
      <c r="AB1241" s="227">
        <v>8.85</v>
      </c>
      <c r="AC1241" s="227">
        <v>774.65</v>
      </c>
      <c r="AD1241" s="230">
        <v>1.0243055555555555E-4</v>
      </c>
      <c r="AE1241" s="230">
        <v>53.099999999999994</v>
      </c>
      <c r="AF1241" s="230">
        <v>3816</v>
      </c>
      <c r="AG1241" s="230">
        <v>513747.20509991993</v>
      </c>
      <c r="AH1241" s="230">
        <v>4524571.6542056482</v>
      </c>
      <c r="AI1241" s="230">
        <v>4647.8999999999996</v>
      </c>
    </row>
    <row r="1242" spans="5:35" x14ac:dyDescent="0.35">
      <c r="E1242" s="226">
        <v>4.23414</v>
      </c>
      <c r="F1242" s="227">
        <v>20.173873972602738</v>
      </c>
      <c r="G1242" s="227">
        <v>7363.4639999999999</v>
      </c>
      <c r="H1242" s="227">
        <v>0.98609999999999998</v>
      </c>
      <c r="I1242" s="227">
        <v>4.9301000000000004</v>
      </c>
      <c r="J1242" s="227">
        <v>0.59467618530083322</v>
      </c>
      <c r="K1242" s="227">
        <v>129.87</v>
      </c>
      <c r="L1242" s="227">
        <v>130.85</v>
      </c>
      <c r="M1242" s="227">
        <v>127.81</v>
      </c>
      <c r="N1242" s="227">
        <v>90.397000000000006</v>
      </c>
      <c r="O1242" s="227">
        <v>96.905000000000001</v>
      </c>
      <c r="P1242" s="227">
        <v>112.02</v>
      </c>
      <c r="Q1242" s="227">
        <v>104.9</v>
      </c>
      <c r="R1242" s="227">
        <v>109.52</v>
      </c>
      <c r="S1242" s="227"/>
      <c r="T1242" s="227">
        <v>79.5</v>
      </c>
      <c r="U1242" s="227">
        <v>79.5</v>
      </c>
      <c r="V1242" s="227">
        <v>79.5</v>
      </c>
      <c r="W1242" s="227">
        <v>79.5</v>
      </c>
      <c r="X1242" s="227">
        <v>79.5</v>
      </c>
      <c r="Y1242" s="227">
        <v>79.5</v>
      </c>
      <c r="Z1242" s="227">
        <v>79.5</v>
      </c>
      <c r="AA1242" s="227">
        <v>79.5</v>
      </c>
      <c r="AB1242" s="227">
        <v>8.8364999999999991</v>
      </c>
      <c r="AC1242" s="227">
        <v>774.65</v>
      </c>
      <c r="AD1242" s="230">
        <v>1.0227430555555555E-4</v>
      </c>
      <c r="AE1242" s="230">
        <v>53.018999999999998</v>
      </c>
      <c r="AF1242" s="230">
        <v>3816</v>
      </c>
      <c r="AG1242" s="230">
        <v>513800.2240999199</v>
      </c>
      <c r="AH1242" s="230">
        <v>4528387.6542056482</v>
      </c>
      <c r="AI1242" s="230">
        <v>4647.8999999999996</v>
      </c>
    </row>
    <row r="1243" spans="5:35" x14ac:dyDescent="0.35">
      <c r="E1243" s="226">
        <v>4.2381399999999996</v>
      </c>
      <c r="F1243" s="227">
        <v>20.190312328767124</v>
      </c>
      <c r="G1243" s="227">
        <v>7369.4639999999999</v>
      </c>
      <c r="H1243" s="227">
        <v>0.98609999999999998</v>
      </c>
      <c r="I1243" s="227">
        <v>4.9340999999999999</v>
      </c>
      <c r="J1243" s="227">
        <v>0.59473745613416662</v>
      </c>
      <c r="K1243" s="227">
        <v>129.86000000000001</v>
      </c>
      <c r="L1243" s="227">
        <v>130.84</v>
      </c>
      <c r="M1243" s="227">
        <v>127.8</v>
      </c>
      <c r="N1243" s="227">
        <v>90.391999999999996</v>
      </c>
      <c r="O1243" s="227">
        <v>96.9</v>
      </c>
      <c r="P1243" s="227">
        <v>112.01</v>
      </c>
      <c r="Q1243" s="227">
        <v>104.89</v>
      </c>
      <c r="R1243" s="227">
        <v>109.51</v>
      </c>
      <c r="S1243" s="227"/>
      <c r="T1243" s="227">
        <v>79.5</v>
      </c>
      <c r="U1243" s="227">
        <v>79.5</v>
      </c>
      <c r="V1243" s="227">
        <v>79.5</v>
      </c>
      <c r="W1243" s="227">
        <v>79.5</v>
      </c>
      <c r="X1243" s="227">
        <v>79.5</v>
      </c>
      <c r="Y1243" s="227">
        <v>79.5</v>
      </c>
      <c r="Z1243" s="227">
        <v>79.5</v>
      </c>
      <c r="AA1243" s="227">
        <v>79.5</v>
      </c>
      <c r="AB1243" s="227">
        <v>8.8230000000000004</v>
      </c>
      <c r="AC1243" s="227">
        <v>774.65</v>
      </c>
      <c r="AD1243" s="230">
        <v>1.0211805555555556E-4</v>
      </c>
      <c r="AE1243" s="230">
        <v>52.938000000000002</v>
      </c>
      <c r="AF1243" s="230">
        <v>3816</v>
      </c>
      <c r="AG1243" s="230">
        <v>513853.16209991992</v>
      </c>
      <c r="AH1243" s="230">
        <v>4532203.6542056482</v>
      </c>
      <c r="AI1243" s="230">
        <v>4647.8999999999996</v>
      </c>
    </row>
    <row r="1244" spans="5:35" x14ac:dyDescent="0.35">
      <c r="E1244" s="226">
        <v>4.24214</v>
      </c>
      <c r="F1244" s="227">
        <v>20.206750684931507</v>
      </c>
      <c r="G1244" s="227">
        <v>7375.4639999999999</v>
      </c>
      <c r="H1244" s="227">
        <v>0.98609999999999998</v>
      </c>
      <c r="I1244" s="227">
        <v>4.9381000000000004</v>
      </c>
      <c r="J1244" s="227">
        <v>0.59479863321749993</v>
      </c>
      <c r="K1244" s="227">
        <v>129.85</v>
      </c>
      <c r="L1244" s="227">
        <v>130.84</v>
      </c>
      <c r="M1244" s="227">
        <v>127.79</v>
      </c>
      <c r="N1244" s="227">
        <v>90.385999999999996</v>
      </c>
      <c r="O1244" s="227">
        <v>96.894000000000005</v>
      </c>
      <c r="P1244" s="227">
        <v>112</v>
      </c>
      <c r="Q1244" s="227">
        <v>104.89</v>
      </c>
      <c r="R1244" s="227">
        <v>109.51</v>
      </c>
      <c r="S1244" s="227"/>
      <c r="T1244" s="227">
        <v>79.5</v>
      </c>
      <c r="U1244" s="227">
        <v>79.5</v>
      </c>
      <c r="V1244" s="227">
        <v>79.5</v>
      </c>
      <c r="W1244" s="227">
        <v>79.5</v>
      </c>
      <c r="X1244" s="227">
        <v>79.5</v>
      </c>
      <c r="Y1244" s="227">
        <v>79.5</v>
      </c>
      <c r="Z1244" s="227">
        <v>79.5</v>
      </c>
      <c r="AA1244" s="227">
        <v>79.5</v>
      </c>
      <c r="AB1244" s="227">
        <v>8.8094999999999999</v>
      </c>
      <c r="AC1244" s="227">
        <v>774.65</v>
      </c>
      <c r="AD1244" s="230">
        <v>1.0196180555555555E-4</v>
      </c>
      <c r="AE1244" s="230">
        <v>52.856999999999999</v>
      </c>
      <c r="AF1244" s="230">
        <v>3816</v>
      </c>
      <c r="AG1244" s="230">
        <v>513906.01909991994</v>
      </c>
      <c r="AH1244" s="230">
        <v>4536019.6542056482</v>
      </c>
      <c r="AI1244" s="230">
        <v>4647.8999999999996</v>
      </c>
    </row>
    <row r="1245" spans="5:35" x14ac:dyDescent="0.35">
      <c r="E1245" s="226">
        <v>4.2462399999999993</v>
      </c>
      <c r="F1245" s="227">
        <v>20.223189041095889</v>
      </c>
      <c r="G1245" s="227">
        <v>7381.4639999999999</v>
      </c>
      <c r="H1245" s="227">
        <v>0.98619999999999997</v>
      </c>
      <c r="I1245" s="227">
        <v>4.9421999999999997</v>
      </c>
      <c r="J1245" s="227">
        <v>0.59485971724527764</v>
      </c>
      <c r="K1245" s="227">
        <v>129.83000000000001</v>
      </c>
      <c r="L1245" s="227">
        <v>130.83000000000001</v>
      </c>
      <c r="M1245" s="227">
        <v>127.78</v>
      </c>
      <c r="N1245" s="227">
        <v>90.38</v>
      </c>
      <c r="O1245" s="227">
        <v>96.89</v>
      </c>
      <c r="P1245" s="227">
        <v>111.99</v>
      </c>
      <c r="Q1245" s="227">
        <v>104.88</v>
      </c>
      <c r="R1245" s="227">
        <v>109.5</v>
      </c>
      <c r="S1245" s="227"/>
      <c r="T1245" s="227">
        <v>79.5</v>
      </c>
      <c r="U1245" s="227">
        <v>79.5</v>
      </c>
      <c r="V1245" s="227">
        <v>79.5</v>
      </c>
      <c r="W1245" s="227">
        <v>79.5</v>
      </c>
      <c r="X1245" s="227">
        <v>79.5</v>
      </c>
      <c r="Y1245" s="227">
        <v>79.5</v>
      </c>
      <c r="Z1245" s="227">
        <v>79.5</v>
      </c>
      <c r="AA1245" s="227">
        <v>79.5</v>
      </c>
      <c r="AB1245" s="227">
        <v>8.7960999999999991</v>
      </c>
      <c r="AC1245" s="227">
        <v>774.65</v>
      </c>
      <c r="AD1245" s="230">
        <v>1.0180671296296295E-4</v>
      </c>
      <c r="AE1245" s="230">
        <v>52.776599999999995</v>
      </c>
      <c r="AF1245" s="230">
        <v>3816</v>
      </c>
      <c r="AG1245" s="230">
        <v>513958.79569991992</v>
      </c>
      <c r="AH1245" s="230">
        <v>4539835.6542056482</v>
      </c>
      <c r="AI1245" s="230">
        <v>4647.8999999999996</v>
      </c>
    </row>
    <row r="1246" spans="5:35" x14ac:dyDescent="0.35">
      <c r="E1246" s="226">
        <v>4.2502399999999998</v>
      </c>
      <c r="F1246" s="227">
        <v>20.239627397260275</v>
      </c>
      <c r="G1246" s="227">
        <v>7387.4639999999999</v>
      </c>
      <c r="H1246" s="227">
        <v>0.98619999999999997</v>
      </c>
      <c r="I1246" s="227">
        <v>4.9462000000000002</v>
      </c>
      <c r="J1246" s="227">
        <v>0.59492070821749987</v>
      </c>
      <c r="K1246" s="227">
        <v>129.82</v>
      </c>
      <c r="L1246" s="227">
        <v>130.82</v>
      </c>
      <c r="M1246" s="227">
        <v>127.77</v>
      </c>
      <c r="N1246" s="227">
        <v>90.373999999999995</v>
      </c>
      <c r="O1246" s="227">
        <v>96.885000000000005</v>
      </c>
      <c r="P1246" s="227">
        <v>111.99</v>
      </c>
      <c r="Q1246" s="227">
        <v>104.88</v>
      </c>
      <c r="R1246" s="227">
        <v>109.5</v>
      </c>
      <c r="S1246" s="227"/>
      <c r="T1246" s="227">
        <v>79.5</v>
      </c>
      <c r="U1246" s="227">
        <v>79.5</v>
      </c>
      <c r="V1246" s="227">
        <v>79.5</v>
      </c>
      <c r="W1246" s="227">
        <v>79.5</v>
      </c>
      <c r="X1246" s="227">
        <v>79.5</v>
      </c>
      <c r="Y1246" s="227">
        <v>79.5</v>
      </c>
      <c r="Z1246" s="227">
        <v>79.5</v>
      </c>
      <c r="AA1246" s="227">
        <v>79.5</v>
      </c>
      <c r="AB1246" s="227">
        <v>8.7827000000000002</v>
      </c>
      <c r="AC1246" s="227">
        <v>774.65</v>
      </c>
      <c r="AD1246" s="230">
        <v>1.0165162037037037E-4</v>
      </c>
      <c r="AE1246" s="230">
        <v>52.696199999999997</v>
      </c>
      <c r="AF1246" s="230">
        <v>3816</v>
      </c>
      <c r="AG1246" s="230">
        <v>514011.49189991993</v>
      </c>
      <c r="AH1246" s="230">
        <v>4543651.6542056482</v>
      </c>
      <c r="AI1246" s="230">
        <v>4647.8999999999996</v>
      </c>
    </row>
    <row r="1247" spans="5:35" x14ac:dyDescent="0.35">
      <c r="E1247" s="226">
        <v>4.2542399999999994</v>
      </c>
      <c r="F1247" s="227">
        <v>20.256065753424657</v>
      </c>
      <c r="G1247" s="227">
        <v>7393.4639999999999</v>
      </c>
      <c r="H1247" s="227">
        <v>0.98619999999999997</v>
      </c>
      <c r="I1247" s="227">
        <v>4.9501999999999997</v>
      </c>
      <c r="J1247" s="227">
        <v>0.59498160752305551</v>
      </c>
      <c r="K1247" s="227">
        <v>129.81</v>
      </c>
      <c r="L1247" s="227">
        <v>130.81</v>
      </c>
      <c r="M1247" s="227">
        <v>127.76</v>
      </c>
      <c r="N1247" s="227">
        <v>90.367999999999995</v>
      </c>
      <c r="O1247" s="227">
        <v>96.88</v>
      </c>
      <c r="P1247" s="227">
        <v>111.98</v>
      </c>
      <c r="Q1247" s="227">
        <v>104.87</v>
      </c>
      <c r="R1247" s="227">
        <v>109.49</v>
      </c>
      <c r="S1247" s="227"/>
      <c r="T1247" s="227">
        <v>79.5</v>
      </c>
      <c r="U1247" s="227">
        <v>79.5</v>
      </c>
      <c r="V1247" s="227">
        <v>79.5</v>
      </c>
      <c r="W1247" s="227">
        <v>79.5</v>
      </c>
      <c r="X1247" s="227">
        <v>79.5</v>
      </c>
      <c r="Y1247" s="227">
        <v>79.5</v>
      </c>
      <c r="Z1247" s="227">
        <v>79.5</v>
      </c>
      <c r="AA1247" s="227">
        <v>79.5</v>
      </c>
      <c r="AB1247" s="227">
        <v>8.7695000000000007</v>
      </c>
      <c r="AC1247" s="227">
        <v>774.65</v>
      </c>
      <c r="AD1247" s="230">
        <v>1.014988425925926E-4</v>
      </c>
      <c r="AE1247" s="230">
        <v>52.617000000000012</v>
      </c>
      <c r="AF1247" s="230">
        <v>3816</v>
      </c>
      <c r="AG1247" s="230">
        <v>514064.10889991996</v>
      </c>
      <c r="AH1247" s="230">
        <v>4547467.6542056482</v>
      </c>
      <c r="AI1247" s="230">
        <v>4647.8999999999996</v>
      </c>
    </row>
    <row r="1248" spans="5:35" x14ac:dyDescent="0.35">
      <c r="E1248" s="226">
        <v>4.2582399999999998</v>
      </c>
      <c r="F1248" s="227">
        <v>20.27250410958904</v>
      </c>
      <c r="G1248" s="227">
        <v>7399.4639999999999</v>
      </c>
      <c r="H1248" s="227">
        <v>0.98619999999999997</v>
      </c>
      <c r="I1248" s="227">
        <v>4.9542000000000002</v>
      </c>
      <c r="J1248" s="227">
        <v>0.59504241238416666</v>
      </c>
      <c r="K1248" s="227">
        <v>129.80000000000001</v>
      </c>
      <c r="L1248" s="227">
        <v>130.80000000000001</v>
      </c>
      <c r="M1248" s="227">
        <v>127.74</v>
      </c>
      <c r="N1248" s="227">
        <v>90.361999999999995</v>
      </c>
      <c r="O1248" s="227">
        <v>96.873999999999995</v>
      </c>
      <c r="P1248" s="227">
        <v>111.97</v>
      </c>
      <c r="Q1248" s="227">
        <v>104.87</v>
      </c>
      <c r="R1248" s="227">
        <v>109.48</v>
      </c>
      <c r="S1248" s="227"/>
      <c r="T1248" s="227">
        <v>79.5</v>
      </c>
      <c r="U1248" s="227">
        <v>79.5</v>
      </c>
      <c r="V1248" s="227">
        <v>79.5</v>
      </c>
      <c r="W1248" s="227">
        <v>79.5</v>
      </c>
      <c r="X1248" s="227">
        <v>79.5</v>
      </c>
      <c r="Y1248" s="227">
        <v>79.5</v>
      </c>
      <c r="Z1248" s="227">
        <v>79.5</v>
      </c>
      <c r="AA1248" s="227">
        <v>79.5</v>
      </c>
      <c r="AB1248" s="227">
        <v>8.7559000000000005</v>
      </c>
      <c r="AC1248" s="227">
        <v>774.65</v>
      </c>
      <c r="AD1248" s="230">
        <v>1.0134143518518519E-4</v>
      </c>
      <c r="AE1248" s="230">
        <v>52.535399999999996</v>
      </c>
      <c r="AF1248" s="230">
        <v>3816</v>
      </c>
      <c r="AG1248" s="230">
        <v>514116.64429991995</v>
      </c>
      <c r="AH1248" s="230">
        <v>4551283.6542056482</v>
      </c>
      <c r="AI1248" s="230">
        <v>4647.8999999999996</v>
      </c>
    </row>
    <row r="1249" spans="5:35" x14ac:dyDescent="0.35">
      <c r="E1249" s="226">
        <v>4.2622399999999994</v>
      </c>
      <c r="F1249" s="227">
        <v>20.288942465753426</v>
      </c>
      <c r="G1249" s="227">
        <v>7405.4639999999999</v>
      </c>
      <c r="H1249" s="227">
        <v>0.98629999999999995</v>
      </c>
      <c r="I1249" s="227">
        <v>4.9581999999999997</v>
      </c>
      <c r="J1249" s="227">
        <v>0.59510312557861111</v>
      </c>
      <c r="K1249" s="227">
        <v>129.79</v>
      </c>
      <c r="L1249" s="227">
        <v>130.79</v>
      </c>
      <c r="M1249" s="227">
        <v>127.73</v>
      </c>
      <c r="N1249" s="227">
        <v>90.355999999999995</v>
      </c>
      <c r="O1249" s="227">
        <v>96.87</v>
      </c>
      <c r="P1249" s="227">
        <v>111.96</v>
      </c>
      <c r="Q1249" s="227">
        <v>104.87</v>
      </c>
      <c r="R1249" s="227">
        <v>109.48</v>
      </c>
      <c r="S1249" s="227"/>
      <c r="T1249" s="227">
        <v>79.5</v>
      </c>
      <c r="U1249" s="227">
        <v>79.5</v>
      </c>
      <c r="V1249" s="227">
        <v>79.5</v>
      </c>
      <c r="W1249" s="227">
        <v>79.5</v>
      </c>
      <c r="X1249" s="227">
        <v>79.5</v>
      </c>
      <c r="Y1249" s="227">
        <v>79.5</v>
      </c>
      <c r="Z1249" s="227">
        <v>79.5</v>
      </c>
      <c r="AA1249" s="227">
        <v>79.5</v>
      </c>
      <c r="AB1249" s="227">
        <v>8.7426999999999992</v>
      </c>
      <c r="AC1249" s="227">
        <v>774.65</v>
      </c>
      <c r="AD1249" s="230">
        <v>1.011886574074074E-4</v>
      </c>
      <c r="AE1249" s="230">
        <v>52.456199999999995</v>
      </c>
      <c r="AF1249" s="230">
        <v>3816</v>
      </c>
      <c r="AG1249" s="230">
        <v>514169.10049991996</v>
      </c>
      <c r="AH1249" s="230">
        <v>4555099.6542056482</v>
      </c>
      <c r="AI1249" s="230">
        <v>4647.8999999999996</v>
      </c>
    </row>
    <row r="1250" spans="5:35" x14ac:dyDescent="0.35">
      <c r="E1250" s="226">
        <v>4.2662399999999998</v>
      </c>
      <c r="F1250" s="227">
        <v>20.305380821917808</v>
      </c>
      <c r="G1250" s="227">
        <v>7411.4639999999999</v>
      </c>
      <c r="H1250" s="227">
        <v>0.98629999999999995</v>
      </c>
      <c r="I1250" s="227">
        <v>4.9622000000000002</v>
      </c>
      <c r="J1250" s="227">
        <v>0.59516374710638886</v>
      </c>
      <c r="K1250" s="227">
        <v>129.78</v>
      </c>
      <c r="L1250" s="227">
        <v>130.78</v>
      </c>
      <c r="M1250" s="227">
        <v>127.72</v>
      </c>
      <c r="N1250" s="227">
        <v>90.350999999999999</v>
      </c>
      <c r="O1250" s="227">
        <v>96.864000000000004</v>
      </c>
      <c r="P1250" s="227">
        <v>111.95</v>
      </c>
      <c r="Q1250" s="227">
        <v>104.86</v>
      </c>
      <c r="R1250" s="227">
        <v>109.47</v>
      </c>
      <c r="S1250" s="227"/>
      <c r="T1250" s="227">
        <v>79.5</v>
      </c>
      <c r="U1250" s="227">
        <v>79.5</v>
      </c>
      <c r="V1250" s="227">
        <v>79.5</v>
      </c>
      <c r="W1250" s="227">
        <v>79.5</v>
      </c>
      <c r="X1250" s="227">
        <v>79.5</v>
      </c>
      <c r="Y1250" s="227">
        <v>79.5</v>
      </c>
      <c r="Z1250" s="227">
        <v>79.5</v>
      </c>
      <c r="AA1250" s="227">
        <v>79.5</v>
      </c>
      <c r="AB1250" s="227">
        <v>8.7294999999999998</v>
      </c>
      <c r="AC1250" s="227">
        <v>774.65</v>
      </c>
      <c r="AD1250" s="230">
        <v>1.0103587962962963E-4</v>
      </c>
      <c r="AE1250" s="230">
        <v>52.377000000000002</v>
      </c>
      <c r="AF1250" s="230">
        <v>3816</v>
      </c>
      <c r="AG1250" s="230">
        <v>514221.47749991994</v>
      </c>
      <c r="AH1250" s="230">
        <v>4558915.6542056482</v>
      </c>
      <c r="AI1250" s="230">
        <v>4647.8999999999996</v>
      </c>
    </row>
    <row r="1251" spans="5:35" x14ac:dyDescent="0.35">
      <c r="E1251" s="226">
        <v>4.27034</v>
      </c>
      <c r="F1251" s="227">
        <v>20.32181917808219</v>
      </c>
      <c r="G1251" s="227">
        <v>7417.4639999999999</v>
      </c>
      <c r="H1251" s="227">
        <v>0.98629999999999995</v>
      </c>
      <c r="I1251" s="227">
        <v>4.9663000000000004</v>
      </c>
      <c r="J1251" s="227">
        <v>0.59522427627305541</v>
      </c>
      <c r="K1251" s="227">
        <v>129.76</v>
      </c>
      <c r="L1251" s="227">
        <v>130.77000000000001</v>
      </c>
      <c r="M1251" s="227">
        <v>127.71</v>
      </c>
      <c r="N1251" s="227">
        <v>90.344999999999999</v>
      </c>
      <c r="O1251" s="227">
        <v>96.858999999999995</v>
      </c>
      <c r="P1251" s="227">
        <v>111.95</v>
      </c>
      <c r="Q1251" s="227">
        <v>104.86</v>
      </c>
      <c r="R1251" s="227">
        <v>109.47</v>
      </c>
      <c r="S1251" s="227"/>
      <c r="T1251" s="227">
        <v>79.5</v>
      </c>
      <c r="U1251" s="227">
        <v>79.5</v>
      </c>
      <c r="V1251" s="227">
        <v>79.5</v>
      </c>
      <c r="W1251" s="227">
        <v>79.5</v>
      </c>
      <c r="X1251" s="227">
        <v>79.5</v>
      </c>
      <c r="Y1251" s="227">
        <v>79.5</v>
      </c>
      <c r="Z1251" s="227">
        <v>79.5</v>
      </c>
      <c r="AA1251" s="227">
        <v>79.5</v>
      </c>
      <c r="AB1251" s="227">
        <v>8.7162000000000006</v>
      </c>
      <c r="AC1251" s="227">
        <v>774.65</v>
      </c>
      <c r="AD1251" s="230">
        <v>1.0088194444444446E-4</v>
      </c>
      <c r="AE1251" s="230">
        <v>52.297200000000004</v>
      </c>
      <c r="AF1251" s="230">
        <v>3816</v>
      </c>
      <c r="AG1251" s="230">
        <v>514273.77469991992</v>
      </c>
      <c r="AH1251" s="230">
        <v>4562731.6542056482</v>
      </c>
      <c r="AI1251" s="230">
        <v>4647.8999999999996</v>
      </c>
    </row>
    <row r="1252" spans="5:35" x14ac:dyDescent="0.35">
      <c r="E1252" s="226">
        <v>4.2743399999999996</v>
      </c>
      <c r="F1252" s="227">
        <v>20.338257534246576</v>
      </c>
      <c r="G1252" s="227">
        <v>7423.4639999999999</v>
      </c>
      <c r="H1252" s="227">
        <v>0.98629999999999995</v>
      </c>
      <c r="I1252" s="227">
        <v>4.9702999999999999</v>
      </c>
      <c r="J1252" s="227">
        <v>0.59528471377305547</v>
      </c>
      <c r="K1252" s="227">
        <v>129.75</v>
      </c>
      <c r="L1252" s="227">
        <v>130.76</v>
      </c>
      <c r="M1252" s="227">
        <v>127.7</v>
      </c>
      <c r="N1252" s="227">
        <v>90.338999999999999</v>
      </c>
      <c r="O1252" s="227">
        <v>96.853999999999999</v>
      </c>
      <c r="P1252" s="227">
        <v>111.94</v>
      </c>
      <c r="Q1252" s="227">
        <v>104.85</v>
      </c>
      <c r="R1252" s="227">
        <v>109.46</v>
      </c>
      <c r="S1252" s="227"/>
      <c r="T1252" s="227">
        <v>79.5</v>
      </c>
      <c r="U1252" s="227">
        <v>79.5</v>
      </c>
      <c r="V1252" s="227">
        <v>79.5</v>
      </c>
      <c r="W1252" s="227">
        <v>79.5</v>
      </c>
      <c r="X1252" s="227">
        <v>79.5</v>
      </c>
      <c r="Y1252" s="227">
        <v>79.5</v>
      </c>
      <c r="Z1252" s="227">
        <v>79.5</v>
      </c>
      <c r="AA1252" s="227">
        <v>79.5</v>
      </c>
      <c r="AB1252" s="227">
        <v>8.7029999999999994</v>
      </c>
      <c r="AC1252" s="227">
        <v>774.65</v>
      </c>
      <c r="AD1252" s="230">
        <v>1.0072916666666666E-4</v>
      </c>
      <c r="AE1252" s="230">
        <v>52.217999999999996</v>
      </c>
      <c r="AF1252" s="230">
        <v>3816</v>
      </c>
      <c r="AG1252" s="230">
        <v>514325.99269991991</v>
      </c>
      <c r="AH1252" s="230">
        <v>4566547.6542056482</v>
      </c>
      <c r="AI1252" s="230">
        <v>4647.8999999999996</v>
      </c>
    </row>
    <row r="1253" spans="5:35" x14ac:dyDescent="0.35">
      <c r="E1253" s="226">
        <v>4.27834</v>
      </c>
      <c r="F1253" s="227">
        <v>20.354695890410959</v>
      </c>
      <c r="G1253" s="227">
        <v>7429.4639999999999</v>
      </c>
      <c r="H1253" s="227">
        <v>0.98629999999999995</v>
      </c>
      <c r="I1253" s="227">
        <v>4.9743000000000004</v>
      </c>
      <c r="J1253" s="227">
        <v>0.59534506099527773</v>
      </c>
      <c r="K1253" s="227">
        <v>129.74</v>
      </c>
      <c r="L1253" s="227">
        <v>130.75</v>
      </c>
      <c r="M1253" s="227">
        <v>127.69</v>
      </c>
      <c r="N1253" s="227">
        <v>90.332999999999998</v>
      </c>
      <c r="O1253" s="227">
        <v>96.85</v>
      </c>
      <c r="P1253" s="227">
        <v>111.93</v>
      </c>
      <c r="Q1253" s="227">
        <v>104.85</v>
      </c>
      <c r="R1253" s="227">
        <v>109.46</v>
      </c>
      <c r="S1253" s="227"/>
      <c r="T1253" s="227">
        <v>79.5</v>
      </c>
      <c r="U1253" s="227">
        <v>79.5</v>
      </c>
      <c r="V1253" s="227">
        <v>79.5</v>
      </c>
      <c r="W1253" s="227">
        <v>79.5</v>
      </c>
      <c r="X1253" s="227">
        <v>79.5</v>
      </c>
      <c r="Y1253" s="227">
        <v>79.5</v>
      </c>
      <c r="Z1253" s="227">
        <v>79.5</v>
      </c>
      <c r="AA1253" s="227">
        <v>79.5</v>
      </c>
      <c r="AB1253" s="227">
        <v>8.69</v>
      </c>
      <c r="AC1253" s="227">
        <v>774.65</v>
      </c>
      <c r="AD1253" s="230">
        <v>1.0057870370370369E-4</v>
      </c>
      <c r="AE1253" s="230">
        <v>52.139999999999993</v>
      </c>
      <c r="AF1253" s="230">
        <v>3816</v>
      </c>
      <c r="AG1253" s="230">
        <v>514378.13269991992</v>
      </c>
      <c r="AH1253" s="230">
        <v>4570363.6542056482</v>
      </c>
      <c r="AI1253" s="230">
        <v>4647.8999999999996</v>
      </c>
    </row>
    <row r="1254" spans="5:35" x14ac:dyDescent="0.35">
      <c r="E1254" s="226">
        <v>4.2823399999999996</v>
      </c>
      <c r="F1254" s="227">
        <v>20.371134246575341</v>
      </c>
      <c r="G1254" s="227">
        <v>7435.4639999999999</v>
      </c>
      <c r="H1254" s="227">
        <v>0.98640000000000005</v>
      </c>
      <c r="I1254" s="227">
        <v>4.9782999999999999</v>
      </c>
      <c r="J1254" s="227">
        <v>0.59540531655083317</v>
      </c>
      <c r="K1254" s="227">
        <v>129.72999999999999</v>
      </c>
      <c r="L1254" s="227">
        <v>130.74</v>
      </c>
      <c r="M1254" s="227">
        <v>127.68</v>
      </c>
      <c r="N1254" s="227">
        <v>90.328000000000003</v>
      </c>
      <c r="O1254" s="227">
        <v>96.843999999999994</v>
      </c>
      <c r="P1254" s="227">
        <v>111.92</v>
      </c>
      <c r="Q1254" s="227">
        <v>104.84</v>
      </c>
      <c r="R1254" s="227">
        <v>109.45</v>
      </c>
      <c r="S1254" s="227"/>
      <c r="T1254" s="227">
        <v>79.5</v>
      </c>
      <c r="U1254" s="227">
        <v>79.5</v>
      </c>
      <c r="V1254" s="227">
        <v>79.5</v>
      </c>
      <c r="W1254" s="227">
        <v>79.5</v>
      </c>
      <c r="X1254" s="227">
        <v>79.5</v>
      </c>
      <c r="Y1254" s="227">
        <v>79.5</v>
      </c>
      <c r="Z1254" s="227">
        <v>79.5</v>
      </c>
      <c r="AA1254" s="227">
        <v>79.5</v>
      </c>
      <c r="AB1254" s="227">
        <v>8.6768000000000001</v>
      </c>
      <c r="AC1254" s="227">
        <v>774.65</v>
      </c>
      <c r="AD1254" s="230">
        <v>1.0042592592592593E-4</v>
      </c>
      <c r="AE1254" s="230">
        <v>52.060800000000008</v>
      </c>
      <c r="AF1254" s="230">
        <v>3816</v>
      </c>
      <c r="AG1254" s="230">
        <v>514430.1934999199</v>
      </c>
      <c r="AH1254" s="230">
        <v>4574179.6542056482</v>
      </c>
      <c r="AI1254" s="230">
        <v>4647.8999999999996</v>
      </c>
    </row>
    <row r="1255" spans="5:35" x14ac:dyDescent="0.35">
      <c r="E1255" s="226">
        <v>4.28634</v>
      </c>
      <c r="F1255" s="227">
        <v>20.387572602739727</v>
      </c>
      <c r="G1255" s="227">
        <v>7441.4639999999999</v>
      </c>
      <c r="H1255" s="227">
        <v>0.98640000000000005</v>
      </c>
      <c r="I1255" s="227">
        <v>4.9823000000000004</v>
      </c>
      <c r="J1255" s="227">
        <v>0.59546548043972214</v>
      </c>
      <c r="K1255" s="227">
        <v>129.72</v>
      </c>
      <c r="L1255" s="227">
        <v>130.74</v>
      </c>
      <c r="M1255" s="227">
        <v>127.67</v>
      </c>
      <c r="N1255" s="227">
        <v>90.322000000000003</v>
      </c>
      <c r="O1255" s="227">
        <v>96.838999999999999</v>
      </c>
      <c r="P1255" s="227">
        <v>111.92</v>
      </c>
      <c r="Q1255" s="227">
        <v>104.84</v>
      </c>
      <c r="R1255" s="227">
        <v>109.45</v>
      </c>
      <c r="S1255" s="227"/>
      <c r="T1255" s="227">
        <v>79.5</v>
      </c>
      <c r="U1255" s="227">
        <v>79.5</v>
      </c>
      <c r="V1255" s="227">
        <v>79.5</v>
      </c>
      <c r="W1255" s="227">
        <v>79.5</v>
      </c>
      <c r="X1255" s="227">
        <v>79.5</v>
      </c>
      <c r="Y1255" s="227">
        <v>79.5</v>
      </c>
      <c r="Z1255" s="227">
        <v>79.5</v>
      </c>
      <c r="AA1255" s="227">
        <v>79.5</v>
      </c>
      <c r="AB1255" s="227">
        <v>8.6636000000000006</v>
      </c>
      <c r="AC1255" s="227">
        <v>774.65</v>
      </c>
      <c r="AD1255" s="230">
        <v>1.0027314814814816E-4</v>
      </c>
      <c r="AE1255" s="230">
        <v>51.981600000000007</v>
      </c>
      <c r="AF1255" s="230">
        <v>3816</v>
      </c>
      <c r="AG1255" s="230">
        <v>514482.1750999199</v>
      </c>
      <c r="AH1255" s="230">
        <v>4577995.6542056482</v>
      </c>
      <c r="AI1255" s="230">
        <v>4647.8999999999996</v>
      </c>
    </row>
    <row r="1256" spans="5:35" x14ac:dyDescent="0.35">
      <c r="E1256" s="226">
        <v>4.2904399999999994</v>
      </c>
      <c r="F1256" s="227">
        <v>20.404010958904109</v>
      </c>
      <c r="G1256" s="227">
        <v>7447.4639999999999</v>
      </c>
      <c r="H1256" s="227">
        <v>0.98640000000000005</v>
      </c>
      <c r="I1256" s="227">
        <v>4.9863999999999997</v>
      </c>
      <c r="J1256" s="227">
        <v>0.59552555335638879</v>
      </c>
      <c r="K1256" s="227">
        <v>129.69999999999999</v>
      </c>
      <c r="L1256" s="227">
        <v>130.72999999999999</v>
      </c>
      <c r="M1256" s="227">
        <v>127.66</v>
      </c>
      <c r="N1256" s="227">
        <v>90.316000000000003</v>
      </c>
      <c r="O1256" s="227">
        <v>96.834000000000003</v>
      </c>
      <c r="P1256" s="227">
        <v>111.91</v>
      </c>
      <c r="Q1256" s="227">
        <v>104.84</v>
      </c>
      <c r="R1256" s="227">
        <v>109.44</v>
      </c>
      <c r="S1256" s="227"/>
      <c r="T1256" s="227">
        <v>79.5</v>
      </c>
      <c r="U1256" s="227">
        <v>79.5</v>
      </c>
      <c r="V1256" s="227">
        <v>79.5</v>
      </c>
      <c r="W1256" s="227">
        <v>79.5</v>
      </c>
      <c r="X1256" s="227">
        <v>79.5</v>
      </c>
      <c r="Y1256" s="227">
        <v>79.5</v>
      </c>
      <c r="Z1256" s="227">
        <v>79.5</v>
      </c>
      <c r="AA1256" s="227">
        <v>79.5</v>
      </c>
      <c r="AB1256" s="227">
        <v>8.6504999999999992</v>
      </c>
      <c r="AC1256" s="227">
        <v>774.65</v>
      </c>
      <c r="AD1256" s="230">
        <v>1.0012152777777777E-4</v>
      </c>
      <c r="AE1256" s="230">
        <v>51.902999999999999</v>
      </c>
      <c r="AF1256" s="230">
        <v>3816</v>
      </c>
      <c r="AG1256" s="230">
        <v>514534.07809991989</v>
      </c>
      <c r="AH1256" s="230">
        <v>4581811.6542056482</v>
      </c>
      <c r="AI1256" s="230">
        <v>4647.8999999999996</v>
      </c>
    </row>
    <row r="1257" spans="5:35" x14ac:dyDescent="0.35">
      <c r="E1257" s="226">
        <v>4.2944399999999998</v>
      </c>
      <c r="F1257" s="227">
        <v>20.420449315068492</v>
      </c>
      <c r="G1257" s="227">
        <v>7453.4639999999999</v>
      </c>
      <c r="H1257" s="227">
        <v>0.98640000000000005</v>
      </c>
      <c r="I1257" s="227">
        <v>4.9904000000000002</v>
      </c>
      <c r="J1257" s="227">
        <v>0.59558553599527764</v>
      </c>
      <c r="K1257" s="227">
        <v>129.69</v>
      </c>
      <c r="L1257" s="227">
        <v>130.72</v>
      </c>
      <c r="M1257" s="227">
        <v>127.65</v>
      </c>
      <c r="N1257" s="227">
        <v>90.31</v>
      </c>
      <c r="O1257" s="227">
        <v>96.828999999999994</v>
      </c>
      <c r="P1257" s="227">
        <v>111.9</v>
      </c>
      <c r="Q1257" s="227">
        <v>104.83</v>
      </c>
      <c r="R1257" s="227">
        <v>109.44</v>
      </c>
      <c r="S1257" s="227"/>
      <c r="T1257" s="227">
        <v>79.5</v>
      </c>
      <c r="U1257" s="227">
        <v>79.5</v>
      </c>
      <c r="V1257" s="227">
        <v>79.5</v>
      </c>
      <c r="W1257" s="227">
        <v>79.5</v>
      </c>
      <c r="X1257" s="227">
        <v>79.5</v>
      </c>
      <c r="Y1257" s="227">
        <v>79.5</v>
      </c>
      <c r="Z1257" s="227">
        <v>79.5</v>
      </c>
      <c r="AA1257" s="227">
        <v>79.5</v>
      </c>
      <c r="AB1257" s="227">
        <v>8.6374999999999993</v>
      </c>
      <c r="AC1257" s="227">
        <v>774.65</v>
      </c>
      <c r="AD1257" s="230">
        <v>9.9971064814814806E-5</v>
      </c>
      <c r="AE1257" s="230">
        <v>51.825000000000003</v>
      </c>
      <c r="AF1257" s="230">
        <v>3816</v>
      </c>
      <c r="AG1257" s="230">
        <v>514585.9030999199</v>
      </c>
      <c r="AH1257" s="230">
        <v>4585627.6542056482</v>
      </c>
      <c r="AI1257" s="230">
        <v>4647.8999999999996</v>
      </c>
    </row>
    <row r="1258" spans="5:35" x14ac:dyDescent="0.35">
      <c r="E1258" s="226">
        <v>4.2984399999999994</v>
      </c>
      <c r="F1258" s="227">
        <v>20.436887671232878</v>
      </c>
      <c r="G1258" s="227">
        <v>7459.4639999999999</v>
      </c>
      <c r="H1258" s="227">
        <v>0.98640000000000005</v>
      </c>
      <c r="I1258" s="227">
        <v>4.9943999999999997</v>
      </c>
      <c r="J1258" s="227">
        <v>0.59564542835638878</v>
      </c>
      <c r="K1258" s="227">
        <v>129.68</v>
      </c>
      <c r="L1258" s="227">
        <v>130.71</v>
      </c>
      <c r="M1258" s="227">
        <v>127.64</v>
      </c>
      <c r="N1258" s="227">
        <v>90.304000000000002</v>
      </c>
      <c r="O1258" s="227">
        <v>96.823999999999998</v>
      </c>
      <c r="P1258" s="227">
        <v>111.9</v>
      </c>
      <c r="Q1258" s="227">
        <v>104.83</v>
      </c>
      <c r="R1258" s="227">
        <v>109.43</v>
      </c>
      <c r="S1258" s="227"/>
      <c r="T1258" s="227">
        <v>79.5</v>
      </c>
      <c r="U1258" s="227">
        <v>79.5</v>
      </c>
      <c r="V1258" s="227">
        <v>79.5</v>
      </c>
      <c r="W1258" s="227">
        <v>79.5</v>
      </c>
      <c r="X1258" s="227">
        <v>79.5</v>
      </c>
      <c r="Y1258" s="227">
        <v>79.5</v>
      </c>
      <c r="Z1258" s="227">
        <v>79.5</v>
      </c>
      <c r="AA1258" s="227">
        <v>79.5</v>
      </c>
      <c r="AB1258" s="227">
        <v>8.6244999999999994</v>
      </c>
      <c r="AC1258" s="227">
        <v>774.65</v>
      </c>
      <c r="AD1258" s="230">
        <v>9.9820601851851847E-5</v>
      </c>
      <c r="AE1258" s="230">
        <v>51.746999999999993</v>
      </c>
      <c r="AF1258" s="230">
        <v>3816</v>
      </c>
      <c r="AG1258" s="230">
        <v>514637.65009991988</v>
      </c>
      <c r="AH1258" s="230">
        <v>4589443.6542056482</v>
      </c>
      <c r="AI1258" s="230">
        <v>4647.8999999999996</v>
      </c>
    </row>
    <row r="1259" spans="5:35" x14ac:dyDescent="0.35">
      <c r="E1259" s="226">
        <v>4.3024399999999998</v>
      </c>
      <c r="F1259" s="227">
        <v>20.45332602739726</v>
      </c>
      <c r="G1259" s="227">
        <v>7465.4639999999999</v>
      </c>
      <c r="H1259" s="227">
        <v>0.98650000000000004</v>
      </c>
      <c r="I1259" s="227">
        <v>4.9984000000000002</v>
      </c>
      <c r="J1259" s="227">
        <v>0.59570523113416651</v>
      </c>
      <c r="K1259" s="227">
        <v>129.66999999999999</v>
      </c>
      <c r="L1259" s="227">
        <v>130.69999999999999</v>
      </c>
      <c r="M1259" s="227">
        <v>127.63</v>
      </c>
      <c r="N1259" s="227">
        <v>90.299000000000007</v>
      </c>
      <c r="O1259" s="227">
        <v>96.82</v>
      </c>
      <c r="P1259" s="227">
        <v>111.89</v>
      </c>
      <c r="Q1259" s="227">
        <v>104.82</v>
      </c>
      <c r="R1259" s="227">
        <v>109.43</v>
      </c>
      <c r="S1259" s="227"/>
      <c r="T1259" s="227">
        <v>79.5</v>
      </c>
      <c r="U1259" s="227">
        <v>79.5</v>
      </c>
      <c r="V1259" s="227">
        <v>79.5</v>
      </c>
      <c r="W1259" s="227">
        <v>79.5</v>
      </c>
      <c r="X1259" s="227">
        <v>79.5</v>
      </c>
      <c r="Y1259" s="227">
        <v>79.5</v>
      </c>
      <c r="Z1259" s="227">
        <v>79.5</v>
      </c>
      <c r="AA1259" s="227">
        <v>79.5</v>
      </c>
      <c r="AB1259" s="227">
        <v>8.6115999999999993</v>
      </c>
      <c r="AC1259" s="227">
        <v>774.65</v>
      </c>
      <c r="AD1259" s="230">
        <v>9.9671296296296284E-5</v>
      </c>
      <c r="AE1259" s="230">
        <v>51.669599999999996</v>
      </c>
      <c r="AF1259" s="230">
        <v>3816</v>
      </c>
      <c r="AG1259" s="230">
        <v>514689.3196999199</v>
      </c>
      <c r="AH1259" s="230">
        <v>4593259.6542056482</v>
      </c>
      <c r="AI1259" s="230">
        <v>4647.8999999999996</v>
      </c>
    </row>
    <row r="1260" spans="5:35" x14ac:dyDescent="0.35">
      <c r="E1260" s="226">
        <v>4.3040399999999996</v>
      </c>
      <c r="F1260" s="227">
        <v>20.459852054794521</v>
      </c>
      <c r="G1260" s="227">
        <v>7467.8459999999995</v>
      </c>
      <c r="H1260" s="227">
        <v>0.98650000000000004</v>
      </c>
      <c r="I1260" s="227">
        <v>5</v>
      </c>
      <c r="J1260" s="227">
        <v>0.5957289615334721</v>
      </c>
      <c r="K1260" s="227">
        <v>129.66999999999999</v>
      </c>
      <c r="L1260" s="227">
        <v>130.69999999999999</v>
      </c>
      <c r="M1260" s="227">
        <v>127.63</v>
      </c>
      <c r="N1260" s="227">
        <v>90.299000000000007</v>
      </c>
      <c r="O1260" s="227">
        <v>96.82</v>
      </c>
      <c r="P1260" s="227">
        <v>111.89</v>
      </c>
      <c r="Q1260" s="227">
        <v>104.82</v>
      </c>
      <c r="R1260" s="227">
        <v>109.43</v>
      </c>
      <c r="S1260" s="227"/>
      <c r="T1260" s="227">
        <v>79.5</v>
      </c>
      <c r="U1260" s="227">
        <v>79.5</v>
      </c>
      <c r="V1260" s="227">
        <v>79.5</v>
      </c>
      <c r="W1260" s="227">
        <v>79.5</v>
      </c>
      <c r="X1260" s="227">
        <v>79.5</v>
      </c>
      <c r="Y1260" s="227">
        <v>79.5</v>
      </c>
      <c r="Z1260" s="227">
        <v>79.5</v>
      </c>
      <c r="AA1260" s="227">
        <v>79.5</v>
      </c>
      <c r="AB1260" s="227">
        <v>8.6074999999999999</v>
      </c>
      <c r="AC1260" s="227">
        <v>774.65</v>
      </c>
      <c r="AD1260" s="230">
        <v>9.9623842592592586E-5</v>
      </c>
      <c r="AE1260" s="230">
        <v>20.503064999996617</v>
      </c>
      <c r="AF1260" s="230">
        <v>1514.9519999997501</v>
      </c>
      <c r="AG1260" s="230">
        <v>514709.8227649199</v>
      </c>
      <c r="AH1260" s="230">
        <v>4594774.6062056478</v>
      </c>
      <c r="AI1260" s="230">
        <v>1845.2162999996956</v>
      </c>
    </row>
  </sheetData>
  <mergeCells count="1">
    <mergeCell ref="A1:J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view="pageBreakPreview" topLeftCell="A55" zoomScale="60" zoomScaleNormal="70" workbookViewId="0">
      <selection activeCell="X22" sqref="X22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57"/>
  <sheetViews>
    <sheetView workbookViewId="0">
      <selection activeCell="E4" sqref="E4"/>
    </sheetView>
  </sheetViews>
  <sheetFormatPr defaultRowHeight="14.5" x14ac:dyDescent="0.35"/>
  <cols>
    <col min="2" max="2" width="11" bestFit="1" customWidth="1"/>
    <col min="3" max="3" width="10.81640625" customWidth="1"/>
    <col min="4" max="4" width="7.6328125" customWidth="1"/>
    <col min="5" max="5" width="13.08984375" customWidth="1"/>
    <col min="6" max="6" width="12" bestFit="1" customWidth="1"/>
    <col min="7" max="8" width="15.6328125" bestFit="1" customWidth="1"/>
    <col min="9" max="9" width="6" bestFit="1" customWidth="1"/>
    <col min="10" max="10" width="15.6328125" bestFit="1" customWidth="1"/>
    <col min="11" max="11" width="16.26953125" bestFit="1" customWidth="1"/>
    <col min="16" max="16" width="14.6328125" bestFit="1" customWidth="1"/>
  </cols>
  <sheetData>
    <row r="1" spans="1:16" ht="18" x14ac:dyDescent="0.4">
      <c r="A1" s="287" t="s">
        <v>396</v>
      </c>
      <c r="B1" s="287"/>
      <c r="C1" s="287"/>
      <c r="D1" s="287"/>
      <c r="E1" s="287"/>
      <c r="F1" s="287"/>
      <c r="G1" s="287"/>
      <c r="H1" s="287"/>
      <c r="I1" s="287"/>
    </row>
    <row r="2" spans="1:16" ht="18" x14ac:dyDescent="0.4">
      <c r="A2" s="217"/>
      <c r="B2" s="217"/>
      <c r="C2" s="217"/>
      <c r="D2" s="217"/>
      <c r="E2" s="217"/>
      <c r="F2" s="217"/>
      <c r="G2" s="217"/>
      <c r="H2" s="217"/>
      <c r="I2" s="217"/>
    </row>
    <row r="3" spans="1:16" ht="18" x14ac:dyDescent="0.4">
      <c r="A3" s="2" t="s">
        <v>490</v>
      </c>
      <c r="B3" s="7">
        <v>0.03</v>
      </c>
      <c r="C3" s="210"/>
      <c r="D3" s="216" t="s">
        <v>358</v>
      </c>
      <c r="E3" s="231">
        <f>H4*(H5-H6)/H6</f>
        <v>1.5032437749119847E-2</v>
      </c>
      <c r="F3" s="210"/>
      <c r="G3" s="216" t="s">
        <v>437</v>
      </c>
      <c r="H3" s="249">
        <f>($E$6/($E$6-1))</f>
        <v>5.635055534763076</v>
      </c>
      <c r="I3" s="210"/>
    </row>
    <row r="4" spans="1:16" x14ac:dyDescent="0.35">
      <c r="A4" s="2" t="s">
        <v>490</v>
      </c>
      <c r="B4" s="7">
        <v>0.1</v>
      </c>
      <c r="D4" s="216" t="s">
        <v>357</v>
      </c>
      <c r="E4" s="249">
        <f>('Appendix K'!$I$30/('Appendix K'!$C$27*1000))</f>
        <v>10.999286570237974</v>
      </c>
      <c r="G4" s="216" t="s">
        <v>409</v>
      </c>
      <c r="H4" s="231">
        <f>(('Appendix K'!C5/'Appendix K'!C27)+('Appendix K'!C6/'Appendix K'!C27)+('Appendix K'!C7/'Appendix K'!C27)+('Appendix K'!C8/'Appendix K'!C27)+('Appendix K'!C9/'Appendix K'!C27)+('Appendix K'!C10/'Appendix K'!C27)+('Appendix K'!C11/'Appendix K'!C27)+('Appendix K'!C12/'Appendix K'!C27)+('Appendix K'!C13/'Appendix K'!C27)+('Appendix K'!C14/'Appendix K'!C27)+('Appendix K'!C15/'Appendix K'!C27)+('Appendix K'!C16/'Appendix K'!C27)+('Appendix K'!C17/'Appendix K'!C27)+('Appendix K'!C18/'Appendix K'!C27))/14</f>
        <v>7.1428571428571425E-2</v>
      </c>
    </row>
    <row r="5" spans="1:16" x14ac:dyDescent="0.35">
      <c r="A5" s="2" t="s">
        <v>361</v>
      </c>
      <c r="B5" s="7">
        <v>0.3</v>
      </c>
      <c r="D5" s="216" t="s">
        <v>363</v>
      </c>
      <c r="E5" s="213">
        <f>($E$7-$E$4)/($E$7^$E$6)</f>
        <v>0.33766121321260534</v>
      </c>
      <c r="G5" s="216" t="s">
        <v>436</v>
      </c>
      <c r="H5" s="249">
        <f>C35</f>
        <v>0.56522202854553338</v>
      </c>
    </row>
    <row r="6" spans="1:16" x14ac:dyDescent="0.35">
      <c r="D6" s="216" t="s">
        <v>359</v>
      </c>
      <c r="E6" s="215">
        <f>(1/2)-((B3-E3)/(B5^2))+((((((B3-E3)/(B5^2))-(1/2))^2)+((2*B3)/(B5^2)))^(1/2))</f>
        <v>1.2157471453146496</v>
      </c>
      <c r="G6" s="216" t="s">
        <v>395</v>
      </c>
      <c r="H6" s="249">
        <f>F35</f>
        <v>0.46695039096748986</v>
      </c>
    </row>
    <row r="7" spans="1:16" x14ac:dyDescent="0.35">
      <c r="D7" s="216" t="s">
        <v>393</v>
      </c>
      <c r="E7" s="5">
        <f>($E$6/($E$6-1))*$E$4</f>
        <v>61.981590666064669</v>
      </c>
      <c r="G7" s="180"/>
    </row>
    <row r="8" spans="1:16" x14ac:dyDescent="0.35">
      <c r="C8" s="189"/>
      <c r="D8" s="216" t="s">
        <v>368</v>
      </c>
      <c r="E8" s="5">
        <f>E7/H6</f>
        <v>132.73699276199977</v>
      </c>
      <c r="H8" s="248"/>
    </row>
    <row r="11" spans="1:16" ht="15" thickBot="1" x14ac:dyDescent="0.4">
      <c r="A11" s="194" t="s">
        <v>108</v>
      </c>
      <c r="B11" s="194" t="s">
        <v>366</v>
      </c>
      <c r="C11" s="194" t="s">
        <v>33</v>
      </c>
      <c r="D11" s="194" t="s">
        <v>360</v>
      </c>
      <c r="E11" s="194" t="s">
        <v>377</v>
      </c>
      <c r="F11" s="194" t="s">
        <v>394</v>
      </c>
      <c r="G11" s="194" t="s">
        <v>438</v>
      </c>
      <c r="H11" s="194" t="s">
        <v>444</v>
      </c>
      <c r="I11" s="194"/>
      <c r="P11" s="248"/>
    </row>
    <row r="12" spans="1:16" ht="15" thickBot="1" x14ac:dyDescent="0.4">
      <c r="A12" s="69">
        <v>1</v>
      </c>
      <c r="B12" s="70">
        <f>'Appendix P'!B27</f>
        <v>56</v>
      </c>
      <c r="C12" s="70">
        <f>B12*$H$6</f>
        <v>26.149221894179433</v>
      </c>
      <c r="D12" s="70">
        <f t="shared" ref="D12:D31" si="0">$E$5*(C12^$E$6)</f>
        <v>17.854702992347235</v>
      </c>
      <c r="E12" s="193">
        <f>D12*'Appendix K'!$C$27*1000</f>
        <v>54533264.622713037</v>
      </c>
      <c r="F12" s="70">
        <f t="shared" ref="F12:F31" si="1">C12-D12-$E$4</f>
        <v>-2.7047676684057755</v>
      </c>
      <c r="G12" s="253">
        <f>'Appendix K'!$C$5*1000*C12+E12</f>
        <v>75063439.239628762</v>
      </c>
      <c r="H12" s="214">
        <f t="shared" ref="H12:H31" si="2">G12/((1+$B$4)^(A12-1))</f>
        <v>75063439.239628762</v>
      </c>
      <c r="I12" s="70"/>
      <c r="J12" s="248"/>
      <c r="K12" s="248"/>
      <c r="P12" s="248"/>
    </row>
    <row r="13" spans="1:16" x14ac:dyDescent="0.35">
      <c r="A13" s="69">
        <v>2</v>
      </c>
      <c r="B13" s="70">
        <f>'Appendix P'!C27</f>
        <v>61.196516072822838</v>
      </c>
      <c r="C13" s="70">
        <f t="shared" ref="C13:C31" si="3">B13*$H$6</f>
        <v>28.575737106052902</v>
      </c>
      <c r="D13" s="70">
        <f t="shared" si="0"/>
        <v>19.888677698595174</v>
      </c>
      <c r="E13" s="193">
        <f>D13*'Appendix K'!$C$27*1000</f>
        <v>60745593.158184357</v>
      </c>
      <c r="F13" s="70">
        <f t="shared" si="1"/>
        <v>-2.3122271627802462</v>
      </c>
      <c r="G13" s="253">
        <f>'Appendix K'!$C$5*1000*C13+E13</f>
        <v>83180863.888933331</v>
      </c>
      <c r="H13" s="63">
        <f t="shared" si="2"/>
        <v>75618967.171757564</v>
      </c>
      <c r="I13" s="70"/>
      <c r="J13" s="248"/>
      <c r="K13" s="248"/>
    </row>
    <row r="14" spans="1:16" x14ac:dyDescent="0.35">
      <c r="A14" s="69">
        <v>3</v>
      </c>
      <c r="B14" s="70">
        <f>'Appendix P'!D27</f>
        <v>66.831010434857063</v>
      </c>
      <c r="C14" s="70">
        <f t="shared" si="3"/>
        <v>31.206766451308901</v>
      </c>
      <c r="D14" s="70">
        <f t="shared" si="0"/>
        <v>22.136545785644763</v>
      </c>
      <c r="E14" s="193">
        <f>D14*'Appendix K'!$C$27*1000</f>
        <v>67611211.997129366</v>
      </c>
      <c r="F14" s="70">
        <f t="shared" si="1"/>
        <v>-1.9290659045738359</v>
      </c>
      <c r="G14" s="253">
        <f>'Appendix K'!$C$5*1000*C14+E14</f>
        <v>92112146.176638871</v>
      </c>
      <c r="H14" s="63">
        <f t="shared" si="2"/>
        <v>76125740.641850293</v>
      </c>
      <c r="I14" s="70"/>
      <c r="J14" s="248"/>
      <c r="K14" s="248"/>
    </row>
    <row r="15" spans="1:16" x14ac:dyDescent="0.35">
      <c r="A15" s="69">
        <v>4</v>
      </c>
      <c r="B15" s="70">
        <f>'Appendix P'!E27</f>
        <v>71.972486449528972</v>
      </c>
      <c r="C15" s="70">
        <f t="shared" si="3"/>
        <v>33.60758068650992</v>
      </c>
      <c r="D15" s="70">
        <f t="shared" si="0"/>
        <v>24.223835338569781</v>
      </c>
      <c r="E15" s="193">
        <f>D15*'Appendix K'!$C$27*1000</f>
        <v>73986379.009578243</v>
      </c>
      <c r="F15" s="70">
        <f t="shared" si="1"/>
        <v>-1.6155412222978356</v>
      </c>
      <c r="G15" s="253">
        <f>'Appendix K'!$C$5*1000*C15+E15</f>
        <v>100372231.05283593</v>
      </c>
      <c r="H15" s="63">
        <f t="shared" si="2"/>
        <v>75411142.789508566</v>
      </c>
      <c r="I15" s="70"/>
      <c r="J15" s="248"/>
      <c r="K15" s="248"/>
    </row>
    <row r="16" spans="1:16" x14ac:dyDescent="0.35">
      <c r="A16" s="69">
        <v>5</v>
      </c>
      <c r="B16" s="70">
        <f>'Appendix P'!F27</f>
        <v>79.884351919255778</v>
      </c>
      <c r="C16" s="70">
        <f t="shared" si="3"/>
        <v>37.302029360881036</v>
      </c>
      <c r="D16" s="70">
        <f t="shared" si="0"/>
        <v>27.498590107635824</v>
      </c>
      <c r="E16" s="193">
        <f>D16*'Appendix K'!$C$27*1000</f>
        <v>83988397.439821139</v>
      </c>
      <c r="F16" s="70">
        <f t="shared" si="1"/>
        <v>-1.1958473169927615</v>
      </c>
      <c r="G16" s="253">
        <f>'Appendix K'!$C$5*1000*C16+E16</f>
        <v>113274820.54806162</v>
      </c>
      <c r="H16" s="63">
        <f t="shared" si="2"/>
        <v>77368226.588389859</v>
      </c>
      <c r="I16" s="70"/>
      <c r="J16" s="248"/>
      <c r="K16" s="248"/>
    </row>
    <row r="17" spans="1:14" x14ac:dyDescent="0.35">
      <c r="A17" s="69">
        <v>6</v>
      </c>
      <c r="B17" s="70">
        <f>'Appendix P'!G27</f>
        <v>86.636422532315805</v>
      </c>
      <c r="C17" s="70">
        <f t="shared" si="3"/>
        <v>40.454911373489516</v>
      </c>
      <c r="D17" s="70">
        <f t="shared" si="0"/>
        <v>30.349524509024242</v>
      </c>
      <c r="E17" s="193">
        <f>D17*'Appendix K'!$C$27*1000</f>
        <v>92695949.741281852</v>
      </c>
      <c r="F17" s="70">
        <f t="shared" si="1"/>
        <v>-0.89389970577270006</v>
      </c>
      <c r="G17" s="253">
        <f>'Appendix K'!$C$5*1000*C17+E17</f>
        <v>124457751.21937712</v>
      </c>
      <c r="H17" s="63">
        <f t="shared" si="2"/>
        <v>77278471.552102789</v>
      </c>
      <c r="I17" s="70"/>
      <c r="J17" s="248"/>
      <c r="K17" s="248"/>
    </row>
    <row r="18" spans="1:14" x14ac:dyDescent="0.35">
      <c r="A18" s="69">
        <v>7</v>
      </c>
      <c r="B18" s="70">
        <f>'Appendix P'!H27</f>
        <v>94.074272659554239</v>
      </c>
      <c r="C18" s="70">
        <f t="shared" si="3"/>
        <v>43.928018398361097</v>
      </c>
      <c r="D18" s="70">
        <f t="shared" si="0"/>
        <v>33.545911936940314</v>
      </c>
      <c r="E18" s="193">
        <f>D18*'Appendix K'!$C$27*1000</f>
        <v>102458612.35840696</v>
      </c>
      <c r="F18" s="70">
        <f t="shared" si="1"/>
        <v>-0.6171801088171911</v>
      </c>
      <c r="G18" s="253">
        <f>'Appendix K'!$C$5*1000*C18+E18</f>
        <v>136947206.0130496</v>
      </c>
      <c r="H18" s="63">
        <f t="shared" si="2"/>
        <v>77303127.588070378</v>
      </c>
      <c r="I18" s="70"/>
      <c r="J18" s="248"/>
      <c r="K18" s="248"/>
    </row>
    <row r="19" spans="1:14" x14ac:dyDescent="0.35">
      <c r="A19" s="69">
        <v>8</v>
      </c>
      <c r="B19" s="70">
        <f>'Appendix P'!I27</f>
        <v>103.01252412737128</v>
      </c>
      <c r="C19" s="70">
        <f t="shared" si="3"/>
        <v>48.101738415824002</v>
      </c>
      <c r="D19" s="70">
        <f t="shared" si="0"/>
        <v>37.459617057473686</v>
      </c>
      <c r="E19" s="193">
        <f>D19*'Appendix K'!$C$27*1000</f>
        <v>114412164.15284404</v>
      </c>
      <c r="F19" s="70">
        <f t="shared" si="1"/>
        <v>-0.35716521188765782</v>
      </c>
      <c r="G19" s="253">
        <f>'Appendix K'!$C$5*1000*C19+E19</f>
        <v>152177612.5111329</v>
      </c>
      <c r="H19" s="63">
        <f t="shared" si="2"/>
        <v>78091177.27305457</v>
      </c>
      <c r="I19" s="70"/>
      <c r="J19" s="248"/>
      <c r="K19" s="248"/>
    </row>
    <row r="20" spans="1:14" x14ac:dyDescent="0.35">
      <c r="A20" s="69">
        <v>9</v>
      </c>
      <c r="B20" s="70">
        <f>'Appendix P'!J27</f>
        <v>113.7126851599198</v>
      </c>
      <c r="C20" s="70">
        <f t="shared" si="3"/>
        <v>53.098182793387636</v>
      </c>
      <c r="D20" s="70">
        <f t="shared" si="0"/>
        <v>42.241744608552921</v>
      </c>
      <c r="E20" s="193">
        <f>D20*'Appendix K'!$C$27*1000</f>
        <v>129018121.32358761</v>
      </c>
      <c r="F20" s="70">
        <f t="shared" si="1"/>
        <v>-0.1428483854032585</v>
      </c>
      <c r="G20" s="253">
        <f>'Appendix K'!$C$5*1000*C20+E20</f>
        <v>170706358.51093608</v>
      </c>
      <c r="H20" s="63">
        <f t="shared" si="2"/>
        <v>79635776.094080284</v>
      </c>
      <c r="I20" s="70"/>
      <c r="J20" s="248"/>
      <c r="K20" s="248"/>
    </row>
    <row r="21" spans="1:14" x14ac:dyDescent="0.35">
      <c r="A21" s="69">
        <v>10</v>
      </c>
      <c r="B21" s="70">
        <f>'Appendix P'!K27</f>
        <v>122.03547701536776</v>
      </c>
      <c r="C21" s="70">
        <f t="shared" si="3"/>
        <v>56.984513704230096</v>
      </c>
      <c r="D21" s="70">
        <f t="shared" si="0"/>
        <v>46.029637053609832</v>
      </c>
      <c r="E21" s="193">
        <f>D21*'Appendix K'!$C$27*1000</f>
        <v>140587405.9628897</v>
      </c>
      <c r="F21" s="70">
        <f t="shared" si="1"/>
        <v>-4.4409919617709903E-2</v>
      </c>
      <c r="G21" s="253">
        <f>'Appendix K'!$C$5*1000*C21+E21</f>
        <v>185326864.04474872</v>
      </c>
      <c r="H21" s="63">
        <f t="shared" si="2"/>
        <v>78596681.66181919</v>
      </c>
      <c r="I21" s="70"/>
      <c r="J21" s="248"/>
      <c r="K21" s="248"/>
    </row>
    <row r="22" spans="1:14" x14ac:dyDescent="0.35">
      <c r="A22" s="69">
        <v>11</v>
      </c>
      <c r="B22" s="70">
        <f>'Appendix P'!L27</f>
        <v>128.44169466660355</v>
      </c>
      <c r="C22" s="70">
        <f t="shared" si="3"/>
        <v>59.975899541097483</v>
      </c>
      <c r="D22" s="70">
        <f t="shared" si="0"/>
        <v>48.983674396485277</v>
      </c>
      <c r="E22" s="193">
        <f>D22*'Appendix K'!$C$27*1000</f>
        <v>149609863.5301452</v>
      </c>
      <c r="F22" s="70">
        <f t="shared" si="1"/>
        <v>-7.0614256257677255E-3</v>
      </c>
      <c r="G22" s="253">
        <f>'Appendix K'!$C$5*1000*C22+E22</f>
        <v>196697906.73725131</v>
      </c>
      <c r="H22" s="63">
        <f t="shared" si="2"/>
        <v>75835557.987383068</v>
      </c>
      <c r="I22" s="70"/>
      <c r="J22" s="248"/>
      <c r="K22" s="248"/>
      <c r="L22" s="137"/>
    </row>
    <row r="23" spans="1:14" x14ac:dyDescent="0.35">
      <c r="A23" s="69">
        <v>12</v>
      </c>
      <c r="B23" s="70">
        <f>'Appendix P'!M27</f>
        <v>137.89727893451308</v>
      </c>
      <c r="C23" s="70">
        <f t="shared" si="3"/>
        <v>64.391188311823882</v>
      </c>
      <c r="D23" s="70">
        <f t="shared" si="0"/>
        <v>53.401905906136953</v>
      </c>
      <c r="E23" s="193">
        <f>D23*'Appendix K'!$C$27*1000</f>
        <v>163104380.25123063</v>
      </c>
      <c r="F23" s="70">
        <f t="shared" si="1"/>
        <v>-1.0004164551045136E-2</v>
      </c>
      <c r="G23" s="253">
        <f>'Appendix K'!$C$5*1000*C23+E23</f>
        <v>213658937.67485717</v>
      </c>
      <c r="H23" s="63">
        <f t="shared" si="2"/>
        <v>74886154.224712431</v>
      </c>
      <c r="I23" s="70"/>
      <c r="J23" s="248"/>
      <c r="K23" s="248"/>
      <c r="L23" s="137"/>
    </row>
    <row r="24" spans="1:14" x14ac:dyDescent="0.35">
      <c r="A24" s="69">
        <v>13</v>
      </c>
      <c r="B24" s="70">
        <f>'Appendix P'!N27</f>
        <v>145.03564439810842</v>
      </c>
      <c r="C24" s="70">
        <f t="shared" si="3"/>
        <v>67.724450855918562</v>
      </c>
      <c r="D24" s="70">
        <f t="shared" si="0"/>
        <v>56.781228237990483</v>
      </c>
      <c r="E24" s="193">
        <f>D24*'Appendix K'!$C$27*1000</f>
        <v>173425777.31100807</v>
      </c>
      <c r="F24" s="70">
        <f t="shared" si="1"/>
        <v>-5.6063952309894916E-2</v>
      </c>
      <c r="G24" s="253">
        <f>'Appendix K'!$C$5*1000*C24+E24</f>
        <v>226597332.76047343</v>
      </c>
      <c r="H24" s="63">
        <f t="shared" si="2"/>
        <v>72200893.428455412</v>
      </c>
      <c r="I24" s="70"/>
      <c r="J24" s="248"/>
      <c r="K24" s="248"/>
    </row>
    <row r="25" spans="1:14" x14ac:dyDescent="0.35">
      <c r="A25" s="69">
        <v>14</v>
      </c>
      <c r="B25" s="70">
        <f>'Appendix P'!O27</f>
        <v>150.23729047919267</v>
      </c>
      <c r="C25" s="70">
        <f t="shared" si="3"/>
        <v>70.153361527155354</v>
      </c>
      <c r="D25" s="70">
        <f t="shared" si="0"/>
        <v>59.266509929412003</v>
      </c>
      <c r="E25" s="193">
        <f>D25*'Appendix K'!$C$27*1000</f>
        <v>181016523.80499142</v>
      </c>
      <c r="F25" s="70">
        <f t="shared" si="1"/>
        <v>-0.11243497249462209</v>
      </c>
      <c r="G25" s="253">
        <f>'Appendix K'!$C$5*1000*C25+E25</f>
        <v>236095056.08195776</v>
      </c>
      <c r="H25" s="63">
        <f t="shared" si="2"/>
        <v>68388327.978878811</v>
      </c>
      <c r="I25" s="70"/>
      <c r="J25" s="248"/>
      <c r="K25" s="248"/>
      <c r="L25" s="139">
        <f>E7</f>
        <v>61.981590666064669</v>
      </c>
      <c r="M25" s="137">
        <v>1</v>
      </c>
    </row>
    <row r="26" spans="1:14" x14ac:dyDescent="0.35">
      <c r="A26" s="69">
        <v>15</v>
      </c>
      <c r="B26" s="70">
        <f>'Appendix P'!P27</f>
        <v>159.58019726951781</v>
      </c>
      <c r="C26" s="70">
        <f t="shared" si="3"/>
        <v>74.516035505670501</v>
      </c>
      <c r="D26" s="70">
        <f t="shared" si="0"/>
        <v>63.776907159546397</v>
      </c>
      <c r="E26" s="193">
        <f>D26*'Appendix K'!$C$27*1000</f>
        <v>194792540.4550525</v>
      </c>
      <c r="F26" s="70">
        <f t="shared" si="1"/>
        <v>-0.26015822411386935</v>
      </c>
      <c r="G26" s="253">
        <f>'Appendix K'!$C$5*1000*C26+E26</f>
        <v>253296278.22907138</v>
      </c>
      <c r="H26" s="63">
        <f t="shared" si="2"/>
        <v>66700826.657123126</v>
      </c>
      <c r="I26" s="70"/>
      <c r="J26" s="248"/>
      <c r="K26" s="248"/>
      <c r="L26" s="139">
        <f>L25</f>
        <v>61.981590666064669</v>
      </c>
      <c r="M26" s="137">
        <v>21</v>
      </c>
    </row>
    <row r="27" spans="1:14" x14ac:dyDescent="0.35">
      <c r="A27" s="69">
        <v>16</v>
      </c>
      <c r="B27" s="70">
        <f>'Appendix P'!Q27</f>
        <v>166.32769000841441</v>
      </c>
      <c r="C27" s="70">
        <f t="shared" si="3"/>
        <v>77.66677987814856</v>
      </c>
      <c r="D27" s="70">
        <f t="shared" si="0"/>
        <v>67.070160516103968</v>
      </c>
      <c r="E27" s="193">
        <f>D27*'Appendix K'!$C$27*1000</f>
        <v>204851058.75355163</v>
      </c>
      <c r="F27" s="70">
        <f t="shared" si="1"/>
        <v>-0.40266720819338175</v>
      </c>
      <c r="G27" s="253">
        <f>'Appendix K'!$C$5*1000*C27+E27</f>
        <v>265828496.60178334</v>
      </c>
      <c r="H27" s="63">
        <f t="shared" si="2"/>
        <v>63637228.5822246</v>
      </c>
      <c r="I27" s="70"/>
      <c r="J27" s="248"/>
      <c r="K27" s="248"/>
    </row>
    <row r="28" spans="1:14" x14ac:dyDescent="0.35">
      <c r="A28" s="69">
        <v>17</v>
      </c>
      <c r="B28" s="70">
        <f>'Appendix P'!R27</f>
        <v>174.7878199733816</v>
      </c>
      <c r="C28" s="70">
        <f t="shared" si="3"/>
        <v>81.617240872925777</v>
      </c>
      <c r="D28" s="70">
        <f t="shared" si="0"/>
        <v>71.240108947237076</v>
      </c>
      <c r="E28" s="193">
        <f>D28*'Appendix K'!$C$27*1000</f>
        <v>217587249.40066102</v>
      </c>
      <c r="F28" s="70">
        <f t="shared" si="1"/>
        <v>-0.62215464454927272</v>
      </c>
      <c r="G28" s="253">
        <f>'Appendix K'!$C$5*1000*C28+E28</f>
        <v>281666257.70358163</v>
      </c>
      <c r="H28" s="63">
        <f t="shared" si="2"/>
        <v>61298784.245275736</v>
      </c>
      <c r="I28" s="70"/>
      <c r="J28" s="248"/>
      <c r="K28" s="248"/>
      <c r="L28" s="137"/>
      <c r="M28" s="137"/>
      <c r="N28" s="137"/>
    </row>
    <row r="29" spans="1:14" x14ac:dyDescent="0.35">
      <c r="A29" s="69">
        <v>18</v>
      </c>
      <c r="B29" s="70">
        <f>'Appendix P'!S27</f>
        <v>179.84282867651311</v>
      </c>
      <c r="C29" s="70">
        <f t="shared" si="3"/>
        <v>83.977679163197095</v>
      </c>
      <c r="D29" s="70">
        <f t="shared" si="0"/>
        <v>73.752697014718379</v>
      </c>
      <c r="E29" s="193">
        <f>D29*'Appendix K'!$C$27*1000</f>
        <v>225261397.21653661</v>
      </c>
      <c r="F29" s="70">
        <f t="shared" si="1"/>
        <v>-0.77430442175925762</v>
      </c>
      <c r="G29" s="253">
        <f>'Appendix K'!$C$5*1000*C29+E29</f>
        <v>291193623.57955217</v>
      </c>
      <c r="H29" s="63">
        <f t="shared" si="2"/>
        <v>57611106.042927049</v>
      </c>
      <c r="I29" s="70"/>
      <c r="J29" s="248"/>
      <c r="K29" s="248"/>
      <c r="L29" s="137"/>
      <c r="M29" s="137"/>
      <c r="N29" s="137"/>
    </row>
    <row r="30" spans="1:14" x14ac:dyDescent="0.35">
      <c r="A30" s="69">
        <v>19</v>
      </c>
      <c r="B30" s="70">
        <f>'Appendix P'!T27</f>
        <v>183.94834782062969</v>
      </c>
      <c r="C30" s="70">
        <f t="shared" si="3"/>
        <v>85.894752932666847</v>
      </c>
      <c r="D30" s="70">
        <f t="shared" si="0"/>
        <v>75.804605504233805</v>
      </c>
      <c r="E30" s="193">
        <f>D30*'Appendix K'!$C$27*1000</f>
        <v>231528500.54994389</v>
      </c>
      <c r="F30" s="70">
        <f t="shared" si="1"/>
        <v>-0.90913914180493194</v>
      </c>
      <c r="G30" s="253">
        <f>'Appendix K'!$C$5*1000*C30+E30</f>
        <v>298965852.3579917</v>
      </c>
      <c r="H30" s="63">
        <f t="shared" si="2"/>
        <v>53771636.429285012</v>
      </c>
      <c r="I30" s="70"/>
      <c r="J30" s="248"/>
      <c r="K30" s="248"/>
      <c r="L30" s="137"/>
      <c r="M30" s="137"/>
      <c r="N30" s="137"/>
    </row>
    <row r="31" spans="1:14" x14ac:dyDescent="0.35">
      <c r="A31" s="69">
        <v>20</v>
      </c>
      <c r="B31" s="70">
        <f>'Appendix P'!U27</f>
        <v>187.03213593949997</v>
      </c>
      <c r="C31" s="70">
        <f t="shared" si="3"/>
        <v>87.334729000434223</v>
      </c>
      <c r="D31" s="70">
        <f t="shared" si="0"/>
        <v>77.352383845087232</v>
      </c>
      <c r="E31" s="193">
        <f>D31*'Appendix K'!$C$27*1000</f>
        <v>236255849.1860562</v>
      </c>
      <c r="F31" s="70">
        <f t="shared" si="1"/>
        <v>-1.016941414890983</v>
      </c>
      <c r="G31" s="253">
        <f>'Appendix K'!$C$5*1000*C31+E31</f>
        <v>304823749.36128211</v>
      </c>
      <c r="H31" s="63">
        <f t="shared" si="2"/>
        <v>49841118.814281479</v>
      </c>
      <c r="I31" s="70"/>
      <c r="J31" s="248"/>
      <c r="K31" s="248"/>
      <c r="L31" s="137"/>
      <c r="M31" s="137"/>
      <c r="N31" s="137"/>
    </row>
    <row r="32" spans="1:14" x14ac:dyDescent="0.35">
      <c r="A32" s="250"/>
      <c r="B32" s="137"/>
      <c r="C32" s="251"/>
      <c r="D32" s="251"/>
      <c r="E32" s="252"/>
      <c r="F32" s="251"/>
      <c r="G32" s="193"/>
      <c r="H32" s="70"/>
      <c r="I32" s="70"/>
      <c r="J32" s="70"/>
    </row>
    <row r="33" spans="1:8" x14ac:dyDescent="0.35">
      <c r="A33" s="137" t="s">
        <v>434</v>
      </c>
      <c r="B33" s="137">
        <f>'Appendix K'!AI83</f>
        <v>18.222021270406891</v>
      </c>
      <c r="C33" s="137"/>
      <c r="D33" s="137"/>
      <c r="E33" s="137"/>
      <c r="F33" s="137"/>
      <c r="H33" s="190"/>
    </row>
    <row r="34" spans="1:8" x14ac:dyDescent="0.35">
      <c r="A34" s="258"/>
      <c r="B34" s="258"/>
      <c r="C34" s="258" t="s">
        <v>436</v>
      </c>
      <c r="D34" s="258"/>
      <c r="E34" s="258"/>
      <c r="F34" s="258" t="s">
        <v>435</v>
      </c>
      <c r="G34" s="258"/>
    </row>
    <row r="35" spans="1:8" x14ac:dyDescent="0.35">
      <c r="A35" s="258"/>
      <c r="B35" s="258"/>
      <c r="C35" s="258">
        <f>AVERAGE(B36:D36)</f>
        <v>0.56522202854553338</v>
      </c>
      <c r="D35" s="258"/>
      <c r="E35" s="258"/>
      <c r="F35" s="258">
        <f>AVERAGE(F37:F39)</f>
        <v>0.46695039096748986</v>
      </c>
      <c r="G35" s="258"/>
    </row>
    <row r="36" spans="1:8" x14ac:dyDescent="0.35">
      <c r="A36" s="258"/>
      <c r="B36" s="258">
        <f>AVERAGE(B37:B51)</f>
        <v>0.5732599272634249</v>
      </c>
      <c r="C36" s="258">
        <f>AVERAGE(C37:C50)</f>
        <v>0.55409179927865515</v>
      </c>
      <c r="D36" s="258">
        <f>AVERAGE(D37:D48)</f>
        <v>0.56831435909451999</v>
      </c>
      <c r="E36" s="258"/>
      <c r="F36" s="258"/>
      <c r="G36" s="258"/>
    </row>
    <row r="37" spans="1:8" x14ac:dyDescent="0.35">
      <c r="A37" s="258"/>
      <c r="B37" s="258">
        <f>('Appendix K'!G5-'Appendix K'!$F61)/'Appendix K'!G5</f>
        <v>0.8749427631696618</v>
      </c>
      <c r="C37" s="258">
        <f>('Appendix K'!H5-'Appendix K'!$F61)/'Appendix K'!H5</f>
        <v>0.8749427631696618</v>
      </c>
      <c r="D37" s="258">
        <f>('Appendix K'!I5-'Appendix K'!$F61)/'Appendix K'!I5</f>
        <v>0.8749427631696618</v>
      </c>
      <c r="E37" s="258"/>
      <c r="F37" s="258">
        <f>('Appendix K'!H27-'Appendix K'!F55)/'Appendix K'!H27</f>
        <v>0.4720208607533195</v>
      </c>
      <c r="G37" s="258"/>
    </row>
    <row r="38" spans="1:8" x14ac:dyDescent="0.35">
      <c r="A38" s="258"/>
      <c r="B38" s="258">
        <f>('Appendix K'!G6-'Appendix K'!$F62)/'Appendix K'!G6</f>
        <v>0.77683289181792725</v>
      </c>
      <c r="C38" s="258">
        <f>('Appendix K'!H6-'Appendix K'!$F62)/'Appendix K'!H6</f>
        <v>0.76937623426530433</v>
      </c>
      <c r="D38" s="258">
        <f>('Appendix K'!I6-'Appendix K'!$F62)/'Appendix K'!I6</f>
        <v>0.76315843665971206</v>
      </c>
      <c r="E38" s="258"/>
      <c r="F38" s="258">
        <f>('Appendix K'!G27-'Appendix K'!F55)/'Appendix K'!G27</f>
        <v>0.52137809623376619</v>
      </c>
      <c r="G38" s="258"/>
    </row>
    <row r="39" spans="1:8" x14ac:dyDescent="0.35">
      <c r="A39" s="258"/>
      <c r="B39" s="258">
        <f>('Appendix K'!G7-'Appendix K'!$F63)/'Appendix K'!G7</f>
        <v>0.65624762858953956</v>
      </c>
      <c r="C39" s="258">
        <f>('Appendix K'!H7-'Appendix K'!$F63)/'Appendix K'!H7</f>
        <v>0.63466676222296359</v>
      </c>
      <c r="D39" s="258">
        <f>('Appendix K'!I7-'Appendix K'!$F63)/'Appendix K'!I7</f>
        <v>0.61571079233830606</v>
      </c>
      <c r="E39" s="258"/>
      <c r="F39" s="258">
        <f>('Appendix K'!I27-'Appendix K'!F55)/'Appendix K'!I27</f>
        <v>0.40745221591538372</v>
      </c>
      <c r="G39" s="258"/>
    </row>
    <row r="40" spans="1:8" x14ac:dyDescent="0.35">
      <c r="A40" s="258"/>
      <c r="B40" s="258">
        <f>('Appendix K'!G8-'Appendix K'!$F64)/'Appendix K'!G8</f>
        <v>0.79578504387448079</v>
      </c>
      <c r="C40" s="258">
        <f>('Appendix K'!H8-'Appendix K'!$F64)/'Appendix K'!H8</f>
        <v>0.77765179195635847</v>
      </c>
      <c r="D40" s="258">
        <f>('Appendix K'!I8-'Appendix K'!$F64)/'Appendix K'!I8</f>
        <v>0.76097567635308538</v>
      </c>
      <c r="E40" s="258"/>
      <c r="F40" s="258"/>
      <c r="G40" s="258"/>
    </row>
    <row r="41" spans="1:8" x14ac:dyDescent="0.35">
      <c r="A41" s="258"/>
      <c r="B41" s="258">
        <f>('Appendix K'!G9-'Appendix K'!$F65)/'Appendix K'!G9</f>
        <v>0.85864768876420405</v>
      </c>
      <c r="C41" s="258">
        <f>('Appendix K'!H9-'Appendix K'!$F65)/'Appendix K'!H9</f>
        <v>0.84281622990579486</v>
      </c>
      <c r="D41" s="258">
        <f>('Appendix K'!I9-'Appendix K'!$F65)/'Appendix K'!I9</f>
        <v>0.82764937489670487</v>
      </c>
      <c r="E41" s="258"/>
      <c r="F41" s="258"/>
      <c r="G41" s="258"/>
    </row>
    <row r="42" spans="1:8" x14ac:dyDescent="0.35">
      <c r="A42" s="258"/>
      <c r="B42" s="258">
        <f>('Appendix K'!G10-'Appendix K'!$F66)/'Appendix K'!G10</f>
        <v>0.81216686105231506</v>
      </c>
      <c r="C42" s="258">
        <f>('Appendix K'!H10-'Appendix K'!$F66)/'Appendix K'!H10</f>
        <v>0.78721748775755629</v>
      </c>
      <c r="D42" s="258">
        <f>('Appendix K'!I10-'Appendix K'!$F66)/'Appendix K'!I10</f>
        <v>0.76242291535642404</v>
      </c>
      <c r="E42" s="258"/>
      <c r="F42" s="258"/>
      <c r="G42" s="258"/>
    </row>
    <row r="43" spans="1:8" x14ac:dyDescent="0.35">
      <c r="A43" s="258"/>
      <c r="B43" s="258">
        <f>('Appendix K'!G11-'Appendix K'!$F67)/'Appendix K'!G11</f>
        <v>0.75579207827429773</v>
      </c>
      <c r="C43" s="258">
        <f>('Appendix K'!H11-'Appendix K'!$F67)/'Appendix K'!H11</f>
        <v>0.71876416234476881</v>
      </c>
      <c r="D43" s="258">
        <f>('Appendix K'!I11-'Appendix K'!$F67)/'Appendix K'!I11</f>
        <v>0.680728167907791</v>
      </c>
      <c r="E43" s="258"/>
      <c r="F43" s="258"/>
      <c r="G43" s="258"/>
    </row>
    <row r="44" spans="1:8" x14ac:dyDescent="0.35">
      <c r="A44" s="258"/>
      <c r="B44" s="258">
        <f>('Appendix K'!G12-'Appendix K'!$F68)/'Appendix K'!G12</f>
        <v>0.68652866338159424</v>
      </c>
      <c r="C44" s="258">
        <f>('Appendix K'!H12-'Appendix K'!$F68)/'Appendix K'!H12</f>
        <v>0.63365398009656193</v>
      </c>
      <c r="D44" s="258">
        <f>('Appendix K'!I12-'Appendix K'!$F68)/'Appendix K'!I12</f>
        <v>0.57768444927798113</v>
      </c>
      <c r="E44" s="258"/>
      <c r="F44" s="258"/>
      <c r="G44" s="258"/>
    </row>
    <row r="45" spans="1:8" x14ac:dyDescent="0.35">
      <c r="A45" s="258"/>
      <c r="B45" s="258">
        <f>('Appendix K'!G13-'Appendix K'!$F69)/'Appendix K'!G13</f>
        <v>0.60402540850683473</v>
      </c>
      <c r="C45" s="258">
        <f>('Appendix K'!H13-'Appendix K'!$F69)/'Appendix K'!H13</f>
        <v>0.53710012543756747</v>
      </c>
      <c r="D45" s="258">
        <f>('Appendix K'!I13-'Appendix K'!$F69)/'Appendix K'!I13</f>
        <v>0.44814735103471193</v>
      </c>
      <c r="E45" s="258"/>
      <c r="F45" s="258"/>
      <c r="G45" s="258"/>
    </row>
    <row r="46" spans="1:8" x14ac:dyDescent="0.35">
      <c r="A46" s="258"/>
      <c r="B46" s="258">
        <f>('Appendix K'!G14-'Appendix K'!$F70)/'Appendix K'!G14</f>
        <v>0.52602826813878922</v>
      </c>
      <c r="C46" s="258">
        <f>('Appendix K'!H14-'Appendix K'!$F70)/'Appendix K'!H14</f>
        <v>0.44576760873895033</v>
      </c>
      <c r="D46" s="258">
        <f>('Appendix K'!I14-'Appendix K'!$F70)/'Appendix K'!I14</f>
        <v>0.31710651791049238</v>
      </c>
      <c r="E46" s="258"/>
      <c r="F46" s="258"/>
      <c r="G46" s="258"/>
    </row>
    <row r="47" spans="1:8" x14ac:dyDescent="0.35">
      <c r="A47" s="258"/>
      <c r="B47" s="258">
        <f>('Appendix K'!G15-'Appendix K'!$F71)/'Appendix K'!G15</f>
        <v>0.44774010907146433</v>
      </c>
      <c r="C47" s="258">
        <f>('Appendix K'!H15-'Appendix K'!$F71)/'Appendix K'!H15</f>
        <v>0.35405316328894504</v>
      </c>
      <c r="D47" s="258">
        <f>('Appendix K'!I15-'Appendix K'!$F71)/'Appendix K'!I15</f>
        <v>0.17788584418592993</v>
      </c>
      <c r="E47" s="258"/>
      <c r="F47" s="258"/>
      <c r="G47" s="258"/>
    </row>
    <row r="48" spans="1:8" x14ac:dyDescent="0.35">
      <c r="A48" s="258"/>
      <c r="B48" s="258">
        <f>('Appendix K'!G16-'Appendix K'!$F72)/'Appendix K'!G16</f>
        <v>0.35816343948201457</v>
      </c>
      <c r="C48" s="258">
        <f>('Appendix K'!H16-'Appendix K'!$F72)/'Appendix K'!H16</f>
        <v>0.24909317429595196</v>
      </c>
      <c r="D48" s="258">
        <f>('Appendix K'!I16-'Appendix K'!$F72)/'Appendix K'!I16</f>
        <v>1.3360020043440699E-2</v>
      </c>
      <c r="E48" s="258"/>
      <c r="F48" s="258"/>
      <c r="G48" s="258"/>
    </row>
    <row r="49" spans="1:7" x14ac:dyDescent="0.35">
      <c r="A49" s="258"/>
      <c r="B49" s="258">
        <f>('Appendix K'!G17-'Appendix K'!$F73)/'Appendix K'!G17</f>
        <v>0.25769004300513448</v>
      </c>
      <c r="C49" s="258">
        <f>('Appendix K'!H17-'Appendix K'!$F73)/'Appendix K'!H17</f>
        <v>0.13133941202728516</v>
      </c>
      <c r="D49" s="258">
        <f>('Appendix K'!I17-'Appendix K'!$F73)/'Appendix K'!I17</f>
        <v>-0.17770329715531508</v>
      </c>
      <c r="E49" s="258"/>
      <c r="F49" s="258"/>
      <c r="G49" s="258"/>
    </row>
    <row r="50" spans="1:7" x14ac:dyDescent="0.35">
      <c r="A50" s="258"/>
      <c r="B50" s="258">
        <f>('Appendix K'!G18-'Appendix K'!$F74)/'Appendix K'!G18</f>
        <v>0.14991733395113183</v>
      </c>
      <c r="C50" s="258">
        <f>('Appendix K'!H18-'Appendix K'!$F74)/'Appendix K'!H18</f>
        <v>8.4229439350194581E-4</v>
      </c>
      <c r="D50" s="258">
        <f>('Appendix K'!I18-'Appendix K'!$F74)/'Appendix K'!I18</f>
        <v>-0.39126901449276902</v>
      </c>
      <c r="E50" s="258"/>
      <c r="F50" s="258"/>
      <c r="G50" s="258"/>
    </row>
    <row r="51" spans="1:7" x14ac:dyDescent="0.35">
      <c r="A51" s="258"/>
      <c r="B51" s="258">
        <f>('Appendix K'!G19-'Appendix K'!$F75)/'Appendix K'!G19</f>
        <v>3.8390687871983901E-2</v>
      </c>
      <c r="C51" s="258">
        <f>('Appendix K'!H19-'Appendix K'!$F75)/'Appendix K'!H19</f>
        <v>-0.13501427005273986</v>
      </c>
      <c r="D51" s="258">
        <f>('Appendix K'!I19-'Appendix K'!$F75)/'Appendix K'!I19</f>
        <v>-0.62271571421602612</v>
      </c>
      <c r="E51" s="258"/>
      <c r="F51" s="258"/>
      <c r="G51" s="258"/>
    </row>
    <row r="52" spans="1:7" x14ac:dyDescent="0.35">
      <c r="A52" s="258"/>
      <c r="B52" s="258">
        <f>('Appendix K'!G20-'Appendix K'!$F76)/'Appendix K'!G20</f>
        <v>-7.4238072459196627E-2</v>
      </c>
      <c r="C52" s="258">
        <f>('Appendix K'!H20-'Appendix K'!$F76)/'Appendix K'!H20</f>
        <v>-0.27309099532890674</v>
      </c>
      <c r="D52" s="258">
        <f>('Appendix K'!I20-'Appendix K'!$F76)/'Appendix K'!I20</f>
        <v>-0.86828609649153499</v>
      </c>
      <c r="E52" s="258"/>
      <c r="F52" s="258"/>
      <c r="G52" s="258"/>
    </row>
    <row r="53" spans="1:7" x14ac:dyDescent="0.35">
      <c r="A53" s="258"/>
      <c r="B53" s="258">
        <f>('Appendix K'!G21-'Appendix K'!$F77)/'Appendix K'!G21</f>
        <v>-0.18469057859532489</v>
      </c>
      <c r="C53" s="258">
        <f>('Appendix K'!H21-'Appendix K'!$F77)/'Appendix K'!H21</f>
        <v>-0.40945400852645336</v>
      </c>
      <c r="D53" s="258">
        <f>('Appendix K'!I21-'Appendix K'!$F77)/'Appendix K'!I21</f>
        <v>-1.122570619983289</v>
      </c>
      <c r="E53" s="258"/>
      <c r="F53" s="258"/>
      <c r="G53" s="258"/>
    </row>
    <row r="54" spans="1:7" x14ac:dyDescent="0.35">
      <c r="A54" s="258"/>
      <c r="B54" s="258">
        <f>('Appendix K'!G22-'Appendix K'!$F78)/'Appendix K'!G22</f>
        <v>-0.29758478317979964</v>
      </c>
      <c r="C54" s="258">
        <f>('Appendix K'!H22-'Appendix K'!$F78)/'Appendix K'!H22</f>
        <v>-0.54954299350597346</v>
      </c>
      <c r="D54" s="258">
        <f>('Appendix K'!I22-'Appendix K'!$F78)/'Appendix K'!I22</f>
        <v>-1.3940439249667285</v>
      </c>
      <c r="E54" s="258"/>
      <c r="F54" s="258"/>
      <c r="G54" s="258"/>
    </row>
    <row r="55" spans="1:7" x14ac:dyDescent="0.35">
      <c r="A55" s="258"/>
      <c r="B55" s="258">
        <f>('Appendix K'!G23-'Appendix K'!$F79)/'Appendix K'!G23</f>
        <v>-0.4107673945351652</v>
      </c>
      <c r="C55" s="258">
        <f>('Appendix K'!H23-'Appendix K'!$F79)/'Appendix K'!H23</f>
        <v>-0.69399985424107724</v>
      </c>
      <c r="D55" s="258">
        <f>('Appendix K'!I23-'Appendix K'!$F79)/'Appendix K'!I23</f>
        <v>-1.6793203339760574</v>
      </c>
      <c r="E55" s="258"/>
      <c r="F55" s="258"/>
      <c r="G55" s="258"/>
    </row>
    <row r="56" spans="1:7" x14ac:dyDescent="0.35">
      <c r="A56" s="258"/>
      <c r="B56" s="258">
        <f>('Appendix K'!G24-'Appendix K'!$F80)/'Appendix K'!G24</f>
        <v>-0.52441205413046932</v>
      </c>
      <c r="C56" s="258">
        <f>('Appendix K'!H24-'Appendix K'!$F80)/'Appendix K'!H24</f>
        <v>-0.84020362843244922</v>
      </c>
      <c r="D56" s="258">
        <f>('Appendix K'!I24-'Appendix K'!$F80)/'Appendix K'!I24</f>
        <v>-1.9791101423708235</v>
      </c>
      <c r="E56" s="258"/>
      <c r="F56" s="258"/>
      <c r="G56" s="258"/>
    </row>
    <row r="57" spans="1:7" x14ac:dyDescent="0.35">
      <c r="A57" s="137"/>
      <c r="B57" s="137"/>
      <c r="C57" s="137"/>
      <c r="D57" s="137"/>
      <c r="E57" s="137"/>
      <c r="F57" s="137"/>
    </row>
  </sheetData>
  <mergeCells count="1">
    <mergeCell ref="A1:I1"/>
  </mergeCells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view="pageBreakPreview" topLeftCell="A13" zoomScale="60" zoomScaleNormal="70" workbookViewId="0">
      <selection activeCell="O29" sqref="O29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034"/>
  <sheetViews>
    <sheetView tabSelected="1" topLeftCell="AM20" workbookViewId="0">
      <selection activeCell="AT33" sqref="AT33"/>
    </sheetView>
  </sheetViews>
  <sheetFormatPr defaultRowHeight="14.5" x14ac:dyDescent="0.35"/>
  <cols>
    <col min="1" max="1" width="11.54296875" bestFit="1" customWidth="1"/>
    <col min="2" max="2" width="6.90625" bestFit="1" customWidth="1"/>
    <col min="3" max="5" width="5.453125" bestFit="1" customWidth="1"/>
    <col min="6" max="6" width="6.81640625" bestFit="1" customWidth="1"/>
    <col min="7" max="8" width="5.453125" bestFit="1" customWidth="1"/>
    <col min="9" max="11" width="6.36328125" bestFit="1" customWidth="1"/>
    <col min="12" max="21" width="6.453125" bestFit="1" customWidth="1"/>
    <col min="22" max="22" width="6.36328125" bestFit="1" customWidth="1"/>
    <col min="24" max="24" width="15.26953125" bestFit="1" customWidth="1"/>
    <col min="25" max="25" width="14.7265625" bestFit="1" customWidth="1"/>
    <col min="26" max="26" width="14.6328125" bestFit="1" customWidth="1"/>
    <col min="27" max="32" width="13.6328125" bestFit="1" customWidth="1"/>
    <col min="33" max="44" width="12.08984375" bestFit="1" customWidth="1"/>
    <col min="45" max="45" width="14.81640625" style="69" bestFit="1" customWidth="1"/>
    <col min="46" max="46" width="13.6328125" customWidth="1"/>
    <col min="47" max="47" width="11.36328125" bestFit="1" customWidth="1"/>
    <col min="49" max="49" width="13.08984375" bestFit="1" customWidth="1"/>
    <col min="51" max="51" width="11.453125" customWidth="1"/>
    <col min="52" max="52" width="10.36328125" customWidth="1"/>
  </cols>
  <sheetData>
    <row r="1" spans="1:25" ht="18" x14ac:dyDescent="0.4">
      <c r="A1" s="287" t="s">
        <v>401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</row>
    <row r="2" spans="1:25" ht="18" x14ac:dyDescent="0.4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</row>
    <row r="3" spans="1:25" x14ac:dyDescent="0.35">
      <c r="A3" s="196" t="s">
        <v>108</v>
      </c>
      <c r="B3" s="5" t="s">
        <v>366</v>
      </c>
    </row>
    <row r="4" spans="1:25" x14ac:dyDescent="0.35">
      <c r="A4" s="196">
        <v>1</v>
      </c>
      <c r="B4" s="5">
        <v>56</v>
      </c>
      <c r="C4" s="70"/>
      <c r="G4" s="190"/>
    </row>
    <row r="5" spans="1:25" x14ac:dyDescent="0.35">
      <c r="A5" s="196">
        <v>2</v>
      </c>
      <c r="B5" s="5">
        <f ca="1">MAX(0,(MIN(500,(((($F$8)*B4)+($F$9*B4*(_xlfn.NORM.INV(RAND(),0,1)))+B4)))))</f>
        <v>75.196262755130988</v>
      </c>
      <c r="C5" s="70"/>
      <c r="G5" s="190"/>
    </row>
    <row r="6" spans="1:25" x14ac:dyDescent="0.35">
      <c r="A6" s="196">
        <v>3</v>
      </c>
      <c r="B6" s="5">
        <f t="shared" ref="B6:B24" ca="1" si="0">MAX(0,(MIN(500,(((($F$8)*B5)+($F$9*B5*(_xlfn.NORM.INV(RAND(),0,1)))+B5)))))</f>
        <v>92.614262055903907</v>
      </c>
      <c r="C6" s="70"/>
      <c r="E6" s="190"/>
      <c r="F6" s="190"/>
      <c r="G6" s="190"/>
    </row>
    <row r="7" spans="1:25" x14ac:dyDescent="0.35">
      <c r="A7" s="196">
        <v>4</v>
      </c>
      <c r="B7" s="5">
        <f t="shared" ca="1" si="0"/>
        <v>101.99072913111588</v>
      </c>
      <c r="C7" s="70"/>
      <c r="E7" s="190"/>
      <c r="F7" s="190"/>
      <c r="G7" s="190"/>
    </row>
    <row r="8" spans="1:25" x14ac:dyDescent="0.35">
      <c r="A8" s="196">
        <v>5</v>
      </c>
      <c r="B8" s="5">
        <f t="shared" ca="1" si="0"/>
        <v>61.003993513804474</v>
      </c>
      <c r="C8" s="70"/>
      <c r="E8" s="2" t="s">
        <v>439</v>
      </c>
      <c r="F8" s="8">
        <v>0.09</v>
      </c>
      <c r="G8" s="190"/>
    </row>
    <row r="9" spans="1:25" x14ac:dyDescent="0.35">
      <c r="A9" s="196">
        <v>6</v>
      </c>
      <c r="B9" s="5">
        <f t="shared" ca="1" si="0"/>
        <v>55.150331940270576</v>
      </c>
      <c r="C9" s="70"/>
      <c r="E9" s="2" t="s">
        <v>361</v>
      </c>
      <c r="F9" s="8">
        <v>0.3</v>
      </c>
      <c r="G9" s="190"/>
    </row>
    <row r="10" spans="1:25" x14ac:dyDescent="0.35">
      <c r="A10" s="196">
        <v>7</v>
      </c>
      <c r="B10" s="5">
        <f t="shared" ca="1" si="0"/>
        <v>38.351742272119481</v>
      </c>
      <c r="C10" s="70"/>
      <c r="G10" s="190"/>
    </row>
    <row r="11" spans="1:25" x14ac:dyDescent="0.35">
      <c r="A11" s="196">
        <v>8</v>
      </c>
      <c r="B11" s="5">
        <f t="shared" ca="1" si="0"/>
        <v>41.510672611672987</v>
      </c>
      <c r="C11" s="70"/>
      <c r="G11" s="190"/>
    </row>
    <row r="12" spans="1:25" x14ac:dyDescent="0.35">
      <c r="A12" s="196">
        <v>9</v>
      </c>
      <c r="B12" s="5">
        <f t="shared" ca="1" si="0"/>
        <v>33.206863227526512</v>
      </c>
      <c r="C12" s="70"/>
      <c r="G12" s="190"/>
    </row>
    <row r="13" spans="1:25" x14ac:dyDescent="0.35">
      <c r="A13" s="196">
        <v>10</v>
      </c>
      <c r="B13" s="5">
        <f t="shared" ca="1" si="0"/>
        <v>48.940760852592746</v>
      </c>
      <c r="C13" s="70"/>
      <c r="G13" s="190"/>
    </row>
    <row r="14" spans="1:25" ht="18" x14ac:dyDescent="0.4">
      <c r="A14" s="196">
        <v>11</v>
      </c>
      <c r="B14" s="5">
        <f t="shared" ca="1" si="0"/>
        <v>64.023252265970498</v>
      </c>
      <c r="C14" s="70"/>
      <c r="G14" s="190"/>
      <c r="X14" s="208" t="s">
        <v>378</v>
      </c>
      <c r="Y14" s="208"/>
    </row>
    <row r="15" spans="1:25" x14ac:dyDescent="0.35">
      <c r="A15" s="196">
        <v>12</v>
      </c>
      <c r="B15" s="5">
        <f t="shared" ca="1" si="0"/>
        <v>55.83337166695712</v>
      </c>
      <c r="C15" s="70"/>
      <c r="G15" s="190"/>
    </row>
    <row r="16" spans="1:25" x14ac:dyDescent="0.35">
      <c r="A16" s="196">
        <v>13</v>
      </c>
      <c r="B16" s="5">
        <f t="shared" ca="1" si="0"/>
        <v>32.944571744422092</v>
      </c>
      <c r="C16" s="70"/>
      <c r="G16" s="190"/>
      <c r="X16" s="2" t="s">
        <v>356</v>
      </c>
      <c r="Y16" s="8">
        <v>0.1</v>
      </c>
    </row>
    <row r="17" spans="1:46" x14ac:dyDescent="0.35">
      <c r="A17" s="196">
        <v>14</v>
      </c>
      <c r="B17" s="5">
        <f t="shared" ca="1" si="0"/>
        <v>36.062157873773053</v>
      </c>
      <c r="C17" s="70"/>
      <c r="G17" s="190"/>
      <c r="X17" s="2" t="s">
        <v>373</v>
      </c>
      <c r="Y17" s="197">
        <f>AVERAGE(AS35:AS1034)</f>
        <v>87617031.675589457</v>
      </c>
    </row>
    <row r="18" spans="1:46" x14ac:dyDescent="0.35">
      <c r="A18" s="196">
        <v>15</v>
      </c>
      <c r="B18" s="5">
        <f t="shared" ca="1" si="0"/>
        <v>53.198215230752865</v>
      </c>
      <c r="C18" s="70"/>
      <c r="G18" s="190"/>
      <c r="X18" s="2" t="s">
        <v>374</v>
      </c>
      <c r="Y18" s="197">
        <f>MEDIAN(AS35:AS1034)</f>
        <v>76349129.560737491</v>
      </c>
    </row>
    <row r="19" spans="1:46" x14ac:dyDescent="0.35">
      <c r="A19" s="196">
        <v>16</v>
      </c>
      <c r="B19" s="5">
        <f t="shared" ca="1" si="0"/>
        <v>55.043046636967397</v>
      </c>
      <c r="C19" s="70"/>
      <c r="G19" s="190"/>
      <c r="X19" s="2" t="s">
        <v>375</v>
      </c>
      <c r="Y19" s="197">
        <f>_xlfn.STDEV.S(AS35:AS1034)</f>
        <v>56751180.548193358</v>
      </c>
    </row>
    <row r="20" spans="1:46" x14ac:dyDescent="0.35">
      <c r="A20" s="196">
        <v>17</v>
      </c>
      <c r="B20" s="5">
        <f t="shared" ca="1" si="0"/>
        <v>76.431519913008003</v>
      </c>
      <c r="C20" s="70"/>
      <c r="G20" s="190"/>
      <c r="X20" s="2" t="s">
        <v>376</v>
      </c>
      <c r="Y20" s="197"/>
    </row>
    <row r="21" spans="1:46" x14ac:dyDescent="0.35">
      <c r="A21" s="196">
        <v>18</v>
      </c>
      <c r="B21" s="5">
        <f t="shared" ca="1" si="0"/>
        <v>88.981683604774631</v>
      </c>
      <c r="C21" s="70"/>
      <c r="G21" s="190"/>
      <c r="X21" s="198">
        <v>0.1</v>
      </c>
      <c r="Y21" s="197">
        <f>_xlfn.PERCENTILE.INC(AS35:AS1034,$X$21)</f>
        <v>28416558.382642712</v>
      </c>
    </row>
    <row r="22" spans="1:46" ht="18" x14ac:dyDescent="0.4">
      <c r="A22" s="196">
        <v>19</v>
      </c>
      <c r="B22" s="5">
        <f t="shared" ca="1" si="0"/>
        <v>137.80880395853771</v>
      </c>
      <c r="C22" s="70"/>
      <c r="G22" s="190"/>
      <c r="X22" s="198">
        <v>0.25</v>
      </c>
      <c r="Y22" s="197">
        <f>_xlfn.PERCENTILE.INC(AS35:AS1034,$X$22)</f>
        <v>45104774.420315593</v>
      </c>
      <c r="Z22" s="208"/>
      <c r="AA22" s="208"/>
    </row>
    <row r="23" spans="1:46" x14ac:dyDescent="0.35">
      <c r="A23" s="196">
        <v>20</v>
      </c>
      <c r="B23" s="5">
        <f t="shared" ca="1" si="0"/>
        <v>226.85929733642092</v>
      </c>
      <c r="C23" s="70"/>
      <c r="G23" s="190"/>
    </row>
    <row r="24" spans="1:46" x14ac:dyDescent="0.35">
      <c r="A24" s="196">
        <v>21</v>
      </c>
      <c r="B24" s="5">
        <f t="shared" ca="1" si="0"/>
        <v>152.22000683877135</v>
      </c>
      <c r="C24" s="70"/>
      <c r="G24" s="190"/>
      <c r="X24" t="s">
        <v>381</v>
      </c>
      <c r="Y24" s="193">
        <f t="shared" ref="Y24:AS24" si="1">_xlfn.QUARTILE.INC(Y$35:Y$1034,0)</f>
        <v>34971064.972647354</v>
      </c>
      <c r="Z24" s="193">
        <f t="shared" si="1"/>
        <v>-1524659.0799379065</v>
      </c>
      <c r="AA24" s="193">
        <f t="shared" si="1"/>
        <v>-1948675.5504185897</v>
      </c>
      <c r="AB24" s="193">
        <f t="shared" si="1"/>
        <v>-2786258.1637733858</v>
      </c>
      <c r="AC24" s="193">
        <f t="shared" si="1"/>
        <v>-2353817.7238311078</v>
      </c>
      <c r="AD24" s="193">
        <f t="shared" si="1"/>
        <v>-2383018.7513269908</v>
      </c>
      <c r="AE24" s="193">
        <f t="shared" si="1"/>
        <v>-2122559.6038479796</v>
      </c>
      <c r="AF24" s="193">
        <f t="shared" si="1"/>
        <v>-1932996.8844985303</v>
      </c>
      <c r="AG24" s="193">
        <f t="shared" si="1"/>
        <v>-1798969.2701250289</v>
      </c>
      <c r="AH24" s="193">
        <f t="shared" si="1"/>
        <v>-1619784.8174443047</v>
      </c>
      <c r="AI24" s="193">
        <f t="shared" si="1"/>
        <v>-1508239.0829890438</v>
      </c>
      <c r="AJ24" s="193">
        <f t="shared" si="1"/>
        <v>-1374496.3179683231</v>
      </c>
      <c r="AK24" s="193">
        <f t="shared" si="1"/>
        <v>-1000287.5149283473</v>
      </c>
      <c r="AL24" s="193">
        <f t="shared" si="1"/>
        <v>-1129795.3434247088</v>
      </c>
      <c r="AM24" s="193">
        <f t="shared" si="1"/>
        <v>-1021351.6191296806</v>
      </c>
      <c r="AN24" s="193">
        <f t="shared" si="1"/>
        <v>-909819.28253436135</v>
      </c>
      <c r="AO24" s="193">
        <f t="shared" si="1"/>
        <v>-838759.30609062884</v>
      </c>
      <c r="AP24" s="193">
        <f t="shared" si="1"/>
        <v>-761305.05940223148</v>
      </c>
      <c r="AQ24" s="193">
        <f t="shared" si="1"/>
        <v>-691126.36969725392</v>
      </c>
      <c r="AR24" s="193">
        <f t="shared" si="1"/>
        <v>-629288.86930830672</v>
      </c>
      <c r="AS24" s="209">
        <f t="shared" si="1"/>
        <v>1376162.5285722539</v>
      </c>
      <c r="AT24" t="s">
        <v>381</v>
      </c>
    </row>
    <row r="25" spans="1:46" ht="18" x14ac:dyDescent="0.4">
      <c r="B25" s="70"/>
      <c r="C25" s="70"/>
      <c r="F25" s="287" t="s">
        <v>379</v>
      </c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X25" t="s">
        <v>382</v>
      </c>
      <c r="Y25" s="193">
        <f t="shared" ref="Y25:AS25" si="2">_xlfn.QUARTILE.INC(Y$35:Y$1034,1)</f>
        <v>34971064.972647354</v>
      </c>
      <c r="Z25" s="193">
        <f t="shared" si="2"/>
        <v>9091948.1548423786</v>
      </c>
      <c r="AA25" s="193">
        <f t="shared" si="2"/>
        <v>2976589.6278553223</v>
      </c>
      <c r="AB25" s="193">
        <f t="shared" si="2"/>
        <v>6789605.1139060427</v>
      </c>
      <c r="AC25" s="193">
        <f t="shared" si="2"/>
        <v>9213084.3583782148</v>
      </c>
      <c r="AD25" s="193">
        <f t="shared" si="2"/>
        <v>4752766.2655883264</v>
      </c>
      <c r="AE25" s="193">
        <f t="shared" si="2"/>
        <v>2388521.9258490917</v>
      </c>
      <c r="AF25" s="193">
        <f t="shared" si="2"/>
        <v>870939.32341403107</v>
      </c>
      <c r="AG25" s="193">
        <f t="shared" si="2"/>
        <v>336988.66897894477</v>
      </c>
      <c r="AH25" s="193">
        <f t="shared" si="2"/>
        <v>-57371.454951414962</v>
      </c>
      <c r="AI25" s="193">
        <f t="shared" si="2"/>
        <v>-244818.52767187828</v>
      </c>
      <c r="AJ25" s="193">
        <f t="shared" si="2"/>
        <v>-393892.84906627447</v>
      </c>
      <c r="AK25" s="193">
        <f t="shared" si="2"/>
        <v>-258895.8630916902</v>
      </c>
      <c r="AL25" s="193">
        <f t="shared" si="2"/>
        <v>-544906.88849442627</v>
      </c>
      <c r="AM25" s="193">
        <f t="shared" si="2"/>
        <v>-557211.83722492959</v>
      </c>
      <c r="AN25" s="193">
        <f t="shared" si="2"/>
        <v>-559604.37125053222</v>
      </c>
      <c r="AO25" s="193">
        <f t="shared" si="2"/>
        <v>-541436.72262131528</v>
      </c>
      <c r="AP25" s="193">
        <f t="shared" si="2"/>
        <v>-515828.84453471913</v>
      </c>
      <c r="AQ25" s="193">
        <f t="shared" si="2"/>
        <v>-486647.84335844952</v>
      </c>
      <c r="AR25" s="193">
        <f t="shared" si="2"/>
        <v>-452196.59674237901</v>
      </c>
      <c r="AS25" s="209">
        <f t="shared" si="2"/>
        <v>45104774.420315593</v>
      </c>
      <c r="AT25" t="s">
        <v>382</v>
      </c>
    </row>
    <row r="26" spans="1:46" x14ac:dyDescent="0.35">
      <c r="A26" s="69" t="s">
        <v>108</v>
      </c>
      <c r="B26" s="191">
        <v>1</v>
      </c>
      <c r="C26" s="191">
        <v>2</v>
      </c>
      <c r="D26" s="191">
        <v>3</v>
      </c>
      <c r="E26" s="191">
        <v>4</v>
      </c>
      <c r="F26" s="191">
        <v>5</v>
      </c>
      <c r="G26" s="191">
        <v>6</v>
      </c>
      <c r="H26" s="191">
        <v>7</v>
      </c>
      <c r="I26" s="191">
        <v>8</v>
      </c>
      <c r="J26" s="191">
        <v>9</v>
      </c>
      <c r="K26" s="191">
        <v>10</v>
      </c>
      <c r="L26" s="191">
        <v>11</v>
      </c>
      <c r="M26" s="191">
        <v>12</v>
      </c>
      <c r="N26" s="191">
        <v>13</v>
      </c>
      <c r="O26" s="191">
        <v>14</v>
      </c>
      <c r="P26" s="191">
        <v>15</v>
      </c>
      <c r="Q26" s="191">
        <v>16</v>
      </c>
      <c r="R26" s="191">
        <v>17</v>
      </c>
      <c r="S26" s="191">
        <v>18</v>
      </c>
      <c r="T26" s="191">
        <v>19</v>
      </c>
      <c r="U26" s="191">
        <v>20</v>
      </c>
      <c r="V26" s="69">
        <v>21</v>
      </c>
      <c r="X26" t="s">
        <v>383</v>
      </c>
      <c r="Y26" s="193">
        <f t="shared" ref="Y26:AS26" si="3">_xlfn.QUARTILE.INC(Y$35:Y$1034,2)</f>
        <v>34971064.972647354</v>
      </c>
      <c r="Z26" s="193">
        <f t="shared" si="3"/>
        <v>12146030.657787688</v>
      </c>
      <c r="AA26" s="193">
        <f t="shared" si="3"/>
        <v>5218128.230750097</v>
      </c>
      <c r="AB26" s="193">
        <f t="shared" si="3"/>
        <v>11804959.337999821</v>
      </c>
      <c r="AC26" s="193">
        <f t="shared" si="3"/>
        <v>16117855.757969998</v>
      </c>
      <c r="AD26" s="193">
        <f t="shared" si="3"/>
        <v>9091065.0070751607</v>
      </c>
      <c r="AE26" s="193">
        <f t="shared" si="3"/>
        <v>5388023.0906194858</v>
      </c>
      <c r="AF26" s="193">
        <f t="shared" si="3"/>
        <v>3160782.2170053804</v>
      </c>
      <c r="AG26" s="193">
        <f t="shared" si="3"/>
        <v>2038073.5224973387</v>
      </c>
      <c r="AH26" s="193">
        <f t="shared" si="3"/>
        <v>1328646.3974519405</v>
      </c>
      <c r="AI26" s="193">
        <f t="shared" si="3"/>
        <v>893493.39907248784</v>
      </c>
      <c r="AJ26" s="193">
        <f t="shared" si="3"/>
        <v>478106.25223075948</v>
      </c>
      <c r="AK26" s="193">
        <f t="shared" si="3"/>
        <v>525333.57160390983</v>
      </c>
      <c r="AL26" s="193">
        <f t="shared" si="3"/>
        <v>95074.873917578516</v>
      </c>
      <c r="AM26" s="193">
        <f t="shared" si="3"/>
        <v>-8520.0048443450105</v>
      </c>
      <c r="AN26" s="193">
        <f t="shared" si="3"/>
        <v>-85211.634621616919</v>
      </c>
      <c r="AO26" s="193">
        <f t="shared" si="3"/>
        <v>-119348.40035321101</v>
      </c>
      <c r="AP26" s="193">
        <f t="shared" si="3"/>
        <v>-165010.6961728133</v>
      </c>
      <c r="AQ26" s="193">
        <f t="shared" si="3"/>
        <v>-174698.46111508089</v>
      </c>
      <c r="AR26" s="193">
        <f t="shared" si="3"/>
        <v>-205559.35172577886</v>
      </c>
      <c r="AS26" s="209">
        <f t="shared" si="3"/>
        <v>76349129.560737491</v>
      </c>
      <c r="AT26" t="s">
        <v>383</v>
      </c>
    </row>
    <row r="27" spans="1:46" x14ac:dyDescent="0.35">
      <c r="A27" s="69" t="s">
        <v>373</v>
      </c>
      <c r="B27" s="70">
        <f>AVERAGE(B35:B1034)</f>
        <v>56</v>
      </c>
      <c r="C27" s="70">
        <f t="shared" ref="C27:V27" si="4">AVERAGE(C35:C1034)</f>
        <v>61.196516072822838</v>
      </c>
      <c r="D27" s="70">
        <f t="shared" si="4"/>
        <v>66.831010434857063</v>
      </c>
      <c r="E27" s="70">
        <f t="shared" si="4"/>
        <v>71.972486449528972</v>
      </c>
      <c r="F27" s="70">
        <f t="shared" si="4"/>
        <v>79.884351919255778</v>
      </c>
      <c r="G27" s="70">
        <f t="shared" si="4"/>
        <v>86.636422532315805</v>
      </c>
      <c r="H27" s="70">
        <f t="shared" si="4"/>
        <v>94.074272659554239</v>
      </c>
      <c r="I27" s="70">
        <f t="shared" si="4"/>
        <v>103.01252412737128</v>
      </c>
      <c r="J27" s="70">
        <f t="shared" si="4"/>
        <v>113.7126851599198</v>
      </c>
      <c r="K27" s="70">
        <f t="shared" si="4"/>
        <v>122.03547701536776</v>
      </c>
      <c r="L27" s="70">
        <f t="shared" si="4"/>
        <v>128.44169466660355</v>
      </c>
      <c r="M27" s="70">
        <f t="shared" si="4"/>
        <v>137.89727893451308</v>
      </c>
      <c r="N27" s="70">
        <f t="shared" si="4"/>
        <v>145.03564439810842</v>
      </c>
      <c r="O27" s="70">
        <f t="shared" si="4"/>
        <v>150.23729047919267</v>
      </c>
      <c r="P27" s="70">
        <f t="shared" si="4"/>
        <v>159.58019726951781</v>
      </c>
      <c r="Q27" s="70">
        <f t="shared" si="4"/>
        <v>166.32769000841441</v>
      </c>
      <c r="R27" s="70">
        <f t="shared" si="4"/>
        <v>174.7878199733816</v>
      </c>
      <c r="S27" s="70">
        <f t="shared" si="4"/>
        <v>179.84282867651311</v>
      </c>
      <c r="T27" s="70">
        <f t="shared" si="4"/>
        <v>183.94834782062969</v>
      </c>
      <c r="U27" s="70">
        <f t="shared" si="4"/>
        <v>187.03213593949997</v>
      </c>
      <c r="V27" s="70">
        <f t="shared" si="4"/>
        <v>191.03020309488858</v>
      </c>
      <c r="W27" s="70"/>
      <c r="X27" t="s">
        <v>384</v>
      </c>
      <c r="Y27" s="193">
        <f t="shared" ref="Y27:AS27" si="5">_xlfn.QUARTILE.INC(Y$35:Y$1034,3)</f>
        <v>34971064.972647354</v>
      </c>
      <c r="Z27" s="193">
        <f t="shared" si="5"/>
        <v>14810140.374937611</v>
      </c>
      <c r="AA27" s="193">
        <f t="shared" si="5"/>
        <v>7632770.448561959</v>
      </c>
      <c r="AB27" s="193">
        <f t="shared" si="5"/>
        <v>16998619.585154496</v>
      </c>
      <c r="AC27" s="193">
        <f t="shared" si="5"/>
        <v>24969244.472098641</v>
      </c>
      <c r="AD27" s="193">
        <f t="shared" si="5"/>
        <v>15139522.990492336</v>
      </c>
      <c r="AE27" s="193">
        <f t="shared" si="5"/>
        <v>9895802.2289906368</v>
      </c>
      <c r="AF27" s="193">
        <f t="shared" si="5"/>
        <v>7045792.7088696025</v>
      </c>
      <c r="AG27" s="193">
        <f t="shared" si="5"/>
        <v>5021693.3063129559</v>
      </c>
      <c r="AH27" s="193">
        <f t="shared" si="5"/>
        <v>3702072.1152668456</v>
      </c>
      <c r="AI27" s="193">
        <f t="shared" si="5"/>
        <v>3025464.0901252981</v>
      </c>
      <c r="AJ27" s="193">
        <f t="shared" si="5"/>
        <v>2345246.7187133851</v>
      </c>
      <c r="AK27" s="193">
        <f t="shared" si="5"/>
        <v>2090434.7525848846</v>
      </c>
      <c r="AL27" s="193">
        <f t="shared" si="5"/>
        <v>1382967.4080377209</v>
      </c>
      <c r="AM27" s="193">
        <f t="shared" si="5"/>
        <v>1188053.8032210751</v>
      </c>
      <c r="AN27" s="193">
        <f t="shared" si="5"/>
        <v>853430.60935163114</v>
      </c>
      <c r="AO27" s="193">
        <f t="shared" si="5"/>
        <v>689727.79286825494</v>
      </c>
      <c r="AP27" s="193">
        <f t="shared" si="5"/>
        <v>541445.69220216386</v>
      </c>
      <c r="AQ27" s="193">
        <f t="shared" si="5"/>
        <v>431679.15369198279</v>
      </c>
      <c r="AR27" s="193">
        <f t="shared" si="5"/>
        <v>296499.98822822463</v>
      </c>
      <c r="AS27" s="209">
        <f t="shared" si="5"/>
        <v>115529843.19581929</v>
      </c>
      <c r="AT27" t="s">
        <v>384</v>
      </c>
    </row>
    <row r="28" spans="1:46" ht="15" thickBot="1" x14ac:dyDescent="0.4">
      <c r="A28" s="69" t="s">
        <v>374</v>
      </c>
      <c r="B28" s="70">
        <f>MEDIAN(B35:B1034)</f>
        <v>56</v>
      </c>
      <c r="C28" s="70">
        <f t="shared" ref="C28:V28" si="6">MEDIAN(C35:C1034)</f>
        <v>61.885272748120151</v>
      </c>
      <c r="D28" s="70">
        <f t="shared" si="6"/>
        <v>64.243646664016481</v>
      </c>
      <c r="E28" s="70">
        <f t="shared" si="6"/>
        <v>68.881376711531203</v>
      </c>
      <c r="F28" s="70">
        <f t="shared" si="6"/>
        <v>71.866806351641344</v>
      </c>
      <c r="G28" s="70">
        <f t="shared" si="6"/>
        <v>73.908150379545617</v>
      </c>
      <c r="H28" s="70">
        <f t="shared" si="6"/>
        <v>76.27977669774836</v>
      </c>
      <c r="I28" s="70">
        <f t="shared" si="6"/>
        <v>78.54356684964057</v>
      </c>
      <c r="J28" s="70">
        <f t="shared" si="6"/>
        <v>83.726787628668745</v>
      </c>
      <c r="K28" s="70">
        <f t="shared" si="6"/>
        <v>87.857985930599654</v>
      </c>
      <c r="L28" s="70">
        <f t="shared" si="6"/>
        <v>91.977204167493426</v>
      </c>
      <c r="M28" s="70">
        <f t="shared" si="6"/>
        <v>92.788621588240289</v>
      </c>
      <c r="N28" s="70">
        <f t="shared" si="6"/>
        <v>99.557562897554448</v>
      </c>
      <c r="O28" s="70">
        <f t="shared" si="6"/>
        <v>103.7402745120597</v>
      </c>
      <c r="P28" s="70">
        <f t="shared" si="6"/>
        <v>109.85817262700532</v>
      </c>
      <c r="Q28" s="70">
        <f t="shared" si="6"/>
        <v>114.76952899094982</v>
      </c>
      <c r="R28" s="70">
        <f t="shared" si="6"/>
        <v>122.44280838263886</v>
      </c>
      <c r="S28" s="70">
        <f t="shared" si="6"/>
        <v>125.15191264492844</v>
      </c>
      <c r="T28" s="70">
        <f t="shared" si="6"/>
        <v>132.55521343935851</v>
      </c>
      <c r="U28" s="70">
        <f t="shared" si="6"/>
        <v>131.59187283492358</v>
      </c>
      <c r="V28" s="70">
        <f t="shared" si="6"/>
        <v>139.43671327314885</v>
      </c>
      <c r="W28" s="70"/>
      <c r="X28" t="s">
        <v>385</v>
      </c>
      <c r="Y28" s="193">
        <f t="shared" ref="Y28:AS28" si="7">_xlfn.QUARTILE.INC(Y$35:Y$1034,4)</f>
        <v>34971064.972647354</v>
      </c>
      <c r="Z28" s="193">
        <f t="shared" si="7"/>
        <v>24410878.000668224</v>
      </c>
      <c r="AA28" s="193">
        <f t="shared" si="7"/>
        <v>21707466.105494041</v>
      </c>
      <c r="AB28" s="193">
        <f t="shared" si="7"/>
        <v>46106456.717982456</v>
      </c>
      <c r="AC28" s="193">
        <f t="shared" si="7"/>
        <v>83752553.536390632</v>
      </c>
      <c r="AD28" s="193">
        <f t="shared" si="7"/>
        <v>71597759.707894221</v>
      </c>
      <c r="AE28" s="193">
        <f t="shared" si="7"/>
        <v>47648873.452851206</v>
      </c>
      <c r="AF28" s="193">
        <f t="shared" si="7"/>
        <v>30834634.508874267</v>
      </c>
      <c r="AG28" s="193">
        <f t="shared" si="7"/>
        <v>21194522.409894329</v>
      </c>
      <c r="AH28" s="193">
        <f t="shared" si="7"/>
        <v>15220522.22201786</v>
      </c>
      <c r="AI28" s="193">
        <f t="shared" si="7"/>
        <v>11584453.656253781</v>
      </c>
      <c r="AJ28" s="193">
        <f t="shared" si="7"/>
        <v>8639382.5302660316</v>
      </c>
      <c r="AK28" s="193">
        <f t="shared" si="7"/>
        <v>6677690.1149291173</v>
      </c>
      <c r="AL28" s="193">
        <f t="shared" si="7"/>
        <v>4792058.0003928225</v>
      </c>
      <c r="AM28" s="193">
        <f t="shared" si="7"/>
        <v>3607599.9540230581</v>
      </c>
      <c r="AN28" s="193">
        <f t="shared" si="7"/>
        <v>2702399.606577659</v>
      </c>
      <c r="AO28" s="193">
        <f t="shared" si="7"/>
        <v>2112056.3146391152</v>
      </c>
      <c r="AP28" s="193">
        <f t="shared" si="7"/>
        <v>1630406.4380253027</v>
      </c>
      <c r="AQ28" s="193">
        <f t="shared" si="7"/>
        <v>1263386.3652054211</v>
      </c>
      <c r="AR28" s="193">
        <f t="shared" si="7"/>
        <v>980725.14012097823</v>
      </c>
      <c r="AS28" s="209">
        <f t="shared" si="7"/>
        <v>370902199.42355883</v>
      </c>
      <c r="AT28" t="s">
        <v>385</v>
      </c>
    </row>
    <row r="29" spans="1:46" ht="15" thickBot="1" x14ac:dyDescent="0.4">
      <c r="A29" s="69" t="s">
        <v>375</v>
      </c>
      <c r="B29" s="70">
        <f>_xlfn.STDEV.S(B35:B1034)</f>
        <v>0</v>
      </c>
      <c r="C29" s="70">
        <f t="shared" ref="C29:V29" si="8">_xlfn.STDEV.S(C35:C1034)</f>
        <v>16.899507110650106</v>
      </c>
      <c r="D29" s="70">
        <f t="shared" si="8"/>
        <v>27.151546068318154</v>
      </c>
      <c r="E29" s="70">
        <f t="shared" si="8"/>
        <v>34.787223741649832</v>
      </c>
      <c r="F29" s="70">
        <f t="shared" si="8"/>
        <v>46.18986558499018</v>
      </c>
      <c r="G29" s="70">
        <f t="shared" si="8"/>
        <v>58.310398361905932</v>
      </c>
      <c r="H29" s="70">
        <f t="shared" si="8"/>
        <v>70.990223500221262</v>
      </c>
      <c r="I29" s="70">
        <f t="shared" si="8"/>
        <v>83.392602293874532</v>
      </c>
      <c r="J29" s="70">
        <f t="shared" si="8"/>
        <v>97.133192136533566</v>
      </c>
      <c r="K29" s="70">
        <f t="shared" si="8"/>
        <v>107.5996001616486</v>
      </c>
      <c r="L29" s="70">
        <f t="shared" si="8"/>
        <v>112.65150142646507</v>
      </c>
      <c r="M29" s="70">
        <f t="shared" si="8"/>
        <v>124.44758940315116</v>
      </c>
      <c r="N29" s="70">
        <f t="shared" si="8"/>
        <v>131.1109626366366</v>
      </c>
      <c r="O29" s="70">
        <f t="shared" si="8"/>
        <v>133.81123260811731</v>
      </c>
      <c r="P29" s="70">
        <f t="shared" si="8"/>
        <v>140.45967034087045</v>
      </c>
      <c r="Q29" s="70">
        <f t="shared" si="8"/>
        <v>145.48682103279106</v>
      </c>
      <c r="R29" s="70">
        <f t="shared" si="8"/>
        <v>153.46373671329548</v>
      </c>
      <c r="S29" s="70">
        <f t="shared" si="8"/>
        <v>155.93918739386075</v>
      </c>
      <c r="T29" s="70">
        <f t="shared" si="8"/>
        <v>156.99922250209406</v>
      </c>
      <c r="U29" s="70">
        <f t="shared" si="8"/>
        <v>157.54362839856876</v>
      </c>
      <c r="V29" s="70">
        <f t="shared" si="8"/>
        <v>159.98944153942611</v>
      </c>
      <c r="W29" s="70"/>
      <c r="X29" t="s">
        <v>386</v>
      </c>
      <c r="Y29" s="193">
        <f t="shared" ref="Y29:AS29" si="9">AVERAGE(Y35:Y1034)</f>
        <v>34971064.972647868</v>
      </c>
      <c r="Z29" s="193">
        <f t="shared" si="9"/>
        <v>11972038.941716706</v>
      </c>
      <c r="AA29" s="193">
        <f t="shared" si="9"/>
        <v>5547693.3608058374</v>
      </c>
      <c r="AB29" s="193">
        <f t="shared" si="9"/>
        <v>12482502.296182815</v>
      </c>
      <c r="AC29" s="193">
        <f t="shared" si="9"/>
        <v>18248906.780036137</v>
      </c>
      <c r="AD29" s="193">
        <f t="shared" si="9"/>
        <v>11089963.161921293</v>
      </c>
      <c r="AE29" s="193">
        <f t="shared" si="9"/>
        <v>7162803.924190376</v>
      </c>
      <c r="AF29" s="193">
        <f t="shared" si="9"/>
        <v>4767473.3389757285</v>
      </c>
      <c r="AG29" s="193">
        <f t="shared" si="9"/>
        <v>3417992.5187928011</v>
      </c>
      <c r="AH29" s="193">
        <f t="shared" si="9"/>
        <v>2480650.9151589349</v>
      </c>
      <c r="AI29" s="193">
        <f t="shared" si="9"/>
        <v>1848931.2390807748</v>
      </c>
      <c r="AJ29" s="193">
        <f t="shared" si="9"/>
        <v>1382167.9623185873</v>
      </c>
      <c r="AK29" s="193">
        <f t="shared" si="9"/>
        <v>1223803.8860445353</v>
      </c>
      <c r="AL29" s="193">
        <f t="shared" si="9"/>
        <v>646217.68602180458</v>
      </c>
      <c r="AM29" s="193">
        <f t="shared" si="9"/>
        <v>452340.10573587101</v>
      </c>
      <c r="AN29" s="193">
        <f t="shared" si="9"/>
        <v>287874.40099592839</v>
      </c>
      <c r="AO29" s="193">
        <f t="shared" si="9"/>
        <v>190016.40122706516</v>
      </c>
      <c r="AP29" s="193">
        <f t="shared" si="9"/>
        <v>96943.442158122736</v>
      </c>
      <c r="AQ29" s="193">
        <f t="shared" si="9"/>
        <v>26441.109873386213</v>
      </c>
      <c r="AR29" s="193">
        <f t="shared" si="9"/>
        <v>-27040.151156150561</v>
      </c>
      <c r="AS29" s="211">
        <f t="shared" si="9"/>
        <v>87617031.675589457</v>
      </c>
      <c r="AT29" t="s">
        <v>386</v>
      </c>
    </row>
    <row r="30" spans="1:46" x14ac:dyDescent="0.35">
      <c r="A30" s="69" t="s">
        <v>376</v>
      </c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t="s">
        <v>387</v>
      </c>
      <c r="Y30" s="193">
        <f>Y28-Y24</f>
        <v>0</v>
      </c>
      <c r="Z30" s="193">
        <f t="shared" ref="Z30:AS30" si="10">Z28-Z24</f>
        <v>25935537.080606129</v>
      </c>
      <c r="AA30" s="193">
        <f t="shared" si="10"/>
        <v>23656141.65591263</v>
      </c>
      <c r="AB30" s="193">
        <f t="shared" si="10"/>
        <v>48892714.881755844</v>
      </c>
      <c r="AC30" s="193">
        <f t="shared" si="10"/>
        <v>86106371.260221735</v>
      </c>
      <c r="AD30" s="193">
        <f t="shared" si="10"/>
        <v>73980778.459221214</v>
      </c>
      <c r="AE30" s="193">
        <f t="shared" si="10"/>
        <v>49771433.056699187</v>
      </c>
      <c r="AF30" s="193">
        <f t="shared" si="10"/>
        <v>32767631.393372796</v>
      </c>
      <c r="AG30" s="193">
        <f t="shared" si="10"/>
        <v>22993491.680019356</v>
      </c>
      <c r="AH30" s="193">
        <f t="shared" si="10"/>
        <v>16840307.039462164</v>
      </c>
      <c r="AI30" s="193">
        <f t="shared" si="10"/>
        <v>13092692.739242826</v>
      </c>
      <c r="AJ30" s="193">
        <f t="shared" si="10"/>
        <v>10013878.848234355</v>
      </c>
      <c r="AK30" s="193">
        <f t="shared" si="10"/>
        <v>7677977.6298574647</v>
      </c>
      <c r="AL30" s="193">
        <f t="shared" si="10"/>
        <v>5921853.3438175311</v>
      </c>
      <c r="AM30" s="193">
        <f t="shared" si="10"/>
        <v>4628951.5731527386</v>
      </c>
      <c r="AN30" s="193">
        <f t="shared" si="10"/>
        <v>3612218.8891120204</v>
      </c>
      <c r="AO30" s="193">
        <f t="shared" si="10"/>
        <v>2950815.620729744</v>
      </c>
      <c r="AP30" s="193">
        <f t="shared" si="10"/>
        <v>2391711.4974275343</v>
      </c>
      <c r="AQ30" s="193">
        <f t="shared" si="10"/>
        <v>1954512.734902675</v>
      </c>
      <c r="AR30" s="193">
        <f t="shared" si="10"/>
        <v>1610014.0094292848</v>
      </c>
      <c r="AS30" s="209">
        <f t="shared" si="10"/>
        <v>369526036.89498657</v>
      </c>
      <c r="AT30" t="s">
        <v>387</v>
      </c>
    </row>
    <row r="31" spans="1:46" x14ac:dyDescent="0.35">
      <c r="A31" s="192">
        <v>0.1</v>
      </c>
      <c r="B31" s="70">
        <f>_xlfn.PERCENTILE.INC(B35:B1034,$A$31)</f>
        <v>56</v>
      </c>
      <c r="C31" s="70">
        <f t="shared" ref="C31:V31" si="11">_xlfn.PERCENTILE.INC(C35:C1034,$A$31)</f>
        <v>39.051234491913938</v>
      </c>
      <c r="D31" s="70">
        <f t="shared" si="11"/>
        <v>34.182019816740272</v>
      </c>
      <c r="E31" s="70">
        <f t="shared" si="11"/>
        <v>32.081598657052105</v>
      </c>
      <c r="F31" s="70">
        <f t="shared" si="11"/>
        <v>30.144168937874813</v>
      </c>
      <c r="G31" s="70">
        <f t="shared" si="11"/>
        <v>28.273967881430394</v>
      </c>
      <c r="H31" s="70">
        <f t="shared" si="11"/>
        <v>27.198798247101109</v>
      </c>
      <c r="I31" s="70">
        <f t="shared" si="11"/>
        <v>25.662398863288686</v>
      </c>
      <c r="J31" s="70">
        <f t="shared" si="11"/>
        <v>24.73221811966522</v>
      </c>
      <c r="K31" s="70">
        <f t="shared" si="11"/>
        <v>23.42575428452475</v>
      </c>
      <c r="L31" s="70">
        <f t="shared" si="11"/>
        <v>23.326436285580368</v>
      </c>
      <c r="M31" s="70">
        <f t="shared" si="11"/>
        <v>24.212099311961278</v>
      </c>
      <c r="N31" s="70">
        <f t="shared" si="11"/>
        <v>24.139546890921586</v>
      </c>
      <c r="O31" s="70">
        <f t="shared" si="11"/>
        <v>23.350919152015948</v>
      </c>
      <c r="P31" s="70">
        <f t="shared" si="11"/>
        <v>20.869006625595787</v>
      </c>
      <c r="Q31" s="70">
        <f t="shared" si="11"/>
        <v>22.385712457110774</v>
      </c>
      <c r="R31" s="70">
        <f t="shared" si="11"/>
        <v>21.878575061488366</v>
      </c>
      <c r="S31" s="70">
        <f t="shared" si="11"/>
        <v>22.863044564719356</v>
      </c>
      <c r="T31" s="70">
        <f t="shared" si="11"/>
        <v>23.823087118378584</v>
      </c>
      <c r="U31" s="70">
        <f t="shared" si="11"/>
        <v>23.951498557367806</v>
      </c>
      <c r="V31" s="70">
        <f t="shared" si="11"/>
        <v>20.797709149230283</v>
      </c>
      <c r="W31" s="70"/>
      <c r="AS31" s="209">
        <f>_xlfn.STDEV.P(AS35:AS1034)</f>
        <v>56722797.86047253</v>
      </c>
      <c r="AT31" t="s">
        <v>508</v>
      </c>
    </row>
    <row r="32" spans="1:46" x14ac:dyDescent="0.35">
      <c r="A32" s="192">
        <v>0.25</v>
      </c>
      <c r="B32" s="70">
        <f>_xlfn.PERCENTILE.INC(B35:B1034,$A$32)</f>
        <v>56</v>
      </c>
      <c r="C32" s="70">
        <f t="shared" ref="C32:V32" si="12">_xlfn.PERCENTILE.INC(C35:C1034,$A$32)</f>
        <v>49.795503428561688</v>
      </c>
      <c r="D32" s="70">
        <f t="shared" si="12"/>
        <v>46.645681214547473</v>
      </c>
      <c r="E32" s="70">
        <f t="shared" si="12"/>
        <v>46.000155536744344</v>
      </c>
      <c r="F32" s="70">
        <f t="shared" si="12"/>
        <v>45.889333847714603</v>
      </c>
      <c r="G32" s="70">
        <f t="shared" si="12"/>
        <v>46.283407754319143</v>
      </c>
      <c r="H32" s="70">
        <f t="shared" si="12"/>
        <v>46.205859764270954</v>
      </c>
      <c r="I32" s="70">
        <f t="shared" si="12"/>
        <v>43.670611388674118</v>
      </c>
      <c r="J32" s="70">
        <f t="shared" si="12"/>
        <v>46.761896032492679</v>
      </c>
      <c r="K32" s="70">
        <f t="shared" si="12"/>
        <v>46.737823582509193</v>
      </c>
      <c r="L32" s="70">
        <f t="shared" si="12"/>
        <v>48.5332848462388</v>
      </c>
      <c r="M32" s="70">
        <f t="shared" si="12"/>
        <v>49.279745780587341</v>
      </c>
      <c r="N32" s="70">
        <f t="shared" si="12"/>
        <v>48.513910946387057</v>
      </c>
      <c r="O32" s="70">
        <f t="shared" si="12"/>
        <v>49.748384257819545</v>
      </c>
      <c r="P32" s="70">
        <f t="shared" si="12"/>
        <v>50.660016430703187</v>
      </c>
      <c r="Q32" s="70">
        <f t="shared" si="12"/>
        <v>49.211414332104106</v>
      </c>
      <c r="R32" s="70">
        <f t="shared" si="12"/>
        <v>51.024799583380229</v>
      </c>
      <c r="S32" s="70">
        <f t="shared" si="12"/>
        <v>51.907924148828187</v>
      </c>
      <c r="T32" s="70">
        <f t="shared" si="12"/>
        <v>52.849084789481076</v>
      </c>
      <c r="U32" s="70">
        <f t="shared" si="12"/>
        <v>54.99712161781224</v>
      </c>
      <c r="V32" s="70">
        <f t="shared" si="12"/>
        <v>56.386723651349392</v>
      </c>
      <c r="W32" s="70"/>
    </row>
    <row r="33" spans="1:52" x14ac:dyDescent="0.35"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X33" s="194" t="s">
        <v>399</v>
      </c>
    </row>
    <row r="34" spans="1:52" ht="29" x14ac:dyDescent="0.35">
      <c r="A34" t="s">
        <v>372</v>
      </c>
      <c r="B34" s="70">
        <f>B4</f>
        <v>56</v>
      </c>
      <c r="C34" s="70">
        <f ca="1">B5</f>
        <v>75.196262755130988</v>
      </c>
      <c r="D34" s="70">
        <f ca="1">B6</f>
        <v>92.614262055903907</v>
      </c>
      <c r="E34" s="70">
        <f ca="1">B7</f>
        <v>101.99072913111588</v>
      </c>
      <c r="F34" s="70">
        <f ca="1">B8</f>
        <v>61.003993513804474</v>
      </c>
      <c r="G34" s="70">
        <f ca="1">B9</f>
        <v>55.150331940270576</v>
      </c>
      <c r="H34" s="70">
        <f ca="1">B10</f>
        <v>38.351742272119481</v>
      </c>
      <c r="I34" s="70">
        <f ca="1">B11</f>
        <v>41.510672611672987</v>
      </c>
      <c r="J34" s="70">
        <f ca="1">B12</f>
        <v>33.206863227526512</v>
      </c>
      <c r="K34" s="70">
        <f ca="1">B13</f>
        <v>48.940760852592746</v>
      </c>
      <c r="L34" s="70">
        <f ca="1">B14</f>
        <v>64.023252265970498</v>
      </c>
      <c r="M34" s="70">
        <f ca="1">B15</f>
        <v>55.83337166695712</v>
      </c>
      <c r="N34" s="70">
        <f ca="1">B16</f>
        <v>32.944571744422092</v>
      </c>
      <c r="O34" s="70">
        <f ca="1">B17</f>
        <v>36.062157873773053</v>
      </c>
      <c r="P34" s="70">
        <f ca="1">B18</f>
        <v>53.198215230752865</v>
      </c>
      <c r="Q34" s="70">
        <f ca="1">B19</f>
        <v>55.043046636967397</v>
      </c>
      <c r="R34" s="70">
        <f ca="1">B20</f>
        <v>76.431519913008003</v>
      </c>
      <c r="S34" s="70">
        <f ca="1">B21</f>
        <v>88.981683604774631</v>
      </c>
      <c r="T34" s="70">
        <f ca="1">B22</f>
        <v>137.80880395853771</v>
      </c>
      <c r="U34" s="70">
        <f ca="1">B23</f>
        <v>226.85929733642092</v>
      </c>
      <c r="V34" s="70">
        <f ca="1">B24</f>
        <v>152.22000683877135</v>
      </c>
      <c r="X34" s="195">
        <v>0</v>
      </c>
      <c r="Y34" s="195">
        <v>1</v>
      </c>
      <c r="Z34" s="195">
        <v>2</v>
      </c>
      <c r="AA34" s="195">
        <v>3</v>
      </c>
      <c r="AB34" s="195">
        <v>4</v>
      </c>
      <c r="AC34" s="195">
        <v>5</v>
      </c>
      <c r="AD34" s="195">
        <v>6</v>
      </c>
      <c r="AE34" s="195">
        <v>7</v>
      </c>
      <c r="AF34" s="195">
        <v>8</v>
      </c>
      <c r="AG34" s="195">
        <v>9</v>
      </c>
      <c r="AH34" s="195">
        <v>10</v>
      </c>
      <c r="AI34" s="195">
        <v>11</v>
      </c>
      <c r="AJ34" s="195">
        <v>12</v>
      </c>
      <c r="AK34" s="195">
        <v>13</v>
      </c>
      <c r="AL34" s="195">
        <v>14</v>
      </c>
      <c r="AM34" s="195">
        <v>15</v>
      </c>
      <c r="AN34" s="195">
        <v>16</v>
      </c>
      <c r="AO34" s="195">
        <v>17</v>
      </c>
      <c r="AP34" s="195">
        <v>18</v>
      </c>
      <c r="AQ34" s="195">
        <v>19</v>
      </c>
      <c r="AR34" s="195">
        <v>20</v>
      </c>
      <c r="AS34" s="195" t="s">
        <v>113</v>
      </c>
      <c r="AU34" s="194" t="s">
        <v>380</v>
      </c>
      <c r="AX34" s="19" t="s">
        <v>390</v>
      </c>
      <c r="AY34" s="19" t="s">
        <v>391</v>
      </c>
      <c r="AZ34" s="19" t="s">
        <v>392</v>
      </c>
    </row>
    <row r="35" spans="1:52" x14ac:dyDescent="0.35">
      <c r="A35">
        <v>1</v>
      </c>
      <c r="B35" s="70">
        <f t="dataTable" ref="B35:V1034" dt2D="0" dtr="0" r1="D33" ca="1"/>
        <v>56</v>
      </c>
      <c r="C35" s="70">
        <v>55.131281803454996</v>
      </c>
      <c r="D35" s="70">
        <v>68.208063006106599</v>
      </c>
      <c r="E35" s="70">
        <v>77.221357796334445</v>
      </c>
      <c r="F35" s="70">
        <v>95.376498201542091</v>
      </c>
      <c r="G35" s="70">
        <v>119.70634110830262</v>
      </c>
      <c r="H35" s="70">
        <v>95.889435574486043</v>
      </c>
      <c r="I35" s="70">
        <v>145.37535773176668</v>
      </c>
      <c r="J35" s="70">
        <v>128.74862117438508</v>
      </c>
      <c r="K35" s="70">
        <v>120.35942504568622</v>
      </c>
      <c r="L35" s="70">
        <v>105.00883034397425</v>
      </c>
      <c r="M35" s="70">
        <v>140.27324788963801</v>
      </c>
      <c r="N35" s="70">
        <v>171.16196331686854</v>
      </c>
      <c r="O35" s="70">
        <v>136.65649380734249</v>
      </c>
      <c r="P35" s="70">
        <v>159.63569657655285</v>
      </c>
      <c r="Q35" s="70">
        <v>128.14933637541486</v>
      </c>
      <c r="R35" s="70">
        <v>163.24229848682171</v>
      </c>
      <c r="S35" s="70">
        <v>183.93723842914349</v>
      </c>
      <c r="T35" s="70">
        <v>233.38943605561781</v>
      </c>
      <c r="U35" s="70">
        <v>251.14296801132454</v>
      </c>
      <c r="V35" s="70">
        <v>244.28977624545757</v>
      </c>
      <c r="X35" s="193">
        <f>((0-('Appendix K'!$I$30))/(1+$Y$16)^0)</f>
        <v>-33594902.4440751</v>
      </c>
      <c r="Y35" s="193">
        <f>(((B35*'Appendix K'!$C$5*1000)-('Appendix K'!$E$31+'Appendix K'!$F$31+'Appendix K'!$H$31+'Appendix K'!$G$31))/((1+$Y$16)^1))</f>
        <v>34971064.972647354</v>
      </c>
      <c r="Z35" s="193">
        <f>+(((C35*'Appendix K'!$C$6*1000)-('Appendix K'!$E$32+'Appendix K'!$F$32+'Appendix K'!$H$32+'Appendix K'!$G$32))/((1+$Y$16)^2))</f>
        <v>10439857.03082007</v>
      </c>
      <c r="AA35" s="193">
        <f>(((D35*'Appendix K'!$C$7*1000)-('Appendix K'!$E$33+'Appendix K'!$F$33+'Appendix K'!$H$33+'Appendix K'!$G$33))/((1+$Y$16)^3))</f>
        <v>5723095.2562996354</v>
      </c>
      <c r="AB35" s="193">
        <f>(((E35*'Appendix K'!$C$8*1000)-('Appendix K'!$E$34+'Appendix K'!$F$34+'Appendix K'!$H$34+'Appendix K'!$G$34))/((1+$Y$16)^4))</f>
        <v>13633006.846610108</v>
      </c>
      <c r="AC35" s="193">
        <f>(((F35*'Appendix K'!$C$9*1000)-('Appendix K'!$E$35+'Appendix K'!$F$35+'Appendix K'!$H$35+'Appendix K'!$G$35))/((1+$Y$16)^AC$34))</f>
        <v>22366694.934832681</v>
      </c>
      <c r="AD35" s="193">
        <f>(((G35*'Appendix K'!$C$10*1000)-('Appendix K'!$E$36+'Appendix K'!$F$36+'Appendix K'!$H$36+'Appendix K'!$G$36))/((1+$Y$16)^AD$34))</f>
        <v>16283393.851417167</v>
      </c>
      <c r="AE35" s="193">
        <f>(((H35*'Appendix K'!$C$11*1000)-('Appendix K'!$E$37+'Appendix K'!$F$37+'Appendix K'!$H$37+'Appendix K'!$G$37))/((1+$Y$16)^AE$34))</f>
        <v>7343843.9692775961</v>
      </c>
      <c r="AF35" s="193">
        <f>(((I35*'Appendix K'!$C$12*1000)-('Appendix K'!$E$38+'Appendix K'!$F$38+'Appendix K'!$H$38+'Appendix K'!$G$38))/((1+$Y$16)^AF$34))</f>
        <v>7549119.8096912652</v>
      </c>
      <c r="AG35" s="193">
        <f>(((J35*'Appendix K'!$C$13*1000)-('Appendix K'!$E$39+'Appendix K'!$F$39+'Appendix K'!$H$39+'Appendix K'!$G$39))/((1+$Y$16)^AG$34))</f>
        <v>4109930.2442459026</v>
      </c>
      <c r="AH35" s="193">
        <f>(((K35*'Appendix K'!$C$14*1000)-('Appendix K'!$E$40+'Appendix K'!$F$40+'Appendix K'!$H$40+'Appendix K'!$G$40))/((1+$Y$16)^AH$34))</f>
        <v>2424157.0245981542</v>
      </c>
      <c r="AI35" s="193">
        <f>(((L35*'Appendix K'!$C$15*1000)-('Appendix K'!$E$41+'Appendix K'!$F$41+'Appendix K'!$H$41+'Appendix K'!$G$41))/((1+$Y$16)^AI$34))</f>
        <v>1234946.3741567307</v>
      </c>
      <c r="AJ35" s="193">
        <f>(((M35*'Appendix K'!$C$16*1000)-('Appendix K'!$E$42+'Appendix K'!$F$42+'Appendix K'!$H$42+'Appendix K'!$G$42))/((1+$Y$16)^AJ$34))</f>
        <v>1429786.8160609361</v>
      </c>
      <c r="AK35" s="193">
        <f>(((N35*'Appendix K'!$C$17*1000)-('Appendix K'!$E$43+'Appendix K'!$F$43+'Appendix K'!$H$43+'Appendix K'!$G$43))/((1+$Y$16)^AK$34))</f>
        <v>1375189.7067788388</v>
      </c>
      <c r="AL35" s="193">
        <f>(((O35*'Appendix K'!$C$18*1000)-('Appendix K'!$E$44+'Appendix K'!$F$44+'Appendix K'!$H$44+'Appendix K'!$G$44))/((1+$Y$16)^AL$34))</f>
        <v>485240.50689207425</v>
      </c>
      <c r="AM35" s="193">
        <f>(((P35*'Appendix K'!$C$19*1000)-('Appendix K'!$E$45+'Appendix K'!$F$45+'Appendix K'!$H$45+'Appendix K'!$G$45))/((1+$Y$16)^AM$34))</f>
        <v>452854.51392743672</v>
      </c>
      <c r="AN35" s="193">
        <f>(((Q35*'Appendix K'!$C$20*1000)-('Appendix K'!$E$46+'Appendix K'!$F$46+'Appendix K'!$H$46+'Appendix K'!$G$46))/((1+$Y$16)^AN$34))</f>
        <v>11607.553570636917</v>
      </c>
      <c r="AO35" s="193">
        <f>(((R35*'Appendix K'!$C$21*1000)-('Appendix K'!$E$47+'Appendix K'!$F$47+'Appendix K'!$H$47+'Appendix K'!$G$47))/((1+$Y$16)^AO$34))</f>
        <v>121781.09369181804</v>
      </c>
      <c r="AP35" s="193">
        <f>(((S35*'Appendix K'!$C$22*1000)-('Appendix K'!$E$48+'Appendix K'!$F$48+'Appendix K'!$H$48+'Appendix K'!$G$48))/((1+$Y$16)^AP$34))</f>
        <v>116554.51574308</v>
      </c>
      <c r="AQ35" s="193">
        <f>(((T35*'Appendix K'!$C$23*1000)-('Appendix K'!$E$49+'Appendix K'!$F$49+'Appendix K'!$H$49+'Appendix K'!$G$49))/((1+$Y$16)^AQ$34))</f>
        <v>219940.87198193281</v>
      </c>
      <c r="AR35" s="193">
        <f>(((U35*'Appendix K'!$C$24*1000)-('Appendix K'!$E$50+'Appendix K'!$F$50+'Appendix K'!$H$50+'Appendix K'!$G$50))/((1+$Y$16)^AR$34))</f>
        <v>179398.52442745995</v>
      </c>
      <c r="AS35" s="209">
        <f>SUMIF(Y35:AR35,"&gt;0")+X35</f>
        <v>96876561.973595738</v>
      </c>
      <c r="AU35" s="199">
        <f t="shared" ref="AU35:AU98" si="13">_xlfn.NORM.DIST(AS35,$Y$17,$Y$19,FALSE)</f>
        <v>6.9367243827770873E-9</v>
      </c>
      <c r="AW35" s="70">
        <f>AX35*1000000</f>
        <v>10000000</v>
      </c>
      <c r="AX35" s="193">
        <v>10</v>
      </c>
      <c r="AY35">
        <f>COUNTIFS($AS$35:$AS$1034,"&gt;00000000",$AS$35:$AS$1034,"&lt;10000000")</f>
        <v>12</v>
      </c>
      <c r="AZ35" s="106">
        <f>AY35/1000</f>
        <v>1.2E-2</v>
      </c>
    </row>
    <row r="36" spans="1:52" x14ac:dyDescent="0.35">
      <c r="A36">
        <v>2</v>
      </c>
      <c r="B36" s="70">
        <v>56</v>
      </c>
      <c r="C36" s="70">
        <v>110.43640880028218</v>
      </c>
      <c r="D36" s="70">
        <v>128.34505891433557</v>
      </c>
      <c r="E36" s="70">
        <v>132.34293754671211</v>
      </c>
      <c r="F36" s="70">
        <v>181.07286287963689</v>
      </c>
      <c r="G36" s="70">
        <v>171.1124096758908</v>
      </c>
      <c r="H36" s="70">
        <v>257.60698664535215</v>
      </c>
      <c r="I36" s="70">
        <v>311.04406615185587</v>
      </c>
      <c r="J36" s="70">
        <v>474.95997479045911</v>
      </c>
      <c r="K36" s="70">
        <v>500</v>
      </c>
      <c r="L36" s="70">
        <v>500</v>
      </c>
      <c r="M36" s="70">
        <v>500</v>
      </c>
      <c r="N36" s="70">
        <v>500</v>
      </c>
      <c r="O36" s="70">
        <v>500</v>
      </c>
      <c r="P36" s="70">
        <v>424.80178494331221</v>
      </c>
      <c r="Q36" s="70">
        <v>181.5246394955073</v>
      </c>
      <c r="R36" s="70">
        <v>87.318350337152211</v>
      </c>
      <c r="S36" s="70">
        <v>68.371458969308009</v>
      </c>
      <c r="T36" s="70">
        <v>87.982622579067908</v>
      </c>
      <c r="U36" s="70">
        <v>21.424257070118131</v>
      </c>
      <c r="V36" s="70">
        <v>25.670569803072407</v>
      </c>
      <c r="X36" s="193">
        <f>((0-('Appendix K'!$I$30))/(1+$Y$16)^0)</f>
        <v>-33594902.4440751</v>
      </c>
      <c r="Y36" s="193">
        <f>(((B36*'Appendix K'!$C$5*1000)-('Appendix K'!$E$31+'Appendix K'!$F$31+'Appendix K'!$H$31+'Appendix K'!$G$31))/((1+$Y$16)^1))</f>
        <v>34971064.972647354</v>
      </c>
      <c r="Z36" s="193">
        <f>+(((C36*'Appendix K'!$C$6*1000)-('Appendix K'!$E$32+'Appendix K'!$F$32+'Appendix K'!$H$32+'Appendix K'!$G$32))/((1+$Y$16)^2))</f>
        <v>24410878.000668224</v>
      </c>
      <c r="AA36" s="193">
        <f>(((D36*'Appendix K'!$C$7*1000)-('Appendix K'!$E$33+'Appendix K'!$F$33+'Appendix K'!$H$33+'Appendix K'!$G$33))/((1+$Y$16)^3))</f>
        <v>13383037.434131777</v>
      </c>
      <c r="AB36" s="193">
        <f>(((E36*'Appendix K'!$C$8*1000)-('Appendix K'!$E$34+'Appendix K'!$F$34+'Appendix K'!$H$34+'Appendix K'!$G$34))/((1+$Y$16)^4))</f>
        <v>25715152.538397193</v>
      </c>
      <c r="AC36" s="193">
        <f>(((F36*'Appendix K'!$C$9*1000)-('Appendix K'!$E$35+'Appendix K'!$F$35+'Appendix K'!$H$35+'Appendix K'!$G$35))/((1+$Y$16)^AC$34))</f>
        <v>45144654.098829612</v>
      </c>
      <c r="AD36" s="193">
        <f>(((G36*'Appendix K'!$C$10*1000)-('Appendix K'!$E$36+'Appendix K'!$F$36+'Appendix K'!$H$36+'Appendix K'!$G$36))/((1+$Y$16)^AD$34))</f>
        <v>24356405.991190013</v>
      </c>
      <c r="AE36" s="193">
        <f>(((H36*'Appendix K'!$C$11*1000)-('Appendix K'!$E$37+'Appendix K'!$F$37+'Appendix K'!$H$37+'Appendix K'!$G$37))/((1+$Y$16)^AE$34))</f>
        <v>23473169.054328647</v>
      </c>
      <c r="AF36" s="193">
        <f>(((I36*'Appendix K'!$C$12*1000)-('Appendix K'!$E$38+'Appendix K'!$F$38+'Appendix K'!$H$38+'Appendix K'!$G$38))/((1+$Y$16)^AF$34))</f>
        <v>18427329.288977113</v>
      </c>
      <c r="AG36" s="193">
        <f>(((J36*'Appendix K'!$C$13*1000)-('Appendix K'!$E$39+'Appendix K'!$F$39+'Appendix K'!$H$39+'Appendix K'!$G$39))/((1+$Y$16)^AG$34))</f>
        <v>20042207.178430881</v>
      </c>
      <c r="AH36" s="193">
        <f>(((K36*'Appendix K'!$C$14*1000)-('Appendix K'!$E$40+'Appendix K'!$F$40+'Appendix K'!$H$40+'Appendix K'!$G$40))/((1+$Y$16)^AH$34))</f>
        <v>15220522.22201786</v>
      </c>
      <c r="AI36" s="193">
        <f>(((L36*'Appendix K'!$C$15*1000)-('Appendix K'!$E$41+'Appendix K'!$F$41+'Appendix K'!$H$41+'Appendix K'!$G$41))/((1+$Y$16)^AI$34))</f>
        <v>11584453.656253781</v>
      </c>
      <c r="AJ36" s="193">
        <f>(((M36*'Appendix K'!$C$16*1000)-('Appendix K'!$E$42+'Appendix K'!$F$42+'Appendix K'!$H$42+'Appendix K'!$G$42))/((1+$Y$16)^AJ$34))</f>
        <v>8639382.5302660316</v>
      </c>
      <c r="AK36" s="193">
        <f>(((N36*'Appendix K'!$C$17*1000)-('Appendix K'!$E$43+'Appendix K'!$F$43+'Appendix K'!$H$43))/((1+$Y$16)^AK$34))</f>
        <v>6677690.1149291173</v>
      </c>
      <c r="AL36" s="193">
        <f>(((O36*'Appendix K'!$C$18*1000)-('Appendix K'!$E$44+'Appendix K'!$F$44+'Appendix K'!$H$44+'Appendix K'!$G$44))/((1+$Y$16)^AL$34))</f>
        <v>4792058.0003928225</v>
      </c>
      <c r="AM36" s="193">
        <f>(((P36*'Appendix K'!$C$19*1000)-('Appendix K'!$E$45+'Appendix K'!$F$45+'Appendix K'!$H$45+'Appendix K'!$G$45))/((1+$Y$16)^AM$34))</f>
        <v>2910607.8674049838</v>
      </c>
      <c r="AN36" s="193">
        <f>(((Q36*'Appendix K'!$C$20*1000)-('Appendix K'!$E$46+'Appendix K'!$F$46+'Appendix K'!$H$46+'Appendix K'!$G$46))/((1+$Y$16)^AN$34))</f>
        <v>397842.82356435724</v>
      </c>
      <c r="AO36" s="193">
        <f>(((R36*'Appendix K'!$C$21*1000)-('Appendix K'!$E$47+'Appendix K'!$F$47+'Appendix K'!$H$47+'Appendix K'!$G$47))/((1+$Y$16)^AO$34))</f>
        <v>-326937.82795357518</v>
      </c>
      <c r="AP36" s="193">
        <f>(((S36*'Appendix K'!$C$22*1000)-('Appendix K'!$E$48+'Appendix K'!$F$48+'Appendix K'!$H$48+'Appendix K'!$G$48))/((1+$Y$16)^AP$34))</f>
        <v>-436973.13337256672</v>
      </c>
      <c r="AQ36" s="193">
        <f>(((T36*'Appendix K'!$C$23*1000)-('Appendix K'!$E$49+'Appendix K'!$F$49+'Appendix K'!$H$49+'Appendix K'!$G$49))/((1+$Y$16)^AQ$34))</f>
        <v>-349144.17086635297</v>
      </c>
      <c r="AR36" s="193">
        <f>(((U36*'Appendix K'!$C$24*1000)-('Appendix K'!$E$50+'Appendix K'!$F$50+'Appendix K'!$H$50+'Appendix K'!$G$50))/((1+$Y$16)^AR$34))</f>
        <v>-560302.16125929751</v>
      </c>
      <c r="AS36" s="209">
        <f t="shared" ref="AS36:AS99" si="14">SUMIF(Y36:AR36,"&gt;0")+X36</f>
        <v>246551553.32835466</v>
      </c>
      <c r="AU36" s="199">
        <f t="shared" si="13"/>
        <v>1.392617517275282E-10</v>
      </c>
      <c r="AW36" s="70">
        <f t="shared" ref="AW36:AW50" si="15">AX36*1000000</f>
        <v>25000000</v>
      </c>
      <c r="AX36" s="193">
        <v>25</v>
      </c>
      <c r="AY36">
        <f>COUNTIFS($AS$35:$AS$1034,"&gt;10000001",$AS$35:$AS$1034,"&lt;25000000")</f>
        <v>68</v>
      </c>
      <c r="AZ36" s="106">
        <f t="shared" ref="AZ36:AZ50" si="16">AY36/1000</f>
        <v>6.8000000000000005E-2</v>
      </c>
    </row>
    <row r="37" spans="1:52" x14ac:dyDescent="0.35">
      <c r="A37">
        <v>3</v>
      </c>
      <c r="B37" s="70">
        <v>56</v>
      </c>
      <c r="C37" s="70">
        <v>44.472395660075506</v>
      </c>
      <c r="D37" s="70">
        <v>49.404881573325333</v>
      </c>
      <c r="E37" s="70">
        <v>67.715985069796105</v>
      </c>
      <c r="F37" s="70">
        <v>120.59072968867319</v>
      </c>
      <c r="G37" s="70">
        <v>173.94829320027128</v>
      </c>
      <c r="H37" s="70">
        <v>150.47316994868822</v>
      </c>
      <c r="I37" s="70">
        <v>154.60887528773952</v>
      </c>
      <c r="J37" s="70">
        <v>233.71458473099159</v>
      </c>
      <c r="K37" s="70">
        <v>246.85094656153927</v>
      </c>
      <c r="L37" s="70">
        <v>349.05601073275767</v>
      </c>
      <c r="M37" s="70">
        <v>248.44755530370526</v>
      </c>
      <c r="N37" s="70">
        <v>201.91679139093577</v>
      </c>
      <c r="O37" s="70">
        <v>146.94815064454076</v>
      </c>
      <c r="P37" s="70">
        <v>189.20577277636585</v>
      </c>
      <c r="Q37" s="70">
        <v>321.91995031892247</v>
      </c>
      <c r="R37" s="70">
        <v>225.47054287078953</v>
      </c>
      <c r="S37" s="70">
        <v>321.1753667860927</v>
      </c>
      <c r="T37" s="70">
        <v>388.51287017663464</v>
      </c>
      <c r="U37" s="70">
        <v>500</v>
      </c>
      <c r="V37" s="70">
        <v>500</v>
      </c>
      <c r="X37" s="193">
        <f>((0-('Appendix K'!$I$30))/(1+$Y$16)^0)</f>
        <v>-33594902.4440751</v>
      </c>
      <c r="Y37" s="193">
        <f>(((B37*'Appendix K'!$C$5*1000)-('Appendix K'!$E$31+'Appendix K'!$F$31+'Appendix K'!$H$31+'Appendix K'!$G$31))/((1+$Y$16)^1))</f>
        <v>34971064.972647354</v>
      </c>
      <c r="Z37" s="193">
        <f>+(((C37*'Appendix K'!$C$6*1000)-('Appendix K'!$E$32+'Appendix K'!$F$32+'Appendix K'!$H$32+'Appendix K'!$G$32))/((1+$Y$16)^2))</f>
        <v>7747240.0907500824</v>
      </c>
      <c r="AA37" s="193">
        <f>(((D37*'Appendix K'!$C$7*1000)-('Appendix K'!$E$33+'Appendix K'!$F$33+'Appendix K'!$H$33+'Appendix K'!$G$33))/((1+$Y$16)^3))</f>
        <v>3328042.4213660806</v>
      </c>
      <c r="AB37" s="193">
        <f>(((E37*'Appendix K'!$C$8*1000)-('Appendix K'!$E$34+'Appendix K'!$F$34+'Appendix K'!$H$34+'Appendix K'!$G$34))/((1+$Y$16)^4))</f>
        <v>11549516.158265155</v>
      </c>
      <c r="AC37" s="193">
        <f>(((F37*'Appendix K'!$C$9*1000)-('Appendix K'!$E$35+'Appendix K'!$F$35+'Appendix K'!$H$35+'Appendix K'!$G$35))/((1+$Y$16)^AC$34))</f>
        <v>29068598.070663653</v>
      </c>
      <c r="AD37" s="193">
        <f>(((G37*'Appendix K'!$C$10*1000)-('Appendix K'!$E$36+'Appendix K'!$F$36+'Appendix K'!$H$36+'Appendix K'!$G$36))/((1+$Y$16)^AD$34))</f>
        <v>24801764.345898747</v>
      </c>
      <c r="AE37" s="193">
        <f>(((H37*'Appendix K'!$C$11*1000)-('Appendix K'!$E$37+'Appendix K'!$F$37+'Appendix K'!$H$37+'Appendix K'!$G$37))/((1+$Y$16)^AE$34))</f>
        <v>12787896.208800958</v>
      </c>
      <c r="AF37" s="193">
        <f>(((I37*'Appendix K'!$C$12*1000)-('Appendix K'!$E$38+'Appendix K'!$F$38+'Appendix K'!$H$38+'Appendix K'!$G$38))/((1+$Y$16)^AF$34))</f>
        <v>8155414.9825240122</v>
      </c>
      <c r="AG37" s="193">
        <f>(((J37*'Appendix K'!$C$13*1000)-('Appendix K'!$E$39+'Appendix K'!$F$39+'Appendix K'!$H$39+'Appendix K'!$G$39))/((1+$Y$16)^AG$34))</f>
        <v>8940351.8424409386</v>
      </c>
      <c r="AH37" s="193">
        <f>(((K37*'Appendix K'!$C$14*1000)-('Appendix K'!$E$40+'Appendix K'!$F$40+'Appendix K'!$H$40+'Appendix K'!$G$40))/((1+$Y$16)^AH$34))</f>
        <v>6687746.8789990311</v>
      </c>
      <c r="AI37" s="193">
        <f>(((L37*'Appendix K'!$C$15*1000)-('Appendix K'!$E$41+'Appendix K'!$F$41+'Appendix K'!$H$41+'Appendix K'!$G$41))/((1+$Y$16)^AI$34))</f>
        <v>7629438.8708080016</v>
      </c>
      <c r="AJ37" s="193">
        <f>(((M37*'Appendix K'!$C$16*1000)-('Appendix K'!$E$42+'Appendix K'!$F$42+'Appendix K'!$H$42+'Appendix K'!$G$42))/((1+$Y$16)^AJ$34))</f>
        <v>3597801.8956853095</v>
      </c>
      <c r="AK37" s="193">
        <f>(((N37*'Appendix K'!$C$17*1000)-('Appendix K'!$E$43+'Appendix K'!$F$43+'Appendix K'!$H$43))/((1+$Y$16)^AK$34))</f>
        <v>2097970.2625295143</v>
      </c>
      <c r="AL37" s="193">
        <f>(((O37*'Appendix K'!$C$18*1000)-('Appendix K'!$E$44+'Appendix K'!$F$44+'Appendix K'!$H$44+'Appendix K'!$G$44))/((1+$Y$16)^AL$34))</f>
        <v>607230.54372529022</v>
      </c>
      <c r="AM37" s="193">
        <f>(((P37*'Appendix K'!$C$19*1000)-('Appendix K'!$E$45+'Appendix K'!$F$45+'Appendix K'!$H$45+'Appendix K'!$G$45))/((1+$Y$16)^AM$34))</f>
        <v>726931.61930056661</v>
      </c>
      <c r="AN37" s="193">
        <f>(((Q37*'Appendix K'!$C$20*1000)-('Appendix K'!$E$46+'Appendix K'!$F$46+'Appendix K'!$H$46+'Appendix K'!$G$46))/((1+$Y$16)^AN$34))</f>
        <v>1413773.7431458042</v>
      </c>
      <c r="AO37" s="193">
        <f>(((R37*'Appendix K'!$C$21*1000)-('Appendix K'!$E$47+'Appendix K'!$F$47+'Appendix K'!$H$47+'Appendix K'!$G$47))/((1+$Y$16)^AO$34))</f>
        <v>489556.89298001124</v>
      </c>
      <c r="AP37" s="193">
        <f>(((S37*'Appendix K'!$C$22*1000)-('Appendix K'!$E$48+'Appendix K'!$F$48+'Appendix K'!$H$48+'Appendix K'!$G$48))/((1+$Y$16)^AP$34))</f>
        <v>773886.63355097186</v>
      </c>
      <c r="AQ37" s="193">
        <f>(((T37*'Appendix K'!$C$23*1000)-('Appendix K'!$E$49+'Appendix K'!$F$49+'Appendix K'!$H$49+'Appendix K'!$G$49))/((1+$Y$16)^AQ$34))</f>
        <v>827054.28051398194</v>
      </c>
      <c r="AR37" s="193">
        <f>(((U37*'Appendix K'!$C$24*1000)-('Appendix K'!$E$50+'Appendix K'!$F$50+'Appendix K'!$H$50+'Appendix K'!$G$50))/((1+$Y$16)^AR$34))</f>
        <v>980725.14012097823</v>
      </c>
      <c r="AS37" s="209">
        <f t="shared" si="14"/>
        <v>133587103.41064134</v>
      </c>
      <c r="AU37" s="199">
        <f t="shared" si="13"/>
        <v>5.0635470158063754E-9</v>
      </c>
      <c r="AW37" s="212">
        <f t="shared" si="15"/>
        <v>40000000</v>
      </c>
      <c r="AX37" s="193">
        <v>40</v>
      </c>
      <c r="AY37">
        <f>COUNTIFS($AS$35:$AS$1034,"&gt;25000001",$AS$35:$AS$1034,"&lt;40000000")</f>
        <v>121</v>
      </c>
      <c r="AZ37" s="106">
        <f t="shared" si="16"/>
        <v>0.121</v>
      </c>
    </row>
    <row r="38" spans="1:52" x14ac:dyDescent="0.35">
      <c r="A38">
        <v>4</v>
      </c>
      <c r="B38" s="70">
        <v>56</v>
      </c>
      <c r="C38" s="70">
        <v>81.060360836059644</v>
      </c>
      <c r="D38" s="70">
        <v>87.420969771181106</v>
      </c>
      <c r="E38" s="70">
        <v>88.464938764077345</v>
      </c>
      <c r="F38" s="70">
        <v>127.07758584498369</v>
      </c>
      <c r="G38" s="70">
        <v>55.506491958187453</v>
      </c>
      <c r="H38" s="70">
        <v>55.959756898257154</v>
      </c>
      <c r="I38" s="70">
        <v>58.286529219274186</v>
      </c>
      <c r="J38" s="70">
        <v>65.712140980853462</v>
      </c>
      <c r="K38" s="70">
        <v>87.209181133702003</v>
      </c>
      <c r="L38" s="70">
        <v>105.38478463716375</v>
      </c>
      <c r="M38" s="70">
        <v>192.44867734932359</v>
      </c>
      <c r="N38" s="70">
        <v>226.59175773612191</v>
      </c>
      <c r="O38" s="70">
        <v>268.58846179523476</v>
      </c>
      <c r="P38" s="70">
        <v>351.01694258803127</v>
      </c>
      <c r="Q38" s="70">
        <v>394.97403764152443</v>
      </c>
      <c r="R38" s="70">
        <v>500</v>
      </c>
      <c r="S38" s="70">
        <v>500</v>
      </c>
      <c r="T38" s="70">
        <v>485.13311264048724</v>
      </c>
      <c r="U38" s="70">
        <v>500</v>
      </c>
      <c r="V38" s="70">
        <v>495.05628697445252</v>
      </c>
      <c r="X38" s="193">
        <f>((0-('Appendix K'!$I$30))/(1+$Y$16)^0)</f>
        <v>-33594902.4440751</v>
      </c>
      <c r="Y38" s="193">
        <f>(((B38*'Appendix K'!$C$5*1000)-('Appendix K'!$E$31+'Appendix K'!$F$31+'Appendix K'!$H$31+'Appendix K'!$G$31))/((1+$Y$16)^1))</f>
        <v>34971064.972647354</v>
      </c>
      <c r="Z38" s="193">
        <f>+(((C38*'Appendix K'!$C$6*1000)-('Appendix K'!$E$32+'Appendix K'!$F$32+'Appendix K'!$H$32+'Appendix K'!$G$32))/((1+$Y$16)^2))</f>
        <v>16989985.86271213</v>
      </c>
      <c r="AA38" s="193">
        <f>(((D38*'Appendix K'!$C$7*1000)-('Appendix K'!$E$33+'Appendix K'!$F$33+'Appendix K'!$H$33+'Appendix K'!$G$33))/((1+$Y$16)^3))</f>
        <v>8170336.8031360703</v>
      </c>
      <c r="AB38" s="193">
        <f>(((E38*'Appendix K'!$C$8*1000)-('Appendix K'!$E$34+'Appendix K'!$F$34+'Appendix K'!$H$34+'Appendix K'!$G$34))/((1+$Y$16)^4))</f>
        <v>16097496.869662168</v>
      </c>
      <c r="AC38" s="193">
        <f>(((F38*'Appendix K'!$C$9*1000)-('Appendix K'!$E$35+'Appendix K'!$F$35+'Appendix K'!$H$35+'Appendix K'!$G$35))/((1+$Y$16)^AC$34))</f>
        <v>30792794.250818904</v>
      </c>
      <c r="AD38" s="193">
        <f>(((G38*'Appendix K'!$C$10*1000)-('Appendix K'!$E$36+'Appendix K'!$F$36+'Appendix K'!$H$36+'Appendix K'!$G$36))/((1+$Y$16)^AD$34))</f>
        <v>6201195.8541315412</v>
      </c>
      <c r="AE38" s="193">
        <f>(((H38*'Appendix K'!$C$11*1000)-('Appendix K'!$E$37+'Appendix K'!$F$37+'Appendix K'!$H$37+'Appendix K'!$G$37))/((1+$Y$16)^AE$34))</f>
        <v>3361352.4979078448</v>
      </c>
      <c r="AF38" s="193">
        <f>(((I38*'Appendix K'!$C$12*1000)-('Appendix K'!$E$38+'Appendix K'!$F$38+'Appendix K'!$H$38+'Appendix K'!$G$38))/((1+$Y$16)^AF$34))</f>
        <v>1830655.9615743896</v>
      </c>
      <c r="AG38" s="193">
        <f>(((J38*'Appendix K'!$C$13*1000)-('Appendix K'!$E$39+'Appendix K'!$F$39+'Appendix K'!$H$39+'Appendix K'!$G$39))/((1+$Y$16)^AG$34))</f>
        <v>1209058.7132870075</v>
      </c>
      <c r="AH38" s="193">
        <f>(((K38*'Appendix K'!$C$14*1000)-('Appendix K'!$E$40+'Appendix K'!$F$40+'Appendix K'!$H$40+'Appendix K'!$G$40))/((1+$Y$16)^AH$34))</f>
        <v>1306777.4412057879</v>
      </c>
      <c r="AI38" s="193">
        <f>(((L38*'Appendix K'!$C$15*1000)-('Appendix K'!$E$41+'Appendix K'!$F$41+'Appendix K'!$H$41+'Appendix K'!$G$41))/((1+$Y$16)^AI$34))</f>
        <v>1244797.0796762707</v>
      </c>
      <c r="AJ38" s="193">
        <f>(((M38*'Appendix K'!$C$16*1000)-('Appendix K'!$E$42+'Appendix K'!$F$42+'Appendix K'!$H$42+'Appendix K'!$G$42))/((1+$Y$16)^AJ$34))</f>
        <v>2475479.8328092564</v>
      </c>
      <c r="AK38" s="193">
        <f>(((N38*'Appendix K'!$C$17*1000)-('Appendix K'!$E$43+'Appendix K'!$F$43+'Appendix K'!$H$43))/((1+$Y$16)^AK$34))</f>
        <v>2477073.9153506504</v>
      </c>
      <c r="AL38" s="193">
        <f>(((O38*'Appendix K'!$C$18*1000)-('Appendix K'!$E$44+'Appendix K'!$F$44+'Appendix K'!$H$44+'Appendix K'!$G$44))/((1+$Y$16)^AL$34))</f>
        <v>2049068.9447146347</v>
      </c>
      <c r="AM38" s="193">
        <f>(((P38*'Appendix K'!$C$19*1000)-('Appendix K'!$E$45+'Appendix K'!$F$45+'Appendix K'!$H$45+'Appendix K'!$G$45))/((1+$Y$16)^AM$34))</f>
        <v>2226715.9532787697</v>
      </c>
      <c r="AN38" s="193">
        <f>(((Q38*'Appendix K'!$C$20*1000)-('Appendix K'!$E$46+'Appendix K'!$F$46+'Appendix K'!$H$46+'Appendix K'!$G$46))/((1+$Y$16)^AN$34))</f>
        <v>1942408.9637778052</v>
      </c>
      <c r="AO38" s="193">
        <f>(((R38*'Appendix K'!$C$21*1000)-('Appendix K'!$E$47+'Appendix K'!$F$47+'Appendix K'!$H$47+'Appendix K'!$G$47))/((1+$Y$16)^AO$34))</f>
        <v>2112056.3146391152</v>
      </c>
      <c r="AP38" s="193">
        <f>(((S38*'Appendix K'!$C$22*1000)-('Appendix K'!$E$48+'Appendix K'!$F$48+'Appendix K'!$H$48+'Appendix K'!$G$48))/((1+$Y$16)^AP$34))</f>
        <v>1630406.4380253027</v>
      </c>
      <c r="AQ38" s="193">
        <f>(((T38*'Appendix K'!$C$23*1000)-('Appendix K'!$E$49+'Appendix K'!$F$49+'Appendix K'!$H$49+'Appendix K'!$G$49))/((1+$Y$16)^AQ$34))</f>
        <v>1205201.1741010619</v>
      </c>
      <c r="AR38" s="193">
        <f>(((U38*'Appendix K'!$C$24*1000)-('Appendix K'!$E$50+'Appendix K'!$F$50+'Appendix K'!$H$50+'Appendix K'!$G$50))/((1+$Y$16)^AR$34))</f>
        <v>980725.14012097823</v>
      </c>
      <c r="AS38" s="209">
        <f t="shared" si="14"/>
        <v>105679750.53950194</v>
      </c>
      <c r="AU38" s="199">
        <f t="shared" si="13"/>
        <v>6.68248196872932E-9</v>
      </c>
      <c r="AW38" s="212">
        <f t="shared" si="15"/>
        <v>55000000</v>
      </c>
      <c r="AX38" s="193">
        <v>55</v>
      </c>
      <c r="AY38">
        <f>COUNTIFS($AS$35:$AS$1034,"&gt;40000001",$AS$35:$AS$1034,"&lt;55000000")</f>
        <v>135</v>
      </c>
      <c r="AZ38" s="106">
        <f t="shared" si="16"/>
        <v>0.13500000000000001</v>
      </c>
    </row>
    <row r="39" spans="1:52" x14ac:dyDescent="0.35">
      <c r="A39">
        <v>5</v>
      </c>
      <c r="B39" s="70">
        <v>56</v>
      </c>
      <c r="C39" s="70">
        <v>65.262774690317201</v>
      </c>
      <c r="D39" s="70">
        <v>89.93861280830869</v>
      </c>
      <c r="E39" s="70">
        <v>129.37627786488378</v>
      </c>
      <c r="F39" s="70">
        <v>102.45986021553847</v>
      </c>
      <c r="G39" s="70">
        <v>88.664727380668509</v>
      </c>
      <c r="H39" s="70">
        <v>48.440340406650265</v>
      </c>
      <c r="I39" s="70">
        <v>33.958325620242931</v>
      </c>
      <c r="J39" s="70">
        <v>50.54140391283417</v>
      </c>
      <c r="K39" s="70">
        <v>45.746271605957126</v>
      </c>
      <c r="L39" s="70">
        <v>45.631372536176769</v>
      </c>
      <c r="M39" s="70">
        <v>32.608839807975997</v>
      </c>
      <c r="N39" s="70">
        <v>42.493725065082081</v>
      </c>
      <c r="O39" s="70">
        <v>48.949143645770974</v>
      </c>
      <c r="P39" s="70">
        <v>57.447034016094996</v>
      </c>
      <c r="Q39" s="70">
        <v>81.099443119541633</v>
      </c>
      <c r="R39" s="70">
        <v>66.925830189529577</v>
      </c>
      <c r="S39" s="70">
        <v>101.06970276187585</v>
      </c>
      <c r="T39" s="70">
        <v>159.35053300663313</v>
      </c>
      <c r="U39" s="70">
        <v>231.93331702474381</v>
      </c>
      <c r="V39" s="70">
        <v>324.54624711474082</v>
      </c>
      <c r="X39" s="193">
        <f>((0-('Appendix K'!$I$30))/(1+$Y$16)^0)</f>
        <v>-33594902.4440751</v>
      </c>
      <c r="Y39" s="193">
        <f>(((B39*'Appendix K'!$C$5*1000)-('Appendix K'!$E$31+'Appendix K'!$F$31+'Appendix K'!$H$31+'Appendix K'!$G$31))/((1+$Y$16)^1))</f>
        <v>34971064.972647354</v>
      </c>
      <c r="Z39" s="193">
        <f>+(((C39*'Appendix K'!$C$6*1000)-('Appendix K'!$E$32+'Appendix K'!$F$32+'Appendix K'!$H$32+'Appendix K'!$G$32))/((1+$Y$16)^2))</f>
        <v>12999245.414221479</v>
      </c>
      <c r="AA39" s="193">
        <f>(((D39*'Appendix K'!$C$7*1000)-('Appendix K'!$E$33+'Appendix K'!$F$33+'Appendix K'!$H$33+'Appendix K'!$G$33))/((1+$Y$16)^3))</f>
        <v>8491021.2636343725</v>
      </c>
      <c r="AB39" s="193">
        <f>(((E39*'Appendix K'!$C$8*1000)-('Appendix K'!$E$34+'Appendix K'!$F$34+'Appendix K'!$H$34+'Appendix K'!$G$34))/((1+$Y$16)^4))</f>
        <v>25064887.893295921</v>
      </c>
      <c r="AC39" s="193">
        <f>(((F39*'Appendix K'!$C$9*1000)-('Appendix K'!$E$35+'Appendix K'!$F$35+'Appendix K'!$H$35+'Appendix K'!$G$35))/((1+$Y$16)^AC$34))</f>
        <v>24249441.435278565</v>
      </c>
      <c r="AD39" s="193">
        <f>(((G39*'Appendix K'!$C$10*1000)-('Appendix K'!$E$36+'Appendix K'!$F$36+'Appendix K'!$H$36+'Appendix K'!$G$36))/((1+$Y$16)^AD$34))</f>
        <v>11408496.170186322</v>
      </c>
      <c r="AE39" s="193">
        <f>(((H39*'Appendix K'!$C$11*1000)-('Appendix K'!$E$37+'Appendix K'!$F$37+'Appendix K'!$H$37+'Appendix K'!$G$37))/((1+$Y$16)^AE$34))</f>
        <v>2611383.7268010261</v>
      </c>
      <c r="AF39" s="193">
        <f>(((I39*'Appendix K'!$C$12*1000)-('Appendix K'!$E$38+'Appendix K'!$F$38+'Appendix K'!$H$38+'Appendix K'!$G$38))/((1+$Y$16)^AF$34))</f>
        <v>233207.0677621263</v>
      </c>
      <c r="AG39" s="193">
        <f>(((J39*'Appendix K'!$C$13*1000)-('Appendix K'!$E$39+'Appendix K'!$F$39+'Appendix K'!$H$39+'Appendix K'!$G$39))/((1+$Y$16)^AG$34))</f>
        <v>510917.58724114287</v>
      </c>
      <c r="AH39" s="193">
        <f>(((K39*'Appendix K'!$C$14*1000)-('Appendix K'!$E$40+'Appendix K'!$F$40+'Appendix K'!$H$40+'Appendix K'!$G$40))/((1+$Y$16)^AH$34))</f>
        <v>-90793.228179185564</v>
      </c>
      <c r="AI39" s="193">
        <f>(((L39*'Appendix K'!$C$15*1000)-('Appendix K'!$E$41+'Appendix K'!$F$41+'Appendix K'!$H$41+'Appendix K'!$G$41))/((1+$Y$16)^AI$34))</f>
        <v>-320854.05679813289</v>
      </c>
      <c r="AJ39" s="193">
        <f>(((M39*'Appendix K'!$C$16*1000)-('Appendix K'!$E$42+'Appendix K'!$F$42+'Appendix K'!$H$42+'Appendix K'!$G$42))/((1+$Y$16)^AJ$34))</f>
        <v>-728008.92897122714</v>
      </c>
      <c r="AK39" s="193">
        <f>(((N39*'Appendix K'!$C$17*1000)-('Appendix K'!$E$43+'Appendix K'!$F$43+'Appendix K'!$H$43))/((1+$Y$16)^AK$34))</f>
        <v>-351389.38167799608</v>
      </c>
      <c r="AL39" s="193">
        <f>(((O39*'Appendix K'!$C$18*1000)-('Appendix K'!$E$44+'Appendix K'!$F$44+'Appendix K'!$H$44+'Appendix K'!$G$44))/((1+$Y$16)^AL$34))</f>
        <v>-554380.52264728735</v>
      </c>
      <c r="AM39" s="193">
        <f>(((P39*'Appendix K'!$C$19*1000)-('Appendix K'!$E$45+'Appendix K'!$F$45+'Appendix K'!$H$45+'Appendix K'!$G$45))/((1+$Y$16)^AM$34))</f>
        <v>-494304.79155649536</v>
      </c>
      <c r="AN39" s="193">
        <f>(((Q39*'Appendix K'!$C$20*1000)-('Appendix K'!$E$46+'Appendix K'!$F$46+'Appendix K'!$H$46+'Appendix K'!$G$46))/((1+$Y$16)^AN$34))</f>
        <v>-328855.67872184946</v>
      </c>
      <c r="AO39" s="193">
        <f>(((R39*'Appendix K'!$C$21*1000)-('Appendix K'!$E$47+'Appendix K'!$F$47+'Appendix K'!$H$47+'Appendix K'!$G$47))/((1+$Y$16)^AO$34))</f>
        <v>-447459.87499247142</v>
      </c>
      <c r="AP39" s="193">
        <f>(((S39*'Appendix K'!$C$22*1000)-('Appendix K'!$E$48+'Appendix K'!$F$48+'Appendix K'!$H$48+'Appendix K'!$G$48))/((1+$Y$16)^AP$34))</f>
        <v>-280357.72264018172</v>
      </c>
      <c r="AQ39" s="193">
        <f>(((T39*'Appendix K'!$C$23*1000)-('Appendix K'!$E$49+'Appendix K'!$F$49+'Appendix K'!$H$49+'Appendix K'!$G$49))/((1+$Y$16)^AQ$34))</f>
        <v>-69828.440106504146</v>
      </c>
      <c r="AR39" s="193">
        <f>(((U39*'Appendix K'!$C$24*1000)-('Appendix K'!$E$50+'Appendix K'!$F$50+'Appendix K'!$H$50+'Appendix K'!$G$50))/((1+$Y$16)^AR$34))</f>
        <v>117542.91001817583</v>
      </c>
      <c r="AS39" s="209">
        <f t="shared" si="14"/>
        <v>87062305.997011393</v>
      </c>
      <c r="AU39" s="199">
        <f t="shared" si="13"/>
        <v>7.0293378672811875E-9</v>
      </c>
      <c r="AW39" s="212">
        <f t="shared" si="15"/>
        <v>70000000</v>
      </c>
      <c r="AX39" s="193">
        <v>70</v>
      </c>
      <c r="AY39">
        <f>COUNTIFS($AS$35:$AS$1034,"&gt;55000001",$AS$35:$AS$1034,"&lt;70000000")</f>
        <v>107</v>
      </c>
      <c r="AZ39" s="106">
        <f t="shared" si="16"/>
        <v>0.107</v>
      </c>
    </row>
    <row r="40" spans="1:52" x14ac:dyDescent="0.35">
      <c r="A40">
        <v>6</v>
      </c>
      <c r="B40" s="70">
        <v>56</v>
      </c>
      <c r="C40" s="70">
        <v>49.511367808207609</v>
      </c>
      <c r="D40" s="70">
        <v>32.265368717350718</v>
      </c>
      <c r="E40" s="70">
        <v>32.312383356118261</v>
      </c>
      <c r="F40" s="70">
        <v>34.238405768898829</v>
      </c>
      <c r="G40" s="70">
        <v>38.305460685879638</v>
      </c>
      <c r="H40" s="70">
        <v>29.457981533396861</v>
      </c>
      <c r="I40" s="70">
        <v>45.775565503358166</v>
      </c>
      <c r="J40" s="70">
        <v>52.505819775890338</v>
      </c>
      <c r="K40" s="70">
        <v>64.346428065207959</v>
      </c>
      <c r="L40" s="70">
        <v>86.883011130530022</v>
      </c>
      <c r="M40" s="70">
        <v>94.827172620710584</v>
      </c>
      <c r="N40" s="70">
        <v>120.98564963773404</v>
      </c>
      <c r="O40" s="70">
        <v>108.95713062447756</v>
      </c>
      <c r="P40" s="70">
        <v>150.3443432124086</v>
      </c>
      <c r="Q40" s="70">
        <v>210.67484302584495</v>
      </c>
      <c r="R40" s="70">
        <v>199.48614595724163</v>
      </c>
      <c r="S40" s="70">
        <v>251.00193380142665</v>
      </c>
      <c r="T40" s="70">
        <v>379.58570682047946</v>
      </c>
      <c r="U40" s="70">
        <v>215.8913026805451</v>
      </c>
      <c r="V40" s="70">
        <v>165.41682080496759</v>
      </c>
      <c r="X40" s="193">
        <f>((0-('Appendix K'!$I$30))/(1+$Y$16)^0)</f>
        <v>-33594902.4440751</v>
      </c>
      <c r="Y40" s="193">
        <f>(((B40*'Appendix K'!$C$5*1000)-('Appendix K'!$E$31+'Appendix K'!$F$31+'Appendix K'!$H$31+'Appendix K'!$G$31))/((1+$Y$16)^1))</f>
        <v>34971064.972647354</v>
      </c>
      <c r="Z40" s="193">
        <f>+(((C40*'Appendix K'!$C$6*1000)-('Appendix K'!$E$32+'Appendix K'!$F$32+'Appendix K'!$H$32+'Appendix K'!$G$32))/((1+$Y$16)^2))</f>
        <v>9020170.6375341658</v>
      </c>
      <c r="AA40" s="193">
        <f>(((D40*'Appendix K'!$C$7*1000)-('Appendix K'!$E$33+'Appendix K'!$F$33+'Appendix K'!$H$33+'Appendix K'!$G$33))/((1+$Y$16)^3))</f>
        <v>1144899.1590500609</v>
      </c>
      <c r="AB40" s="193">
        <f>(((E40*'Appendix K'!$C$8*1000)-('Appendix K'!$E$34+'Appendix K'!$F$34+'Appendix K'!$H$34+'Appendix K'!$G$34))/((1+$Y$16)^4))</f>
        <v>3789370.7514070002</v>
      </c>
      <c r="AC40" s="193">
        <f>(((F40*'Appendix K'!$C$9*1000)-('Appendix K'!$E$35+'Appendix K'!$F$35+'Appendix K'!$H$35+'Appendix K'!$G$35))/((1+$Y$16)^AC$34))</f>
        <v>6116285.9702691464</v>
      </c>
      <c r="AD40" s="193">
        <f>(((G40*'Appendix K'!$C$10*1000)-('Appendix K'!$E$36+'Appendix K'!$F$36+'Appendix K'!$H$36+'Appendix K'!$G$36))/((1+$Y$16)^AD$34))</f>
        <v>3499877.9329725602</v>
      </c>
      <c r="AE40" s="193">
        <f>(((H40*'Appendix K'!$C$11*1000)-('Appendix K'!$E$37+'Appendix K'!$F$37+'Appendix K'!$H$37+'Appendix K'!$G$37))/((1+$Y$16)^AE$34))</f>
        <v>718128.26305955637</v>
      </c>
      <c r="AF40" s="193">
        <f>(((I40*'Appendix K'!$C$12*1000)-('Appendix K'!$E$38+'Appendix K'!$F$38+'Appendix K'!$H$38+'Appendix K'!$G$38))/((1+$Y$16)^AF$34))</f>
        <v>1009155.7193899964</v>
      </c>
      <c r="AG40" s="193">
        <f>(((J40*'Appendix K'!$C$13*1000)-('Appendix K'!$E$39+'Appendix K'!$F$39+'Appendix K'!$H$39+'Appendix K'!$G$39))/((1+$Y$16)^AG$34))</f>
        <v>601317.90836643986</v>
      </c>
      <c r="AH40" s="193">
        <f>(((K40*'Appendix K'!$C$14*1000)-('Appendix K'!$E$40+'Appendix K'!$F$40+'Appendix K'!$H$40+'Appendix K'!$G$40))/((1+$Y$16)^AH$34))</f>
        <v>536153.44318322465</v>
      </c>
      <c r="AI40" s="193">
        <f>(((L40*'Appendix K'!$C$15*1000)-('Appendix K'!$E$41+'Appendix K'!$F$41+'Appendix K'!$H$41+'Appendix K'!$G$41))/((1+$Y$16)^AI$34))</f>
        <v>760016.01531635551</v>
      </c>
      <c r="AJ40" s="193">
        <f>(((M40*'Appendix K'!$C$16*1000)-('Appendix K'!$E$42+'Appendix K'!$F$42+'Appendix K'!$H$42+'Appendix K'!$G$42))/((1+$Y$16)^AJ$34))</f>
        <v>518962.62085128721</v>
      </c>
      <c r="AK40" s="193">
        <f>(((N40*'Appendix K'!$C$17*1000)-('Appendix K'!$E$43+'Appendix K'!$F$43+'Appendix K'!$H$43))/((1+$Y$16)^AK$34))</f>
        <v>854552.49910024053</v>
      </c>
      <c r="AL40" s="193">
        <f>(((O40*'Appendix K'!$C$18*1000)-('Appendix K'!$E$44+'Appendix K'!$F$44+'Appendix K'!$H$44+'Appendix K'!$G$44))/((1+$Y$16)^AL$34))</f>
        <v>156911.80448906985</v>
      </c>
      <c r="AM40" s="193">
        <f>(((P40*'Appendix K'!$C$19*1000)-('Appendix K'!$E$45+'Appendix K'!$F$45+'Appendix K'!$H$45+'Appendix K'!$G$45))/((1+$Y$16)^AM$34))</f>
        <v>366735.45160795393</v>
      </c>
      <c r="AN40" s="193">
        <f>(((Q40*'Appendix K'!$C$20*1000)-('Appendix K'!$E$46+'Appendix K'!$F$46+'Appendix K'!$H$46+'Appendix K'!$G$46))/((1+$Y$16)^AN$34))</f>
        <v>608780.01872332208</v>
      </c>
      <c r="AO40" s="193">
        <f>(((R40*'Appendix K'!$C$21*1000)-('Appendix K'!$E$47+'Appendix K'!$F$47+'Appendix K'!$H$47+'Appendix K'!$G$47))/((1+$Y$16)^AO$34))</f>
        <v>335986.23646372661</v>
      </c>
      <c r="AP40" s="193">
        <f>(((S40*'Appendix K'!$C$22*1000)-('Appendix K'!$E$48+'Appendix K'!$F$48+'Appendix K'!$H$48+'Appendix K'!$G$48))/((1+$Y$16)^AP$34))</f>
        <v>437775.58431189944</v>
      </c>
      <c r="AQ40" s="193">
        <f>(((T40*'Appendix K'!$C$23*1000)-('Appendix K'!$E$49+'Appendix K'!$F$49+'Appendix K'!$H$49+'Appendix K'!$G$49))/((1+$Y$16)^AQ$34))</f>
        <v>792115.6485504217</v>
      </c>
      <c r="AR40" s="193">
        <f>(((U40*'Appendix K'!$C$24*1000)-('Appendix K'!$E$50+'Appendix K'!$F$50+'Appendix K'!$H$50+'Appendix K'!$G$50))/((1+$Y$16)^AR$34))</f>
        <v>65887.174350924775</v>
      </c>
      <c r="AS40" s="209">
        <f t="shared" si="14"/>
        <v>32709245.367569596</v>
      </c>
      <c r="AU40" s="199">
        <f t="shared" si="13"/>
        <v>4.402157614503287E-9</v>
      </c>
      <c r="AW40" s="212">
        <f t="shared" si="15"/>
        <v>85000000</v>
      </c>
      <c r="AX40" s="193">
        <v>85</v>
      </c>
      <c r="AY40">
        <f>COUNTIFS($AS$35:$AS$1034,"&gt;70000001",$AS$35:$AS$1034,"&lt;85000000")</f>
        <v>113</v>
      </c>
      <c r="AZ40" s="106">
        <f t="shared" si="16"/>
        <v>0.113</v>
      </c>
    </row>
    <row r="41" spans="1:52" x14ac:dyDescent="0.35">
      <c r="A41">
        <v>7</v>
      </c>
      <c r="B41" s="70">
        <v>56</v>
      </c>
      <c r="C41" s="70">
        <v>68.133918830745856</v>
      </c>
      <c r="D41" s="70">
        <v>36.961097925958818</v>
      </c>
      <c r="E41" s="70">
        <v>38.537053449659481</v>
      </c>
      <c r="F41" s="70">
        <v>37.774377394169782</v>
      </c>
      <c r="G41" s="70">
        <v>40.931787358416699</v>
      </c>
      <c r="H41" s="70">
        <v>31.490548359612323</v>
      </c>
      <c r="I41" s="70">
        <v>30.465545649512865</v>
      </c>
      <c r="J41" s="70">
        <v>40.720835496186204</v>
      </c>
      <c r="K41" s="70">
        <v>38.425060262433341</v>
      </c>
      <c r="L41" s="70">
        <v>29.157575082862397</v>
      </c>
      <c r="M41" s="70">
        <v>34.382125007310719</v>
      </c>
      <c r="N41" s="70">
        <v>32.425145166636675</v>
      </c>
      <c r="O41" s="70">
        <v>53.201803194337202</v>
      </c>
      <c r="P41" s="70">
        <v>37.132103249327287</v>
      </c>
      <c r="Q41" s="70">
        <v>42.068684305360641</v>
      </c>
      <c r="R41" s="70">
        <v>67.887631676251402</v>
      </c>
      <c r="S41" s="70">
        <v>89.012861032346038</v>
      </c>
      <c r="T41" s="70">
        <v>73.185450180966953</v>
      </c>
      <c r="U41" s="70">
        <v>99.737866733533252</v>
      </c>
      <c r="V41" s="70">
        <v>80.527404894136922</v>
      </c>
      <c r="X41" s="193">
        <f>((0-('Appendix K'!$I$30))/(1+$Y$16)^0)</f>
        <v>-33594902.4440751</v>
      </c>
      <c r="Y41" s="193">
        <f>(((B41*'Appendix K'!$C$5*1000)-('Appendix K'!$E$31+'Appendix K'!$F$31+'Appendix K'!$H$31+'Appendix K'!$G$31))/((1+$Y$16)^1))</f>
        <v>34971064.972647354</v>
      </c>
      <c r="Z41" s="193">
        <f>+(((C41*'Appendix K'!$C$6*1000)-('Appendix K'!$E$32+'Appendix K'!$F$32+'Appendix K'!$H$32+'Appendix K'!$G$32))/((1+$Y$16)^2))</f>
        <v>13724545.529628262</v>
      </c>
      <c r="AA41" s="193">
        <f>(((D41*'Appendix K'!$C$7*1000)-('Appendix K'!$E$33+'Appendix K'!$F$33+'Appendix K'!$H$33+'Appendix K'!$G$33))/((1+$Y$16)^3))</f>
        <v>1743017.0676264286</v>
      </c>
      <c r="AB41" s="193">
        <f>(((E41*'Appendix K'!$C$8*1000)-('Appendix K'!$E$34+'Appendix K'!$F$34+'Appendix K'!$H$34+'Appendix K'!$G$34))/((1+$Y$16)^4))</f>
        <v>5153761.4545410061</v>
      </c>
      <c r="AC41" s="193">
        <f>(((F41*'Appendix K'!$C$9*1000)-('Appendix K'!$E$35+'Appendix K'!$F$35+'Appendix K'!$H$35+'Appendix K'!$G$35))/((1+$Y$16)^AC$34))</f>
        <v>7056141.675794323</v>
      </c>
      <c r="AD41" s="193">
        <f>(((G41*'Appendix K'!$C$10*1000)-('Appendix K'!$E$36+'Appendix K'!$F$36+'Appendix K'!$H$36+'Appendix K'!$G$36))/((1+$Y$16)^AD$34))</f>
        <v>3912326.6516004838</v>
      </c>
      <c r="AE41" s="193">
        <f>(((H41*'Appendix K'!$C$11*1000)-('Appendix K'!$E$37+'Appendix K'!$F$37+'Appendix K'!$H$37+'Appendix K'!$G$37))/((1+$Y$16)^AE$34))</f>
        <v>920851.65875798254</v>
      </c>
      <c r="AF41" s="193">
        <f>(((I41*'Appendix K'!$C$12*1000)-('Appendix K'!$E$38+'Appendix K'!$F$38+'Appendix K'!$H$38+'Appendix K'!$G$38))/((1+$Y$16)^AF$34))</f>
        <v>3862.6577706485928</v>
      </c>
      <c r="AG41" s="193">
        <f>(((J41*'Appendix K'!$C$13*1000)-('Appendix K'!$E$39+'Appendix K'!$F$39+'Appendix K'!$H$39+'Appendix K'!$G$39))/((1+$Y$16)^AG$34))</f>
        <v>58985.511556951424</v>
      </c>
      <c r="AH41" s="193">
        <f>(((K41*'Appendix K'!$C$14*1000)-('Appendix K'!$E$40+'Appendix K'!$F$40+'Appendix K'!$H$40+'Appendix K'!$G$40))/((1+$Y$16)^AH$34))</f>
        <v>-337565.83421713678</v>
      </c>
      <c r="AI41" s="193">
        <f>(((L41*'Appendix K'!$C$15*1000)-('Appendix K'!$E$41+'Appendix K'!$F$41+'Appendix K'!$H$41+'Appendix K'!$G$41))/((1+$Y$16)^AI$34))</f>
        <v>-752498.35622726544</v>
      </c>
      <c r="AJ41" s="193">
        <f>(((M41*'Appendix K'!$C$16*1000)-('Appendix K'!$E$42+'Appendix K'!$F$42+'Appendix K'!$H$42+'Appendix K'!$G$42))/((1+$Y$16)^AJ$34))</f>
        <v>-692468.98289219697</v>
      </c>
      <c r="AK41" s="193">
        <f>(((N41*'Appendix K'!$C$17*1000)-('Appendix K'!$E$43+'Appendix K'!$F$43+'Appendix K'!$H$43))/((1+$Y$16)^AK$34))</f>
        <v>-506082.0108319479</v>
      </c>
      <c r="AL41" s="193">
        <f>(((O41*'Appendix K'!$C$18*1000)-('Appendix K'!$E$44+'Appendix K'!$F$44+'Appendix K'!$H$44+'Appendix K'!$G$44))/((1+$Y$16)^AL$34))</f>
        <v>-503972.49766401836</v>
      </c>
      <c r="AM41" s="193">
        <f>(((P41*'Appendix K'!$C$19*1000)-('Appendix K'!$E$45+'Appendix K'!$F$45+'Appendix K'!$H$45+'Appendix K'!$G$45))/((1+$Y$16)^AM$34))</f>
        <v>-682598.43621225189</v>
      </c>
      <c r="AN41" s="193">
        <f>(((Q41*'Appendix K'!$C$20*1000)-('Appendix K'!$E$46+'Appendix K'!$F$46+'Appendix K'!$H$46+'Appendix K'!$G$46))/((1+$Y$16)^AN$34))</f>
        <v>-611290.71491708467</v>
      </c>
      <c r="AO41" s="193">
        <f>(((R41*'Appendix K'!$C$21*1000)-('Appendix K'!$E$47+'Appendix K'!$F$47+'Appendix K'!$H$47+'Appendix K'!$G$47))/((1+$Y$16)^AO$34))</f>
        <v>-441775.52194607852</v>
      </c>
      <c r="AP41" s="193">
        <f>(((S41*'Appendix K'!$C$22*1000)-('Appendix K'!$E$48+'Appendix K'!$F$48+'Appendix K'!$H$48+'Appendix K'!$G$48))/((1+$Y$16)^AP$34))</f>
        <v>-338106.6106717423</v>
      </c>
      <c r="AQ41" s="193">
        <f>(((T41*'Appendix K'!$C$23*1000)-('Appendix K'!$E$49+'Appendix K'!$F$49+'Appendix K'!$H$49+'Appendix K'!$G$49))/((1+$Y$16)^AQ$34))</f>
        <v>-407056.51545923419</v>
      </c>
      <c r="AR41" s="193">
        <f>(((U41*'Appendix K'!$C$24*1000)-('Appendix K'!$E$50+'Appendix K'!$F$50+'Appendix K'!$H$50+'Appendix K'!$G$50))/((1+$Y$16)^AR$34))</f>
        <v>-308130.14388514758</v>
      </c>
      <c r="AS41" s="209">
        <f t="shared" si="14"/>
        <v>33949654.735848345</v>
      </c>
      <c r="AU41" s="199">
        <f t="shared" si="13"/>
        <v>4.4951675577399781E-9</v>
      </c>
      <c r="AW41" s="212">
        <f t="shared" si="15"/>
        <v>100000000</v>
      </c>
      <c r="AX41" s="193">
        <v>100</v>
      </c>
      <c r="AY41">
        <f>COUNTIFS($AS$35:$AS$1034,"&gt;85000001",$AS$35:$AS$1034,"&lt;100000000")</f>
        <v>116</v>
      </c>
      <c r="AZ41" s="106">
        <f t="shared" si="16"/>
        <v>0.11600000000000001</v>
      </c>
    </row>
    <row r="42" spans="1:52" x14ac:dyDescent="0.35">
      <c r="A42">
        <v>8</v>
      </c>
      <c r="B42" s="70">
        <v>56</v>
      </c>
      <c r="C42" s="70">
        <v>80.542678047244607</v>
      </c>
      <c r="D42" s="70">
        <v>83.33503918716778</v>
      </c>
      <c r="E42" s="70">
        <v>51.492625831226292</v>
      </c>
      <c r="F42" s="70">
        <v>40.50908569008029</v>
      </c>
      <c r="G42" s="70">
        <v>46.94294395032572</v>
      </c>
      <c r="H42" s="70">
        <v>59.085377094416842</v>
      </c>
      <c r="I42" s="70">
        <v>64.23785774249329</v>
      </c>
      <c r="J42" s="70">
        <v>61.647496707017226</v>
      </c>
      <c r="K42" s="70">
        <v>69.713548264320423</v>
      </c>
      <c r="L42" s="70">
        <v>61.038174780350992</v>
      </c>
      <c r="M42" s="70">
        <v>113.63978157983618</v>
      </c>
      <c r="N42" s="70">
        <v>135.64177811890664</v>
      </c>
      <c r="O42" s="70">
        <v>168.6739284682551</v>
      </c>
      <c r="P42" s="70">
        <v>168.1411379283133</v>
      </c>
      <c r="Q42" s="70">
        <v>196.9290041300915</v>
      </c>
      <c r="R42" s="70">
        <v>144.94531786379389</v>
      </c>
      <c r="S42" s="70">
        <v>113.51779200251599</v>
      </c>
      <c r="T42" s="70">
        <v>107.20765324744676</v>
      </c>
      <c r="U42" s="70">
        <v>72.256307522751996</v>
      </c>
      <c r="V42" s="70">
        <v>84.953325093911687</v>
      </c>
      <c r="X42" s="193">
        <f>((0-('Appendix K'!$I$30))/(1+$Y$16)^0)</f>
        <v>-33594902.4440751</v>
      </c>
      <c r="Y42" s="193">
        <f>(((B42*'Appendix K'!$C$5*1000)-('Appendix K'!$E$31+'Appendix K'!$F$31+'Appendix K'!$H$31+'Appendix K'!$G$31))/((1+$Y$16)^1))</f>
        <v>34971064.972647354</v>
      </c>
      <c r="Z42" s="193">
        <f>+(((C42*'Appendix K'!$C$6*1000)-('Appendix K'!$E$32+'Appendix K'!$F$32+'Appendix K'!$H$32+'Appendix K'!$G$32))/((1+$Y$16)^2))</f>
        <v>16859210.336264476</v>
      </c>
      <c r="AA42" s="193">
        <f>(((D42*'Appendix K'!$C$7*1000)-('Appendix K'!$E$33+'Appendix K'!$F$33+'Appendix K'!$H$33+'Appendix K'!$G$33))/((1+$Y$16)^3))</f>
        <v>7649891.9165318282</v>
      </c>
      <c r="AB42" s="193">
        <f>(((E42*'Appendix K'!$C$8*1000)-('Appendix K'!$E$34+'Appendix K'!$F$34+'Appendix K'!$H$34+'Appendix K'!$G$34))/((1+$Y$16)^4))</f>
        <v>7993504.3237302843</v>
      </c>
      <c r="AC42" s="193">
        <f>(((F42*'Appendix K'!$C$9*1000)-('Appendix K'!$E$35+'Appendix K'!$F$35+'Appendix K'!$H$35+'Appendix K'!$G$35))/((1+$Y$16)^AC$34))</f>
        <v>7783022.8465847075</v>
      </c>
      <c r="AD42" s="193">
        <f>(((G42*'Appendix K'!$C$10*1000)-('Appendix K'!$E$36+'Appendix K'!$F$36+'Appendix K'!$H$36+'Appendix K'!$G$36))/((1+$Y$16)^AD$34))</f>
        <v>4856342.435977241</v>
      </c>
      <c r="AE42" s="193">
        <f>(((H42*'Appendix K'!$C$11*1000)-('Appendix K'!$E$37+'Appendix K'!$F$37+'Appendix K'!$H$37+'Appendix K'!$G$37))/((1+$Y$16)^AE$34))</f>
        <v>3673094.4449162357</v>
      </c>
      <c r="AF42" s="193">
        <f>(((I42*'Appendix K'!$C$12*1000)-('Appendix K'!$E$38+'Appendix K'!$F$38+'Appendix K'!$H$38+'Appendix K'!$G$38))/((1+$Y$16)^AF$34))</f>
        <v>2221434.6365156127</v>
      </c>
      <c r="AG42" s="193">
        <f>(((J42*'Appendix K'!$C$13*1000)-('Appendix K'!$E$39+'Appendix K'!$F$39+'Appendix K'!$H$39+'Appendix K'!$G$39))/((1+$Y$16)^AG$34))</f>
        <v>1022008.122561662</v>
      </c>
      <c r="AH42" s="193">
        <f>(((K42*'Appendix K'!$C$14*1000)-('Appendix K'!$E$40+'Appendix K'!$F$40+'Appendix K'!$H$40+'Appendix K'!$G$40))/((1+$Y$16)^AH$34))</f>
        <v>717060.42377811007</v>
      </c>
      <c r="AI42" s="193">
        <f>(((L42*'Appendix K'!$C$15*1000)-('Appendix K'!$E$41+'Appendix K'!$F$41+'Appendix K'!$H$41+'Appendix K'!$G$41))/((1+$Y$16)^AI$34))</f>
        <v>82832.972860702881</v>
      </c>
      <c r="AJ42" s="193">
        <f>(((M42*'Appendix K'!$C$16*1000)-('Appendix K'!$E$42+'Appendix K'!$F$42+'Appendix K'!$H$42+'Appendix K'!$G$42))/((1+$Y$16)^AJ$34))</f>
        <v>896002.42711823224</v>
      </c>
      <c r="AK42" s="193">
        <f>(((N42*'Appendix K'!$C$17*1000)-('Appendix K'!$E$43+'Appendix K'!$F$43+'Appendix K'!$H$43))/((1+$Y$16)^AK$34))</f>
        <v>1079727.7542840187</v>
      </c>
      <c r="AL42" s="193">
        <f>(((O42*'Appendix K'!$C$18*1000)-('Appendix K'!$E$44+'Appendix K'!$F$44+'Appendix K'!$H$44+'Appendix K'!$G$44))/((1+$Y$16)^AL$34))</f>
        <v>864752.58112609084</v>
      </c>
      <c r="AM42" s="193">
        <f>(((P42*'Appendix K'!$C$19*1000)-('Appendix K'!$E$45+'Appendix K'!$F$45+'Appendix K'!$H$45+'Appendix K'!$G$45))/((1+$Y$16)^AM$34))</f>
        <v>531689.16859180888</v>
      </c>
      <c r="AN42" s="193">
        <f>(((Q42*'Appendix K'!$C$20*1000)-('Appendix K'!$E$46+'Appendix K'!$F$46+'Appendix K'!$H$46+'Appendix K'!$G$46))/((1+$Y$16)^AN$34))</f>
        <v>509312.14712648705</v>
      </c>
      <c r="AO42" s="193">
        <f>(((R42*'Appendix K'!$C$21*1000)-('Appendix K'!$E$47+'Appendix K'!$F$47+'Appendix K'!$H$47+'Appendix K'!$G$47))/((1+$Y$16)^AO$34))</f>
        <v>13643.916758568128</v>
      </c>
      <c r="AP42" s="193">
        <f>(((S42*'Appendix K'!$C$22*1000)-('Appendix K'!$E$48+'Appendix K'!$F$48+'Appendix K'!$H$48+'Appendix K'!$G$48))/((1+$Y$16)^AP$34))</f>
        <v>-220734.86883726995</v>
      </c>
      <c r="AQ42" s="193">
        <f>(((T42*'Appendix K'!$C$23*1000)-('Appendix K'!$E$49+'Appendix K'!$F$49+'Appendix K'!$H$49+'Appendix K'!$G$49))/((1+$Y$16)^AQ$34))</f>
        <v>-273902.32256439282</v>
      </c>
      <c r="AR42" s="193">
        <f>(((U42*'Appendix K'!$C$24*1000)-('Appendix K'!$E$50+'Appendix K'!$F$50+'Appendix K'!$H$50+'Appendix K'!$G$50))/((1+$Y$16)^AR$34))</f>
        <v>-396621.53454578406</v>
      </c>
      <c r="AS42" s="209">
        <f t="shared" si="14"/>
        <v>58129692.983298339</v>
      </c>
      <c r="AU42" s="199">
        <f t="shared" si="13"/>
        <v>6.1420187144113192E-9</v>
      </c>
      <c r="AW42" s="212">
        <f t="shared" si="15"/>
        <v>115000000</v>
      </c>
      <c r="AX42" s="193">
        <v>115</v>
      </c>
      <c r="AY42">
        <f>COUNTIFS($AS$35:$AS$1034,"&gt;100000001",$AS$35:$AS$1034,"&lt;115000000")</f>
        <v>74</v>
      </c>
      <c r="AZ42" s="106">
        <f t="shared" si="16"/>
        <v>7.3999999999999996E-2</v>
      </c>
    </row>
    <row r="43" spans="1:52" x14ac:dyDescent="0.35">
      <c r="A43">
        <v>9</v>
      </c>
      <c r="B43" s="70">
        <v>56</v>
      </c>
      <c r="C43" s="70">
        <v>53.314142187502163</v>
      </c>
      <c r="D43" s="70">
        <v>50.226333853335916</v>
      </c>
      <c r="E43" s="70">
        <v>79.296790214388551</v>
      </c>
      <c r="F43" s="70">
        <v>74.598864179024986</v>
      </c>
      <c r="G43" s="70">
        <v>104.72830717696016</v>
      </c>
      <c r="H43" s="70">
        <v>159.14810896899664</v>
      </c>
      <c r="I43" s="70">
        <v>248.69729701483169</v>
      </c>
      <c r="J43" s="70">
        <v>289.78452926392123</v>
      </c>
      <c r="K43" s="70">
        <v>296.15151899638562</v>
      </c>
      <c r="L43" s="70">
        <v>160.70540162789274</v>
      </c>
      <c r="M43" s="70">
        <v>193.49183598590699</v>
      </c>
      <c r="N43" s="70">
        <v>226.55128996347958</v>
      </c>
      <c r="O43" s="70">
        <v>171.98573968424461</v>
      </c>
      <c r="P43" s="70">
        <v>207.72038170192076</v>
      </c>
      <c r="Q43" s="70">
        <v>352.92676948785299</v>
      </c>
      <c r="R43" s="70">
        <v>328.44484181554037</v>
      </c>
      <c r="S43" s="70">
        <v>324.49934907152755</v>
      </c>
      <c r="T43" s="70">
        <v>404.23763653105993</v>
      </c>
      <c r="U43" s="70">
        <v>209.90736742463918</v>
      </c>
      <c r="V43" s="70">
        <v>272.2001966500614</v>
      </c>
      <c r="X43" s="193">
        <f>((0-('Appendix K'!$I$30))/(1+$Y$16)^0)</f>
        <v>-33594902.4440751</v>
      </c>
      <c r="Y43" s="193">
        <f>(((B43*'Appendix K'!$C$5*1000)-('Appendix K'!$E$31+'Appendix K'!$F$31+'Appendix K'!$H$31+'Appendix K'!$G$31))/((1+$Y$16)^1))</f>
        <v>34971064.972647354</v>
      </c>
      <c r="Z43" s="193">
        <f>+(((C43*'Appendix K'!$C$6*1000)-('Appendix K'!$E$32+'Appendix K'!$F$32+'Appendix K'!$H$32+'Appendix K'!$G$32))/((1+$Y$16)^2))</f>
        <v>9980816.4850660507</v>
      </c>
      <c r="AA43" s="193">
        <f>(((D43*'Appendix K'!$C$7*1000)-('Appendix K'!$E$33+'Appendix K'!$F$33+'Appendix K'!$H$33+'Appendix K'!$G$33))/((1+$Y$16)^3))</f>
        <v>3432674.8006809969</v>
      </c>
      <c r="AB43" s="193">
        <f>(((E43*'Appendix K'!$C$8*1000)-('Appendix K'!$E$34+'Appendix K'!$F$34+'Appendix K'!$H$34+'Appendix K'!$G$34))/((1+$Y$16)^4))</f>
        <v>14087922.633892417</v>
      </c>
      <c r="AC43" s="193">
        <f>(((F43*'Appendix K'!$C$9*1000)-('Appendix K'!$E$35+'Appendix K'!$F$35+'Appendix K'!$H$35+'Appendix K'!$G$35))/((1+$Y$16)^AC$34))</f>
        <v>16844032.438387919</v>
      </c>
      <c r="AD43" s="193">
        <f>(((G43*'Appendix K'!$C$10*1000)-('Appendix K'!$E$36+'Appendix K'!$F$36+'Appendix K'!$H$36+'Appendix K'!$G$36))/((1+$Y$16)^AD$34))</f>
        <v>13931184.216893652</v>
      </c>
      <c r="AE43" s="193">
        <f>(((H43*'Appendix K'!$C$11*1000)-('Appendix K'!$E$37+'Appendix K'!$F$37+'Appendix K'!$H$37+'Appendix K'!$G$37))/((1+$Y$16)^AE$34))</f>
        <v>13653114.056987602</v>
      </c>
      <c r="AF43" s="193">
        <f>(((I43*'Appendix K'!$C$12*1000)-('Appendix K'!$E$38+'Appendix K'!$F$38+'Appendix K'!$H$38+'Appendix K'!$G$38))/((1+$Y$16)^AF$34))</f>
        <v>14333489.109397486</v>
      </c>
      <c r="AG43" s="193">
        <f>(((J43*'Appendix K'!$C$13*1000)-('Appendix K'!$E$39+'Appendix K'!$F$39+'Appendix K'!$H$39+'Appendix K'!$G$39))/((1+$Y$16)^AG$34))</f>
        <v>11520630.83864527</v>
      </c>
      <c r="AH43" s="193">
        <f>(((K43*'Appendix K'!$C$14*1000)-('Appendix K'!$E$40+'Appendix K'!$F$40+'Appendix K'!$H$40+'Appendix K'!$G$40))/((1+$Y$16)^AH$34))</f>
        <v>8349497.9428679468</v>
      </c>
      <c r="AI43" s="193">
        <f>(((L43*'Appendix K'!$C$15*1000)-('Appendix K'!$E$41+'Appendix K'!$F$41+'Appendix K'!$H$41+'Appendix K'!$G$41))/((1+$Y$16)^AI$34))</f>
        <v>2694300.6948944121</v>
      </c>
      <c r="AJ43" s="193">
        <f>(((M43*'Appendix K'!$C$16*1000)-('Appendix K'!$E$42+'Appendix K'!$F$42+'Appendix K'!$H$42+'Appendix K'!$G$42))/((1+$Y$16)^AJ$34))</f>
        <v>2496386.6794405575</v>
      </c>
      <c r="AK43" s="193">
        <f>(((N43*'Appendix K'!$C$17*1000)-('Appendix K'!$E$43+'Appendix K'!$F$43+'Appendix K'!$H$43))/((1+$Y$16)^AK$34))</f>
        <v>2476452.1726412335</v>
      </c>
      <c r="AL43" s="193">
        <f>(((O43*'Appendix K'!$C$18*1000)-('Appendix K'!$E$44+'Appendix K'!$F$44+'Appendix K'!$H$44+'Appendix K'!$G$44))/((1+$Y$16)^AL$34))</f>
        <v>904008.45397670579</v>
      </c>
      <c r="AM43" s="193">
        <f>(((P43*'Appendix K'!$C$19*1000)-('Appendix K'!$E$45+'Appendix K'!$F$45+'Appendix K'!$H$45+'Appendix K'!$G$45))/((1+$Y$16)^AM$34))</f>
        <v>898538.5636703514</v>
      </c>
      <c r="AN43" s="193">
        <f>(((Q43*'Appendix K'!$C$20*1000)-('Appendix K'!$E$46+'Appendix K'!$F$46+'Appendix K'!$H$46+'Appendix K'!$G$46))/((1+$Y$16)^AN$34))</f>
        <v>1638145.8117486367</v>
      </c>
      <c r="AO43" s="193">
        <f>(((R43*'Appendix K'!$C$21*1000)-('Appendix K'!$E$47+'Appendix K'!$F$47+'Appendix K'!$H$47+'Appendix K'!$G$47))/((1+$Y$16)^AO$34))</f>
        <v>1098146.3763481793</v>
      </c>
      <c r="AP43" s="193">
        <f>(((S43*'Appendix K'!$C$22*1000)-('Appendix K'!$E$48+'Appendix K'!$F$48+'Appendix K'!$H$48+'Appendix K'!$G$48))/((1+$Y$16)^AP$34))</f>
        <v>789807.57579493662</v>
      </c>
      <c r="AQ43" s="193">
        <f>(((T43*'Appendix K'!$C$23*1000)-('Appendix K'!$E$49+'Appendix K'!$F$49+'Appendix K'!$H$49+'Appendix K'!$G$49))/((1+$Y$16)^AQ$34))</f>
        <v>888596.99038177333</v>
      </c>
      <c r="AR43" s="193">
        <f>(((U43*'Appendix K'!$C$24*1000)-('Appendix K'!$E$50+'Appendix K'!$F$50+'Appendix K'!$H$50+'Appendix K'!$G$50))/((1+$Y$16)^AR$34))</f>
        <v>46618.735163872174</v>
      </c>
      <c r="AS43" s="209">
        <f t="shared" si="14"/>
        <v>121440527.10545221</v>
      </c>
      <c r="AU43" s="199">
        <f t="shared" si="13"/>
        <v>5.8857517541976132E-9</v>
      </c>
      <c r="AW43" s="212">
        <f t="shared" si="15"/>
        <v>130000000</v>
      </c>
      <c r="AX43" s="193">
        <v>130</v>
      </c>
      <c r="AY43">
        <f>COUNTIFS($AS$35:$AS$1034,"&gt;115000001",$AS$35:$AS$1034,"&lt;130000000")</f>
        <v>58</v>
      </c>
      <c r="AZ43" s="106">
        <f t="shared" si="16"/>
        <v>5.8000000000000003E-2</v>
      </c>
    </row>
    <row r="44" spans="1:52" x14ac:dyDescent="0.35">
      <c r="A44">
        <v>10</v>
      </c>
      <c r="B44" s="70">
        <v>56</v>
      </c>
      <c r="C44" s="70">
        <v>51.467171342524914</v>
      </c>
      <c r="D44" s="70">
        <v>37.425620191334914</v>
      </c>
      <c r="E44" s="70">
        <v>20.322292231200773</v>
      </c>
      <c r="F44" s="70">
        <v>18.319877744097159</v>
      </c>
      <c r="G44" s="70">
        <v>18.92248406889022</v>
      </c>
      <c r="H44" s="70">
        <v>19.220309137071464</v>
      </c>
      <c r="I44" s="70">
        <v>23.175087594702365</v>
      </c>
      <c r="J44" s="70">
        <v>28.037883330896662</v>
      </c>
      <c r="K44" s="70">
        <v>19.561598496874865</v>
      </c>
      <c r="L44" s="70">
        <v>20.298517690233606</v>
      </c>
      <c r="M44" s="70">
        <v>30.500222468124697</v>
      </c>
      <c r="N44" s="70">
        <v>41.361154844094045</v>
      </c>
      <c r="O44" s="70">
        <v>44.321020635990749</v>
      </c>
      <c r="P44" s="70">
        <v>47.428677031622541</v>
      </c>
      <c r="Q44" s="70">
        <v>53.53776982309757</v>
      </c>
      <c r="R44" s="70">
        <v>57.982223141674865</v>
      </c>
      <c r="S44" s="70">
        <v>28.941105944012779</v>
      </c>
      <c r="T44" s="70">
        <v>45.782756520635246</v>
      </c>
      <c r="U44" s="70">
        <v>51.75755890155056</v>
      </c>
      <c r="V44" s="70">
        <v>37.567178432654494</v>
      </c>
      <c r="X44" s="193">
        <f>((0-('Appendix K'!$I$30))/(1+$Y$16)^0)</f>
        <v>-33594902.4440751</v>
      </c>
      <c r="Y44" s="193">
        <f>(((B44*'Appendix K'!$C$5*1000)-('Appendix K'!$E$31+'Appendix K'!$F$31+'Appendix K'!$H$31+'Appendix K'!$G$31))/((1+$Y$16)^1))</f>
        <v>34971064.972647354</v>
      </c>
      <c r="Z44" s="193">
        <f>+(((C44*'Appendix K'!$C$6*1000)-('Appendix K'!$E$32+'Appendix K'!$F$32+'Appendix K'!$H$32+'Appendix K'!$G$32))/((1+$Y$16)^2))</f>
        <v>9514240.0606532507</v>
      </c>
      <c r="AA44" s="193">
        <f>(((D44*'Appendix K'!$C$7*1000)-('Appendix K'!$E$33+'Appendix K'!$F$33+'Appendix K'!$H$33+'Appendix K'!$G$33))/((1+$Y$16)^3))</f>
        <v>1802185.5318863734</v>
      </c>
      <c r="AB44" s="193">
        <f>(((E44*'Appendix K'!$C$8*1000)-('Appendix K'!$E$34+'Appendix K'!$F$34+'Appendix K'!$H$34+'Appendix K'!$G$34))/((1+$Y$16)^4))</f>
        <v>1161252.5355450199</v>
      </c>
      <c r="AC44" s="193">
        <f>(((F44*'Appendix K'!$C$9*1000)-('Appendix K'!$E$35+'Appendix K'!$F$35+'Appendix K'!$H$35+'Appendix K'!$G$35))/((1+$Y$16)^AC$34))</f>
        <v>1885166.2178514961</v>
      </c>
      <c r="AD44" s="193">
        <f>(((G44*'Appendix K'!$C$10*1000)-('Appendix K'!$E$36+'Appendix K'!$F$36+'Appendix K'!$H$36+'Appendix K'!$G$36))/((1+$Y$16)^AD$34))</f>
        <v>455898.69289214601</v>
      </c>
      <c r="AE44" s="193">
        <f>(((H44*'Appendix K'!$C$11*1000)-('Appendix K'!$E$37+'Appendix K'!$F$37+'Appendix K'!$H$37+'Appendix K'!$G$37))/((1+$Y$16)^AE$34))</f>
        <v>-302952.90655465488</v>
      </c>
      <c r="AF44" s="193">
        <f>(((I44*'Appendix K'!$C$12*1000)-('Appendix K'!$E$38+'Appendix K'!$F$38+'Appendix K'!$H$38+'Appendix K'!$G$38))/((1+$Y$16)^AF$34))</f>
        <v>-474846.51233451662</v>
      </c>
      <c r="AG44" s="193">
        <f>(((J44*'Appendix K'!$C$13*1000)-('Appendix K'!$E$39+'Appendix K'!$F$39+'Appendix K'!$H$39+'Appendix K'!$G$39))/((1+$Y$16)^AG$34))</f>
        <v>-524670.40882194706</v>
      </c>
      <c r="AH44" s="193">
        <f>(((K44*'Appendix K'!$C$14*1000)-('Appendix K'!$E$40+'Appendix K'!$F$40+'Appendix K'!$H$40+'Appendix K'!$G$40))/((1+$Y$16)^AH$34))</f>
        <v>-973387.61293164338</v>
      </c>
      <c r="AI44" s="193">
        <f>(((L44*'Appendix K'!$C$15*1000)-('Appendix K'!$E$41+'Appendix K'!$F$41+'Appendix K'!$H$41+'Appendix K'!$G$41))/((1+$Y$16)^AI$34))</f>
        <v>-984622.2264326982</v>
      </c>
      <c r="AJ44" s="193">
        <f>(((M44*'Appendix K'!$C$16*1000)-('Appendix K'!$E$42+'Appendix K'!$F$42+'Appendix K'!$H$42+'Appendix K'!$G$42))/((1+$Y$16)^AJ$34))</f>
        <v>-770269.55720392114</v>
      </c>
      <c r="AK44" s="193">
        <f>(((N44*'Appendix K'!$C$17*1000)-('Appendix K'!$E$43+'Appendix K'!$F$43+'Appendix K'!$H$43))/((1+$Y$16)^AK$34))</f>
        <v>-368790.07442247763</v>
      </c>
      <c r="AL44" s="193">
        <f>(((O44*'Appendix K'!$C$18*1000)-('Appendix K'!$E$44+'Appendix K'!$F$44+'Appendix K'!$H$44+'Appendix K'!$G$44))/((1+$Y$16)^AL$34))</f>
        <v>-609239.02651724755</v>
      </c>
      <c r="AM44" s="193">
        <f>(((P44*'Appendix K'!$C$19*1000)-('Appendix K'!$E$45+'Appendix K'!$F$45+'Appendix K'!$H$45+'Appendix K'!$G$45))/((1+$Y$16)^AM$34))</f>
        <v>-587162.25544481131</v>
      </c>
      <c r="AN44" s="193">
        <f>(((Q44*'Appendix K'!$C$20*1000)-('Appendix K'!$E$46+'Appendix K'!$F$46+'Appendix K'!$H$46+'Appendix K'!$G$46))/((1+$Y$16)^AN$34))</f>
        <v>-528297.92457063217</v>
      </c>
      <c r="AO44" s="193">
        <f>(((R44*'Appendix K'!$C$21*1000)-('Appendix K'!$E$47+'Appendix K'!$F$47+'Appendix K'!$H$47+'Appendix K'!$G$47))/((1+$Y$16)^AO$34))</f>
        <v>-500317.58073535928</v>
      </c>
      <c r="AP44" s="193">
        <f>(((S44*'Appendix K'!$C$22*1000)-('Appendix K'!$E$48+'Appendix K'!$F$48+'Appendix K'!$H$48+'Appendix K'!$G$48))/((1+$Y$16)^AP$34))</f>
        <v>-625833.45790728065</v>
      </c>
      <c r="AQ44" s="193">
        <f>(((T44*'Appendix K'!$C$23*1000)-('Appendix K'!$E$49+'Appendix K'!$F$49+'Appendix K'!$H$49+'Appendix K'!$G$49))/((1+$Y$16)^AQ$34))</f>
        <v>-514303.64317628078</v>
      </c>
      <c r="AR44" s="193">
        <f>(((U44*'Appendix K'!$C$24*1000)-('Appendix K'!$E$50+'Appendix K'!$F$50+'Appendix K'!$H$50+'Appendix K'!$G$50))/((1+$Y$16)^AR$34))</f>
        <v>-462628.07945759111</v>
      </c>
      <c r="AS44" s="209">
        <f t="shared" si="14"/>
        <v>16194905.567400552</v>
      </c>
      <c r="AU44" s="199">
        <f t="shared" si="13"/>
        <v>3.1842353728082935E-9</v>
      </c>
      <c r="AW44" s="212">
        <f t="shared" si="15"/>
        <v>145000000</v>
      </c>
      <c r="AX44" s="193">
        <v>145</v>
      </c>
      <c r="AY44">
        <f>COUNTIFS($AS$35:$AS$1034,"&gt;130000001",$AS$35:$AS$1034,"&lt;145000000")</f>
        <v>51</v>
      </c>
      <c r="AZ44" s="106">
        <f t="shared" si="16"/>
        <v>5.0999999999999997E-2</v>
      </c>
    </row>
    <row r="45" spans="1:52" x14ac:dyDescent="0.35">
      <c r="A45">
        <v>11</v>
      </c>
      <c r="B45" s="70">
        <v>56</v>
      </c>
      <c r="C45" s="70">
        <v>62.343686434382732</v>
      </c>
      <c r="D45" s="70">
        <v>80.217956988439795</v>
      </c>
      <c r="E45" s="70">
        <v>109.40844698019571</v>
      </c>
      <c r="F45" s="70">
        <v>88.145506028804363</v>
      </c>
      <c r="G45" s="70">
        <v>92.959458861759941</v>
      </c>
      <c r="H45" s="70">
        <v>125.9184633251656</v>
      </c>
      <c r="I45" s="70">
        <v>141.29340768580846</v>
      </c>
      <c r="J45" s="70">
        <v>190.44092721229833</v>
      </c>
      <c r="K45" s="70">
        <v>261.03328339089228</v>
      </c>
      <c r="L45" s="70">
        <v>329.7015006789843</v>
      </c>
      <c r="M45" s="70">
        <v>500</v>
      </c>
      <c r="N45" s="70">
        <v>335.98631614920447</v>
      </c>
      <c r="O45" s="70">
        <v>396.10167355058854</v>
      </c>
      <c r="P45" s="70">
        <v>423.39086039001415</v>
      </c>
      <c r="Q45" s="70">
        <v>500</v>
      </c>
      <c r="R45" s="70">
        <v>500</v>
      </c>
      <c r="S45" s="70">
        <v>500</v>
      </c>
      <c r="T45" s="70">
        <v>500</v>
      </c>
      <c r="U45" s="70">
        <v>500</v>
      </c>
      <c r="V45" s="70">
        <v>500</v>
      </c>
      <c r="X45" s="193">
        <f>((0-('Appendix K'!$I$30))/(1+$Y$16)^0)</f>
        <v>-33594902.4440751</v>
      </c>
      <c r="Y45" s="193">
        <f>(((B45*'Appendix K'!$C$5*1000)-('Appendix K'!$E$31+'Appendix K'!$F$31+'Appendix K'!$H$31+'Appendix K'!$G$31))/((1+$Y$16)^1))</f>
        <v>34971064.972647354</v>
      </c>
      <c r="Z45" s="193">
        <f>+(((C45*'Appendix K'!$C$6*1000)-('Appendix K'!$E$32+'Appendix K'!$F$32+'Appendix K'!$H$32+'Appendix K'!$G$32))/((1+$Y$16)^2))</f>
        <v>12261833.795243777</v>
      </c>
      <c r="AA45" s="193">
        <f>(((D45*'Appendix K'!$C$7*1000)-('Appendix K'!$E$33+'Appendix K'!$F$33+'Appendix K'!$H$33+'Appendix K'!$G$33))/((1+$Y$16)^3))</f>
        <v>7252853.969338011</v>
      </c>
      <c r="AB45" s="193">
        <f>(((E45*'Appendix K'!$C$8*1000)-('Appendix K'!$E$34+'Appendix K'!$F$34+'Appendix K'!$H$34+'Appendix K'!$G$34))/((1+$Y$16)^4))</f>
        <v>20688122.151270647</v>
      </c>
      <c r="AC45" s="193">
        <f>(((F45*'Appendix K'!$C$9*1000)-('Appendix K'!$E$35+'Appendix K'!$F$35+'Appendix K'!$H$35+'Appendix K'!$G$35))/((1+$Y$16)^AC$34))</f>
        <v>20444708.570014309</v>
      </c>
      <c r="AD45" s="193">
        <f>(((G45*'Appendix K'!$C$10*1000)-('Appendix K'!$E$36+'Appendix K'!$F$36+'Appendix K'!$H$36+'Appendix K'!$G$36))/((1+$Y$16)^AD$34))</f>
        <v>12082957.772678446</v>
      </c>
      <c r="AE45" s="193">
        <f>(((H45*'Appendix K'!$C$11*1000)-('Appendix K'!$E$37+'Appendix K'!$F$37+'Appendix K'!$H$37+'Appendix K'!$G$37))/((1+$Y$16)^AE$34))</f>
        <v>10338867.993395327</v>
      </c>
      <c r="AF45" s="193">
        <f>(((I45*'Appendix K'!$C$12*1000)-('Appendix K'!$E$38+'Appendix K'!$F$38+'Appendix K'!$H$38+'Appendix K'!$G$38))/((1+$Y$16)^AF$34))</f>
        <v>7281089.0626215329</v>
      </c>
      <c r="AG45" s="193">
        <f>(((J45*'Appendix K'!$C$13*1000)-('Appendix K'!$E$39+'Appendix K'!$F$39+'Appendix K'!$H$39+'Appendix K'!$G$39))/((1+$Y$16)^AG$34))</f>
        <v>6948944.3153860914</v>
      </c>
      <c r="AH45" s="193">
        <f>(((K45*'Appendix K'!$C$14*1000)-('Appendix K'!$E$40+'Appendix K'!$F$40+'Appendix K'!$H$40+'Appendix K'!$G$40))/((1+$Y$16)^AH$34))</f>
        <v>7165784.194802423</v>
      </c>
      <c r="AI45" s="193">
        <f>(((L45*'Appendix K'!$C$15*1000)-('Appendix K'!$E$41+'Appendix K'!$F$41+'Appendix K'!$H$41+'Appendix K'!$G$41))/((1+$Y$16)^AI$34))</f>
        <v>7122314.5142878667</v>
      </c>
      <c r="AJ45" s="193">
        <f>(((M45*'Appendix K'!$C$16*1000)-('Appendix K'!$E$42+'Appendix K'!$F$42+'Appendix K'!$H$42+'Appendix K'!$G$42))/((1+$Y$16)^AJ$34))</f>
        <v>8639382.5302660316</v>
      </c>
      <c r="AK45" s="193">
        <f>(((N45*'Appendix K'!$C$17*1000)-('Appendix K'!$E$43+'Appendix K'!$F$43+'Appendix K'!$H$43))/((1+$Y$16)^AK$34))</f>
        <v>4157800.6937782755</v>
      </c>
      <c r="AL45" s="193">
        <f>(((O45*'Appendix K'!$C$18*1000)-('Appendix K'!$E$44+'Appendix K'!$F$44+'Appendix K'!$H$44+'Appendix K'!$G$44))/((1+$Y$16)^AL$34))</f>
        <v>3560520.5646844995</v>
      </c>
      <c r="AM45" s="193">
        <f>(((P45*'Appendix K'!$C$19*1000)-('Appendix K'!$E$45+'Appendix K'!$F$45+'Appendix K'!$H$45+'Appendix K'!$G$45))/((1+$Y$16)^AM$34))</f>
        <v>2897530.3861413323</v>
      </c>
      <c r="AN45" s="193">
        <f>(((Q45*'Appendix K'!$C$20*1000)-('Appendix K'!$E$46+'Appendix K'!$F$46+'Appendix K'!$H$46+'Appendix K'!$G$46))/((1+$Y$16)^AN$34))</f>
        <v>2702399.606577659</v>
      </c>
      <c r="AO45" s="193">
        <f>(((R45*'Appendix K'!$C$21*1000)-('Appendix K'!$E$47+'Appendix K'!$F$47+'Appendix K'!$H$47+'Appendix K'!$G$47))/((1+$Y$16)^AO$34))</f>
        <v>2112056.3146391152</v>
      </c>
      <c r="AP45" s="193">
        <f>(((S45*'Appendix K'!$C$22*1000)-('Appendix K'!$E$48+'Appendix K'!$F$48+'Appendix K'!$H$48+'Appendix K'!$G$48))/((1+$Y$16)^AP$34))</f>
        <v>1630406.4380253027</v>
      </c>
      <c r="AQ45" s="193">
        <f>(((T45*'Appendix K'!$C$23*1000)-('Appendix K'!$E$49+'Appendix K'!$F$49+'Appendix K'!$H$49+'Appendix K'!$G$49))/((1+$Y$16)^AQ$34))</f>
        <v>1263386.3652054211</v>
      </c>
      <c r="AR45" s="193">
        <f>(((U45*'Appendix K'!$C$24*1000)-('Appendix K'!$E$50+'Appendix K'!$F$50+'Appendix K'!$H$50+'Appendix K'!$G$50))/((1+$Y$16)^AR$34))</f>
        <v>980725.14012097823</v>
      </c>
      <c r="AS45" s="209">
        <f t="shared" si="14"/>
        <v>140907846.90704927</v>
      </c>
      <c r="AU45" s="199">
        <f t="shared" si="13"/>
        <v>4.5233627311981698E-9</v>
      </c>
      <c r="AW45" s="212">
        <f t="shared" si="15"/>
        <v>160000000</v>
      </c>
      <c r="AX45" s="193">
        <v>160</v>
      </c>
      <c r="AY45">
        <f>COUNTIFS($AS$35:$AS$1034,"&gt;145000001",$AS$35:$AS$1034,"&lt;160000000")</f>
        <v>41</v>
      </c>
      <c r="AZ45" s="106">
        <f t="shared" si="16"/>
        <v>4.1000000000000002E-2</v>
      </c>
    </row>
    <row r="46" spans="1:52" x14ac:dyDescent="0.35">
      <c r="A46">
        <v>12</v>
      </c>
      <c r="B46" s="70">
        <v>56</v>
      </c>
      <c r="C46" s="70">
        <v>69.445328213481886</v>
      </c>
      <c r="D46" s="70">
        <v>83.801855100623314</v>
      </c>
      <c r="E46" s="70">
        <v>90.361387247864215</v>
      </c>
      <c r="F46" s="70">
        <v>44.655697623460682</v>
      </c>
      <c r="G46" s="70">
        <v>64.002251745758457</v>
      </c>
      <c r="H46" s="70">
        <v>55.181019117133616</v>
      </c>
      <c r="I46" s="70">
        <v>37.900665563118267</v>
      </c>
      <c r="J46" s="70">
        <v>54.943806027553862</v>
      </c>
      <c r="K46" s="70">
        <v>39.684704043339529</v>
      </c>
      <c r="L46" s="70">
        <v>53.732278650504099</v>
      </c>
      <c r="M46" s="70">
        <v>50.550326191674543</v>
      </c>
      <c r="N46" s="70">
        <v>37.312686130897809</v>
      </c>
      <c r="O46" s="70">
        <v>45.461883794707965</v>
      </c>
      <c r="P46" s="70">
        <v>49.329716596557127</v>
      </c>
      <c r="Q46" s="70">
        <v>59.509547349244315</v>
      </c>
      <c r="R46" s="70">
        <v>53.067046343669105</v>
      </c>
      <c r="S46" s="70">
        <v>58.9315915820928</v>
      </c>
      <c r="T46" s="70">
        <v>57.884562121572735</v>
      </c>
      <c r="U46" s="70">
        <v>53.127160758051154</v>
      </c>
      <c r="V46" s="70">
        <v>68.245775909495876</v>
      </c>
      <c r="X46" s="193">
        <f>((0-('Appendix K'!$I$30))/(1+$Y$16)^0)</f>
        <v>-33594902.4440751</v>
      </c>
      <c r="Y46" s="193">
        <f>(((B46*'Appendix K'!$C$5*1000)-('Appendix K'!$E$31+'Appendix K'!$F$31+'Appendix K'!$H$31+'Appendix K'!$G$31))/((1+$Y$16)^1))</f>
        <v>34971064.972647354</v>
      </c>
      <c r="Z46" s="193">
        <f>+(((C46*'Appendix K'!$C$6*1000)-('Appendix K'!$E$32+'Appendix K'!$F$32+'Appendix K'!$H$32+'Appendix K'!$G$32))/((1+$Y$16)^2))</f>
        <v>14055829.968904784</v>
      </c>
      <c r="AA46" s="193">
        <f>(((D46*'Appendix K'!$C$7*1000)-('Appendix K'!$E$33+'Appendix K'!$F$33+'Appendix K'!$H$33+'Appendix K'!$G$33))/((1+$Y$16)^3))</f>
        <v>7709352.5339231277</v>
      </c>
      <c r="AB46" s="193">
        <f>(((E46*'Appendix K'!$C$8*1000)-('Appendix K'!$E$34+'Appendix K'!$F$34+'Appendix K'!$H$34+'Appendix K'!$G$34))/((1+$Y$16)^4))</f>
        <v>16513181.016993316</v>
      </c>
      <c r="AC46" s="193">
        <f>(((F46*'Appendix K'!$C$9*1000)-('Appendix K'!$E$35+'Appendix K'!$F$35+'Appendix K'!$H$35+'Appendix K'!$G$35))/((1+$Y$16)^AC$34))</f>
        <v>8885185.7871280164</v>
      </c>
      <c r="AD46" s="193">
        <f>(((G46*'Appendix K'!$C$10*1000)-('Appendix K'!$E$36+'Appendix K'!$F$36+'Appendix K'!$H$36+'Appendix K'!$G$36))/((1+$Y$16)^AD$34))</f>
        <v>7535403.5423051277</v>
      </c>
      <c r="AE46" s="193">
        <f>(((H46*'Appendix K'!$C$11*1000)-('Appendix K'!$E$37+'Appendix K'!$F$37+'Appendix K'!$H$37+'Appendix K'!$G$37))/((1+$Y$16)^AE$34))</f>
        <v>3283683.0381331993</v>
      </c>
      <c r="AF46" s="193">
        <f>(((I46*'Appendix K'!$C$12*1000)-('Appendix K'!$E$38+'Appendix K'!$F$38+'Appendix K'!$H$38+'Appendix K'!$G$38))/((1+$Y$16)^AF$34))</f>
        <v>492070.67662426521</v>
      </c>
      <c r="AG46" s="193">
        <f>(((J46*'Appendix K'!$C$13*1000)-('Appendix K'!$E$39+'Appendix K'!$F$39+'Appendix K'!$H$39+'Appendix K'!$G$39))/((1+$Y$16)^AG$34))</f>
        <v>713511.43326832086</v>
      </c>
      <c r="AH46" s="193">
        <f>(((K46*'Appendix K'!$C$14*1000)-('Appendix K'!$E$40+'Appendix K'!$F$40+'Appendix K'!$H$40+'Appendix K'!$G$40))/((1+$Y$16)^AH$34))</f>
        <v>-295107.61741279787</v>
      </c>
      <c r="AI46" s="193">
        <f>(((L46*'Appendix K'!$C$15*1000)-('Appendix K'!$E$41+'Appendix K'!$F$41+'Appendix K'!$H$41+'Appendix K'!$G$41))/((1+$Y$16)^AI$34))</f>
        <v>-108595.16783404083</v>
      </c>
      <c r="AJ46" s="193">
        <f>(((M46*'Appendix K'!$C$16*1000)-('Appendix K'!$E$42+'Appendix K'!$F$42+'Appendix K'!$H$42+'Appendix K'!$G$42))/((1+$Y$16)^AJ$34))</f>
        <v>-368428.04548247834</v>
      </c>
      <c r="AK46" s="193">
        <f>(((N46*'Appendix K'!$C$17*1000)-('Appendix K'!$E$43+'Appendix K'!$F$43+'Appendix K'!$H$43))/((1+$Y$16)^AK$34))</f>
        <v>-430990.33261266566</v>
      </c>
      <c r="AL46" s="193">
        <f>(((O46*'Appendix K'!$C$18*1000)-('Appendix K'!$E$44+'Appendix K'!$F$44+'Appendix K'!$H$44+'Appendix K'!$G$44))/((1+$Y$16)^AL$34))</f>
        <v>-595716.03979556228</v>
      </c>
      <c r="AM46" s="193">
        <f>(((P46*'Appendix K'!$C$19*1000)-('Appendix K'!$E$45+'Appendix K'!$F$45+'Appendix K'!$H$45+'Appendix K'!$G$45))/((1+$Y$16)^AM$34))</f>
        <v>-569542.02959093417</v>
      </c>
      <c r="AN46" s="193">
        <f>(((Q46*'Appendix K'!$C$20*1000)-('Appendix K'!$E$46+'Appendix K'!$F$46+'Appendix K'!$H$46+'Appendix K'!$G$46))/((1+$Y$16)^AN$34))</f>
        <v>-485084.8471673216</v>
      </c>
      <c r="AO46" s="193">
        <f>(((R46*'Appendix K'!$C$21*1000)-('Appendix K'!$E$47+'Appendix K'!$F$47+'Appendix K'!$H$47+'Appendix K'!$G$47))/((1+$Y$16)^AO$34))</f>
        <v>-529366.8186405038</v>
      </c>
      <c r="AP46" s="193">
        <f>(((S46*'Appendix K'!$C$22*1000)-('Appendix K'!$E$48+'Appendix K'!$F$48+'Appendix K'!$H$48+'Appendix K'!$G$48))/((1+$Y$16)^AP$34))</f>
        <v>-482187.44878005038</v>
      </c>
      <c r="AQ46" s="193">
        <f>(((T46*'Appendix K'!$C$23*1000)-('Appendix K'!$E$49+'Appendix K'!$F$49+'Appendix K'!$H$49+'Appendix K'!$G$49))/((1+$Y$16)^AQ$34))</f>
        <v>-466940.27419590071</v>
      </c>
      <c r="AR46" s="193">
        <f>(((U46*'Appendix K'!$C$24*1000)-('Appendix K'!$E$50+'Appendix K'!$F$50+'Appendix K'!$H$50+'Appendix K'!$G$50))/((1+$Y$16)^AR$34))</f>
        <v>-458217.92310497852</v>
      </c>
      <c r="AS46" s="209">
        <f t="shared" si="14"/>
        <v>60564380.525852419</v>
      </c>
      <c r="AU46" s="199">
        <f t="shared" si="13"/>
        <v>6.2746906778390139E-9</v>
      </c>
      <c r="AW46" s="212">
        <f t="shared" si="15"/>
        <v>175000000</v>
      </c>
      <c r="AX46" s="193">
        <v>175</v>
      </c>
      <c r="AY46">
        <f>COUNTIFS($AS$35:$AS$1034,"&gt;160000001",$AS$35:$AS$1034,"&lt;175000000")</f>
        <v>33</v>
      </c>
      <c r="AZ46" s="106">
        <f t="shared" si="16"/>
        <v>3.3000000000000002E-2</v>
      </c>
    </row>
    <row r="47" spans="1:52" x14ac:dyDescent="0.35">
      <c r="A47">
        <v>13</v>
      </c>
      <c r="B47" s="70">
        <v>56</v>
      </c>
      <c r="C47" s="70">
        <v>74.845138000789944</v>
      </c>
      <c r="D47" s="70">
        <v>82.109225537215195</v>
      </c>
      <c r="E47" s="70">
        <v>86.800395282670493</v>
      </c>
      <c r="F47" s="70">
        <v>80.239583693929461</v>
      </c>
      <c r="G47" s="70">
        <v>126.74686264543308</v>
      </c>
      <c r="H47" s="70">
        <v>162.38415711053435</v>
      </c>
      <c r="I47" s="70">
        <v>70.557532196423324</v>
      </c>
      <c r="J47" s="70">
        <v>54.00327669508615</v>
      </c>
      <c r="K47" s="70">
        <v>69.116093461891722</v>
      </c>
      <c r="L47" s="70">
        <v>84.023082980188306</v>
      </c>
      <c r="M47" s="70">
        <v>129.01992868895587</v>
      </c>
      <c r="N47" s="70">
        <v>181.01037777609099</v>
      </c>
      <c r="O47" s="70">
        <v>215.10976316591916</v>
      </c>
      <c r="P47" s="70">
        <v>276.35462048413524</v>
      </c>
      <c r="Q47" s="70">
        <v>287.33540255649189</v>
      </c>
      <c r="R47" s="70">
        <v>228.3458559614964</v>
      </c>
      <c r="S47" s="70">
        <v>313.897819082512</v>
      </c>
      <c r="T47" s="70">
        <v>361.19037799202744</v>
      </c>
      <c r="U47" s="70">
        <v>332.15999730612504</v>
      </c>
      <c r="V47" s="70">
        <v>320.70957274783211</v>
      </c>
      <c r="X47" s="193">
        <f>((0-('Appendix K'!$I$30))/(1+$Y$16)^0)</f>
        <v>-33594902.4440751</v>
      </c>
      <c r="Y47" s="193">
        <f>(((B47*'Appendix K'!$C$5*1000)-('Appendix K'!$E$31+'Appendix K'!$F$31+'Appendix K'!$H$31+'Appendix K'!$G$31))/((1+$Y$16)^1))</f>
        <v>34971064.972647354</v>
      </c>
      <c r="Z47" s="193">
        <f>+(((C47*'Appendix K'!$C$6*1000)-('Appendix K'!$E$32+'Appendix K'!$F$32+'Appendix K'!$H$32+'Appendix K'!$G$32))/((1+$Y$16)^2))</f>
        <v>15419914.274795627</v>
      </c>
      <c r="AA47" s="193">
        <f>(((D47*'Appendix K'!$C$7*1000)-('Appendix K'!$E$33+'Appendix K'!$F$33+'Appendix K'!$H$33+'Appendix K'!$G$33))/((1+$Y$16)^3))</f>
        <v>7493754.0593338544</v>
      </c>
      <c r="AB47" s="193">
        <f>(((E47*'Appendix K'!$C$8*1000)-('Appendix K'!$E$34+'Appendix K'!$F$34+'Appendix K'!$H$34+'Appendix K'!$G$34))/((1+$Y$16)^4))</f>
        <v>15732644.175966749</v>
      </c>
      <c r="AC47" s="193">
        <f>(((F47*'Appendix K'!$C$9*1000)-('Appendix K'!$E$35+'Appendix K'!$F$35+'Appendix K'!$H$35+'Appendix K'!$G$35))/((1+$Y$16)^AC$34))</f>
        <v>18343326.827930409</v>
      </c>
      <c r="AD47" s="193">
        <f>(((G47*'Appendix K'!$C$10*1000)-('Appendix K'!$E$36+'Appendix K'!$F$36+'Appendix K'!$H$36+'Appendix K'!$G$36))/((1+$Y$16)^AD$34))</f>
        <v>17389065.17434388</v>
      </c>
      <c r="AE47" s="193">
        <f>(((H47*'Appendix K'!$C$11*1000)-('Appendix K'!$E$37+'Appendix K'!$F$37+'Appendix K'!$H$37+'Appendix K'!$G$37))/((1+$Y$16)^AE$34))</f>
        <v>13975869.825425282</v>
      </c>
      <c r="AF47" s="193">
        <f>(((I47*'Appendix K'!$C$12*1000)-('Appendix K'!$E$38+'Appendix K'!$F$38+'Appendix K'!$H$38+'Appendix K'!$G$38))/((1+$Y$16)^AF$34))</f>
        <v>2636399.7992572701</v>
      </c>
      <c r="AG47" s="193">
        <f>(((J47*'Appendix K'!$C$13*1000)-('Appendix K'!$E$39+'Appendix K'!$F$39+'Appendix K'!$H$39+'Appendix K'!$G$39))/((1+$Y$16)^AG$34))</f>
        <v>670229.27734510147</v>
      </c>
      <c r="AH47" s="193">
        <f>(((K47*'Appendix K'!$C$14*1000)-('Appendix K'!$E$40+'Appendix K'!$F$40+'Appendix K'!$H$40+'Appendix K'!$G$40))/((1+$Y$16)^AH$34))</f>
        <v>696922.29749445373</v>
      </c>
      <c r="AI47" s="193">
        <f>(((L47*'Appendix K'!$C$15*1000)-('Appendix K'!$E$41+'Appendix K'!$F$41+'Appendix K'!$H$41+'Appendix K'!$G$41))/((1+$Y$16)^AI$34))</f>
        <v>685080.549685537</v>
      </c>
      <c r="AJ47" s="193">
        <f>(((M47*'Appendix K'!$C$16*1000)-('Appendix K'!$E$42+'Appendix K'!$F$42+'Appendix K'!$H$42+'Appendix K'!$G$42))/((1+$Y$16)^AJ$34))</f>
        <v>1204249.2895804781</v>
      </c>
      <c r="AK47" s="193">
        <f>(((N47*'Appendix K'!$C$17*1000)-('Appendix K'!$E$43+'Appendix K'!$F$43+'Appendix K'!$H$43))/((1+$Y$16)^AK$34))</f>
        <v>1776766.2674398348</v>
      </c>
      <c r="AL47" s="193">
        <f>(((O47*'Appendix K'!$C$18*1000)-('Appendix K'!$E$44+'Appendix K'!$F$44+'Appendix K'!$H$44+'Appendix K'!$G$44))/((1+$Y$16)^AL$34))</f>
        <v>1415170.1936405872</v>
      </c>
      <c r="AM47" s="193">
        <f>(((P47*'Appendix K'!$C$19*1000)-('Appendix K'!$E$45+'Appendix K'!$F$45+'Appendix K'!$H$45+'Appendix K'!$G$45))/((1+$Y$16)^AM$34))</f>
        <v>1534690.9147094919</v>
      </c>
      <c r="AN47" s="193">
        <f>(((Q47*'Appendix K'!$C$20*1000)-('Appendix K'!$E$46+'Appendix K'!$F$46+'Appendix K'!$H$46+'Appendix K'!$G$46))/((1+$Y$16)^AN$34))</f>
        <v>1163512.4544636852</v>
      </c>
      <c r="AO47" s="193">
        <f>(((R47*'Appendix K'!$C$21*1000)-('Appendix K'!$E$47+'Appendix K'!$F$47+'Appendix K'!$H$47+'Appendix K'!$G$47))/((1+$Y$16)^AO$34))</f>
        <v>506550.31101079477</v>
      </c>
      <c r="AP47" s="193">
        <f>(((S47*'Appendix K'!$C$22*1000)-('Appendix K'!$E$48+'Appendix K'!$F$48+'Appendix K'!$H$48+'Appendix K'!$G$48))/((1+$Y$16)^AP$34))</f>
        <v>739029.22255509836</v>
      </c>
      <c r="AQ47" s="193">
        <f>(((T47*'Appendix K'!$C$23*1000)-('Appendix K'!$E$49+'Appendix K'!$F$49+'Appendix K'!$H$49+'Appendix K'!$G$49))/((1+$Y$16)^AQ$34))</f>
        <v>720121.04084081645</v>
      </c>
      <c r="AR47" s="193">
        <f>(((U47*'Appendix K'!$C$24*1000)-('Appendix K'!$E$50+'Appendix K'!$F$50+'Appendix K'!$H$50+'Appendix K'!$G$50))/((1+$Y$16)^AR$34))</f>
        <v>440275.62876140309</v>
      </c>
      <c r="AS47" s="209">
        <f t="shared" si="14"/>
        <v>103919734.11315262</v>
      </c>
      <c r="AU47" s="199">
        <f t="shared" si="13"/>
        <v>6.7455249827734778E-9</v>
      </c>
      <c r="AW47" s="212">
        <f t="shared" si="15"/>
        <v>190000000</v>
      </c>
      <c r="AX47" s="193">
        <v>190</v>
      </c>
      <c r="AY47">
        <f>COUNTIFS($AS$35:$AS$1034,"&gt;175000001",$AS$35:$AS$1034,"&lt;190000000")</f>
        <v>13</v>
      </c>
      <c r="AZ47" s="106">
        <f t="shared" si="16"/>
        <v>1.2999999999999999E-2</v>
      </c>
    </row>
    <row r="48" spans="1:52" x14ac:dyDescent="0.35">
      <c r="A48">
        <v>14</v>
      </c>
      <c r="B48" s="70">
        <v>56</v>
      </c>
      <c r="C48" s="70">
        <v>44.291578653620462</v>
      </c>
      <c r="D48" s="70">
        <v>58.271150268714855</v>
      </c>
      <c r="E48" s="70">
        <v>80.551768229399528</v>
      </c>
      <c r="F48" s="70">
        <v>62.173380851374461</v>
      </c>
      <c r="G48" s="70">
        <v>58.096370526037532</v>
      </c>
      <c r="H48" s="70">
        <v>47.844486384931074</v>
      </c>
      <c r="I48" s="70">
        <v>60.558727902566332</v>
      </c>
      <c r="J48" s="70">
        <v>84.558506998833948</v>
      </c>
      <c r="K48" s="70">
        <v>83.597392417865564</v>
      </c>
      <c r="L48" s="70">
        <v>122.63821593853686</v>
      </c>
      <c r="M48" s="70">
        <v>179.25981559157566</v>
      </c>
      <c r="N48" s="70">
        <v>142.81005781304788</v>
      </c>
      <c r="O48" s="70">
        <v>121.78358753035889</v>
      </c>
      <c r="P48" s="70">
        <v>109.60137086806813</v>
      </c>
      <c r="Q48" s="70">
        <v>148.27549586222509</v>
      </c>
      <c r="R48" s="70">
        <v>204.68571937597639</v>
      </c>
      <c r="S48" s="70">
        <v>278.36536827364569</v>
      </c>
      <c r="T48" s="70">
        <v>175.29554609188204</v>
      </c>
      <c r="U48" s="70">
        <v>262.79023454244583</v>
      </c>
      <c r="V48" s="70">
        <v>279.75863910814832</v>
      </c>
      <c r="X48" s="193">
        <f>((0-('Appendix K'!$I$30))/(1+$Y$16)^0)</f>
        <v>-33594902.4440751</v>
      </c>
      <c r="Y48" s="193">
        <f>(((B48*'Appendix K'!$C$5*1000)-('Appendix K'!$E$31+'Appendix K'!$F$31+'Appendix K'!$H$31+'Appendix K'!$G$31))/((1+$Y$16)^1))</f>
        <v>34971064.972647354</v>
      </c>
      <c r="Z48" s="193">
        <f>+(((C48*'Appendix K'!$C$6*1000)-('Appendix K'!$E$32+'Appendix K'!$F$32+'Appendix K'!$H$32+'Appendix K'!$G$32))/((1+$Y$16)^2))</f>
        <v>7701562.6223838395</v>
      </c>
      <c r="AA48" s="193">
        <f>(((D48*'Appendix K'!$C$7*1000)-('Appendix K'!$E$33+'Appendix K'!$F$33+'Appendix K'!$H$33+'Appendix K'!$G$33))/((1+$Y$16)^3))</f>
        <v>4457382.2647371674</v>
      </c>
      <c r="AB48" s="193">
        <f>(((E48*'Appendix K'!$C$8*1000)-('Appendix K'!$E$34+'Appendix K'!$F$34+'Appendix K'!$H$34+'Appendix K'!$G$34))/((1+$Y$16)^4))</f>
        <v>14363002.326564841</v>
      </c>
      <c r="AC48" s="193">
        <f>(((F48*'Appendix K'!$C$9*1000)-('Appendix K'!$E$35+'Appendix K'!$F$35+'Appendix K'!$H$35+'Appendix K'!$G$35))/((1+$Y$16)^AC$34))</f>
        <v>13541358.481408576</v>
      </c>
      <c r="AD48" s="193">
        <f>(((G48*'Appendix K'!$C$10*1000)-('Appendix K'!$E$36+'Appendix K'!$F$36+'Appendix K'!$H$36+'Appendix K'!$G$36))/((1+$Y$16)^AD$34))</f>
        <v>6607920.6183741409</v>
      </c>
      <c r="AE48" s="193">
        <f>(((H48*'Appendix K'!$C$11*1000)-('Appendix K'!$E$37+'Appendix K'!$F$37+'Appendix K'!$H$37+'Appendix K'!$G$37))/((1+$Y$16)^AE$34))</f>
        <v>2551954.6595420716</v>
      </c>
      <c r="AF48" s="193">
        <f>(((I48*'Appendix K'!$C$12*1000)-('Appendix K'!$E$38+'Appendix K'!$F$38+'Appendix K'!$H$38+'Appendix K'!$G$38))/((1+$Y$16)^AF$34))</f>
        <v>1979854.0418342599</v>
      </c>
      <c r="AG48" s="193">
        <f>(((J48*'Appendix K'!$C$13*1000)-('Appendix K'!$E$39+'Appendix K'!$F$39+'Appendix K'!$H$39+'Appendix K'!$G$39))/((1+$Y$16)^AG$34))</f>
        <v>2076348.360103308</v>
      </c>
      <c r="AH48" s="193">
        <f>(((K48*'Appendix K'!$C$14*1000)-('Appendix K'!$E$40+'Appendix K'!$F$40+'Appendix K'!$H$40+'Appendix K'!$G$40))/((1+$Y$16)^AH$34))</f>
        <v>1185036.5882178678</v>
      </c>
      <c r="AI48" s="193">
        <f>(((L48*'Appendix K'!$C$15*1000)-('Appendix K'!$E$41+'Appendix K'!$F$41+'Appendix K'!$H$41+'Appendix K'!$G$41))/((1+$Y$16)^AI$34))</f>
        <v>1696869.2438469869</v>
      </c>
      <c r="AJ48" s="193">
        <f>(((M48*'Appendix K'!$C$16*1000)-('Appendix K'!$E$42+'Appendix K'!$F$42+'Appendix K'!$H$42+'Appendix K'!$G$42))/((1+$Y$16)^AJ$34))</f>
        <v>2211150.4198699282</v>
      </c>
      <c r="AK48" s="193">
        <f>(((N48*'Appendix K'!$C$17*1000)-('Appendix K'!$E$43+'Appendix K'!$F$43+'Appendix K'!$H$43))/((1+$Y$16)^AK$34))</f>
        <v>1189860.4684882138</v>
      </c>
      <c r="AL48" s="193">
        <f>(((O48*'Appendix K'!$C$18*1000)-('Appendix K'!$E$44+'Appendix K'!$F$44+'Appendix K'!$H$44+'Appendix K'!$G$44))/((1+$Y$16)^AL$34))</f>
        <v>308947.57240669522</v>
      </c>
      <c r="AM48" s="193">
        <f>(((P48*'Appendix K'!$C$19*1000)-('Appendix K'!$E$45+'Appendix K'!$F$45+'Appendix K'!$H$45+'Appendix K'!$G$45))/((1+$Y$16)^AM$34))</f>
        <v>-10900.231471717456</v>
      </c>
      <c r="AN48" s="193">
        <f>(((Q48*'Appendix K'!$C$20*1000)-('Appendix K'!$E$46+'Appendix K'!$F$46+'Appendix K'!$H$46+'Appendix K'!$G$46))/((1+$Y$16)^AN$34))</f>
        <v>157244.80879773857</v>
      </c>
      <c r="AO48" s="193">
        <f>(((R48*'Appendix K'!$C$21*1000)-('Appendix K'!$E$47+'Appendix K'!$F$47+'Appendix K'!$H$47+'Appendix K'!$G$47))/((1+$Y$16)^AO$34))</f>
        <v>366716.28981752961</v>
      </c>
      <c r="AP48" s="193">
        <f>(((S48*'Appendix K'!$C$22*1000)-('Appendix K'!$E$48+'Appendix K'!$F$48+'Appendix K'!$H$48+'Appendix K'!$G$48))/((1+$Y$16)^AP$34))</f>
        <v>568838.75565840979</v>
      </c>
      <c r="AQ48" s="193">
        <f>(((T48*'Appendix K'!$C$23*1000)-('Appendix K'!$E$49+'Appendix K'!$F$49+'Appendix K'!$H$49+'Appendix K'!$G$49))/((1+$Y$16)^AQ$34))</f>
        <v>-7423.7409188779802</v>
      </c>
      <c r="AR48" s="193">
        <f>(((U48*'Appendix K'!$C$24*1000)-('Appendix K'!$E$50+'Appendix K'!$F$50+'Appendix K'!$H$50+'Appendix K'!$G$50))/((1+$Y$16)^AR$34))</f>
        <v>216903.04900078411</v>
      </c>
      <c r="AS48" s="209">
        <f t="shared" si="14"/>
        <v>62557113.099624597</v>
      </c>
      <c r="AU48" s="199">
        <f t="shared" si="13"/>
        <v>6.3766693909862487E-9</v>
      </c>
      <c r="AW48" s="212">
        <f t="shared" si="15"/>
        <v>205000000</v>
      </c>
      <c r="AX48" s="193">
        <v>205</v>
      </c>
      <c r="AY48">
        <f>COUNTIFS($AS$35:$AS$1034,"&gt;190000001",$AS$35:$AS$1034,"&lt;205000000")</f>
        <v>15</v>
      </c>
      <c r="AZ48" s="106">
        <f t="shared" si="16"/>
        <v>1.4999999999999999E-2</v>
      </c>
    </row>
    <row r="49" spans="1:52" x14ac:dyDescent="0.35">
      <c r="A49">
        <v>15</v>
      </c>
      <c r="B49" s="70">
        <v>56</v>
      </c>
      <c r="C49" s="70">
        <v>75.202074646310464</v>
      </c>
      <c r="D49" s="70">
        <v>65.679295467933031</v>
      </c>
      <c r="E49" s="70">
        <v>46.640261393966441</v>
      </c>
      <c r="F49" s="70">
        <v>60.946650152712081</v>
      </c>
      <c r="G49" s="70">
        <v>62.785520604272165</v>
      </c>
      <c r="H49" s="70">
        <v>79.259259478398661</v>
      </c>
      <c r="I49" s="70">
        <v>83.19610293967969</v>
      </c>
      <c r="J49" s="70">
        <v>80.044474345572908</v>
      </c>
      <c r="K49" s="70">
        <v>79.57938901038365</v>
      </c>
      <c r="L49" s="70">
        <v>66.910710737094547</v>
      </c>
      <c r="M49" s="70">
        <v>101.89426149171574</v>
      </c>
      <c r="N49" s="70">
        <v>121.80070965920244</v>
      </c>
      <c r="O49" s="70">
        <v>130.53178398516172</v>
      </c>
      <c r="P49" s="70">
        <v>191.94253619660003</v>
      </c>
      <c r="Q49" s="70">
        <v>234.56517089647292</v>
      </c>
      <c r="R49" s="70">
        <v>216.71860355559272</v>
      </c>
      <c r="S49" s="70">
        <v>270.2812320894451</v>
      </c>
      <c r="T49" s="70">
        <v>356.71714223025674</v>
      </c>
      <c r="U49" s="70">
        <v>374.17665981452029</v>
      </c>
      <c r="V49" s="70">
        <v>446.95691439554145</v>
      </c>
      <c r="X49" s="193">
        <f>((0-('Appendix K'!$I$30))/(1+$Y$16)^0)</f>
        <v>-33594902.4440751</v>
      </c>
      <c r="Y49" s="193">
        <f>(((B49*'Appendix K'!$C$5*1000)-('Appendix K'!$E$31+'Appendix K'!$F$31+'Appendix K'!$H$31+'Appendix K'!$G$31))/((1+$Y$16)^1))</f>
        <v>34971064.972647354</v>
      </c>
      <c r="Z49" s="193">
        <f>+(((C49*'Appendix K'!$C$6*1000)-('Appendix K'!$E$32+'Appendix K'!$F$32+'Appendix K'!$H$32+'Appendix K'!$G$32))/((1+$Y$16)^2))</f>
        <v>15510082.576185854</v>
      </c>
      <c r="AA49" s="193">
        <f>(((D49*'Appendix K'!$C$7*1000)-('Appendix K'!$E$33+'Appendix K'!$F$33+'Appendix K'!$H$33+'Appendix K'!$G$33))/((1+$Y$16)^3))</f>
        <v>5400993.8139005499</v>
      </c>
      <c r="AB49" s="193">
        <f>(((E49*'Appendix K'!$C$8*1000)-('Appendix K'!$E$34+'Appendix K'!$F$34+'Appendix K'!$H$34+'Appendix K'!$G$34))/((1+$Y$16)^4))</f>
        <v>6929910.4582039947</v>
      </c>
      <c r="AC49" s="193">
        <f>(((F49*'Appendix K'!$C$9*1000)-('Appendix K'!$E$35+'Appendix K'!$F$35+'Appendix K'!$H$35+'Appendix K'!$G$35))/((1+$Y$16)^AC$34))</f>
        <v>13215295.388016988</v>
      </c>
      <c r="AD49" s="193">
        <f>(((G49*'Appendix K'!$C$10*1000)-('Appendix K'!$E$36+'Appendix K'!$F$36+'Appendix K'!$H$36+'Appendix K'!$G$36))/((1+$Y$16)^AD$34))</f>
        <v>7344323.2759131603</v>
      </c>
      <c r="AE49" s="193">
        <f>(((H49*'Appendix K'!$C$11*1000)-('Appendix K'!$E$37+'Appendix K'!$F$37+'Appendix K'!$H$37+'Appendix K'!$G$37))/((1+$Y$16)^AE$34))</f>
        <v>5685189.6383206788</v>
      </c>
      <c r="AF49" s="193">
        <f>(((I49*'Appendix K'!$C$12*1000)-('Appendix K'!$E$38+'Appendix K'!$F$38+'Appendix K'!$H$38+'Appendix K'!$G$38))/((1+$Y$16)^AF$34))</f>
        <v>3466279.0285640676</v>
      </c>
      <c r="AG49" s="193">
        <f>(((J49*'Appendix K'!$C$13*1000)-('Appendix K'!$E$39+'Appendix K'!$F$39+'Appendix K'!$H$39+'Appendix K'!$G$39))/((1+$Y$16)^AG$34))</f>
        <v>1868617.3958511597</v>
      </c>
      <c r="AH49" s="193">
        <f>(((K49*'Appendix K'!$C$14*1000)-('Appendix K'!$E$40+'Appendix K'!$F$40+'Appendix K'!$H$40+'Appendix K'!$G$40))/((1+$Y$16)^AH$34))</f>
        <v>1049603.6488572557</v>
      </c>
      <c r="AI49" s="193">
        <f>(((L49*'Appendix K'!$C$15*1000)-('Appendix K'!$E$41+'Appendix K'!$F$41+'Appendix K'!$H$41+'Appendix K'!$G$41))/((1+$Y$16)^AI$34))</f>
        <v>236704.39662347233</v>
      </c>
      <c r="AJ49" s="193">
        <f>(((M49*'Appendix K'!$C$16*1000)-('Appendix K'!$E$42+'Appendix K'!$F$42+'Appendix K'!$H$42+'Appendix K'!$G$42))/((1+$Y$16)^AJ$34))</f>
        <v>660600.27592530788</v>
      </c>
      <c r="AK49" s="193">
        <f>(((N49*'Appendix K'!$C$17*1000)-('Appendix K'!$E$43+'Appendix K'!$F$43+'Appendix K'!$H$43))/((1+$Y$16)^AK$34))</f>
        <v>867074.99769596499</v>
      </c>
      <c r="AL49" s="193">
        <f>(((O49*'Appendix K'!$C$18*1000)-('Appendix K'!$E$44+'Appendix K'!$F$44+'Appendix K'!$H$44+'Appendix K'!$G$44))/((1+$Y$16)^AL$34))</f>
        <v>412642.51916087914</v>
      </c>
      <c r="AM49" s="193">
        <f>(((P49*'Appendix K'!$C$19*1000)-('Appendix K'!$E$45+'Appendix K'!$F$45+'Appendix K'!$H$45+'Appendix K'!$G$45))/((1+$Y$16)^AM$34))</f>
        <v>752297.94542162004</v>
      </c>
      <c r="AN49" s="193">
        <f>(((Q49*'Appendix K'!$C$20*1000)-('Appendix K'!$E$46+'Appendix K'!$F$46+'Appendix K'!$H$46+'Appendix K'!$G$46))/((1+$Y$16)^AN$34))</f>
        <v>781655.61278954125</v>
      </c>
      <c r="AO49" s="193">
        <f>(((R49*'Appendix K'!$C$21*1000)-('Appendix K'!$E$47+'Appendix K'!$F$47+'Appendix K'!$H$47+'Appendix K'!$G$47))/((1+$Y$16)^AO$34))</f>
        <v>437831.96471259033</v>
      </c>
      <c r="AP49" s="193">
        <f>(((S49*'Appendix K'!$C$22*1000)-('Appendix K'!$E$48+'Appendix K'!$F$48+'Appendix K'!$H$48+'Appendix K'!$G$48))/((1+$Y$16)^AP$34))</f>
        <v>530118.01221613062</v>
      </c>
      <c r="AQ49" s="193">
        <f>(((T49*'Appendix K'!$C$23*1000)-('Appendix K'!$E$49+'Appendix K'!$F$49+'Appendix K'!$H$49+'Appendix K'!$G$49))/((1+$Y$16)^AQ$34))</f>
        <v>702613.94124697044</v>
      </c>
      <c r="AR49" s="193">
        <f>(((U49*'Appendix K'!$C$24*1000)-('Appendix K'!$E$50+'Appendix K'!$F$50+'Appendix K'!$H$50+'Appendix K'!$G$50))/((1+$Y$16)^AR$34))</f>
        <v>575570.45929736027</v>
      </c>
      <c r="AS49" s="209">
        <f t="shared" si="14"/>
        <v>67803567.877475828</v>
      </c>
      <c r="AU49" s="199">
        <f t="shared" si="13"/>
        <v>6.6140414086502815E-9</v>
      </c>
      <c r="AW49" s="212">
        <f t="shared" si="15"/>
        <v>220000000</v>
      </c>
      <c r="AX49" s="193">
        <v>220</v>
      </c>
      <c r="AY49">
        <f>COUNTIFS($AS$35:$AS$1034,"&gt;205000001",$AS$35:$AS$1034,"&lt;220000000")</f>
        <v>10</v>
      </c>
      <c r="AZ49" s="106">
        <f t="shared" si="16"/>
        <v>0.01</v>
      </c>
    </row>
    <row r="50" spans="1:52" x14ac:dyDescent="0.35">
      <c r="A50">
        <v>16</v>
      </c>
      <c r="B50" s="70">
        <v>56</v>
      </c>
      <c r="C50" s="70">
        <v>55.463751580655249</v>
      </c>
      <c r="D50" s="70">
        <v>65.907994384342004</v>
      </c>
      <c r="E50" s="70">
        <v>71.862398760147087</v>
      </c>
      <c r="F50" s="70">
        <v>76.694184972023635</v>
      </c>
      <c r="G50" s="70">
        <v>101.47826607369571</v>
      </c>
      <c r="H50" s="70">
        <v>109.34776205369984</v>
      </c>
      <c r="I50" s="70">
        <v>96.013258401648216</v>
      </c>
      <c r="J50" s="70">
        <v>74.376057959975029</v>
      </c>
      <c r="K50" s="70">
        <v>110.18906959369163</v>
      </c>
      <c r="L50" s="70">
        <v>118.43995973667541</v>
      </c>
      <c r="M50" s="70">
        <v>168.76747687209075</v>
      </c>
      <c r="N50" s="70">
        <v>235.40462948192751</v>
      </c>
      <c r="O50" s="70">
        <v>321.60525201963799</v>
      </c>
      <c r="P50" s="70">
        <v>200.53841217215421</v>
      </c>
      <c r="Q50" s="70">
        <v>259.98044360582975</v>
      </c>
      <c r="R50" s="70">
        <v>197.97149348972528</v>
      </c>
      <c r="S50" s="70">
        <v>246.0969265588601</v>
      </c>
      <c r="T50" s="70">
        <v>179.27705179818753</v>
      </c>
      <c r="U50" s="70">
        <v>110.81223223152162</v>
      </c>
      <c r="V50" s="70">
        <v>139.10458803850372</v>
      </c>
      <c r="X50" s="193">
        <f>((0-('Appendix K'!$I$30))/(1+$Y$16)^0)</f>
        <v>-33594902.4440751</v>
      </c>
      <c r="Y50" s="193">
        <f>(((B50*'Appendix K'!$C$5*1000)-('Appendix K'!$E$31+'Appendix K'!$F$31+'Appendix K'!$H$31+'Appendix K'!$G$31))/((1+$Y$16)^1))</f>
        <v>34971064.972647354</v>
      </c>
      <c r="Z50" s="193">
        <f>+(((C50*'Appendix K'!$C$6*1000)-('Appendix K'!$E$32+'Appendix K'!$F$32+'Appendix K'!$H$32+'Appendix K'!$G$32))/((1+$Y$16)^2))</f>
        <v>10523844.582812708</v>
      </c>
      <c r="AA50" s="193">
        <f>(((D50*'Appendix K'!$C$7*1000)-('Appendix K'!$E$33+'Appendix K'!$F$33+'Appendix K'!$H$33+'Appendix K'!$G$33))/((1+$Y$16)^3))</f>
        <v>5430124.3091866616</v>
      </c>
      <c r="AB50" s="193">
        <f>(((E50*'Appendix K'!$C$8*1000)-('Appendix K'!$E$34+'Appendix K'!$F$34+'Appendix K'!$H$34+'Appendix K'!$G$34))/((1+$Y$16)^4))</f>
        <v>12458372.082426107</v>
      </c>
      <c r="AC50" s="193">
        <f>(((F50*'Appendix K'!$C$9*1000)-('Appendix K'!$E$35+'Appendix K'!$F$35+'Appendix K'!$H$35+'Appendix K'!$G$35))/((1+$Y$16)^AC$34))</f>
        <v>17400965.414922882</v>
      </c>
      <c r="AD50" s="193">
        <f>(((G50*'Appendix K'!$C$10*1000)-('Appendix K'!$E$36+'Appendix K'!$F$36+'Appendix K'!$H$36+'Appendix K'!$G$36))/((1+$Y$16)^AD$34))</f>
        <v>13420784.919446548</v>
      </c>
      <c r="AE50" s="193">
        <f>(((H50*'Appendix K'!$C$11*1000)-('Appendix K'!$E$37+'Appendix K'!$F$37+'Appendix K'!$H$37+'Appendix K'!$G$37))/((1+$Y$16)^AE$34))</f>
        <v>8686145.5404216349</v>
      </c>
      <c r="AF50" s="193">
        <f>(((I50*'Appendix K'!$C$12*1000)-('Appendix K'!$E$38+'Appendix K'!$F$38+'Appendix K'!$H$38+'Appendix K'!$G$38))/((1+$Y$16)^AF$34))</f>
        <v>4307884.5639335886</v>
      </c>
      <c r="AG50" s="193">
        <f>(((J50*'Appendix K'!$C$13*1000)-('Appendix K'!$E$39+'Appendix K'!$F$39+'Appendix K'!$H$39+'Appendix K'!$G$39))/((1+$Y$16)^AG$34))</f>
        <v>1607762.9244701709</v>
      </c>
      <c r="AH50" s="193">
        <f>(((K50*'Appendix K'!$C$14*1000)-('Appendix K'!$E$40+'Appendix K'!$F$40+'Appendix K'!$H$40+'Appendix K'!$G$40))/((1+$Y$16)^AH$34))</f>
        <v>2081349.6664358892</v>
      </c>
      <c r="AI50" s="193">
        <f>(((L50*'Appendix K'!$C$15*1000)-('Appendix K'!$E$41+'Appendix K'!$F$41+'Appendix K'!$H$41+'Appendix K'!$G$41))/((1+$Y$16)^AI$34))</f>
        <v>1586867.0805806231</v>
      </c>
      <c r="AJ50" s="193">
        <f>(((M50*'Appendix K'!$C$16*1000)-('Appendix K'!$E$42+'Appendix K'!$F$42+'Appendix K'!$H$42+'Appendix K'!$G$42))/((1+$Y$16)^AJ$34))</f>
        <v>2000864.3629664404</v>
      </c>
      <c r="AK50" s="193">
        <f>(((N50*'Appendix K'!$C$17*1000)-('Appendix K'!$E$43+'Appendix K'!$F$43+'Appendix K'!$H$43))/((1+$Y$16)^AK$34))</f>
        <v>2612473.9732044637</v>
      </c>
      <c r="AL50" s="193">
        <f>(((O50*'Appendix K'!$C$18*1000)-('Appendix K'!$E$44+'Appendix K'!$F$44+'Appendix K'!$H$44+'Appendix K'!$G$44))/((1+$Y$16)^AL$34))</f>
        <v>2677492.5595477251</v>
      </c>
      <c r="AM50" s="193">
        <f>(((P50*'Appendix K'!$C$19*1000)-('Appendix K'!$E$45+'Appendix K'!$F$45+'Appendix K'!$H$45+'Appendix K'!$G$45))/((1+$Y$16)^AM$34))</f>
        <v>831970.81435867108</v>
      </c>
      <c r="AN50" s="193">
        <f>(((Q50*'Appendix K'!$C$20*1000)-('Appendix K'!$E$46+'Appendix K'!$F$46+'Appendix K'!$H$46+'Appendix K'!$G$46))/((1+$Y$16)^AN$34))</f>
        <v>965566.03845543775</v>
      </c>
      <c r="AO50" s="193">
        <f>(((R50*'Appendix K'!$C$21*1000)-('Appendix K'!$E$47+'Appendix K'!$F$47+'Appendix K'!$H$47+'Appendix K'!$G$47))/((1+$Y$16)^AO$34))</f>
        <v>327034.4730418392</v>
      </c>
      <c r="AP50" s="193">
        <f>(((S50*'Appendix K'!$C$22*1000)-('Appendix K'!$E$48+'Appendix K'!$F$48+'Appendix K'!$H$48+'Appendix K'!$G$48))/((1+$Y$16)^AP$34))</f>
        <v>414281.97625107464</v>
      </c>
      <c r="AQ50" s="193">
        <f>(((T50*'Appendix K'!$C$23*1000)-('Appendix K'!$E$49+'Appendix K'!$F$49+'Appendix K'!$H$49+'Appendix K'!$G$49))/((1+$Y$16)^AQ$34))</f>
        <v>8158.8531239998701</v>
      </c>
      <c r="AR50" s="193">
        <f>(((U50*'Appendix K'!$C$24*1000)-('Appendix K'!$E$50+'Appendix K'!$F$50+'Appendix K'!$H$50+'Appendix K'!$G$50))/((1+$Y$16)^AR$34))</f>
        <v>-272470.37669054436</v>
      </c>
      <c r="AS50" s="209">
        <f t="shared" si="14"/>
        <v>88718106.664158672</v>
      </c>
      <c r="AU50" s="199">
        <f t="shared" si="13"/>
        <v>7.0283507185810063E-9</v>
      </c>
      <c r="AW50" s="212">
        <f t="shared" si="15"/>
        <v>235000000</v>
      </c>
      <c r="AX50" s="193">
        <v>235</v>
      </c>
      <c r="AY50">
        <f>COUNTIFS($AS$35:$AS$1034,"&gt;220000001",$AS$35:$AS$1034,"&lt;500000000")</f>
        <v>33</v>
      </c>
      <c r="AZ50" s="106">
        <f t="shared" si="16"/>
        <v>3.3000000000000002E-2</v>
      </c>
    </row>
    <row r="51" spans="1:52" x14ac:dyDescent="0.35">
      <c r="A51">
        <v>17</v>
      </c>
      <c r="B51" s="70">
        <v>56</v>
      </c>
      <c r="C51" s="70">
        <v>78.629779903009535</v>
      </c>
      <c r="D51" s="70">
        <v>95.344590601908649</v>
      </c>
      <c r="E51" s="70">
        <v>114.95663390882878</v>
      </c>
      <c r="F51" s="70">
        <v>88.230051953955652</v>
      </c>
      <c r="G51" s="70">
        <v>94.82247866429006</v>
      </c>
      <c r="H51" s="70">
        <v>37.09890535221529</v>
      </c>
      <c r="I51" s="70">
        <v>44.203970047782761</v>
      </c>
      <c r="J51" s="70">
        <v>64.601720633728263</v>
      </c>
      <c r="K51" s="70">
        <v>75.796356049317623</v>
      </c>
      <c r="L51" s="70">
        <v>130.60820066333167</v>
      </c>
      <c r="M51" s="70">
        <v>61.240687637466252</v>
      </c>
      <c r="N51" s="70">
        <v>52.167709476821081</v>
      </c>
      <c r="O51" s="70">
        <v>66.230202386786175</v>
      </c>
      <c r="P51" s="70">
        <v>85.321090858185869</v>
      </c>
      <c r="Q51" s="70">
        <v>81.134199283589325</v>
      </c>
      <c r="R51" s="70">
        <v>50.193781270242923</v>
      </c>
      <c r="S51" s="70">
        <v>53.806900147487468</v>
      </c>
      <c r="T51" s="70">
        <v>35.376558656044665</v>
      </c>
      <c r="U51" s="70">
        <v>55.730454867176469</v>
      </c>
      <c r="V51" s="70">
        <v>64.209756353068798</v>
      </c>
      <c r="X51" s="193">
        <f>((0-('Appendix K'!$I$30))/(1+$Y$16)^0)</f>
        <v>-33594902.4440751</v>
      </c>
      <c r="Y51" s="193">
        <f>(((B51*'Appendix K'!$C$5*1000)-('Appendix K'!$E$31+'Appendix K'!$F$31+'Appendix K'!$H$31+'Appendix K'!$G$31))/((1+$Y$16)^1))</f>
        <v>34971064.972647354</v>
      </c>
      <c r="Z51" s="193">
        <f>+(((C51*'Appendix K'!$C$6*1000)-('Appendix K'!$E$32+'Appendix K'!$F$32+'Appendix K'!$H$32+'Appendix K'!$G$32))/((1+$Y$16)^2))</f>
        <v>16375979.548496375</v>
      </c>
      <c r="AA51" s="193">
        <f>(((D51*'Appendix K'!$C$7*1000)-('Appendix K'!$E$33+'Appendix K'!$F$33+'Appendix K'!$H$33+'Appendix K'!$G$33))/((1+$Y$16)^3))</f>
        <v>9179606.9950668588</v>
      </c>
      <c r="AB51" s="193">
        <f>(((E51*'Appendix K'!$C$8*1000)-('Appendix K'!$E$34+'Appendix K'!$F$34+'Appendix K'!$H$34+'Appendix K'!$G$34))/((1+$Y$16)^4))</f>
        <v>21904233.937264126</v>
      </c>
      <c r="AC51" s="193">
        <f>(((F51*'Appendix K'!$C$9*1000)-('Appendix K'!$E$35+'Appendix K'!$F$35+'Appendix K'!$H$35+'Appendix K'!$G$35))/((1+$Y$16)^AC$34))</f>
        <v>20467180.744158592</v>
      </c>
      <c r="AD51" s="193">
        <f>(((G51*'Appendix K'!$C$10*1000)-('Appendix K'!$E$36+'Appendix K'!$F$36+'Appendix K'!$H$36+'Appendix K'!$G$36))/((1+$Y$16)^AD$34))</f>
        <v>12375533.764220931</v>
      </c>
      <c r="AE51" s="193">
        <f>(((H51*'Appendix K'!$C$11*1000)-('Appendix K'!$E$37+'Appendix K'!$F$37+'Appendix K'!$H$37+'Appendix K'!$G$37))/((1+$Y$16)^AE$34))</f>
        <v>1480215.8868687123</v>
      </c>
      <c r="AF51" s="193">
        <f>(((I51*'Appendix K'!$C$12*1000)-('Appendix K'!$E$38+'Appendix K'!$F$38+'Appendix K'!$H$38+'Appendix K'!$G$38))/((1+$Y$16)^AF$34))</f>
        <v>905960.94745339185</v>
      </c>
      <c r="AG51" s="193">
        <f>(((J51*'Appendix K'!$C$13*1000)-('Appendix K'!$E$39+'Appendix K'!$F$39+'Appendix K'!$H$39+'Appendix K'!$G$39))/((1+$Y$16)^AG$34))</f>
        <v>1157958.3542174108</v>
      </c>
      <c r="AH51" s="193">
        <f>(((K51*'Appendix K'!$C$14*1000)-('Appendix K'!$E$40+'Appendix K'!$F$40+'Appendix K'!$H$40+'Appendix K'!$G$40))/((1+$Y$16)^AH$34))</f>
        <v>922090.74713566678</v>
      </c>
      <c r="AI51" s="193">
        <f>(((L51*'Appendix K'!$C$15*1000)-('Appendix K'!$E$41+'Appendix K'!$F$41+'Appendix K'!$H$41+'Appendix K'!$G$41))/((1+$Y$16)^AI$34))</f>
        <v>1905697.747581129</v>
      </c>
      <c r="AJ51" s="193">
        <f>(((M51*'Appendix K'!$C$16*1000)-('Appendix K'!$E$42+'Appendix K'!$F$42+'Appendix K'!$H$42+'Appendix K'!$G$42))/((1+$Y$16)^AJ$34))</f>
        <v>-154173.24343973878</v>
      </c>
      <c r="AK51" s="193">
        <f>(((N51*'Appendix K'!$C$17*1000)-('Appendix K'!$E$43+'Appendix K'!$F$43+'Appendix K'!$H$43))/((1+$Y$16)^AK$34))</f>
        <v>-202759.2771210158</v>
      </c>
      <c r="AL51" s="193">
        <f>(((O51*'Appendix K'!$C$18*1000)-('Appendix K'!$E$44+'Appendix K'!$F$44+'Appendix K'!$H$44+'Appendix K'!$G$44))/((1+$Y$16)^AL$34))</f>
        <v>-349543.0484017593</v>
      </c>
      <c r="AM51" s="193">
        <f>(((P51*'Appendix K'!$C$19*1000)-('Appendix K'!$E$45+'Appendix K'!$F$45+'Appendix K'!$H$45+'Appendix K'!$G$45))/((1+$Y$16)^AM$34))</f>
        <v>-235947.63472459419</v>
      </c>
      <c r="AN51" s="193">
        <f>(((Q51*'Appendix K'!$C$20*1000)-('Appendix K'!$E$46+'Appendix K'!$F$46+'Appendix K'!$H$46+'Appendix K'!$G$46))/((1+$Y$16)^AN$34))</f>
        <v>-328604.17558050517</v>
      </c>
      <c r="AO51" s="193">
        <f>(((R51*'Appendix K'!$C$21*1000)-('Appendix K'!$E$47+'Appendix K'!$F$47+'Appendix K'!$H$47+'Appendix K'!$G$47))/((1+$Y$16)^AO$34))</f>
        <v>-546348.13266289339</v>
      </c>
      <c r="AP51" s="193">
        <f>(((S51*'Appendix K'!$C$22*1000)-('Appendix K'!$E$48+'Appendix K'!$F$48+'Appendix K'!$H$48+'Appendix K'!$G$48))/((1+$Y$16)^AP$34))</f>
        <v>-506733.28246454557</v>
      </c>
      <c r="AQ51" s="193">
        <f>(((T51*'Appendix K'!$C$23*1000)-('Appendix K'!$E$49+'Appendix K'!$F$49+'Appendix K'!$H$49+'Appendix K'!$G$49))/((1+$Y$16)^AQ$34))</f>
        <v>-555030.83756331215</v>
      </c>
      <c r="AR51" s="193">
        <f>(((U51*'Appendix K'!$C$24*1000)-('Appendix K'!$E$50+'Appendix K'!$F$50+'Appendix K'!$H$50+'Appendix K'!$G$50))/((1+$Y$16)^AR$34))</f>
        <v>-449835.24313226558</v>
      </c>
      <c r="AS51" s="209">
        <f t="shared" si="14"/>
        <v>88050621.20103547</v>
      </c>
      <c r="AU51" s="199">
        <f t="shared" si="13"/>
        <v>7.0294685168294644E-9</v>
      </c>
      <c r="AW51" s="212"/>
      <c r="AX51" s="193"/>
      <c r="AZ51" s="106"/>
    </row>
    <row r="52" spans="1:52" x14ac:dyDescent="0.35">
      <c r="A52">
        <v>18</v>
      </c>
      <c r="B52" s="70">
        <v>56</v>
      </c>
      <c r="C52" s="70">
        <v>69.413242831879273</v>
      </c>
      <c r="D52" s="70">
        <v>75.413052206182343</v>
      </c>
      <c r="E52" s="70">
        <v>99.929211095100371</v>
      </c>
      <c r="F52" s="70">
        <v>140.90316840626565</v>
      </c>
      <c r="G52" s="70">
        <v>122.14951021569004</v>
      </c>
      <c r="H52" s="70">
        <v>133.77430592467826</v>
      </c>
      <c r="I52" s="70">
        <v>122.69543389949698</v>
      </c>
      <c r="J52" s="70">
        <v>180.80328004753537</v>
      </c>
      <c r="K52" s="70">
        <v>171.48910647101903</v>
      </c>
      <c r="L52" s="70">
        <v>115.19862221357567</v>
      </c>
      <c r="M52" s="70">
        <v>160.8912479062277</v>
      </c>
      <c r="N52" s="70">
        <v>171.68807664326377</v>
      </c>
      <c r="O52" s="70">
        <v>216.13940610325631</v>
      </c>
      <c r="P52" s="70">
        <v>223.5434208850788</v>
      </c>
      <c r="Q52" s="70">
        <v>391.93673814522958</v>
      </c>
      <c r="R52" s="70">
        <v>232.10781390801276</v>
      </c>
      <c r="S52" s="70">
        <v>255.75801019211244</v>
      </c>
      <c r="T52" s="70">
        <v>319.25619943042216</v>
      </c>
      <c r="U52" s="70">
        <v>450.27391724796973</v>
      </c>
      <c r="V52" s="70">
        <v>403.76682489465702</v>
      </c>
      <c r="X52" s="193">
        <f>((0-('Appendix K'!$I$30))/(1+$Y$16)^0)</f>
        <v>-33594902.4440751</v>
      </c>
      <c r="Y52" s="193">
        <f>(((B52*'Appendix K'!$C$5*1000)-('Appendix K'!$E$31+'Appendix K'!$F$31+'Appendix K'!$H$31+'Appendix K'!$G$31))/((1+$Y$16)^1))</f>
        <v>34971064.972647354</v>
      </c>
      <c r="Z52" s="193">
        <f>+(((C52*'Appendix K'!$C$6*1000)-('Appendix K'!$E$32+'Appendix K'!$F$32+'Appendix K'!$H$32+'Appendix K'!$G$32))/((1+$Y$16)^2))</f>
        <v>14047724.652751699</v>
      </c>
      <c r="AA52" s="193">
        <f>(((D52*'Appendix K'!$C$7*1000)-('Appendix K'!$E$33+'Appendix K'!$F$33+'Appendix K'!$H$33+'Appendix K'!$G$33))/((1+$Y$16)^3))</f>
        <v>6640829.8360033948</v>
      </c>
      <c r="AB52" s="193">
        <f>(((E52*'Appendix K'!$C$8*1000)-('Appendix K'!$E$34+'Appendix K'!$F$34+'Appendix K'!$H$34+'Appendix K'!$G$34))/((1+$Y$16)^4))</f>
        <v>18610360.419310246</v>
      </c>
      <c r="AC52" s="193">
        <f>(((F52*'Appendix K'!$C$9*1000)-('Appendix K'!$E$35+'Appendix K'!$F$35+'Appendix K'!$H$35+'Appendix K'!$G$35))/((1+$Y$16)^AC$34))</f>
        <v>34467612.385547161</v>
      </c>
      <c r="AD52" s="193">
        <f>(((G52*'Appendix K'!$C$10*1000)-('Appendix K'!$E$36+'Appendix K'!$F$36+'Appendix K'!$H$36+'Appendix K'!$G$36))/((1+$Y$16)^AD$34))</f>
        <v>16667078.782263886</v>
      </c>
      <c r="AE52" s="193">
        <f>(((H52*'Appendix K'!$C$11*1000)-('Appendix K'!$E$37+'Appendix K'!$F$37+'Appendix K'!$H$37+'Appendix K'!$G$37))/((1+$Y$16)^AE$34))</f>
        <v>11122391.106783351</v>
      </c>
      <c r="AF52" s="193">
        <f>(((I52*'Appendix K'!$C$12*1000)-('Appendix K'!$E$38+'Appendix K'!$F$38+'Appendix K'!$H$38+'Appendix K'!$G$38))/((1+$Y$16)^AF$34))</f>
        <v>6059900.9658039035</v>
      </c>
      <c r="AG52" s="193">
        <f>(((J52*'Appendix K'!$C$13*1000)-('Appendix K'!$E$39+'Appendix K'!$F$39+'Appendix K'!$H$39+'Appendix K'!$G$39))/((1+$Y$16)^AG$34))</f>
        <v>6505430.0804565148</v>
      </c>
      <c r="AH52" s="193">
        <f>(((K52*'Appendix K'!$C$14*1000)-('Appendix K'!$E$40+'Appendix K'!$F$40+'Appendix K'!$H$40+'Appendix K'!$G$40))/((1+$Y$16)^AH$34))</f>
        <v>4147560.9995948239</v>
      </c>
      <c r="AI52" s="193">
        <f>(((L52*'Appendix K'!$C$15*1000)-('Appendix K'!$E$41+'Appendix K'!$F$41+'Appendix K'!$H$41+'Appendix K'!$G$41))/((1+$Y$16)^AI$34))</f>
        <v>1501937.9761445203</v>
      </c>
      <c r="AJ52" s="193">
        <f>(((M52*'Appendix K'!$C$16*1000)-('Appendix K'!$E$42+'Appendix K'!$F$42+'Appendix K'!$H$42+'Appendix K'!$G$42))/((1+$Y$16)^AJ$34))</f>
        <v>1843010.0297447534</v>
      </c>
      <c r="AK52" s="193">
        <f>(((N52*'Appendix K'!$C$17*1000)-('Appendix K'!$E$43+'Appendix K'!$F$43+'Appendix K'!$H$43))/((1+$Y$16)^AK$34))</f>
        <v>1633539.3887193736</v>
      </c>
      <c r="AL52" s="193">
        <f>(((O52*'Appendix K'!$C$18*1000)-('Appendix K'!$E$44+'Appendix K'!$F$44+'Appendix K'!$H$44+'Appendix K'!$G$44))/((1+$Y$16)^AL$34))</f>
        <v>1427374.8543514675</v>
      </c>
      <c r="AM52" s="193">
        <f>(((P52*'Appendix K'!$C$19*1000)-('Appendix K'!$E$45+'Appendix K'!$F$45+'Appendix K'!$H$45+'Appendix K'!$G$45))/((1+$Y$16)^AM$34))</f>
        <v>1045198.0699976636</v>
      </c>
      <c r="AN52" s="193">
        <f>(((Q52*'Appendix K'!$C$20*1000)-('Appendix K'!$E$46+'Appendix K'!$F$46+'Appendix K'!$H$46+'Appendix K'!$G$46))/((1+$Y$16)^AN$34))</f>
        <v>1920430.4058600401</v>
      </c>
      <c r="AO52" s="193">
        <f>(((R52*'Appendix K'!$C$21*1000)-('Appendix K'!$E$47+'Appendix K'!$F$47+'Appendix K'!$H$47+'Appendix K'!$G$47))/((1+$Y$16)^AO$34))</f>
        <v>528783.89809597156</v>
      </c>
      <c r="AP52" s="193">
        <f>(((S52*'Appendix K'!$C$22*1000)-('Appendix K'!$E$48+'Appendix K'!$F$48+'Appendix K'!$H$48+'Appendix K'!$G$48))/((1+$Y$16)^AP$34))</f>
        <v>460555.85539089725</v>
      </c>
      <c r="AQ52" s="193">
        <f>(((T52*'Appendix K'!$C$23*1000)-('Appendix K'!$E$49+'Appendix K'!$F$49+'Appendix K'!$H$49+'Appendix K'!$G$49))/((1+$Y$16)^AQ$34))</f>
        <v>556001.40137572761</v>
      </c>
      <c r="AR52" s="193">
        <f>(((U52*'Appendix K'!$C$24*1000)-('Appendix K'!$E$50+'Appendix K'!$F$50+'Appendix K'!$H$50+'Appendix K'!$G$50))/((1+$Y$16)^AR$34))</f>
        <v>820605.76039136108</v>
      </c>
      <c r="AS52" s="209">
        <f t="shared" si="14"/>
        <v>131382489.39715901</v>
      </c>
      <c r="AU52" s="199">
        <f t="shared" si="13"/>
        <v>5.2214747041793003E-9</v>
      </c>
      <c r="AW52" s="212"/>
      <c r="AX52" s="193"/>
      <c r="AZ52" s="106"/>
    </row>
    <row r="53" spans="1:52" x14ac:dyDescent="0.35">
      <c r="A53">
        <v>19</v>
      </c>
      <c r="B53" s="70">
        <v>56</v>
      </c>
      <c r="C53" s="70">
        <v>88.004885370657945</v>
      </c>
      <c r="D53" s="70">
        <v>92.033999762754192</v>
      </c>
      <c r="E53" s="70">
        <v>98.34688193166015</v>
      </c>
      <c r="F53" s="70">
        <v>114.36000965412737</v>
      </c>
      <c r="G53" s="70">
        <v>168.61757727201899</v>
      </c>
      <c r="H53" s="70">
        <v>164.32345798853024</v>
      </c>
      <c r="I53" s="70">
        <v>176.57469729289699</v>
      </c>
      <c r="J53" s="70">
        <v>246.03467622458831</v>
      </c>
      <c r="K53" s="70">
        <v>225.89841888986984</v>
      </c>
      <c r="L53" s="70">
        <v>196.15028357042524</v>
      </c>
      <c r="M53" s="70">
        <v>192.58594214419929</v>
      </c>
      <c r="N53" s="70">
        <v>208.41661843786318</v>
      </c>
      <c r="O53" s="70">
        <v>182.25639235304655</v>
      </c>
      <c r="P53" s="70">
        <v>189.33503541916312</v>
      </c>
      <c r="Q53" s="70">
        <v>246.37788380314544</v>
      </c>
      <c r="R53" s="70">
        <v>435.1934154871301</v>
      </c>
      <c r="S53" s="70">
        <v>353.54001307089129</v>
      </c>
      <c r="T53" s="70">
        <v>385.80649589353885</v>
      </c>
      <c r="U53" s="70">
        <v>488.64786869798462</v>
      </c>
      <c r="V53" s="70">
        <v>500</v>
      </c>
      <c r="X53" s="193">
        <f>((0-('Appendix K'!$I$30))/(1+$Y$16)^0)</f>
        <v>-33594902.4440751</v>
      </c>
      <c r="Y53" s="193">
        <f>(((B53*'Appendix K'!$C$5*1000)-('Appendix K'!$E$31+'Appendix K'!$F$31+'Appendix K'!$H$31+'Appendix K'!$G$31))/((1+$Y$16)^1))</f>
        <v>34971064.972647354</v>
      </c>
      <c r="Z53" s="193">
        <f>+(((C53*'Appendix K'!$C$6*1000)-('Appendix K'!$E$32+'Appendix K'!$F$32+'Appendix K'!$H$32+'Appendix K'!$G$32))/((1+$Y$16)^2))</f>
        <v>18744291.533216491</v>
      </c>
      <c r="AA53" s="193">
        <f>(((D53*'Appendix K'!$C$7*1000)-('Appendix K'!$E$33+'Appendix K'!$F$33+'Appendix K'!$H$33+'Appendix K'!$G$33))/((1+$Y$16)^3))</f>
        <v>8757920.9094984587</v>
      </c>
      <c r="AB53" s="193">
        <f>(((E53*'Appendix K'!$C$8*1000)-('Appendix K'!$E$34+'Appendix K'!$F$34+'Appendix K'!$H$34+'Appendix K'!$G$34))/((1+$Y$16)^4))</f>
        <v>18263528.351513471</v>
      </c>
      <c r="AC53" s="193">
        <f>(((F53*'Appendix K'!$C$9*1000)-('Appendix K'!$E$35+'Appendix K'!$F$35+'Appendix K'!$H$35+'Appendix K'!$G$35))/((1+$Y$16)^AC$34))</f>
        <v>27412482.469467565</v>
      </c>
      <c r="AD53" s="193">
        <f>(((G53*'Appendix K'!$C$10*1000)-('Appendix K'!$E$36+'Appendix K'!$F$36+'Appendix K'!$H$36+'Appendix K'!$G$36))/((1+$Y$16)^AD$34))</f>
        <v>23964607.652115028</v>
      </c>
      <c r="AE53" s="193">
        <f>(((H53*'Appendix K'!$C$11*1000)-('Appendix K'!$E$37+'Appendix K'!$F$37+'Appendix K'!$H$37+'Appendix K'!$G$37))/((1+$Y$16)^AE$34))</f>
        <v>14169291.096597103</v>
      </c>
      <c r="AF53" s="193">
        <f>(((I53*'Appendix K'!$C$12*1000)-('Appendix K'!$E$38+'Appendix K'!$F$38+'Appendix K'!$H$38+'Appendix K'!$G$38))/((1+$Y$16)^AF$34))</f>
        <v>9597744.1672901716</v>
      </c>
      <c r="AG53" s="193">
        <f>(((J53*'Appendix K'!$C$13*1000)-('Appendix K'!$E$39+'Appendix K'!$F$39+'Appendix K'!$H$39+'Appendix K'!$G$39))/((1+$Y$16)^AG$34))</f>
        <v>9507309.3020398784</v>
      </c>
      <c r="AH53" s="193">
        <f>(((K53*'Appendix K'!$C$14*1000)-('Appendix K'!$E$40+'Appendix K'!$F$40+'Appendix K'!$H$40+'Appendix K'!$G$40))/((1+$Y$16)^AH$34))</f>
        <v>5981509.9444248239</v>
      </c>
      <c r="AI53" s="193">
        <f>(((L53*'Appendix K'!$C$15*1000)-('Appendix K'!$E$41+'Appendix K'!$F$41+'Appendix K'!$H$41+'Appendix K'!$G$41))/((1+$Y$16)^AI$34))</f>
        <v>3623022.8840430127</v>
      </c>
      <c r="AJ53" s="193">
        <f>(((M53*'Appendix K'!$C$16*1000)-('Appendix K'!$E$42+'Appendix K'!$F$42+'Appendix K'!$H$42+'Appendix K'!$G$42))/((1+$Y$16)^AJ$34))</f>
        <v>2478230.8755689105</v>
      </c>
      <c r="AK53" s="193">
        <f>(((N53*'Appendix K'!$C$17*1000)-('Appendix K'!$E$43+'Appendix K'!$F$43+'Appendix K'!$H$43))/((1+$Y$16)^AK$34))</f>
        <v>2197832.938803297</v>
      </c>
      <c r="AL53" s="193">
        <f>(((O53*'Appendix K'!$C$18*1000)-('Appendix K'!$E$44+'Appendix K'!$F$44+'Appendix K'!$H$44+'Appendix K'!$G$44))/((1+$Y$16)^AL$34))</f>
        <v>1025749.5222213987</v>
      </c>
      <c r="AM53" s="193">
        <f>(((P53*'Appendix K'!$C$19*1000)-('Appendix K'!$E$45+'Appendix K'!$F$45+'Appendix K'!$H$45+'Appendix K'!$G$45))/((1+$Y$16)^AM$34))</f>
        <v>728129.72006741504</v>
      </c>
      <c r="AN53" s="193">
        <f>(((Q53*'Appendix K'!$C$20*1000)-('Appendix K'!$E$46+'Appendix K'!$F$46+'Appendix K'!$H$46+'Appendix K'!$G$46))/((1+$Y$16)^AN$34))</f>
        <v>867134.96545198013</v>
      </c>
      <c r="AO53" s="193">
        <f>(((R53*'Appendix K'!$C$21*1000)-('Appendix K'!$E$47+'Appendix K'!$F$47+'Appendix K'!$H$47+'Appendix K'!$G$47))/((1+$Y$16)^AO$34))</f>
        <v>1729042.2403339893</v>
      </c>
      <c r="AP53" s="193">
        <f>(((S53*'Appendix K'!$C$22*1000)-('Appendix K'!$E$48+'Appendix K'!$F$48+'Appendix K'!$H$48+'Appendix K'!$G$48))/((1+$Y$16)^AP$34))</f>
        <v>928904.20584805671</v>
      </c>
      <c r="AQ53" s="193">
        <f>(((T53*'Appendix K'!$C$23*1000)-('Appendix K'!$E$49+'Appendix K'!$F$49+'Appendix K'!$H$49+'Appendix K'!$G$49))/((1+$Y$16)^AQ$34))</f>
        <v>816462.22441953013</v>
      </c>
      <c r="AR53" s="193">
        <f>(((U53*'Appendix K'!$C$24*1000)-('Appendix K'!$E$50+'Appendix K'!$F$50+'Appendix K'!$H$50+'Appendix K'!$G$50))/((1+$Y$16)^AR$34))</f>
        <v>944170.95925472747</v>
      </c>
      <c r="AS53" s="209">
        <f t="shared" si="14"/>
        <v>153113528.4907476</v>
      </c>
      <c r="AU53" s="199">
        <f t="shared" si="13"/>
        <v>3.6116607524833047E-9</v>
      </c>
      <c r="AW53" s="212"/>
      <c r="AX53" s="193"/>
      <c r="AZ53" s="106"/>
    </row>
    <row r="54" spans="1:52" x14ac:dyDescent="0.35">
      <c r="A54">
        <v>20</v>
      </c>
      <c r="B54" s="70">
        <v>56</v>
      </c>
      <c r="C54" s="70">
        <v>82.650850290493594</v>
      </c>
      <c r="D54" s="70">
        <v>130.29840510615247</v>
      </c>
      <c r="E54" s="70">
        <v>180.11126500143823</v>
      </c>
      <c r="F54" s="70">
        <v>277.68551437496046</v>
      </c>
      <c r="G54" s="70">
        <v>381.7493564122895</v>
      </c>
      <c r="H54" s="70">
        <v>500</v>
      </c>
      <c r="I54" s="70">
        <v>473.1208960283343</v>
      </c>
      <c r="J54" s="70">
        <v>500</v>
      </c>
      <c r="K54" s="70">
        <v>500</v>
      </c>
      <c r="L54" s="70">
        <v>374.05886699865141</v>
      </c>
      <c r="M54" s="70">
        <v>415.62378070723781</v>
      </c>
      <c r="N54" s="70">
        <v>486.09837006866508</v>
      </c>
      <c r="O54" s="70">
        <v>394.77054377768405</v>
      </c>
      <c r="P54" s="70">
        <v>500</v>
      </c>
      <c r="Q54" s="70">
        <v>434.57963842676855</v>
      </c>
      <c r="R54" s="70">
        <v>420.17011986833933</v>
      </c>
      <c r="S54" s="70">
        <v>447.05119147726765</v>
      </c>
      <c r="T54" s="70">
        <v>442.55256754463596</v>
      </c>
      <c r="U54" s="70">
        <v>500</v>
      </c>
      <c r="V54" s="70">
        <v>468.48900186123143</v>
      </c>
      <c r="X54" s="193">
        <f>((0-('Appendix K'!$I$30))/(1+$Y$16)^0)</f>
        <v>-33594902.4440751</v>
      </c>
      <c r="Y54" s="193">
        <f>(((B54*'Appendix K'!$C$5*1000)-('Appendix K'!$E$31+'Appendix K'!$F$31+'Appendix K'!$H$31+'Appendix K'!$G$31))/((1+$Y$16)^1))</f>
        <v>34971064.972647354</v>
      </c>
      <c r="Z54" s="193">
        <f>+(((C54*'Appendix K'!$C$6*1000)-('Appendix K'!$E$32+'Appendix K'!$F$32+'Appendix K'!$H$32+'Appendix K'!$G$32))/((1+$Y$16)^2))</f>
        <v>17391770.70124064</v>
      </c>
      <c r="AA54" s="193">
        <f>(((D54*'Appendix K'!$C$7*1000)-('Appendix K'!$E$33+'Appendix K'!$F$33+'Appendix K'!$H$33+'Appendix K'!$G$33))/((1+$Y$16)^3))</f>
        <v>13631844.655986348</v>
      </c>
      <c r="AB54" s="193">
        <f>(((E54*'Appendix K'!$C$8*1000)-('Appendix K'!$E$34+'Appendix K'!$F$34+'Appendix K'!$H$34+'Appendix K'!$G$34))/((1+$Y$16)^4))</f>
        <v>36185532.639523372</v>
      </c>
      <c r="AC54" s="193">
        <f>(((F54*'Appendix K'!$C$9*1000)-('Appendix K'!$E$35+'Appendix K'!$F$35+'Appendix K'!$H$35+'Appendix K'!$G$35))/((1+$Y$16)^AC$34))</f>
        <v>70824145.157199576</v>
      </c>
      <c r="AD54" s="193">
        <f>(((G54*'Appendix K'!$C$10*1000)-('Appendix K'!$E$36+'Appendix K'!$F$36+'Appendix K'!$H$36+'Appendix K'!$G$36))/((1+$Y$16)^AD$34))</f>
        <v>57435664.442006305</v>
      </c>
      <c r="AE54" s="193">
        <f>(((H54*'Appendix K'!$C$11*1000)-('Appendix K'!$E$37+'Appendix K'!$F$37+'Appendix K'!$H$37+'Appendix K'!$G$37))/((1+$Y$16)^AE$34))</f>
        <v>47648873.452851206</v>
      </c>
      <c r="AF54" s="193">
        <f>(((I54*'Appendix K'!$C$12*1000)-('Appendix K'!$E$38+'Appendix K'!$F$38+'Appendix K'!$H$38+'Appendix K'!$G$38))/((1+$Y$16)^AF$34))</f>
        <v>29069687.305460032</v>
      </c>
      <c r="AG54" s="193">
        <f>(((J54*'Appendix K'!$C$13*1000)-('Appendix K'!$E$39+'Appendix K'!$F$39+'Appendix K'!$H$39+'Appendix K'!$G$39))/((1+$Y$16)^AG$34))</f>
        <v>21194522.409894329</v>
      </c>
      <c r="AH54" s="193">
        <f>(((K54*'Appendix K'!$C$14*1000)-('Appendix K'!$E$40+'Appendix K'!$F$40+'Appendix K'!$H$40+'Appendix K'!$G$40))/((1+$Y$16)^AH$34))</f>
        <v>15220522.22201786</v>
      </c>
      <c r="AI54" s="193">
        <f>(((L54*'Appendix K'!$C$15*1000)-('Appendix K'!$E$41+'Appendix K'!$F$41+'Appendix K'!$H$41+'Appendix K'!$G$41))/((1+$Y$16)^AI$34))</f>
        <v>8284560.460544901</v>
      </c>
      <c r="AJ54" s="193">
        <f>(((M54*'Appendix K'!$C$16*1000)-('Appendix K'!$E$42+'Appendix K'!$F$42+'Appendix K'!$H$42+'Appendix K'!$G$42))/((1+$Y$16)^AJ$34))</f>
        <v>6948325.5670983344</v>
      </c>
      <c r="AK54" s="193">
        <f>(((N54*'Appendix K'!$C$17*1000)-('Appendix K'!$E$43+'Appendix K'!$F$43+'Appendix K'!$H$43))/((1+$Y$16)^AK$34))</f>
        <v>6464106.898100744</v>
      </c>
      <c r="AL54" s="193">
        <f>(((O54*'Appendix K'!$C$18*1000)-('Appendix K'!$E$44+'Appendix K'!$F$44+'Appendix K'!$H$44+'Appendix K'!$G$44))/((1+$Y$16)^AL$34))</f>
        <v>3544742.291798498</v>
      </c>
      <c r="AM54" s="193">
        <f>(((P54*'Appendix K'!$C$19*1000)-('Appendix K'!$E$45+'Appendix K'!$F$45+'Appendix K'!$H$45+'Appendix K'!$G$45))/((1+$Y$16)^AM$34))</f>
        <v>3607599.9540230581</v>
      </c>
      <c r="AN54" s="193">
        <f>(((Q54*'Appendix K'!$C$20*1000)-('Appendix K'!$E$46+'Appendix K'!$F$46+'Appendix K'!$H$46+'Appendix K'!$G$46))/((1+$Y$16)^AN$34))</f>
        <v>2229003.6811536369</v>
      </c>
      <c r="AO54" s="193">
        <f>(((R54*'Appendix K'!$C$21*1000)-('Appendix K'!$E$47+'Appendix K'!$F$47+'Appendix K'!$H$47+'Appendix K'!$G$47))/((1+$Y$16)^AO$34))</f>
        <v>1640252.9034526313</v>
      </c>
      <c r="AP54" s="193">
        <f>(((S54*'Appendix K'!$C$22*1000)-('Appendix K'!$E$48+'Appendix K'!$F$48+'Appendix K'!$H$48+'Appendix K'!$G$48))/((1+$Y$16)^AP$34))</f>
        <v>1376796.5057248098</v>
      </c>
      <c r="AQ54" s="193">
        <f>(((T54*'Appendix K'!$C$23*1000)-('Appendix K'!$E$49+'Appendix K'!$F$49+'Appendix K'!$H$49+'Appendix K'!$G$49))/((1+$Y$16)^AQ$34))</f>
        <v>1038551.8214950106</v>
      </c>
      <c r="AR54" s="193">
        <f>(((U54*'Appendix K'!$C$24*1000)-('Appendix K'!$E$50+'Appendix K'!$F$50+'Appendix K'!$H$50+'Appendix K'!$G$50))/((1+$Y$16)^AR$34))</f>
        <v>980725.14012097823</v>
      </c>
      <c r="AS54" s="209">
        <f t="shared" si="14"/>
        <v>346093390.7382645</v>
      </c>
      <c r="AU54" s="199">
        <f t="shared" si="13"/>
        <v>2.2000853680864804E-13</v>
      </c>
      <c r="AW54" s="212"/>
      <c r="AX54" s="193"/>
      <c r="AZ54" s="106"/>
    </row>
    <row r="55" spans="1:52" x14ac:dyDescent="0.35">
      <c r="A55">
        <v>21</v>
      </c>
      <c r="B55" s="70">
        <v>56</v>
      </c>
      <c r="C55" s="70">
        <v>47.332561507883739</v>
      </c>
      <c r="D55" s="70">
        <v>64.059797853876901</v>
      </c>
      <c r="E55" s="70">
        <v>41.326423599037625</v>
      </c>
      <c r="F55" s="70">
        <v>40.094778535810931</v>
      </c>
      <c r="G55" s="70">
        <v>43.946369761301384</v>
      </c>
      <c r="H55" s="70">
        <v>41.72004119411681</v>
      </c>
      <c r="I55" s="70">
        <v>54.092363236748774</v>
      </c>
      <c r="J55" s="70">
        <v>42.844786589442286</v>
      </c>
      <c r="K55" s="70">
        <v>42.89034193609249</v>
      </c>
      <c r="L55" s="70">
        <v>49.374661596901383</v>
      </c>
      <c r="M55" s="70">
        <v>43.411883642264264</v>
      </c>
      <c r="N55" s="70">
        <v>50.564093612367721</v>
      </c>
      <c r="O55" s="70">
        <v>76.341196907463058</v>
      </c>
      <c r="P55" s="70">
        <v>64.546521179791085</v>
      </c>
      <c r="Q55" s="70">
        <v>79.180225824130332</v>
      </c>
      <c r="R55" s="70">
        <v>86.390188528146936</v>
      </c>
      <c r="S55" s="70">
        <v>92.442909293829615</v>
      </c>
      <c r="T55" s="70">
        <v>105.69353669518011</v>
      </c>
      <c r="U55" s="70">
        <v>41.87372220647206</v>
      </c>
      <c r="V55" s="70">
        <v>57.124204356610562</v>
      </c>
      <c r="X55" s="193">
        <f>((0-('Appendix K'!$I$30))/(1+$Y$16)^0)</f>
        <v>-33594902.4440751</v>
      </c>
      <c r="Y55" s="193">
        <f>(((B55*'Appendix K'!$C$5*1000)-('Appendix K'!$E$31+'Appendix K'!$F$31+'Appendix K'!$H$31+'Appendix K'!$G$31))/((1+$Y$16)^1))</f>
        <v>34971064.972647354</v>
      </c>
      <c r="Z55" s="193">
        <f>+(((C55*'Appendix K'!$C$6*1000)-('Appendix K'!$E$32+'Appendix K'!$F$32+'Appendix K'!$H$32+'Appendix K'!$G$32))/((1+$Y$16)^2))</f>
        <v>8469766.9016778432</v>
      </c>
      <c r="AA55" s="193">
        <f>(((D55*'Appendix K'!$C$7*1000)-('Appendix K'!$E$33+'Appendix K'!$F$33+'Appendix K'!$H$33+'Appendix K'!$G$33))/((1+$Y$16)^3))</f>
        <v>5194710.5120253125</v>
      </c>
      <c r="AB55" s="193">
        <f>(((E55*'Appendix K'!$C$8*1000)-('Appendix K'!$E$34+'Appendix K'!$F$34+'Appendix K'!$H$34+'Appendix K'!$G$34))/((1+$Y$16)^4))</f>
        <v>5765165.8570586564</v>
      </c>
      <c r="AC55" s="193">
        <f>(((F55*'Appendix K'!$C$9*1000)-('Appendix K'!$E$35+'Appendix K'!$F$35+'Appendix K'!$H$35+'Appendix K'!$G$35))/((1+$Y$16)^AC$34))</f>
        <v>7672900.6555588879</v>
      </c>
      <c r="AD55" s="193">
        <f>(((G55*'Appendix K'!$C$10*1000)-('Appendix K'!$E$36+'Appendix K'!$F$36+'Appendix K'!$H$36+'Appendix K'!$G$36))/((1+$Y$16)^AD$34))</f>
        <v>4385748.5843210518</v>
      </c>
      <c r="AE55" s="193">
        <f>(((H55*'Appendix K'!$C$11*1000)-('Appendix K'!$E$37+'Appendix K'!$F$37+'Appendix K'!$H$37+'Appendix K'!$G$37))/((1+$Y$16)^AE$34))</f>
        <v>1941117.0182712548</v>
      </c>
      <c r="AF55" s="193">
        <f>(((I55*'Appendix K'!$C$12*1000)-('Appendix K'!$E$38+'Appendix K'!$F$38+'Appendix K'!$H$38+'Appendix K'!$G$38))/((1+$Y$16)^AF$34))</f>
        <v>1555256.8437571975</v>
      </c>
      <c r="AG55" s="193">
        <f>(((J55*'Appendix K'!$C$13*1000)-('Appendix K'!$E$39+'Appendix K'!$F$39+'Appendix K'!$H$39+'Appendix K'!$G$39))/((1+$Y$16)^AG$34))</f>
        <v>156727.47368204832</v>
      </c>
      <c r="AH55" s="193">
        <f>(((K55*'Appendix K'!$C$14*1000)-('Appendix K'!$E$40+'Appendix K'!$F$40+'Appendix K'!$H$40+'Appendix K'!$G$40))/((1+$Y$16)^AH$34))</f>
        <v>-187056.69801017549</v>
      </c>
      <c r="AI55" s="193">
        <f>(((L55*'Appendix K'!$C$15*1000)-('Appendix K'!$E$41+'Appendix K'!$F$41+'Appendix K'!$H$41+'Appendix K'!$G$41))/((1+$Y$16)^AI$34))</f>
        <v>-222772.88342227976</v>
      </c>
      <c r="AJ55" s="193">
        <f>(((M55*'Appendix K'!$C$16*1000)-('Appendix K'!$E$42+'Appendix K'!$F$42+'Appendix K'!$H$42+'Appendix K'!$G$42))/((1+$Y$16)^AJ$34))</f>
        <v>-511495.76148748212</v>
      </c>
      <c r="AK55" s="193">
        <f>(((N55*'Appendix K'!$C$17*1000)-('Appendix K'!$E$43+'Appendix K'!$F$43+'Appendix K'!$H$43))/((1+$Y$16)^AK$34))</f>
        <v>-227397.06683191424</v>
      </c>
      <c r="AL55" s="193">
        <f>(((O55*'Appendix K'!$C$18*1000)-('Appendix K'!$E$44+'Appendix K'!$F$44+'Appendix K'!$H$44+'Appendix K'!$G$44))/((1+$Y$16)^AL$34))</f>
        <v>-229694.45516654209</v>
      </c>
      <c r="AM55" s="193">
        <f>(((P55*'Appendix K'!$C$19*1000)-('Appendix K'!$E$45+'Appendix K'!$F$45+'Appendix K'!$H$45+'Appendix K'!$G$45))/((1+$Y$16)^AM$34))</f>
        <v>-428501.54917351413</v>
      </c>
      <c r="AN55" s="193">
        <f>(((Q55*'Appendix K'!$C$20*1000)-('Appendix K'!$E$46+'Appendix K'!$F$46+'Appendix K'!$H$46+'Appendix K'!$G$46))/((1+$Y$16)^AN$34))</f>
        <v>-342743.55133218336</v>
      </c>
      <c r="AO55" s="193">
        <f>(((R55*'Appendix K'!$C$21*1000)-('Appendix K'!$E$47+'Appendix K'!$F$47+'Appendix K'!$H$47+'Appendix K'!$G$47))/((1+$Y$16)^AO$34))</f>
        <v>-332423.36678815039</v>
      </c>
      <c r="AP55" s="193">
        <f>(((S55*'Appendix K'!$C$22*1000)-('Appendix K'!$E$48+'Appendix K'!$F$48+'Appendix K'!$H$48+'Appendix K'!$G$48))/((1+$Y$16)^AP$34))</f>
        <v>-321677.64217080228</v>
      </c>
      <c r="AQ55" s="193">
        <f>(((T55*'Appendix K'!$C$23*1000)-('Appendix K'!$E$49+'Appendix K'!$F$49+'Appendix K'!$H$49+'Appendix K'!$G$49))/((1+$Y$16)^AQ$34))</f>
        <v>-279828.18712618604</v>
      </c>
      <c r="AR55" s="193">
        <f>(((U55*'Appendix K'!$C$24*1000)-('Appendix K'!$E$50+'Appendix K'!$F$50+'Appendix K'!$H$50+'Appendix K'!$G$50))/((1+$Y$16)^AR$34))</f>
        <v>-494454.31054956641</v>
      </c>
      <c r="AS55" s="209">
        <f t="shared" si="14"/>
        <v>36517556.374924503</v>
      </c>
      <c r="AU55" s="199">
        <f t="shared" si="13"/>
        <v>4.6868883863859158E-9</v>
      </c>
      <c r="AW55" s="212"/>
      <c r="AX55" s="193"/>
      <c r="AZ55" s="106"/>
    </row>
    <row r="56" spans="1:52" x14ac:dyDescent="0.35">
      <c r="A56">
        <v>22</v>
      </c>
      <c r="B56" s="70">
        <v>56</v>
      </c>
      <c r="C56" s="70">
        <v>72.049802017322833</v>
      </c>
      <c r="D56" s="70">
        <v>137.23320698617908</v>
      </c>
      <c r="E56" s="70">
        <v>177.36634887675655</v>
      </c>
      <c r="F56" s="70">
        <v>166.49238907341029</v>
      </c>
      <c r="G56" s="70">
        <v>204.00280754028725</v>
      </c>
      <c r="H56" s="70">
        <v>157.7120307085666</v>
      </c>
      <c r="I56" s="70">
        <v>241.21641006869106</v>
      </c>
      <c r="J56" s="70">
        <v>209.1237675256298</v>
      </c>
      <c r="K56" s="70">
        <v>308.23198125642944</v>
      </c>
      <c r="L56" s="70">
        <v>267.33422585708121</v>
      </c>
      <c r="M56" s="70">
        <v>380.72392435799429</v>
      </c>
      <c r="N56" s="70">
        <v>376.52102908060976</v>
      </c>
      <c r="O56" s="70">
        <v>341.39523688871321</v>
      </c>
      <c r="P56" s="70">
        <v>328.40221885894175</v>
      </c>
      <c r="Q56" s="70">
        <v>253.07703691901133</v>
      </c>
      <c r="R56" s="70">
        <v>128.75613401121996</v>
      </c>
      <c r="S56" s="70">
        <v>199.78906378148781</v>
      </c>
      <c r="T56" s="70">
        <v>229.96786709708806</v>
      </c>
      <c r="U56" s="70">
        <v>286.152452126029</v>
      </c>
      <c r="V56" s="70">
        <v>101.38028725124124</v>
      </c>
      <c r="X56" s="193">
        <f>((0-('Appendix K'!$I$30))/(1+$Y$16)^0)</f>
        <v>-33594902.4440751</v>
      </c>
      <c r="Y56" s="193">
        <f>(((B56*'Appendix K'!$C$5*1000)-('Appendix K'!$E$31+'Appendix K'!$F$31+'Appendix K'!$H$31+'Appendix K'!$G$31))/((1+$Y$16)^1))</f>
        <v>34971064.972647354</v>
      </c>
      <c r="Z56" s="193">
        <f>+(((C56*'Appendix K'!$C$6*1000)-('Appendix K'!$E$32+'Appendix K'!$F$32+'Appendix K'!$H$32+'Appendix K'!$G$32))/((1+$Y$16)^2))</f>
        <v>14713764.59639365</v>
      </c>
      <c r="AA56" s="193">
        <f>(((D56*'Appendix K'!$C$7*1000)-('Appendix K'!$E$33+'Appendix K'!$F$33+'Appendix K'!$H$33+'Appendix K'!$G$33))/((1+$Y$16)^3))</f>
        <v>14515164.160285972</v>
      </c>
      <c r="AB56" s="193">
        <f>(((E56*'Appendix K'!$C$8*1000)-('Appendix K'!$E$34+'Appendix K'!$F$34+'Appendix K'!$H$34+'Appendix K'!$G$34))/((1+$Y$16)^4))</f>
        <v>35583872.152281754</v>
      </c>
      <c r="AC56" s="193">
        <f>(((F56*'Appendix K'!$C$9*1000)-('Appendix K'!$E$35+'Appendix K'!$F$35+'Appendix K'!$H$35+'Appendix K'!$G$35))/((1+$Y$16)^AC$34))</f>
        <v>41269187.056587055</v>
      </c>
      <c r="AD56" s="193">
        <f>(((G56*'Appendix K'!$C$10*1000)-('Appendix K'!$E$36+'Appendix K'!$F$36+'Appendix K'!$H$36+'Appendix K'!$G$36))/((1+$Y$16)^AD$34))</f>
        <v>29521644.038758703</v>
      </c>
      <c r="AE56" s="193">
        <f>(((H56*'Appendix K'!$C$11*1000)-('Appendix K'!$E$37+'Appendix K'!$F$37+'Appendix K'!$H$37+'Appendix K'!$G$37))/((1+$Y$16)^AE$34))</f>
        <v>13509883.016468691</v>
      </c>
      <c r="AF56" s="193">
        <f>(((I56*'Appendix K'!$C$12*1000)-('Appendix K'!$E$38+'Appendix K'!$F$38+'Appendix K'!$H$38+'Appendix K'!$G$38))/((1+$Y$16)^AF$34))</f>
        <v>13842275.91610923</v>
      </c>
      <c r="AG56" s="193">
        <f>(((J56*'Appendix K'!$C$13*1000)-('Appendix K'!$E$39+'Appendix K'!$F$39+'Appendix K'!$H$39+'Appendix K'!$G$39))/((1+$Y$16)^AG$34))</f>
        <v>7808708.6838280289</v>
      </c>
      <c r="AH56" s="193">
        <f>(((K56*'Appendix K'!$C$14*1000)-('Appendix K'!$E$40+'Appendix K'!$F$40+'Appendix K'!$H$40+'Appendix K'!$G$40))/((1+$Y$16)^AH$34))</f>
        <v>8756688.3672628347</v>
      </c>
      <c r="AI56" s="193">
        <f>(((L56*'Appendix K'!$C$15*1000)-('Appendix K'!$E$41+'Appendix K'!$F$41+'Appendix K'!$H$41+'Appendix K'!$G$41))/((1+$Y$16)^AI$34))</f>
        <v>5488175.2865782036</v>
      </c>
      <c r="AJ56" s="193">
        <f>(((M56*'Appendix K'!$C$16*1000)-('Appendix K'!$E$42+'Appendix K'!$F$42+'Appendix K'!$H$42+'Appendix K'!$G$42))/((1+$Y$16)^AJ$34))</f>
        <v>6248867.2885973072</v>
      </c>
      <c r="AK56" s="193">
        <f>(((N56*'Appendix K'!$C$17*1000)-('Appendix K'!$E$43+'Appendix K'!$F$43+'Appendix K'!$H$43))/((1+$Y$16)^AK$34))</f>
        <v>4780571.8669332825</v>
      </c>
      <c r="AL56" s="193">
        <f>(((O56*'Appendix K'!$C$18*1000)-('Appendix K'!$E$44+'Appendix K'!$F$44+'Appendix K'!$H$44+'Appendix K'!$G$44))/((1+$Y$16)^AL$34))</f>
        <v>2912069.0734459958</v>
      </c>
      <c r="AM56" s="193">
        <f>(((P56*'Appendix K'!$C$19*1000)-('Appendix K'!$E$45+'Appendix K'!$F$45+'Appendix K'!$H$45+'Appendix K'!$G$45))/((1+$Y$16)^AM$34))</f>
        <v>2017106.1444774959</v>
      </c>
      <c r="AN56" s="193">
        <f>(((Q56*'Appendix K'!$C$20*1000)-('Appendix K'!$E$46+'Appendix K'!$F$46+'Appendix K'!$H$46+'Appendix K'!$G$46))/((1+$Y$16)^AN$34))</f>
        <v>915611.49038363353</v>
      </c>
      <c r="AO56" s="193">
        <f>(((R56*'Appendix K'!$C$21*1000)-('Appendix K'!$E$47+'Appendix K'!$F$47+'Appendix K'!$H$47+'Appendix K'!$G$47))/((1+$Y$16)^AO$34))</f>
        <v>-82035.948391827289</v>
      </c>
      <c r="AP56" s="193">
        <f>(((S56*'Appendix K'!$C$22*1000)-('Appendix K'!$E$48+'Appendix K'!$F$48+'Appendix K'!$H$48+'Appendix K'!$G$48))/((1+$Y$16)^AP$34))</f>
        <v>192480.31023421205</v>
      </c>
      <c r="AQ56" s="193">
        <f>(((T56*'Appendix K'!$C$23*1000)-('Appendix K'!$E$49+'Appendix K'!$F$49+'Appendix K'!$H$49+'Appendix K'!$G$49))/((1+$Y$16)^AQ$34))</f>
        <v>206549.72702236523</v>
      </c>
      <c r="AR56" s="193">
        <f>(((U56*'Appendix K'!$C$24*1000)-('Appendix K'!$E$50+'Appendix K'!$F$50+'Appendix K'!$H$50+'Appendix K'!$G$50))/((1+$Y$16)^AR$34))</f>
        <v>292130.04420259222</v>
      </c>
      <c r="AS56" s="209">
        <f t="shared" si="14"/>
        <v>203950911.74842328</v>
      </c>
      <c r="AU56" s="199">
        <f t="shared" si="13"/>
        <v>8.5994096596407527E-10</v>
      </c>
      <c r="AW56" s="212"/>
      <c r="AX56" s="193"/>
      <c r="AZ56" s="106"/>
    </row>
    <row r="57" spans="1:52" x14ac:dyDescent="0.35">
      <c r="A57">
        <v>23</v>
      </c>
      <c r="B57" s="70">
        <v>56</v>
      </c>
      <c r="C57" s="70">
        <v>38.821946947443159</v>
      </c>
      <c r="D57" s="70">
        <v>41.828545648903393</v>
      </c>
      <c r="E57" s="70">
        <v>53.675039266661599</v>
      </c>
      <c r="F57" s="70">
        <v>40.484500075838639</v>
      </c>
      <c r="G57" s="70">
        <v>43.614529108433707</v>
      </c>
      <c r="H57" s="70">
        <v>38.277947567649861</v>
      </c>
      <c r="I57" s="70">
        <v>45.810533345424503</v>
      </c>
      <c r="J57" s="70">
        <v>57.492789286617224</v>
      </c>
      <c r="K57" s="70">
        <v>67.238397251262683</v>
      </c>
      <c r="L57" s="70">
        <v>75.343607825968704</v>
      </c>
      <c r="M57" s="70">
        <v>108.15989044641026</v>
      </c>
      <c r="N57" s="70">
        <v>164.85535790291772</v>
      </c>
      <c r="O57" s="70">
        <v>150.57681734930594</v>
      </c>
      <c r="P57" s="70">
        <v>184.73328020828055</v>
      </c>
      <c r="Q57" s="70">
        <v>251.17735197875754</v>
      </c>
      <c r="R57" s="70">
        <v>398.63429884660309</v>
      </c>
      <c r="S57" s="70">
        <v>500</v>
      </c>
      <c r="T57" s="70">
        <v>459.31977060997855</v>
      </c>
      <c r="U57" s="70">
        <v>357.03829361779833</v>
      </c>
      <c r="V57" s="70">
        <v>216.15943977516798</v>
      </c>
      <c r="X57" s="193">
        <f>((0-('Appendix K'!$I$30))/(1+$Y$16)^0)</f>
        <v>-33594902.4440751</v>
      </c>
      <c r="Y57" s="193">
        <f>(((B57*'Appendix K'!$C$5*1000)-('Appendix K'!$E$31+'Appendix K'!$F$31+'Appendix K'!$H$31+'Appendix K'!$G$31))/((1+$Y$16)^1))</f>
        <v>34971064.972647354</v>
      </c>
      <c r="Z57" s="193">
        <f>+(((C57*'Appendix K'!$C$6*1000)-('Appendix K'!$E$32+'Appendix K'!$F$32+'Appendix K'!$H$32+'Appendix K'!$G$32))/((1+$Y$16)^2))</f>
        <v>6319840.1056136787</v>
      </c>
      <c r="AA57" s="193">
        <f>(((D57*'Appendix K'!$C$7*1000)-('Appendix K'!$E$33+'Appendix K'!$F$33+'Appendix K'!$H$33+'Appendix K'!$G$33))/((1+$Y$16)^3))</f>
        <v>2363007.6000479897</v>
      </c>
      <c r="AB57" s="193">
        <f>(((E57*'Appendix K'!$C$8*1000)-('Appendix K'!$E$34+'Appendix K'!$F$34+'Appendix K'!$H$34+'Appendix K'!$G$34))/((1+$Y$16)^4))</f>
        <v>8471869.370705599</v>
      </c>
      <c r="AC57" s="193">
        <f>(((F57*'Appendix K'!$C$9*1000)-('Appendix K'!$E$35+'Appendix K'!$F$35+'Appendix K'!$H$35+'Appendix K'!$G$35))/((1+$Y$16)^AC$34))</f>
        <v>7776488.0289256182</v>
      </c>
      <c r="AD57" s="193">
        <f>(((G57*'Appendix K'!$C$10*1000)-('Appendix K'!$E$36+'Appendix K'!$F$36+'Appendix K'!$H$36+'Appendix K'!$G$36))/((1+$Y$16)^AD$34))</f>
        <v>4333635.0169209568</v>
      </c>
      <c r="AE57" s="193">
        <f>(((H57*'Appendix K'!$C$11*1000)-('Appendix K'!$E$37+'Appendix K'!$F$37+'Appendix K'!$H$37+'Appendix K'!$G$37))/((1+$Y$16)^AE$34))</f>
        <v>1597810.7617342698</v>
      </c>
      <c r="AF57" s="193">
        <f>(((I57*'Appendix K'!$C$12*1000)-('Appendix K'!$E$38+'Appendix K'!$F$38+'Appendix K'!$H$38+'Appendix K'!$G$38))/((1+$Y$16)^AF$34))</f>
        <v>1011451.7927683899</v>
      </c>
      <c r="AG57" s="193">
        <f>(((J57*'Appendix K'!$C$13*1000)-('Appendix K'!$E$39+'Appendix K'!$F$39+'Appendix K'!$H$39+'Appendix K'!$G$39))/((1+$Y$16)^AG$34))</f>
        <v>830812.92196829536</v>
      </c>
      <c r="AH57" s="193">
        <f>(((K57*'Appendix K'!$C$14*1000)-('Appendix K'!$E$40+'Appendix K'!$F$40+'Appendix K'!$H$40+'Appendix K'!$G$40))/((1+$Y$16)^AH$34))</f>
        <v>633631.67993095471</v>
      </c>
      <c r="AI57" s="193">
        <f>(((L57*'Appendix K'!$C$15*1000)-('Appendix K'!$E$41+'Appendix K'!$F$41+'Appendix K'!$H$41+'Appendix K'!$G$41))/((1+$Y$16)^AI$34))</f>
        <v>457662.06994685781</v>
      </c>
      <c r="AJ57" s="193">
        <f>(((M57*'Appendix K'!$C$16*1000)-('Appendix K'!$E$42+'Appendix K'!$F$42+'Appendix K'!$H$42+'Appendix K'!$G$42))/((1+$Y$16)^AJ$34))</f>
        <v>786175.17796847411</v>
      </c>
      <c r="AK57" s="193">
        <f>(((N57*'Appendix K'!$C$17*1000)-('Appendix K'!$E$43+'Appendix K'!$F$43+'Appendix K'!$H$43))/((1+$Y$16)^AK$34))</f>
        <v>1528562.1986017483</v>
      </c>
      <c r="AL57" s="193">
        <f>(((O57*'Appendix K'!$C$18*1000)-('Appendix K'!$E$44+'Appendix K'!$F$44+'Appendix K'!$H$44+'Appendix K'!$G$44))/((1+$Y$16)^AL$34))</f>
        <v>650242.19791976444</v>
      </c>
      <c r="AM57" s="193">
        <f>(((P57*'Appendix K'!$C$19*1000)-('Appendix K'!$E$45+'Appendix K'!$F$45+'Appendix K'!$H$45+'Appendix K'!$G$45))/((1+$Y$16)^AM$34))</f>
        <v>685477.2852440516</v>
      </c>
      <c r="AN57" s="193">
        <f>(((Q57*'Appendix K'!$C$20*1000)-('Appendix K'!$E$46+'Appendix K'!$F$46+'Appendix K'!$H$46+'Appendix K'!$G$46))/((1+$Y$16)^AN$34))</f>
        <v>901864.95813160948</v>
      </c>
      <c r="AO57" s="193">
        <f>(((R57*'Appendix K'!$C$21*1000)-('Appendix K'!$E$47+'Appendix K'!$F$47+'Appendix K'!$H$47+'Appendix K'!$G$47))/((1+$Y$16)^AO$34))</f>
        <v>1512973.8219357971</v>
      </c>
      <c r="AP57" s="193">
        <f>(((S57*'Appendix K'!$C$22*1000)-('Appendix K'!$E$48+'Appendix K'!$F$48+'Appendix K'!$H$48+'Appendix K'!$G$48))/((1+$Y$16)^AP$34))</f>
        <v>1630406.4380253027</v>
      </c>
      <c r="AQ57" s="193">
        <f>(((T57*'Appendix K'!$C$23*1000)-('Appendix K'!$E$49+'Appendix K'!$F$49+'Appendix K'!$H$49+'Appendix K'!$G$49))/((1+$Y$16)^AQ$34))</f>
        <v>1104174.36177869</v>
      </c>
      <c r="AR57" s="193">
        <f>(((U57*'Appendix K'!$C$24*1000)-('Appendix K'!$E$50+'Appendix K'!$F$50+'Appendix K'!$H$50+'Appendix K'!$G$50))/((1+$Y$16)^AR$34))</f>
        <v>520384.43994645699</v>
      </c>
      <c r="AS57" s="209">
        <f t="shared" si="14"/>
        <v>44492632.756686755</v>
      </c>
      <c r="AU57" s="199">
        <f t="shared" si="13"/>
        <v>5.2668228411923528E-9</v>
      </c>
      <c r="AZ57" s="107">
        <f>SUM(AZ35:AZ56)</f>
        <v>1.0000000000000002</v>
      </c>
    </row>
    <row r="58" spans="1:52" x14ac:dyDescent="0.35">
      <c r="A58">
        <v>24</v>
      </c>
      <c r="B58" s="70">
        <v>56</v>
      </c>
      <c r="C58" s="70">
        <v>61.92341774476489</v>
      </c>
      <c r="D58" s="70">
        <v>68.816933558076883</v>
      </c>
      <c r="E58" s="70">
        <v>60.048711659981649</v>
      </c>
      <c r="F58" s="70">
        <v>73.231158405142509</v>
      </c>
      <c r="G58" s="70">
        <v>85.201268722674513</v>
      </c>
      <c r="H58" s="70">
        <v>71.162253228220948</v>
      </c>
      <c r="I58" s="70">
        <v>97.191784310441264</v>
      </c>
      <c r="J58" s="70">
        <v>92.798766246123321</v>
      </c>
      <c r="K58" s="70">
        <v>59.438900711466957</v>
      </c>
      <c r="L58" s="70">
        <v>70.93804833465606</v>
      </c>
      <c r="M58" s="70">
        <v>85.51780235049678</v>
      </c>
      <c r="N58" s="70">
        <v>80.821076199234909</v>
      </c>
      <c r="O58" s="70">
        <v>60.985167628726657</v>
      </c>
      <c r="P58" s="70">
        <v>66.365451269131825</v>
      </c>
      <c r="Q58" s="70">
        <v>47.747984347038681</v>
      </c>
      <c r="R58" s="70">
        <v>24.088121925309203</v>
      </c>
      <c r="S58" s="70">
        <v>13.440232044104196</v>
      </c>
      <c r="T58" s="70">
        <v>18.0155750082832</v>
      </c>
      <c r="U58" s="70">
        <v>7.2516975459123572</v>
      </c>
      <c r="V58" s="70">
        <v>9.3416387027771108</v>
      </c>
      <c r="X58" s="193">
        <f>((0-('Appendix K'!$I$30))/(1+$Y$16)^0)</f>
        <v>-33594902.4440751</v>
      </c>
      <c r="Y58" s="193">
        <f>(((B58*'Appendix K'!$C$5*1000)-('Appendix K'!$E$31+'Appendix K'!$F$31+'Appendix K'!$H$31+'Appendix K'!$G$31))/((1+$Y$16)^1))</f>
        <v>34971064.972647354</v>
      </c>
      <c r="Z58" s="193">
        <f>+(((C58*'Appendix K'!$C$6*1000)-('Appendix K'!$E$32+'Appendix K'!$F$32+'Appendix K'!$H$32+'Appendix K'!$G$32))/((1+$Y$16)^2))</f>
        <v>12155666.736338763</v>
      </c>
      <c r="AA58" s="193">
        <f>(((D58*'Appendix K'!$C$7*1000)-('Appendix K'!$E$33+'Appendix K'!$F$33+'Appendix K'!$H$33+'Appendix K'!$G$33))/((1+$Y$16)^3))</f>
        <v>5800650.0651396774</v>
      </c>
      <c r="AB58" s="193">
        <f>(((E58*'Appendix K'!$C$8*1000)-('Appendix K'!$E$34+'Appendix K'!$F$34+'Appendix K'!$H$34+'Appendix K'!$G$34))/((1+$Y$16)^4))</f>
        <v>9868920.0139663555</v>
      </c>
      <c r="AC58" s="193">
        <f>(((F58*'Appendix K'!$C$9*1000)-('Appendix K'!$E$35+'Appendix K'!$F$35+'Appendix K'!$H$35+'Appendix K'!$G$35))/((1+$Y$16)^AC$34))</f>
        <v>16480498.391373426</v>
      </c>
      <c r="AD58" s="193">
        <f>(((G58*'Appendix K'!$C$10*1000)-('Appendix K'!$E$36+'Appendix K'!$F$36+'Appendix K'!$H$36+'Appendix K'!$G$36))/((1+$Y$16)^AD$34))</f>
        <v>10864580.936621539</v>
      </c>
      <c r="AE58" s="193">
        <f>(((H58*'Appendix K'!$C$11*1000)-('Appendix K'!$E$37+'Appendix K'!$F$37+'Appendix K'!$H$37+'Appendix K'!$G$37))/((1+$Y$16)^AE$34))</f>
        <v>4877613.4342537709</v>
      </c>
      <c r="AF58" s="193">
        <f>(((I58*'Appendix K'!$C$12*1000)-('Appendix K'!$E$38+'Appendix K'!$F$38+'Appendix K'!$H$38+'Appendix K'!$G$38))/((1+$Y$16)^AF$34))</f>
        <v>4385269.4354333291</v>
      </c>
      <c r="AG58" s="193">
        <f>(((J58*'Appendix K'!$C$13*1000)-('Appendix K'!$E$39+'Appendix K'!$F$39+'Appendix K'!$H$39+'Appendix K'!$G$39))/((1+$Y$16)^AG$34))</f>
        <v>2455556.2946960041</v>
      </c>
      <c r="AH58" s="193">
        <f>(((K58*'Appendix K'!$C$14*1000)-('Appendix K'!$E$40+'Appendix K'!$F$40+'Appendix K'!$H$40+'Appendix K'!$G$40))/((1+$Y$16)^AH$34))</f>
        <v>370737.74112779053</v>
      </c>
      <c r="AI58" s="193">
        <f>(((L58*'Appendix K'!$C$15*1000)-('Appendix K'!$E$41+'Appendix K'!$F$41+'Appendix K'!$H$41+'Appendix K'!$G$41))/((1+$Y$16)^AI$34))</f>
        <v>342228.17283782049</v>
      </c>
      <c r="AJ58" s="193">
        <f>(((M58*'Appendix K'!$C$16*1000)-('Appendix K'!$E$42+'Appendix K'!$F$42+'Appendix K'!$H$42+'Appendix K'!$G$42))/((1+$Y$16)^AJ$34))</f>
        <v>332385.46024719963</v>
      </c>
      <c r="AK58" s="193">
        <f>(((N58*'Appendix K'!$C$17*1000)-('Appendix K'!$E$43+'Appendix K'!$F$43+'Appendix K'!$H$43))/((1+$Y$16)^AK$34))</f>
        <v>237468.11116111098</v>
      </c>
      <c r="AL58" s="193">
        <f>(((O58*'Appendix K'!$C$18*1000)-('Appendix K'!$E$44+'Appendix K'!$F$44+'Appendix K'!$H$44+'Appendix K'!$G$44))/((1+$Y$16)^AL$34))</f>
        <v>-411713.98875166749</v>
      </c>
      <c r="AM58" s="193">
        <f>(((P58*'Appendix K'!$C$19*1000)-('Appendix K'!$E$45+'Appendix K'!$F$45+'Appendix K'!$H$45+'Appendix K'!$G$45))/((1+$Y$16)^AM$34))</f>
        <v>-411642.37402652041</v>
      </c>
      <c r="AN58" s="193">
        <f>(((Q58*'Appendix K'!$C$20*1000)-('Appendix K'!$E$46+'Appendix K'!$F$46+'Appendix K'!$H$46+'Appendix K'!$G$46))/((1+$Y$16)^AN$34))</f>
        <v>-570194.06802709028</v>
      </c>
      <c r="AO58" s="193">
        <f>(((R58*'Appendix K'!$C$21*1000)-('Appendix K'!$E$47+'Appendix K'!$F$47+'Appendix K'!$H$47+'Appendix K'!$G$47))/((1+$Y$16)^AO$34))</f>
        <v>-700635.46354574652</v>
      </c>
      <c r="AP58" s="193">
        <f>(((S58*'Appendix K'!$C$22*1000)-('Appendix K'!$E$48+'Appendix K'!$F$48+'Appendix K'!$H$48+'Appendix K'!$G$48))/((1+$Y$16)^AP$34))</f>
        <v>-700078.29343868885</v>
      </c>
      <c r="AQ58" s="193">
        <f>(((T58*'Appendix K'!$C$23*1000)-('Appendix K'!$E$49+'Appendix K'!$F$49+'Appendix K'!$H$49+'Appendix K'!$G$49))/((1+$Y$16)^AQ$34))</f>
        <v>-622977.28303485177</v>
      </c>
      <c r="AR58" s="193">
        <f>(((U58*'Appendix K'!$C$24*1000)-('Appendix K'!$E$50+'Appendix K'!$F$50+'Appendix K'!$H$50+'Appendix K'!$G$50))/((1+$Y$16)^AR$34))</f>
        <v>-605938.20002618106</v>
      </c>
      <c r="AS58" s="209">
        <f t="shared" si="14"/>
        <v>69547737.321769029</v>
      </c>
      <c r="AU58" s="199">
        <f t="shared" si="13"/>
        <v>6.6822354952100755E-9</v>
      </c>
    </row>
    <row r="59" spans="1:52" x14ac:dyDescent="0.35">
      <c r="A59">
        <v>25</v>
      </c>
      <c r="B59" s="70">
        <v>56</v>
      </c>
      <c r="C59" s="70">
        <v>49.772318121774667</v>
      </c>
      <c r="D59" s="70">
        <v>43.239318189260906</v>
      </c>
      <c r="E59" s="70">
        <v>56.438958611346663</v>
      </c>
      <c r="F59" s="70">
        <v>74.644160498678488</v>
      </c>
      <c r="G59" s="70">
        <v>106.19374797692731</v>
      </c>
      <c r="H59" s="70">
        <v>182.62306819716079</v>
      </c>
      <c r="I59" s="70">
        <v>202.71454158242591</v>
      </c>
      <c r="J59" s="70">
        <v>313.92768324693952</v>
      </c>
      <c r="K59" s="70">
        <v>164.92494117443155</v>
      </c>
      <c r="L59" s="70">
        <v>232.17957382633375</v>
      </c>
      <c r="M59" s="70">
        <v>285.97898901296423</v>
      </c>
      <c r="N59" s="70">
        <v>316.48263454640363</v>
      </c>
      <c r="O59" s="70">
        <v>245.8062173013036</v>
      </c>
      <c r="P59" s="70">
        <v>170.33346417375395</v>
      </c>
      <c r="Q59" s="70">
        <v>178.65119777411437</v>
      </c>
      <c r="R59" s="70">
        <v>171.95715179514244</v>
      </c>
      <c r="S59" s="70">
        <v>142.22029339927388</v>
      </c>
      <c r="T59" s="70">
        <v>225.02839605354777</v>
      </c>
      <c r="U59" s="70">
        <v>117.50568992366581</v>
      </c>
      <c r="V59" s="70">
        <v>150.53518503501496</v>
      </c>
      <c r="X59" s="193">
        <f>((0-('Appendix K'!$I$30))/(1+$Y$16)^0)</f>
        <v>-33594902.4440751</v>
      </c>
      <c r="Y59" s="193">
        <f>(((B59*'Appendix K'!$C$5*1000)-('Appendix K'!$E$31+'Appendix K'!$F$31+'Appendix K'!$H$31+'Appendix K'!$G$31))/((1+$Y$16)^1))</f>
        <v>34971064.972647354</v>
      </c>
      <c r="Z59" s="193">
        <f>+(((C59*'Appendix K'!$C$6*1000)-('Appendix K'!$E$32+'Appendix K'!$F$32+'Appendix K'!$H$32+'Appendix K'!$G$32))/((1+$Y$16)^2))</f>
        <v>9086091.1498067975</v>
      </c>
      <c r="AA59" s="193">
        <f>(((D59*'Appendix K'!$C$7*1000)-('Appendix K'!$E$33+'Appendix K'!$F$33+'Appendix K'!$H$33+'Appendix K'!$G$33))/((1+$Y$16)^3))</f>
        <v>2542704.5723028551</v>
      </c>
      <c r="AB59" s="193">
        <f>(((E59*'Appendix K'!$C$8*1000)-('Appendix K'!$E$34+'Appendix K'!$F$34+'Appendix K'!$H$34+'Appendix K'!$G$34))/((1+$Y$16)^4))</f>
        <v>9077695.1898142193</v>
      </c>
      <c r="AC59" s="193">
        <f>(((F59*'Appendix K'!$C$9*1000)-('Appendix K'!$E$35+'Appendix K'!$F$35+'Appendix K'!$H$35+'Appendix K'!$G$35))/((1+$Y$16)^AC$34))</f>
        <v>16856072.129023839</v>
      </c>
      <c r="AD59" s="193">
        <f>(((G59*'Appendix K'!$C$10*1000)-('Appendix K'!$E$36+'Appendix K'!$F$36+'Appendix K'!$H$36+'Appendix K'!$G$36))/((1+$Y$16)^AD$34))</f>
        <v>14161322.830833727</v>
      </c>
      <c r="AE59" s="193">
        <f>(((H59*'Appendix K'!$C$11*1000)-('Appendix K'!$E$37+'Appendix K'!$F$37+'Appendix K'!$H$37+'Appendix K'!$G$37))/((1+$Y$16)^AE$34))</f>
        <v>15994450.827437814</v>
      </c>
      <c r="AF59" s="193">
        <f>(((I59*'Appendix K'!$C$12*1000)-('Appendix K'!$E$38+'Appendix K'!$F$38+'Appendix K'!$H$38+'Appendix K'!$G$38))/((1+$Y$16)^AF$34))</f>
        <v>11314149.785763189</v>
      </c>
      <c r="AG59" s="193">
        <f>(((J59*'Appendix K'!$C$13*1000)-('Appendix K'!$E$39+'Appendix K'!$F$39+'Appendix K'!$H$39+'Appendix K'!$G$39))/((1+$Y$16)^AG$34))</f>
        <v>12631673.013618758</v>
      </c>
      <c r="AH59" s="193">
        <f>(((K59*'Appendix K'!$C$14*1000)-('Appendix K'!$E$40+'Appendix K'!$F$40+'Appendix K'!$H$40+'Appendix K'!$G$40))/((1+$Y$16)^AH$34))</f>
        <v>3926305.786393573</v>
      </c>
      <c r="AI59" s="193">
        <f>(((L59*'Appendix K'!$C$15*1000)-('Appendix K'!$E$41+'Appendix K'!$F$41+'Appendix K'!$H$41+'Appendix K'!$G$41))/((1+$Y$16)^AI$34))</f>
        <v>4567057.6638509696</v>
      </c>
      <c r="AJ59" s="193">
        <f>(((M59*'Appendix K'!$C$16*1000)-('Appendix K'!$E$42+'Appendix K'!$F$42+'Appendix K'!$H$42+'Appendix K'!$G$42))/((1+$Y$16)^AJ$34))</f>
        <v>4350001.8975779461</v>
      </c>
      <c r="AK59" s="193">
        <f>(((N59*'Appendix K'!$C$17*1000)-('Appendix K'!$E$43+'Appendix K'!$F$43+'Appendix K'!$H$43))/((1+$Y$16)^AK$34))</f>
        <v>3858148.1294891783</v>
      </c>
      <c r="AL59" s="193">
        <f>(((O59*'Appendix K'!$C$18*1000)-('Appendix K'!$E$44+'Appendix K'!$F$44+'Appendix K'!$H$44+'Appendix K'!$G$44))/((1+$Y$16)^AL$34))</f>
        <v>1779024.2970041905</v>
      </c>
      <c r="AM59" s="193">
        <f>(((P59*'Appendix K'!$C$19*1000)-('Appendix K'!$E$45+'Appendix K'!$F$45+'Appendix K'!$H$45+'Appendix K'!$G$45))/((1+$Y$16)^AM$34))</f>
        <v>552009.25256195816</v>
      </c>
      <c r="AN59" s="193">
        <f>(((Q59*'Appendix K'!$C$20*1000)-('Appendix K'!$E$46+'Appendix K'!$F$46+'Appendix K'!$H$46+'Appendix K'!$G$46))/((1+$Y$16)^AN$34))</f>
        <v>377049.97604503995</v>
      </c>
      <c r="AO59" s="193">
        <f>(((R59*'Appendix K'!$C$21*1000)-('Appendix K'!$E$47+'Appendix K'!$F$47+'Appendix K'!$H$47+'Appendix K'!$G$47))/((1+$Y$16)^AO$34))</f>
        <v>173286.83956133761</v>
      </c>
      <c r="AP59" s="193">
        <f>(((S59*'Appendix K'!$C$22*1000)-('Appendix K'!$E$48+'Appendix K'!$F$48+'Appendix K'!$H$48+'Appendix K'!$G$48))/((1+$Y$16)^AP$34))</f>
        <v>-83257.942742485553</v>
      </c>
      <c r="AQ59" s="193">
        <f>(((T59*'Appendix K'!$C$23*1000)-('Appendix K'!$E$49+'Appendix K'!$F$49+'Appendix K'!$H$49+'Appendix K'!$G$49))/((1+$Y$16)^AQ$34))</f>
        <v>187217.90189496632</v>
      </c>
      <c r="AR59" s="193">
        <f>(((U59*'Appendix K'!$C$24*1000)-('Appendix K'!$E$50+'Appendix K'!$F$50+'Appendix K'!$H$50+'Appendix K'!$G$50))/((1+$Y$16)^AR$34))</f>
        <v>-250917.25537879573</v>
      </c>
      <c r="AS59" s="209">
        <f t="shared" si="14"/>
        <v>112810423.77155259</v>
      </c>
      <c r="AU59" s="199">
        <f t="shared" si="13"/>
        <v>6.3700327580361E-9</v>
      </c>
    </row>
    <row r="60" spans="1:52" x14ac:dyDescent="0.35">
      <c r="A60">
        <v>26</v>
      </c>
      <c r="B60" s="70">
        <v>56</v>
      </c>
      <c r="C60" s="70">
        <v>91.631915283439895</v>
      </c>
      <c r="D60" s="70">
        <v>140.92295532434585</v>
      </c>
      <c r="E60" s="70">
        <v>81.590923836684411</v>
      </c>
      <c r="F60" s="70">
        <v>83.780106055254279</v>
      </c>
      <c r="G60" s="70">
        <v>134.31995482942182</v>
      </c>
      <c r="H60" s="70">
        <v>183.57639423224867</v>
      </c>
      <c r="I60" s="70">
        <v>245.13900337448564</v>
      </c>
      <c r="J60" s="70">
        <v>258.42060165049838</v>
      </c>
      <c r="K60" s="70">
        <v>299.60617880698868</v>
      </c>
      <c r="L60" s="70">
        <v>468.24570443482583</v>
      </c>
      <c r="M60" s="70">
        <v>443.94387594403941</v>
      </c>
      <c r="N60" s="70">
        <v>302.07913960488759</v>
      </c>
      <c r="O60" s="70">
        <v>361.38064062565309</v>
      </c>
      <c r="P60" s="70">
        <v>500</v>
      </c>
      <c r="Q60" s="70">
        <v>478.66017029484487</v>
      </c>
      <c r="R60" s="70">
        <v>500</v>
      </c>
      <c r="S60" s="70">
        <v>500</v>
      </c>
      <c r="T60" s="70">
        <v>381.97248312055365</v>
      </c>
      <c r="U60" s="70">
        <v>491.89303031260653</v>
      </c>
      <c r="V60" s="70">
        <v>130.05061995736122</v>
      </c>
      <c r="X60" s="193">
        <f>((0-('Appendix K'!$I$30))/(1+$Y$16)^0)</f>
        <v>-33594902.4440751</v>
      </c>
      <c r="Y60" s="193">
        <f>(((B60*'Appendix K'!$C$5*1000)-('Appendix K'!$E$31+'Appendix K'!$F$31+'Appendix K'!$H$31+'Appendix K'!$G$31))/((1+$Y$16)^1))</f>
        <v>34971064.972647354</v>
      </c>
      <c r="Z60" s="193">
        <f>+(((C60*'Appendix K'!$C$6*1000)-('Appendix K'!$E$32+'Appendix K'!$F$32+'Appendix K'!$H$32+'Appendix K'!$G$32))/((1+$Y$16)^2))</f>
        <v>19660541.322727874</v>
      </c>
      <c r="AA60" s="193">
        <f>(((D60*'Appendix K'!$C$7*1000)-('Appendix K'!$E$33+'Appendix K'!$F$33+'Appendix K'!$H$33+'Appendix K'!$G$33))/((1+$Y$16)^3))</f>
        <v>14985145.38389482</v>
      </c>
      <c r="AB60" s="193">
        <f>(((E60*'Appendix K'!$C$8*1000)-('Appendix K'!$E$34+'Appendix K'!$F$34+'Appendix K'!$H$34+'Appendix K'!$G$34))/((1+$Y$16)^4))</f>
        <v>14590775.723127687</v>
      </c>
      <c r="AC60" s="193">
        <f>(((F60*'Appendix K'!$C$9*1000)-('Appendix K'!$E$35+'Appendix K'!$F$35+'Appendix K'!$H$35+'Appendix K'!$G$35))/((1+$Y$16)^AC$34))</f>
        <v>19284392.111952767</v>
      </c>
      <c r="AD60" s="193">
        <f>(((G60*'Appendix K'!$C$10*1000)-('Appendix K'!$E$36+'Appendix K'!$F$36+'Appendix K'!$H$36+'Appendix K'!$G$36))/((1+$Y$16)^AD$34))</f>
        <v>18578373.496114813</v>
      </c>
      <c r="AE60" s="193">
        <f>(((H60*'Appendix K'!$C$11*1000)-('Appendix K'!$E$37+'Appendix K'!$F$37+'Appendix K'!$H$37+'Appendix K'!$G$37))/((1+$Y$16)^AE$34))</f>
        <v>16089533.305685565</v>
      </c>
      <c r="AF60" s="193">
        <f>(((I60*'Appendix K'!$C$12*1000)-('Appendix K'!$E$38+'Appendix K'!$F$38+'Appendix K'!$H$38+'Appendix K'!$G$38))/((1+$Y$16)^AF$34))</f>
        <v>14099842.912854789</v>
      </c>
      <c r="AG60" s="193">
        <f>(((J60*'Appendix K'!$C$13*1000)-('Appendix K'!$E$39+'Appendix K'!$F$39+'Appendix K'!$H$39+'Appendix K'!$G$39))/((1+$Y$16)^AG$34))</f>
        <v>10077296.368930226</v>
      </c>
      <c r="AH60" s="193">
        <f>(((K60*'Appendix K'!$C$14*1000)-('Appendix K'!$E$40+'Appendix K'!$F$40+'Appendix K'!$H$40+'Appendix K'!$G$40))/((1+$Y$16)^AH$34))</f>
        <v>8465942.5262074508</v>
      </c>
      <c r="AI60" s="193">
        <f>(((L60*'Appendix K'!$C$15*1000)-('Appendix K'!$E$41+'Appendix K'!$F$41+'Appendix K'!$H$41+'Appendix K'!$G$41))/((1+$Y$16)^AI$34))</f>
        <v>10752431.731622335</v>
      </c>
      <c r="AJ60" s="193">
        <f>(((M60*'Appendix K'!$C$16*1000)-('Appendix K'!$E$42+'Appendix K'!$F$42+'Appendix K'!$H$42+'Appendix K'!$G$42))/((1+$Y$16)^AJ$34))</f>
        <v>7515913.1486371271</v>
      </c>
      <c r="AK60" s="193">
        <f>(((N60*'Appendix K'!$C$17*1000)-('Appendix K'!$E$43+'Appendix K'!$F$43+'Appendix K'!$H$43))/((1+$Y$16)^AK$34))</f>
        <v>3636854.3101043035</v>
      </c>
      <c r="AL60" s="193">
        <f>(((O60*'Appendix K'!$C$18*1000)-('Appendix K'!$E$44+'Appendix K'!$F$44+'Appendix K'!$H$44+'Appendix K'!$G$44))/((1+$Y$16)^AL$34))</f>
        <v>3148961.9446874838</v>
      </c>
      <c r="AM60" s="193">
        <f>(((P60*'Appendix K'!$C$19*1000)-('Appendix K'!$E$45+'Appendix K'!$F$45+'Appendix K'!$H$45+'Appendix K'!$G$45))/((1+$Y$16)^AM$34))</f>
        <v>3607599.9540230581</v>
      </c>
      <c r="AN60" s="193">
        <f>(((Q60*'Appendix K'!$C$20*1000)-('Appendix K'!$E$46+'Appendix K'!$F$46+'Appendix K'!$H$46+'Appendix K'!$G$46))/((1+$Y$16)^AN$34))</f>
        <v>2547979.9704166059</v>
      </c>
      <c r="AO60" s="193">
        <f>(((R60*'Appendix K'!$C$21*1000)-('Appendix K'!$E$47+'Appendix K'!$F$47+'Appendix K'!$H$47+'Appendix K'!$G$47))/((1+$Y$16)^AO$34))</f>
        <v>2112056.3146391152</v>
      </c>
      <c r="AP60" s="193">
        <f>(((S60*'Appendix K'!$C$22*1000)-('Appendix K'!$E$48+'Appendix K'!$F$48+'Appendix K'!$H$48+'Appendix K'!$G$48))/((1+$Y$16)^AP$34))</f>
        <v>1630406.4380253027</v>
      </c>
      <c r="AQ60" s="193">
        <f>(((T60*'Appendix K'!$C$23*1000)-('Appendix K'!$E$49+'Appendix K'!$F$49+'Appendix K'!$H$49+'Appendix K'!$G$49))/((1+$Y$16)^AQ$34))</f>
        <v>801456.87995850854</v>
      </c>
      <c r="AR60" s="193">
        <f>(((U60*'Appendix K'!$C$24*1000)-('Appendix K'!$E$50+'Appendix K'!$F$50+'Appendix K'!$H$50+'Appendix K'!$G$50))/((1+$Y$16)^AR$34))</f>
        <v>954620.47057953454</v>
      </c>
      <c r="AS60" s="209">
        <f t="shared" si="14"/>
        <v>173916286.84276164</v>
      </c>
      <c r="AU60" s="199">
        <f t="shared" si="13"/>
        <v>2.2120877137263034E-9</v>
      </c>
    </row>
    <row r="61" spans="1:52" x14ac:dyDescent="0.35">
      <c r="A61">
        <v>27</v>
      </c>
      <c r="B61" s="70">
        <v>56</v>
      </c>
      <c r="C61" s="70">
        <v>72.408262358266697</v>
      </c>
      <c r="D61" s="70">
        <v>95.062577117699334</v>
      </c>
      <c r="E61" s="70">
        <v>101.1369950720659</v>
      </c>
      <c r="F61" s="70">
        <v>165.10627042032604</v>
      </c>
      <c r="G61" s="70">
        <v>209.3889130740971</v>
      </c>
      <c r="H61" s="70">
        <v>108.59426801674763</v>
      </c>
      <c r="I61" s="70">
        <v>140.29873027189075</v>
      </c>
      <c r="J61" s="70">
        <v>168.48580598382313</v>
      </c>
      <c r="K61" s="70">
        <v>166.75286817840632</v>
      </c>
      <c r="L61" s="70">
        <v>92.067532745083184</v>
      </c>
      <c r="M61" s="70">
        <v>77.37454644588162</v>
      </c>
      <c r="N61" s="70">
        <v>67.235469542530154</v>
      </c>
      <c r="O61" s="70">
        <v>74.594247438077588</v>
      </c>
      <c r="P61" s="70">
        <v>95.344358148853729</v>
      </c>
      <c r="Q61" s="70">
        <v>85.074246489651429</v>
      </c>
      <c r="R61" s="70">
        <v>87.393008302173968</v>
      </c>
      <c r="S61" s="70">
        <v>67.212846056301757</v>
      </c>
      <c r="T61" s="70">
        <v>102.3010536314881</v>
      </c>
      <c r="U61" s="70">
        <v>86.708823251462363</v>
      </c>
      <c r="V61" s="70">
        <v>95.589092094324641</v>
      </c>
      <c r="X61" s="193">
        <f>((0-('Appendix K'!$I$30))/(1+$Y$16)^0)</f>
        <v>-33594902.4440751</v>
      </c>
      <c r="Y61" s="193">
        <f>(((B61*'Appendix K'!$C$5*1000)-('Appendix K'!$E$31+'Appendix K'!$F$31+'Appendix K'!$H$31+'Appendix K'!$G$31))/((1+$Y$16)^1))</f>
        <v>34971064.972647354</v>
      </c>
      <c r="Z61" s="193">
        <f>+(((C61*'Appendix K'!$C$6*1000)-('Appendix K'!$E$32+'Appendix K'!$F$32+'Appendix K'!$H$32+'Appendix K'!$G$32))/((1+$Y$16)^2))</f>
        <v>14804317.809307763</v>
      </c>
      <c r="AA61" s="193">
        <f>(((D61*'Appendix K'!$C$7*1000)-('Appendix K'!$E$33+'Appendix K'!$F$33+'Appendix K'!$H$33+'Appendix K'!$G$33))/((1+$Y$16)^3))</f>
        <v>9143685.5635123309</v>
      </c>
      <c r="AB61" s="193">
        <f>(((E61*'Appendix K'!$C$8*1000)-('Appendix K'!$E$34+'Appendix K'!$F$34+'Appendix K'!$H$34+'Appendix K'!$G$34))/((1+$Y$16)^4))</f>
        <v>18875095.610862944</v>
      </c>
      <c r="AC61" s="193">
        <f>(((F61*'Appendix K'!$C$9*1000)-('Appendix K'!$E$35+'Appendix K'!$F$35+'Appendix K'!$H$35+'Appendix K'!$G$35))/((1+$Y$16)^AC$34))</f>
        <v>40900758.895194128</v>
      </c>
      <c r="AD61" s="193">
        <f>(((G61*'Appendix K'!$C$10*1000)-('Appendix K'!$E$36+'Appendix K'!$F$36+'Appendix K'!$H$36+'Appendix K'!$G$36))/((1+$Y$16)^AD$34))</f>
        <v>30367499.335072111</v>
      </c>
      <c r="AE61" s="193">
        <f>(((H61*'Appendix K'!$C$11*1000)-('Appendix K'!$E$37+'Appendix K'!$F$37+'Appendix K'!$H$37+'Appendix K'!$G$37))/((1+$Y$16)^AE$34))</f>
        <v>8610993.8318335917</v>
      </c>
      <c r="AF61" s="193">
        <f>(((I61*'Appendix K'!$C$12*1000)-('Appendix K'!$E$38+'Appendix K'!$F$38+'Appendix K'!$H$38+'Appendix K'!$G$38))/((1+$Y$16)^AF$34))</f>
        <v>7215776.1295027817</v>
      </c>
      <c r="AG61" s="193">
        <f>(((J61*'Appendix K'!$C$13*1000)-('Appendix K'!$E$39+'Appendix K'!$F$39+'Appendix K'!$H$39+'Appendix K'!$G$39))/((1+$Y$16)^AG$34))</f>
        <v>5938593.0721869143</v>
      </c>
      <c r="AH61" s="193">
        <f>(((K61*'Appendix K'!$C$14*1000)-('Appendix K'!$E$40+'Appendix K'!$F$40+'Appendix K'!$H$40+'Appendix K'!$G$40))/((1+$Y$16)^AH$34))</f>
        <v>3987918.8568613473</v>
      </c>
      <c r="AI61" s="193">
        <f>(((L61*'Appendix K'!$C$15*1000)-('Appendix K'!$E$41+'Appendix K'!$F$41+'Appendix K'!$H$41+'Appendix K'!$G$41))/((1+$Y$16)^AI$34))</f>
        <v>895860.17672060803</v>
      </c>
      <c r="AJ61" s="193">
        <f>(((M61*'Appendix K'!$C$16*1000)-('Appendix K'!$E$42+'Appendix K'!$F$42+'Appendix K'!$H$42+'Appendix K'!$G$42))/((1+$Y$16)^AJ$34))</f>
        <v>169179.40863951435</v>
      </c>
      <c r="AK61" s="193">
        <f>(((N61*'Appendix K'!$C$17*1000)-('Appendix K'!$E$43+'Appendix K'!$F$43+'Appendix K'!$H$43))/((1+$Y$16)^AK$34))</f>
        <v>28740.243519958112</v>
      </c>
      <c r="AL61" s="193">
        <f>(((O61*'Appendix K'!$C$18*1000)-('Appendix K'!$E$44+'Appendix K'!$F$44+'Appendix K'!$H$44+'Appendix K'!$G$44))/((1+$Y$16)^AL$34))</f>
        <v>-250401.56127076352</v>
      </c>
      <c r="AM61" s="193">
        <f>(((P61*'Appendix K'!$C$19*1000)-('Appendix K'!$E$45+'Appendix K'!$F$45+'Appendix K'!$H$45+'Appendix K'!$G$45))/((1+$Y$16)^AM$34))</f>
        <v>-143044.65852513493</v>
      </c>
      <c r="AN61" s="193">
        <f>(((Q61*'Appendix K'!$C$20*1000)-('Appendix K'!$E$46+'Appendix K'!$F$46+'Appendix K'!$H$46+'Appendix K'!$G$46))/((1+$Y$16)^AN$34))</f>
        <v>-300093.13943711424</v>
      </c>
      <c r="AO61" s="193">
        <f>(((R61*'Appendix K'!$C$21*1000)-('Appendix K'!$E$47+'Appendix K'!$F$47+'Appendix K'!$H$47+'Appendix K'!$G$47))/((1+$Y$16)^AO$34))</f>
        <v>-326496.59113208164</v>
      </c>
      <c r="AP61" s="193">
        <f>(((S61*'Appendix K'!$C$22*1000)-('Appendix K'!$E$48+'Appendix K'!$F$48+'Appendix K'!$H$48+'Appendix K'!$G$48))/((1+$Y$16)^AP$34))</f>
        <v>-442522.56405151845</v>
      </c>
      <c r="AQ61" s="193">
        <f>(((T61*'Appendix K'!$C$23*1000)-('Appendix K'!$E$49+'Appendix K'!$F$49+'Appendix K'!$H$49+'Appendix K'!$G$49))/((1+$Y$16)^AQ$34))</f>
        <v>-293105.49733953865</v>
      </c>
      <c r="AR61" s="193">
        <f>(((U61*'Appendix K'!$C$24*1000)-('Appendix K'!$E$50+'Appendix K'!$F$50+'Appendix K'!$H$50+'Appendix K'!$G$50))/((1+$Y$16)^AR$34))</f>
        <v>-350084.02895634249</v>
      </c>
      <c r="AS61" s="209">
        <f t="shared" si="14"/>
        <v>142314581.46178627</v>
      </c>
      <c r="AU61" s="199">
        <f t="shared" si="13"/>
        <v>4.4179338250505881E-9</v>
      </c>
    </row>
    <row r="62" spans="1:52" x14ac:dyDescent="0.35">
      <c r="A62">
        <v>28</v>
      </c>
      <c r="B62" s="70">
        <v>56</v>
      </c>
      <c r="C62" s="70">
        <v>76.638691500558096</v>
      </c>
      <c r="D62" s="70">
        <v>108.20491349917995</v>
      </c>
      <c r="E62" s="70">
        <v>150.46729176834862</v>
      </c>
      <c r="F62" s="70">
        <v>218.71002272068398</v>
      </c>
      <c r="G62" s="70">
        <v>204.97918559954783</v>
      </c>
      <c r="H62" s="70">
        <v>236.69151611079607</v>
      </c>
      <c r="I62" s="70">
        <v>205.09207987966934</v>
      </c>
      <c r="J62" s="70">
        <v>324.09506746168518</v>
      </c>
      <c r="K62" s="70">
        <v>390.06265533900944</v>
      </c>
      <c r="L62" s="70">
        <v>500</v>
      </c>
      <c r="M62" s="70">
        <v>500</v>
      </c>
      <c r="N62" s="70">
        <v>500</v>
      </c>
      <c r="O62" s="70">
        <v>500</v>
      </c>
      <c r="P62" s="70">
        <v>389.43466617037279</v>
      </c>
      <c r="Q62" s="70">
        <v>477.28717248301814</v>
      </c>
      <c r="R62" s="70">
        <v>500</v>
      </c>
      <c r="S62" s="70">
        <v>426.29598980789001</v>
      </c>
      <c r="T62" s="70">
        <v>500</v>
      </c>
      <c r="U62" s="70">
        <v>500</v>
      </c>
      <c r="V62" s="70">
        <v>500</v>
      </c>
      <c r="X62" s="193">
        <f>((0-('Appendix K'!$I$30))/(1+$Y$16)^0)</f>
        <v>-33594902.4440751</v>
      </c>
      <c r="Y62" s="193">
        <f>(((B62*'Appendix K'!$C$5*1000)-('Appendix K'!$E$31+'Appendix K'!$F$31+'Appendix K'!$H$31+'Appendix K'!$G$31))/((1+$Y$16)^1))</f>
        <v>34971064.972647354</v>
      </c>
      <c r="Z62" s="193">
        <f>+(((C62*'Appendix K'!$C$6*1000)-('Appendix K'!$E$32+'Appendix K'!$F$32+'Appendix K'!$H$32+'Appendix K'!$G$32))/((1+$Y$16)^2))</f>
        <v>15872996.564205127</v>
      </c>
      <c r="AA62" s="193">
        <f>(((D62*'Appendix K'!$C$7*1000)-('Appendix K'!$E$33+'Appendix K'!$F$33+'Appendix K'!$H$33+'Appendix K'!$G$33))/((1+$Y$16)^3))</f>
        <v>10817688.982595423</v>
      </c>
      <c r="AB62" s="193">
        <f>(((E62*'Appendix K'!$C$8*1000)-('Appendix K'!$E$34+'Appendix K'!$F$34+'Appendix K'!$H$34+'Appendix K'!$G$34))/((1+$Y$16)^4))</f>
        <v>29687845.071286153</v>
      </c>
      <c r="AC62" s="193">
        <f>(((F62*'Appendix K'!$C$9*1000)-('Appendix K'!$E$35+'Appendix K'!$F$35+'Appendix K'!$H$35+'Appendix K'!$G$35))/((1+$Y$16)^AC$34))</f>
        <v>55148552.083633311</v>
      </c>
      <c r="AD62" s="193">
        <f>(((G62*'Appendix K'!$C$10*1000)-('Appendix K'!$E$36+'Appendix K'!$F$36+'Appendix K'!$H$36+'Appendix K'!$G$36))/((1+$Y$16)^AD$34))</f>
        <v>29674978.307358816</v>
      </c>
      <c r="AE62" s="193">
        <f>(((H62*'Appendix K'!$C$11*1000)-('Appendix K'!$E$37+'Appendix K'!$F$37+'Appendix K'!$H$37+'Appendix K'!$G$37))/((1+$Y$16)^AE$34))</f>
        <v>21387109.617212694</v>
      </c>
      <c r="AF62" s="193">
        <f>(((I62*'Appendix K'!$C$12*1000)-('Appendix K'!$E$38+'Appendix K'!$F$38+'Appendix K'!$H$38+'Appendix K'!$G$38))/((1+$Y$16)^AF$34))</f>
        <v>11470264.720738456</v>
      </c>
      <c r="AG62" s="193">
        <f>(((J62*'Appendix K'!$C$13*1000)-('Appendix K'!$E$39+'Appendix K'!$F$39+'Appendix K'!$H$39+'Appendix K'!$G$39))/((1+$Y$16)^AG$34))</f>
        <v>13099565.182126971</v>
      </c>
      <c r="AH62" s="193">
        <f>(((K62*'Appendix K'!$C$14*1000)-('Appendix K'!$E$40+'Appendix K'!$F$40+'Appendix K'!$H$40+'Appendix K'!$G$40))/((1+$Y$16)^AH$34))</f>
        <v>11514916.172701532</v>
      </c>
      <c r="AI62" s="193">
        <f>(((L62*'Appendix K'!$C$15*1000)-('Appendix K'!$E$41+'Appendix K'!$F$41+'Appendix K'!$H$41+'Appendix K'!$G$41))/((1+$Y$16)^AI$34))</f>
        <v>11584453.656253781</v>
      </c>
      <c r="AJ62" s="193">
        <f>(((M62*'Appendix K'!$C$16*1000)-('Appendix K'!$E$42+'Appendix K'!$F$42+'Appendix K'!$H$42+'Appendix K'!$G$42))/((1+$Y$16)^AJ$34))</f>
        <v>8639382.5302660316</v>
      </c>
      <c r="AK62" s="193">
        <f>(((N62*'Appendix K'!$C$17*1000)-('Appendix K'!$E$43+'Appendix K'!$F$43+'Appendix K'!$H$43))/((1+$Y$16)^AK$34))</f>
        <v>6677690.1149291173</v>
      </c>
      <c r="AL62" s="193">
        <f>(((O62*'Appendix K'!$C$18*1000)-('Appendix K'!$E$44+'Appendix K'!$F$44+'Appendix K'!$H$44+'Appendix K'!$G$44))/((1+$Y$16)^AL$34))</f>
        <v>4792058.0003928225</v>
      </c>
      <c r="AM62" s="193">
        <f>(((P62*'Appendix K'!$C$19*1000)-('Appendix K'!$E$45+'Appendix K'!$F$45+'Appendix K'!$H$45+'Appendix K'!$G$45))/((1+$Y$16)^AM$34))</f>
        <v>2582799.5292331595</v>
      </c>
      <c r="AN62" s="193">
        <f>(((Q62*'Appendix K'!$C$20*1000)-('Appendix K'!$E$46+'Appendix K'!$F$46+'Appendix K'!$H$46+'Appendix K'!$G$46))/((1+$Y$16)^AN$34))</f>
        <v>2538044.6604595166</v>
      </c>
      <c r="AO62" s="193">
        <f>(((R62*'Appendix K'!$C$21*1000)-('Appendix K'!$E$47+'Appendix K'!$F$47+'Appendix K'!$H$47+'Appendix K'!$G$47))/((1+$Y$16)^AO$34))</f>
        <v>2112056.3146391152</v>
      </c>
      <c r="AP62" s="193">
        <f>(((S62*'Appendix K'!$C$22*1000)-('Appendix K'!$E$48+'Appendix K'!$F$48+'Appendix K'!$H$48+'Appendix K'!$G$48))/((1+$Y$16)^AP$34))</f>
        <v>1277384.9148484245</v>
      </c>
      <c r="AQ62" s="193">
        <f>(((T62*'Appendix K'!$C$23*1000)-('Appendix K'!$E$49+'Appendix K'!$F$49+'Appendix K'!$H$49+'Appendix K'!$G$49))/((1+$Y$16)^AQ$34))</f>
        <v>1263386.3652054211</v>
      </c>
      <c r="AR62" s="193">
        <f>(((U62*'Appendix K'!$C$24*1000)-('Appendix K'!$E$50+'Appendix K'!$F$50+'Appendix K'!$H$50+'Appendix K'!$G$50))/((1+$Y$16)^AR$34))</f>
        <v>980725.14012097823</v>
      </c>
      <c r="AS62" s="209">
        <f t="shared" si="14"/>
        <v>242498060.45677906</v>
      </c>
      <c r="AU62" s="199">
        <f t="shared" si="13"/>
        <v>1.6966666268841762E-10</v>
      </c>
    </row>
    <row r="63" spans="1:52" x14ac:dyDescent="0.35">
      <c r="A63">
        <v>29</v>
      </c>
      <c r="B63" s="70">
        <v>56</v>
      </c>
      <c r="C63" s="70">
        <v>56.766904234162929</v>
      </c>
      <c r="D63" s="70">
        <v>48.489851949112548</v>
      </c>
      <c r="E63" s="70">
        <v>46.625446865626344</v>
      </c>
      <c r="F63" s="70">
        <v>55.023159323514435</v>
      </c>
      <c r="G63" s="70">
        <v>60.208328668089997</v>
      </c>
      <c r="H63" s="70">
        <v>79.420205208324717</v>
      </c>
      <c r="I63" s="70">
        <v>84.680683475984353</v>
      </c>
      <c r="J63" s="70">
        <v>95.229590202157411</v>
      </c>
      <c r="K63" s="70">
        <v>98.053931895135946</v>
      </c>
      <c r="L63" s="70">
        <v>83.934761460211263</v>
      </c>
      <c r="M63" s="70">
        <v>59.112180512663002</v>
      </c>
      <c r="N63" s="70">
        <v>51.240890937214957</v>
      </c>
      <c r="O63" s="70">
        <v>56.943449558220024</v>
      </c>
      <c r="P63" s="70">
        <v>41.637956825141103</v>
      </c>
      <c r="Q63" s="70">
        <v>29.751562034441825</v>
      </c>
      <c r="R63" s="70">
        <v>21.041445121495983</v>
      </c>
      <c r="S63" s="70">
        <v>29.078856431722915</v>
      </c>
      <c r="T63" s="70">
        <v>34.78347651072918</v>
      </c>
      <c r="U63" s="70">
        <v>48.193380155006579</v>
      </c>
      <c r="V63" s="70">
        <v>46.693244027035696</v>
      </c>
      <c r="X63" s="193">
        <f>((0-('Appendix K'!$I$30))/(1+$Y$16)^0)</f>
        <v>-33594902.4440751</v>
      </c>
      <c r="Y63" s="193">
        <f>(((B63*'Appendix K'!$C$5*1000)-('Appendix K'!$E$31+'Appendix K'!$F$31+'Appendix K'!$H$31+'Appendix K'!$G$31))/((1+$Y$16)^1))</f>
        <v>34971064.972647354</v>
      </c>
      <c r="Z63" s="193">
        <f>+(((C63*'Appendix K'!$C$6*1000)-('Appendix K'!$E$32+'Appendix K'!$F$32+'Appendix K'!$H$32+'Appendix K'!$G$32))/((1+$Y$16)^2))</f>
        <v>10853043.231070284</v>
      </c>
      <c r="AA63" s="193">
        <f>(((D63*'Appendix K'!$C$7*1000)-('Appendix K'!$E$33+'Appendix K'!$F$33+'Appendix K'!$H$33+'Appendix K'!$G$33))/((1+$Y$16)^3))</f>
        <v>3211490.6397777637</v>
      </c>
      <c r="AB63" s="193">
        <f>(((E63*'Appendix K'!$C$8*1000)-('Appendix K'!$E$34+'Appendix K'!$F$34+'Appendix K'!$H$34+'Appendix K'!$G$34))/((1+$Y$16)^4))</f>
        <v>6926663.2492057988</v>
      </c>
      <c r="AC63" s="193">
        <f>(((F63*'Appendix K'!$C$9*1000)-('Appendix K'!$E$35+'Appendix K'!$F$35+'Appendix K'!$H$35+'Appendix K'!$G$35))/((1+$Y$16)^AC$34))</f>
        <v>11640840.827166021</v>
      </c>
      <c r="AD63" s="193">
        <f>(((G63*'Appendix K'!$C$10*1000)-('Appendix K'!$E$36+'Appendix K'!$F$36+'Appendix K'!$H$36+'Appendix K'!$G$36))/((1+$Y$16)^AD$34))</f>
        <v>6939590.8704391215</v>
      </c>
      <c r="AE63" s="193">
        <f>(((H63*'Appendix K'!$C$11*1000)-('Appendix K'!$E$37+'Appendix K'!$F$37+'Appendix K'!$H$37+'Appendix K'!$G$37))/((1+$Y$16)^AE$34))</f>
        <v>5701241.9837948615</v>
      </c>
      <c r="AF63" s="193">
        <f>(((I63*'Appendix K'!$C$12*1000)-('Appendix K'!$E$38+'Appendix K'!$F$38+'Appendix K'!$H$38+'Appendix K'!$G$38))/((1+$Y$16)^AF$34))</f>
        <v>3563760.1897127489</v>
      </c>
      <c r="AG63" s="193">
        <f>(((J63*'Appendix K'!$C$13*1000)-('Appendix K'!$E$39+'Appendix K'!$F$39+'Appendix K'!$H$39+'Appendix K'!$G$39))/((1+$Y$16)^AG$34))</f>
        <v>2567420.2183983256</v>
      </c>
      <c r="AH63" s="193">
        <f>(((K63*'Appendix K'!$C$14*1000)-('Appendix K'!$E$40+'Appendix K'!$F$40+'Appendix K'!$H$40+'Appendix K'!$G$40))/((1+$Y$16)^AH$34))</f>
        <v>1672316.3229098946</v>
      </c>
      <c r="AI63" s="193">
        <f>(((L63*'Appendix K'!$C$15*1000)-('Appendix K'!$E$41+'Appendix K'!$F$41+'Appendix K'!$H$41+'Appendix K'!$G$41))/((1+$Y$16)^AI$34))</f>
        <v>682766.36070008646</v>
      </c>
      <c r="AJ63" s="193">
        <f>(((M63*'Appendix K'!$C$16*1000)-('Appendix K'!$E$42+'Appendix K'!$F$42+'Appendix K'!$H$42+'Appendix K'!$G$42))/((1+$Y$16)^AJ$34))</f>
        <v>-196832.50009665979</v>
      </c>
      <c r="AK63" s="193">
        <f>(((N63*'Appendix K'!$C$17*1000)-('Appendix K'!$E$43+'Appendix K'!$F$43+'Appendix K'!$H$43))/((1+$Y$16)^AK$34))</f>
        <v>-216998.82212998319</v>
      </c>
      <c r="AL63" s="193">
        <f>(((O63*'Appendix K'!$C$18*1000)-('Appendix K'!$E$44+'Appendix K'!$F$44+'Appendix K'!$H$44+'Appendix K'!$G$44))/((1+$Y$16)^AL$34))</f>
        <v>-459621.66232551768</v>
      </c>
      <c r="AM63" s="193">
        <f>(((P63*'Appendix K'!$C$19*1000)-('Appendix K'!$E$45+'Appendix K'!$F$45+'Appendix K'!$H$45+'Appendix K'!$G$45))/((1+$Y$16)^AM$34))</f>
        <v>-640834.88792278129</v>
      </c>
      <c r="AN63" s="193">
        <f>(((Q63*'Appendix K'!$C$20*1000)-('Appendix K'!$E$46+'Appendix K'!$F$46+'Appendix K'!$H$46+'Appendix K'!$G$46))/((1+$Y$16)^AN$34))</f>
        <v>-700420.08314100339</v>
      </c>
      <c r="AO63" s="193">
        <f>(((R63*'Appendix K'!$C$21*1000)-('Appendix K'!$E$47+'Appendix K'!$F$47+'Appendix K'!$H$47+'Appendix K'!$G$47))/((1+$Y$16)^AO$34))</f>
        <v>-718641.66005325853</v>
      </c>
      <c r="AP63" s="193">
        <f>(((S63*'Appendix K'!$C$22*1000)-('Appendix K'!$E$48+'Appendix K'!$F$48+'Appendix K'!$H$48+'Appendix K'!$G$48))/((1+$Y$16)^AP$34))</f>
        <v>-625173.67173196888</v>
      </c>
      <c r="AQ63" s="193">
        <f>(((T63*'Appendix K'!$C$23*1000)-('Appendix K'!$E$49+'Appendix K'!$F$49+'Appendix K'!$H$49+'Appendix K'!$G$49))/((1+$Y$16)^AQ$34))</f>
        <v>-557352.00924715388</v>
      </c>
      <c r="AR63" s="193">
        <f>(((U63*'Appendix K'!$C$24*1000)-('Appendix K'!$E$50+'Appendix K'!$F$50+'Appendix K'!$H$50+'Appendix K'!$G$50))/((1+$Y$16)^AR$34))</f>
        <v>-474104.83488568297</v>
      </c>
      <c r="AS63" s="209">
        <f t="shared" si="14"/>
        <v>55135296.42174717</v>
      </c>
      <c r="AU63" s="199">
        <f t="shared" si="13"/>
        <v>5.9676071716693665E-9</v>
      </c>
    </row>
    <row r="64" spans="1:52" x14ac:dyDescent="0.35">
      <c r="A64">
        <v>30</v>
      </c>
      <c r="B64" s="70">
        <v>56</v>
      </c>
      <c r="C64" s="70">
        <v>98.211183342577897</v>
      </c>
      <c r="D64" s="70">
        <v>98.962815732202614</v>
      </c>
      <c r="E64" s="70">
        <v>124.56158087657002</v>
      </c>
      <c r="F64" s="70">
        <v>157.43735047512999</v>
      </c>
      <c r="G64" s="70">
        <v>133.9949974476782</v>
      </c>
      <c r="H64" s="70">
        <v>142.59832460109089</v>
      </c>
      <c r="I64" s="70">
        <v>165.24210623792487</v>
      </c>
      <c r="J64" s="70">
        <v>174.85162010613399</v>
      </c>
      <c r="K64" s="70">
        <v>177.38350079845628</v>
      </c>
      <c r="L64" s="70">
        <v>109.48238986094617</v>
      </c>
      <c r="M64" s="70">
        <v>94.609115570604885</v>
      </c>
      <c r="N64" s="70">
        <v>109.24674006098039</v>
      </c>
      <c r="O64" s="70">
        <v>163.28069884279157</v>
      </c>
      <c r="P64" s="70">
        <v>236.1970512633919</v>
      </c>
      <c r="Q64" s="70">
        <v>264.64476373797982</v>
      </c>
      <c r="R64" s="70">
        <v>338.95671292710813</v>
      </c>
      <c r="S64" s="70">
        <v>430.06748947604984</v>
      </c>
      <c r="T64" s="70">
        <v>236.45665255812511</v>
      </c>
      <c r="U64" s="70">
        <v>233.77454171482944</v>
      </c>
      <c r="V64" s="70">
        <v>241.86963927138157</v>
      </c>
      <c r="X64" s="193">
        <f>((0-('Appendix K'!$I$30))/(1+$Y$16)^0)</f>
        <v>-33594902.4440751</v>
      </c>
      <c r="Y64" s="193">
        <f>(((B64*'Appendix K'!$C$5*1000)-('Appendix K'!$E$31+'Appendix K'!$F$31+'Appendix K'!$H$31+'Appendix K'!$G$31))/((1+$Y$16)^1))</f>
        <v>34971064.972647354</v>
      </c>
      <c r="Z64" s="193">
        <f>+(((C64*'Appendix K'!$C$6*1000)-('Appendix K'!$E$32+'Appendix K'!$F$32+'Appendix K'!$H$32+'Appendix K'!$G$32))/((1+$Y$16)^2))</f>
        <v>21322576.960504144</v>
      </c>
      <c r="AA64" s="193">
        <f>(((D64*'Appendix K'!$C$7*1000)-('Appendix K'!$E$33+'Appendix K'!$F$33+'Appendix K'!$H$33+'Appendix K'!$G$33))/((1+$Y$16)^3))</f>
        <v>9640477.9592022393</v>
      </c>
      <c r="AB64" s="193">
        <f>(((E64*'Appendix K'!$C$8*1000)-('Appendix K'!$E$34+'Appendix K'!$F$34+'Appendix K'!$H$34+'Appendix K'!$G$34))/((1+$Y$16)^4))</f>
        <v>24009550.387766309</v>
      </c>
      <c r="AC64" s="193">
        <f>(((F64*'Appendix K'!$C$9*1000)-('Appendix K'!$E$35+'Appendix K'!$F$35+'Appendix K'!$H$35+'Appendix K'!$G$35))/((1+$Y$16)^AC$34))</f>
        <v>38862372.016126327</v>
      </c>
      <c r="AD64" s="193">
        <f>(((G64*'Appendix K'!$C$10*1000)-('Appendix K'!$E$36+'Appendix K'!$F$36+'Appendix K'!$H$36+'Appendix K'!$G$36))/((1+$Y$16)^AD$34))</f>
        <v>18527340.904811401</v>
      </c>
      <c r="AE64" s="193">
        <f>(((H64*'Appendix K'!$C$11*1000)-('Appendix K'!$E$37+'Appendix K'!$F$37+'Appendix K'!$H$37+'Appendix K'!$G$37))/((1+$Y$16)^AE$34))</f>
        <v>12002477.806377592</v>
      </c>
      <c r="AF64" s="193">
        <f>(((I64*'Appendix K'!$C$12*1000)-('Appendix K'!$E$38+'Appendix K'!$F$38+'Appendix K'!$H$38+'Appendix K'!$G$38))/((1+$Y$16)^AF$34))</f>
        <v>8853618.7339798026</v>
      </c>
      <c r="AG64" s="193">
        <f>(((J64*'Appendix K'!$C$13*1000)-('Appendix K'!$E$39+'Appendix K'!$F$39+'Appendix K'!$H$39+'Appendix K'!$G$39))/((1+$Y$16)^AG$34))</f>
        <v>6231541.0429824442</v>
      </c>
      <c r="AH64" s="193">
        <f>(((K64*'Appendix K'!$C$14*1000)-('Appendix K'!$E$40+'Appendix K'!$F$40+'Appendix K'!$H$40+'Appendix K'!$G$40))/((1+$Y$16)^AH$34))</f>
        <v>4346240.5597039172</v>
      </c>
      <c r="AI64" s="193">
        <f>(((L64*'Appendix K'!$C$15*1000)-('Appendix K'!$E$41+'Appendix K'!$F$41+'Appendix K'!$H$41+'Appendix K'!$G$41))/((1+$Y$16)^AI$34))</f>
        <v>1352161.9990987123</v>
      </c>
      <c r="AJ64" s="193">
        <f>(((M64*'Appendix K'!$C$16*1000)-('Appendix K'!$E$42+'Appendix K'!$F$42+'Appendix K'!$H$42+'Appendix K'!$G$42))/((1+$Y$16)^AJ$34))</f>
        <v>514592.35045946483</v>
      </c>
      <c r="AK64" s="193">
        <f>(((N64*'Appendix K'!$C$17*1000)-('Appendix K'!$E$43+'Appendix K'!$F$43+'Appendix K'!$H$43))/((1+$Y$16)^AK$34))</f>
        <v>674197.09603998333</v>
      </c>
      <c r="AL64" s="193">
        <f>(((O64*'Appendix K'!$C$18*1000)-('Appendix K'!$E$44+'Appendix K'!$F$44+'Appendix K'!$H$44+'Appendix K'!$G$44))/((1+$Y$16)^AL$34))</f>
        <v>800825.04340618791</v>
      </c>
      <c r="AM64" s="193">
        <f>(((P64*'Appendix K'!$C$19*1000)-('Appendix K'!$E$45+'Appendix K'!$F$45+'Appendix K'!$H$45+'Appendix K'!$G$45))/((1+$Y$16)^AM$34))</f>
        <v>1162481.1761728004</v>
      </c>
      <c r="AN64" s="193">
        <f>(((Q64*'Appendix K'!$C$20*1000)-('Appendix K'!$E$46+'Appendix K'!$F$46+'Appendix K'!$H$46+'Appendix K'!$G$46))/((1+$Y$16)^AN$34))</f>
        <v>999318.0705801968</v>
      </c>
      <c r="AO64" s="193">
        <f>(((R64*'Appendix K'!$C$21*1000)-('Appendix K'!$E$47+'Appendix K'!$F$47+'Appendix K'!$H$47+'Appendix K'!$G$47))/((1+$Y$16)^AO$34))</f>
        <v>1160272.695969488</v>
      </c>
      <c r="AP64" s="193">
        <f>(((S64*'Appendix K'!$C$22*1000)-('Appendix K'!$E$48+'Appendix K'!$F$48+'Appendix K'!$H$48+'Appendix K'!$G$48))/((1+$Y$16)^AP$34))</f>
        <v>1295449.3397561673</v>
      </c>
      <c r="AQ64" s="193">
        <f>(((T64*'Appendix K'!$C$23*1000)-('Appendix K'!$E$49+'Appendix K'!$F$49+'Appendix K'!$H$49+'Appendix K'!$G$49))/((1+$Y$16)^AQ$34))</f>
        <v>231945.17214518363</v>
      </c>
      <c r="AR64" s="193">
        <f>(((U64*'Appendix K'!$C$24*1000)-('Appendix K'!$E$50+'Appendix K'!$F$50+'Appendix K'!$H$50+'Appendix K'!$G$50))/((1+$Y$16)^AR$34))</f>
        <v>123471.70510926573</v>
      </c>
      <c r="AS64" s="209">
        <f t="shared" si="14"/>
        <v>153487073.54876384</v>
      </c>
      <c r="AU64" s="199">
        <f t="shared" si="13"/>
        <v>3.5842512153476554E-9</v>
      </c>
    </row>
    <row r="65" spans="1:47" x14ac:dyDescent="0.35">
      <c r="A65">
        <v>31</v>
      </c>
      <c r="B65" s="70">
        <v>56</v>
      </c>
      <c r="C65" s="70">
        <v>63.937695523481494</v>
      </c>
      <c r="D65" s="70">
        <v>61.859303546307984</v>
      </c>
      <c r="E65" s="70">
        <v>93.318691971730999</v>
      </c>
      <c r="F65" s="70">
        <v>79.661554049566533</v>
      </c>
      <c r="G65" s="70">
        <v>59.775141743878656</v>
      </c>
      <c r="H65" s="70">
        <v>25.232722927591944</v>
      </c>
      <c r="I65" s="70">
        <v>34.112441117725368</v>
      </c>
      <c r="J65" s="70">
        <v>21.72731828483456</v>
      </c>
      <c r="K65" s="70">
        <v>14.62464436008184</v>
      </c>
      <c r="L65" s="70">
        <v>19.585568202127153</v>
      </c>
      <c r="M65" s="70">
        <v>20.784955476095899</v>
      </c>
      <c r="N65" s="70">
        <v>16.782426750698843</v>
      </c>
      <c r="O65" s="70">
        <v>15.05983164764066</v>
      </c>
      <c r="P65" s="70">
        <v>14.818666857159492</v>
      </c>
      <c r="Q65" s="70">
        <v>12.304848020313248</v>
      </c>
      <c r="R65" s="70">
        <v>9.8394962188304156</v>
      </c>
      <c r="S65" s="70">
        <v>10.844815891550569</v>
      </c>
      <c r="T65" s="70">
        <v>10.978790063040632</v>
      </c>
      <c r="U65" s="70">
        <v>12.281981979081216</v>
      </c>
      <c r="V65" s="70">
        <v>12.077840967601913</v>
      </c>
      <c r="X65" s="193">
        <f>((0-('Appendix K'!$I$30))/(1+$Y$16)^0)</f>
        <v>-33594902.4440751</v>
      </c>
      <c r="Y65" s="193">
        <f>(((B65*'Appendix K'!$C$5*1000)-('Appendix K'!$E$31+'Appendix K'!$F$31+'Appendix K'!$H$31+'Appendix K'!$G$31))/((1+$Y$16)^1))</f>
        <v>34971064.972647354</v>
      </c>
      <c r="Z65" s="193">
        <f>+(((C65*'Appendix K'!$C$6*1000)-('Appendix K'!$E$32+'Appendix K'!$F$32+'Appendix K'!$H$32+'Appendix K'!$G$32))/((1+$Y$16)^2))</f>
        <v>12664507.753685366</v>
      </c>
      <c r="AA65" s="193">
        <f>(((D65*'Appendix K'!$C$7*1000)-('Appendix K'!$E$33+'Appendix K'!$F$33+'Appendix K'!$H$33+'Appendix K'!$G$33))/((1+$Y$16)^3))</f>
        <v>4914422.8304731967</v>
      </c>
      <c r="AB65" s="193">
        <f>(((E65*'Appendix K'!$C$8*1000)-('Appendix K'!$E$34+'Appendix K'!$F$34+'Appendix K'!$H$34+'Appendix K'!$G$34))/((1+$Y$16)^4))</f>
        <v>17161395.140945811</v>
      </c>
      <c r="AC65" s="193">
        <f>(((F65*'Appendix K'!$C$9*1000)-('Appendix K'!$E$35+'Appendix K'!$F$35+'Appendix K'!$H$35+'Appendix K'!$G$35))/((1+$Y$16)^AC$34))</f>
        <v>18189687.456128169</v>
      </c>
      <c r="AD65" s="193">
        <f>(((G65*'Appendix K'!$C$10*1000)-('Appendix K'!$E$36+'Appendix K'!$F$36+'Appendix K'!$H$36+'Appendix K'!$G$36))/((1+$Y$16)^AD$34))</f>
        <v>6871561.484115771</v>
      </c>
      <c r="AE65" s="193">
        <f>(((H65*'Appendix K'!$C$11*1000)-('Appendix K'!$E$37+'Appendix K'!$F$37+'Appendix K'!$H$37+'Appendix K'!$G$37))/((1+$Y$16)^AE$34))</f>
        <v>296710.98849562957</v>
      </c>
      <c r="AF65" s="193">
        <f>(((I65*'Appendix K'!$C$12*1000)-('Appendix K'!$E$38+'Appendix K'!$F$38+'Appendix K'!$H$38+'Appendix K'!$G$38))/((1+$Y$16)^AF$34))</f>
        <v>243326.66537115164</v>
      </c>
      <c r="AG65" s="193">
        <f>(((J65*'Appendix K'!$C$13*1000)-('Appendix K'!$E$39+'Appendix K'!$F$39+'Appendix K'!$H$39+'Appendix K'!$G$39))/((1+$Y$16)^AG$34))</f>
        <v>-815075.87610348349</v>
      </c>
      <c r="AH65" s="193">
        <f>(((K65*'Appendix K'!$C$14*1000)-('Appendix K'!$E$40+'Appendix K'!$F$40+'Appendix K'!$H$40+'Appendix K'!$G$40))/((1+$Y$16)^AH$34))</f>
        <v>-1139795.1896373683</v>
      </c>
      <c r="AI65" s="193">
        <f>(((L65*'Appendix K'!$C$15*1000)-('Appendix K'!$E$41+'Appendix K'!$F$41+'Appendix K'!$H$41+'Appendix K'!$G$41))/((1+$Y$16)^AI$34))</f>
        <v>-1003302.8362431676</v>
      </c>
      <c r="AJ65" s="193">
        <f>(((M65*'Appendix K'!$C$16*1000)-('Appendix K'!$E$42+'Appendix K'!$F$42+'Appendix K'!$H$42+'Appendix K'!$G$42))/((1+$Y$16)^AJ$34))</f>
        <v>-964981.64591340988</v>
      </c>
      <c r="AK65" s="193">
        <f>(((N65*'Appendix K'!$C$17*1000)-('Appendix K'!$E$43+'Appendix K'!$F$43+'Appendix K'!$H$43))/((1+$Y$16)^AK$34))</f>
        <v>-746415.13261111581</v>
      </c>
      <c r="AL65" s="193">
        <f>(((O65*'Appendix K'!$C$18*1000)-('Appendix K'!$E$44+'Appendix K'!$F$44+'Appendix K'!$H$44+'Appendix K'!$G$44))/((1+$Y$16)^AL$34))</f>
        <v>-956080.50976323138</v>
      </c>
      <c r="AM65" s="193">
        <f>(((P65*'Appendix K'!$C$19*1000)-('Appendix K'!$E$45+'Appendix K'!$F$45+'Appendix K'!$H$45+'Appendix K'!$G$45))/((1+$Y$16)^AM$34))</f>
        <v>-889415.69349518977</v>
      </c>
      <c r="AN65" s="193">
        <f>(((Q65*'Appendix K'!$C$20*1000)-('Appendix K'!$E$46+'Appendix K'!$F$46+'Appendix K'!$H$46+'Appendix K'!$G$46))/((1+$Y$16)^AN$34))</f>
        <v>-826668.28978048067</v>
      </c>
      <c r="AO65" s="193">
        <f>(((R65*'Appendix K'!$C$21*1000)-('Appendix K'!$E$47+'Appendix K'!$F$47+'Appendix K'!$H$47+'Appendix K'!$G$47))/((1+$Y$16)^AO$34))</f>
        <v>-784846.41565977759</v>
      </c>
      <c r="AP65" s="193">
        <f>(((S65*'Appendix K'!$C$22*1000)-('Appendix K'!$E$48+'Appendix K'!$F$48+'Appendix K'!$H$48+'Appendix K'!$G$48))/((1+$Y$16)^AP$34))</f>
        <v>-712509.60838429595</v>
      </c>
      <c r="AQ65" s="193">
        <f>(((T65*'Appendix K'!$C$23*1000)-('Appendix K'!$E$49+'Appendix K'!$F$49+'Appendix K'!$H$49+'Appendix K'!$G$49))/((1+$Y$16)^AQ$34))</f>
        <v>-650517.45784738462</v>
      </c>
      <c r="AR65" s="193">
        <f>(((U65*'Appendix K'!$C$24*1000)-('Appendix K'!$E$50+'Appendix K'!$F$50+'Appendix K'!$H$50+'Appendix K'!$G$50))/((1+$Y$16)^AR$34))</f>
        <v>-589740.54320854926</v>
      </c>
      <c r="AS65" s="209">
        <f t="shared" si="14"/>
        <v>61717774.847787343</v>
      </c>
      <c r="AU65" s="199">
        <f t="shared" si="13"/>
        <v>6.3344674511037219E-9</v>
      </c>
    </row>
    <row r="66" spans="1:47" x14ac:dyDescent="0.35">
      <c r="A66">
        <v>32</v>
      </c>
      <c r="B66" s="70">
        <v>56</v>
      </c>
      <c r="C66" s="70">
        <v>31.55702320624426</v>
      </c>
      <c r="D66" s="70">
        <v>40.469433220662964</v>
      </c>
      <c r="E66" s="70">
        <v>37.947232807916777</v>
      </c>
      <c r="F66" s="70">
        <v>46.951463051821918</v>
      </c>
      <c r="G66" s="70">
        <v>34.8532883791936</v>
      </c>
      <c r="H66" s="70">
        <v>35.938158106526814</v>
      </c>
      <c r="I66" s="70">
        <v>40.074364268414016</v>
      </c>
      <c r="J66" s="70">
        <v>38.922653366949667</v>
      </c>
      <c r="K66" s="70">
        <v>56.227659002814846</v>
      </c>
      <c r="L66" s="70">
        <v>56.040186238435098</v>
      </c>
      <c r="M66" s="70">
        <v>86.315203235907006</v>
      </c>
      <c r="N66" s="70">
        <v>108.27318006733435</v>
      </c>
      <c r="O66" s="70">
        <v>81.656297335056138</v>
      </c>
      <c r="P66" s="70">
        <v>63.025910033310872</v>
      </c>
      <c r="Q66" s="70">
        <v>87.166037381655045</v>
      </c>
      <c r="R66" s="70">
        <v>93.568414068901333</v>
      </c>
      <c r="S66" s="70">
        <v>98.664443194872405</v>
      </c>
      <c r="T66" s="70">
        <v>94.294878780312132</v>
      </c>
      <c r="U66" s="70">
        <v>95.29523387654676</v>
      </c>
      <c r="V66" s="70">
        <v>105.62093113730361</v>
      </c>
      <c r="X66" s="193">
        <f>((0-('Appendix K'!$I$30))/(1+$Y$16)^0)</f>
        <v>-33594902.4440751</v>
      </c>
      <c r="Y66" s="193">
        <f>(((B66*'Appendix K'!$C$5*1000)-('Appendix K'!$E$31+'Appendix K'!$F$31+'Appendix K'!$H$31+'Appendix K'!$G$31))/((1+$Y$16)^1))</f>
        <v>34971064.972647354</v>
      </c>
      <c r="Z66" s="193">
        <f>+(((C66*'Appendix K'!$C$6*1000)-('Appendix K'!$E$32+'Appendix K'!$F$32+'Appendix K'!$H$32+'Appendix K'!$G$32))/((1+$Y$16)^2))</f>
        <v>4484596.115694616</v>
      </c>
      <c r="AA66" s="193">
        <f>(((D66*'Appendix K'!$C$7*1000)-('Appendix K'!$E$33+'Appendix K'!$F$33+'Appendix K'!$H$33+'Appendix K'!$G$33))/((1+$Y$16)^3))</f>
        <v>2189890.8279800634</v>
      </c>
      <c r="AB66" s="193">
        <f>(((E66*'Appendix K'!$C$8*1000)-('Appendix K'!$E$34+'Appendix K'!$F$34+'Appendix K'!$H$34+'Appendix K'!$G$34))/((1+$Y$16)^4))</f>
        <v>5024478.169159296</v>
      </c>
      <c r="AC66" s="193">
        <f>(((F66*'Appendix K'!$C$9*1000)-('Appendix K'!$E$35+'Appendix K'!$F$35+'Appendix K'!$H$35+'Appendix K'!$G$35))/((1+$Y$16)^AC$34))</f>
        <v>9495396.6329877935</v>
      </c>
      <c r="AD66" s="193">
        <f>(((G66*'Appendix K'!$C$10*1000)-('Appendix K'!$E$36+'Appendix K'!$F$36+'Appendix K'!$H$36+'Appendix K'!$G$36))/((1+$Y$16)^AD$34))</f>
        <v>2957735.1526153823</v>
      </c>
      <c r="AE66" s="193">
        <f>(((H66*'Appendix K'!$C$11*1000)-('Appendix K'!$E$37+'Appendix K'!$F$37+'Appendix K'!$H$37+'Appendix K'!$G$37))/((1+$Y$16)^AE$34))</f>
        <v>1364445.7089052647</v>
      </c>
      <c r="AF66" s="193">
        <f>(((I66*'Appendix K'!$C$12*1000)-('Appendix K'!$E$38+'Appendix K'!$F$38+'Appendix K'!$H$38+'Appendix K'!$G$38))/((1+$Y$16)^AF$34))</f>
        <v>634801.00926559977</v>
      </c>
      <c r="AG66" s="193">
        <f>(((J66*'Appendix K'!$C$13*1000)-('Appendix K'!$E$39+'Appendix K'!$F$39+'Appendix K'!$H$39+'Appendix K'!$G$39))/((1+$Y$16)^AG$34))</f>
        <v>-23764.9105822048</v>
      </c>
      <c r="AH66" s="193">
        <f>(((K66*'Appendix K'!$C$14*1000)-('Appendix K'!$E$40+'Appendix K'!$F$40+'Appendix K'!$H$40+'Appendix K'!$G$40))/((1+$Y$16)^AH$34))</f>
        <v>262497.93655462668</v>
      </c>
      <c r="AI66" s="193">
        <f>(((L66*'Appendix K'!$C$15*1000)-('Appendix K'!$E$41+'Appendix K'!$F$41+'Appendix K'!$H$41+'Appendix K'!$G$41))/((1+$Y$16)^AI$34))</f>
        <v>-48123.673221896381</v>
      </c>
      <c r="AJ66" s="193">
        <f>(((M66*'Appendix K'!$C$16*1000)-('Appendix K'!$E$42+'Appendix K'!$F$42+'Appendix K'!$H$42+'Appendix K'!$G$42))/((1+$Y$16)^AJ$34))</f>
        <v>348366.86272068933</v>
      </c>
      <c r="AK66" s="193">
        <f>(((N66*'Appendix K'!$C$17*1000)-('Appendix K'!$E$43+'Appendix K'!$F$43+'Appendix K'!$H$43))/((1+$Y$16)^AK$34))</f>
        <v>659239.42012389272</v>
      </c>
      <c r="AL66" s="193">
        <f>(((O66*'Appendix K'!$C$18*1000)-('Appendix K'!$E$44+'Appendix K'!$F$44+'Appendix K'!$H$44+'Appendix K'!$G$44))/((1+$Y$16)^AL$34))</f>
        <v>-166693.00581868037</v>
      </c>
      <c r="AM66" s="193">
        <f>(((P66*'Appendix K'!$C$19*1000)-('Appendix K'!$E$45+'Appendix K'!$F$45+'Appendix K'!$H$45+'Appendix K'!$G$45))/((1+$Y$16)^AM$34))</f>
        <v>-442595.68605057942</v>
      </c>
      <c r="AN66" s="193">
        <f>(((Q66*'Appendix K'!$C$20*1000)-('Appendix K'!$E$46+'Appendix K'!$F$46+'Appendix K'!$H$46+'Appendix K'!$G$46))/((1+$Y$16)^AN$34))</f>
        <v>-284956.48685219832</v>
      </c>
      <c r="AO66" s="193">
        <f>(((R66*'Appendix K'!$C$21*1000)-('Appendix K'!$E$47+'Appendix K'!$F$47+'Appendix K'!$H$47+'Appendix K'!$G$47))/((1+$Y$16)^AO$34))</f>
        <v>-289999.26079164539</v>
      </c>
      <c r="AP66" s="193">
        <f>(((S66*'Appendix K'!$C$22*1000)-('Appendix K'!$E$48+'Appendix K'!$F$48+'Appendix K'!$H$48+'Appendix K'!$G$48))/((1+$Y$16)^AP$34))</f>
        <v>-291878.24091003026</v>
      </c>
      <c r="AQ66" s="193">
        <f>(((T66*'Appendix K'!$C$23*1000)-('Appendix K'!$E$49+'Appendix K'!$F$49+'Appendix K'!$H$49+'Appendix K'!$G$49))/((1+$Y$16)^AQ$34))</f>
        <v>-324439.61607371434</v>
      </c>
      <c r="AR66" s="193">
        <f>(((U66*'Appendix K'!$C$24*1000)-('Appendix K'!$E$50+'Appendix K'!$F$50+'Appendix K'!$H$50+'Appendix K'!$G$50))/((1+$Y$16)^AR$34))</f>
        <v>-322435.54616214574</v>
      </c>
      <c r="AS66" s="209">
        <f t="shared" si="14"/>
        <v>28797610.364579469</v>
      </c>
      <c r="AU66" s="199">
        <f t="shared" si="13"/>
        <v>4.108393971538124E-9</v>
      </c>
    </row>
    <row r="67" spans="1:47" x14ac:dyDescent="0.35">
      <c r="A67">
        <v>33</v>
      </c>
      <c r="B67" s="70">
        <v>56</v>
      </c>
      <c r="C67" s="70">
        <v>36.418558596822436</v>
      </c>
      <c r="D67" s="70">
        <v>56.497116496848882</v>
      </c>
      <c r="E67" s="70">
        <v>54.545037665787525</v>
      </c>
      <c r="F67" s="70">
        <v>49.524010787984793</v>
      </c>
      <c r="G67" s="70">
        <v>46.38981031364397</v>
      </c>
      <c r="H67" s="70">
        <v>67.402279952471559</v>
      </c>
      <c r="I67" s="70">
        <v>56.950917017083988</v>
      </c>
      <c r="J67" s="70">
        <v>51.342642848980518</v>
      </c>
      <c r="K67" s="70">
        <v>32.480559096419313</v>
      </c>
      <c r="L67" s="70">
        <v>53.184209397514778</v>
      </c>
      <c r="M67" s="70">
        <v>51.950122858196018</v>
      </c>
      <c r="N67" s="70">
        <v>27.750758242361705</v>
      </c>
      <c r="O67" s="70">
        <v>41.267048605267817</v>
      </c>
      <c r="P67" s="70">
        <v>37.715060094409203</v>
      </c>
      <c r="Q67" s="70">
        <v>60.564265683818419</v>
      </c>
      <c r="R67" s="70">
        <v>38.840915068743612</v>
      </c>
      <c r="S67" s="70">
        <v>52.066246954590397</v>
      </c>
      <c r="T67" s="70">
        <v>45.183162380887374</v>
      </c>
      <c r="U67" s="70">
        <v>46.762498122318533</v>
      </c>
      <c r="V67" s="70">
        <v>23.080206537151494</v>
      </c>
      <c r="X67" s="193">
        <f>((0-('Appendix K'!$I$30))/(1+$Y$16)^0)</f>
        <v>-33594902.4440751</v>
      </c>
      <c r="Y67" s="193">
        <f>(((B67*'Appendix K'!$C$5*1000)-('Appendix K'!$E$31+'Appendix K'!$F$31+'Appendix K'!$H$31+'Appendix K'!$G$31))/((1+$Y$16)^1))</f>
        <v>34971064.972647354</v>
      </c>
      <c r="Z67" s="193">
        <f>+(((C67*'Appendix K'!$C$6*1000)-('Appendix K'!$E$32+'Appendix K'!$F$32+'Appendix K'!$H$32+'Appendix K'!$G$32))/((1+$Y$16)^2))</f>
        <v>5712703.1027976973</v>
      </c>
      <c r="AA67" s="193">
        <f>(((D67*'Appendix K'!$C$7*1000)-('Appendix K'!$E$33+'Appendix K'!$F$33+'Appendix K'!$H$33+'Appendix K'!$G$33))/((1+$Y$16)^3))</f>
        <v>4231414.9394861329</v>
      </c>
      <c r="AB67" s="193">
        <f>(((E67*'Appendix K'!$C$8*1000)-('Appendix K'!$E$34+'Appendix K'!$F$34+'Appendix K'!$H$34+'Appendix K'!$G$34))/((1+$Y$16)^4))</f>
        <v>8662565.0557252057</v>
      </c>
      <c r="AC67" s="193">
        <f>(((F67*'Appendix K'!$C$9*1000)-('Appendix K'!$E$35+'Appendix K'!$F$35+'Appendix K'!$H$35+'Appendix K'!$G$35))/((1+$Y$16)^AC$34))</f>
        <v>10179175.781635029</v>
      </c>
      <c r="AD67" s="193">
        <f>(((G67*'Appendix K'!$C$10*1000)-('Appendix K'!$E$36+'Appendix K'!$F$36+'Appendix K'!$H$36+'Appendix K'!$G$36))/((1+$Y$16)^AD$34))</f>
        <v>4769476.1439561471</v>
      </c>
      <c r="AE67" s="193">
        <f>(((H67*'Appendix K'!$C$11*1000)-('Appendix K'!$E$37+'Appendix K'!$F$37+'Appendix K'!$H$37+'Appendix K'!$G$37))/((1+$Y$16)^AE$34))</f>
        <v>4502602.615241982</v>
      </c>
      <c r="AF67" s="193">
        <f>(((I67*'Appendix K'!$C$12*1000)-('Appendix K'!$E$38+'Appendix K'!$F$38+'Appendix K'!$H$38+'Appendix K'!$G$38))/((1+$Y$16)^AF$34))</f>
        <v>1742956.4227956266</v>
      </c>
      <c r="AG67" s="193">
        <f>(((J67*'Appendix K'!$C$13*1000)-('Appendix K'!$E$39+'Appendix K'!$F$39+'Appendix K'!$H$39+'Appendix K'!$G$39))/((1+$Y$16)^AG$34))</f>
        <v>547789.74780954374</v>
      </c>
      <c r="AH67" s="193">
        <f>(((K67*'Appendix K'!$C$14*1000)-('Appendix K'!$E$40+'Appendix K'!$F$40+'Appendix K'!$H$40+'Appendix K'!$G$40))/((1+$Y$16)^AH$34))</f>
        <v>-537934.32182138425</v>
      </c>
      <c r="AI67" s="193">
        <f>(((L67*'Appendix K'!$C$15*1000)-('Appendix K'!$E$41+'Appendix K'!$F$41+'Appendix K'!$H$41+'Appendix K'!$G$41))/((1+$Y$16)^AI$34))</f>
        <v>-122955.60715688959</v>
      </c>
      <c r="AJ67" s="193">
        <f>(((M67*'Appendix K'!$C$16*1000)-('Appendix K'!$E$42+'Appendix K'!$F$42+'Appendix K'!$H$42+'Appendix K'!$G$42))/((1+$Y$16)^AJ$34))</f>
        <v>-340373.50689588016</v>
      </c>
      <c r="AK67" s="193">
        <f>(((N67*'Appendix K'!$C$17*1000)-('Appendix K'!$E$43+'Appendix K'!$F$43+'Appendix K'!$H$43))/((1+$Y$16)^AK$34))</f>
        <v>-577898.81223713851</v>
      </c>
      <c r="AL67" s="193">
        <f>(((O67*'Appendix K'!$C$18*1000)-('Appendix K'!$E$44+'Appendix K'!$F$44+'Appendix K'!$H$44+'Appendix K'!$G$44))/((1+$Y$16)^AL$34))</f>
        <v>-645438.65563516924</v>
      </c>
      <c r="AM67" s="193">
        <f>(((P67*'Appendix K'!$C$19*1000)-('Appendix K'!$E$45+'Appendix K'!$F$45+'Appendix K'!$H$45+'Appendix K'!$G$45))/((1+$Y$16)^AM$34))</f>
        <v>-677195.16556871822</v>
      </c>
      <c r="AN67" s="193">
        <f>(((Q67*'Appendix K'!$C$20*1000)-('Appendix K'!$E$46+'Appendix K'!$F$46+'Appendix K'!$H$46+'Appendix K'!$G$46))/((1+$Y$16)^AN$34))</f>
        <v>-477452.67653955042</v>
      </c>
      <c r="AO67" s="193">
        <f>(((R67*'Appendix K'!$C$21*1000)-('Appendix K'!$E$47+'Appendix K'!$F$47+'Appendix K'!$H$47+'Appendix K'!$G$47))/((1+$Y$16)^AO$34))</f>
        <v>-613444.82617886912</v>
      </c>
      <c r="AP67" s="193">
        <f>(((S67*'Appendix K'!$C$22*1000)-('Appendix K'!$E$48+'Appendix K'!$F$48+'Appendix K'!$H$48+'Appendix K'!$G$48))/((1+$Y$16)^AP$34))</f>
        <v>-515070.52272973006</v>
      </c>
      <c r="AQ67" s="193">
        <f>(((T67*'Appendix K'!$C$23*1000)-('Appendix K'!$E$49+'Appendix K'!$F$49+'Appendix K'!$H$49+'Appendix K'!$G$49))/((1+$Y$16)^AQ$34))</f>
        <v>-516650.30113921745</v>
      </c>
      <c r="AR67" s="193">
        <f>(((U67*'Appendix K'!$C$24*1000)-('Appendix K'!$E$50+'Appendix K'!$F$50+'Appendix K'!$H$50+'Appendix K'!$G$50))/((1+$Y$16)^AR$34))</f>
        <v>-478712.3151226198</v>
      </c>
      <c r="AS67" s="209">
        <f t="shared" si="14"/>
        <v>41724846.338019602</v>
      </c>
      <c r="AU67" s="199">
        <f t="shared" si="13"/>
        <v>5.069174509271458E-9</v>
      </c>
    </row>
    <row r="68" spans="1:47" x14ac:dyDescent="0.35">
      <c r="A68">
        <v>34</v>
      </c>
      <c r="B68" s="70">
        <v>56</v>
      </c>
      <c r="C68" s="70">
        <v>60.609039659872714</v>
      </c>
      <c r="D68" s="70">
        <v>37.958938705233876</v>
      </c>
      <c r="E68" s="70">
        <v>38.220500967551914</v>
      </c>
      <c r="F68" s="70">
        <v>48.048125475758589</v>
      </c>
      <c r="G68" s="70">
        <v>42.232495830564183</v>
      </c>
      <c r="H68" s="70">
        <v>29.236034851515008</v>
      </c>
      <c r="I68" s="70">
        <v>18.21111297408207</v>
      </c>
      <c r="J68" s="70">
        <v>27.744336674034145</v>
      </c>
      <c r="K68" s="70">
        <v>34.643046829880689</v>
      </c>
      <c r="L68" s="70">
        <v>41.050750340996224</v>
      </c>
      <c r="M68" s="70">
        <v>65.183338809031483</v>
      </c>
      <c r="N68" s="70">
        <v>115.54260680866255</v>
      </c>
      <c r="O68" s="70">
        <v>150.54478870705856</v>
      </c>
      <c r="P68" s="70">
        <v>187.407123858738</v>
      </c>
      <c r="Q68" s="70">
        <v>293.79845986892605</v>
      </c>
      <c r="R68" s="70">
        <v>280.00293073130297</v>
      </c>
      <c r="S68" s="70">
        <v>294.02394024394073</v>
      </c>
      <c r="T68" s="70">
        <v>255.83801829196406</v>
      </c>
      <c r="U68" s="70">
        <v>207.75269782571291</v>
      </c>
      <c r="V68" s="70">
        <v>235.43976818641693</v>
      </c>
      <c r="X68" s="193">
        <f>((0-('Appendix K'!$I$30))/(1+$Y$16)^0)</f>
        <v>-33594902.4440751</v>
      </c>
      <c r="Y68" s="193">
        <f>(((B68*'Appendix K'!$C$5*1000)-('Appendix K'!$E$31+'Appendix K'!$F$31+'Appendix K'!$H$31+'Appendix K'!$G$31))/((1+$Y$16)^1))</f>
        <v>34971064.972647354</v>
      </c>
      <c r="Z68" s="193">
        <f>+(((C68*'Appendix K'!$C$6*1000)-('Appendix K'!$E$32+'Appendix K'!$F$32+'Appendix K'!$H$32+'Appendix K'!$G$32))/((1+$Y$16)^2))</f>
        <v>11823632.352123512</v>
      </c>
      <c r="AA68" s="193">
        <f>(((D68*'Appendix K'!$C$7*1000)-('Appendix K'!$E$33+'Appendix K'!$F$33+'Appendix K'!$H$33+'Appendix K'!$G$33))/((1+$Y$16)^3))</f>
        <v>1870116.9095206598</v>
      </c>
      <c r="AB68" s="193">
        <f>(((E68*'Appendix K'!$C$8*1000)-('Appendix K'!$E$34+'Appendix K'!$F$34+'Appendix K'!$H$34+'Appendix K'!$G$34))/((1+$Y$16)^4))</f>
        <v>5084376.0482220901</v>
      </c>
      <c r="AC68" s="193">
        <f>(((F68*'Appendix K'!$C$9*1000)-('Appendix K'!$E$35+'Appendix K'!$F$35+'Appendix K'!$H$35+'Appendix K'!$G$35))/((1+$Y$16)^AC$34))</f>
        <v>9786887.783201132</v>
      </c>
      <c r="AD68" s="193">
        <f>(((G68*'Appendix K'!$C$10*1000)-('Appendix K'!$E$36+'Appendix K'!$F$36+'Appendix K'!$H$36+'Appendix K'!$G$36))/((1+$Y$16)^AD$34))</f>
        <v>4116595.0498372777</v>
      </c>
      <c r="AE68" s="193">
        <f>(((H68*'Appendix K'!$C$11*1000)-('Appendix K'!$E$37+'Appendix K'!$F$37+'Appendix K'!$H$37+'Appendix K'!$G$37))/((1+$Y$16)^AE$34))</f>
        <v>695991.82728053525</v>
      </c>
      <c r="AF68" s="193">
        <f>(((I68*'Appendix K'!$C$12*1000)-('Appendix K'!$E$38+'Appendix K'!$F$38+'Appendix K'!$H$38+'Appendix K'!$G$38))/((1+$Y$16)^AF$34))</f>
        <v>-800793.13368463551</v>
      </c>
      <c r="AG68" s="193">
        <f>(((J68*'Appendix K'!$C$13*1000)-('Appendix K'!$E$39+'Appendix K'!$F$39+'Appendix K'!$H$39+'Appendix K'!$G$39))/((1+$Y$16)^AG$34))</f>
        <v>-538179.11262784305</v>
      </c>
      <c r="AH68" s="193">
        <f>(((K68*'Appendix K'!$C$14*1000)-('Appendix K'!$E$40+'Appendix K'!$F$40+'Appendix K'!$H$40+'Appendix K'!$G$40))/((1+$Y$16)^AH$34))</f>
        <v>-465044.37117361109</v>
      </c>
      <c r="AI68" s="193">
        <f>(((L68*'Appendix K'!$C$15*1000)-('Appendix K'!$E$41+'Appendix K'!$F$41+'Appendix K'!$H$41+'Appendix K'!$G$41))/((1+$Y$16)^AI$34))</f>
        <v>-440874.92411737057</v>
      </c>
      <c r="AJ68" s="193">
        <f>(((M68*'Appendix K'!$C$16*1000)-('Appendix K'!$E$42+'Appendix K'!$F$42+'Appendix K'!$H$42+'Appendix K'!$G$42))/((1+$Y$16)^AJ$34))</f>
        <v>-75155.153118778122</v>
      </c>
      <c r="AK68" s="193">
        <f>(((N68*'Appendix K'!$C$17*1000)-('Appendix K'!$E$43+'Appendix K'!$F$43+'Appendix K'!$H$43))/((1+$Y$16)^AK$34))</f>
        <v>770926.14718971588</v>
      </c>
      <c r="AL68" s="193">
        <f>(((O68*'Appendix K'!$C$18*1000)-('Appendix K'!$E$44+'Appendix K'!$F$44+'Appendix K'!$H$44+'Appendix K'!$G$44))/((1+$Y$16)^AL$34))</f>
        <v>649862.55299871019</v>
      </c>
      <c r="AM68" s="193">
        <f>(((P68*'Appendix K'!$C$19*1000)-('Appendix K'!$E$45+'Appendix K'!$F$45+'Appendix K'!$H$45+'Appendix K'!$G$45))/((1+$Y$16)^AM$34))</f>
        <v>710260.42489461275</v>
      </c>
      <c r="AN68" s="193">
        <f>(((Q68*'Appendix K'!$C$20*1000)-('Appendix K'!$E$46+'Appendix K'!$F$46+'Appendix K'!$H$46+'Appendix K'!$G$46))/((1+$Y$16)^AN$34))</f>
        <v>1210280.5389546794</v>
      </c>
      <c r="AO68" s="193">
        <f>(((R68*'Appendix K'!$C$21*1000)-('Appendix K'!$E$47+'Appendix K'!$F$47+'Appendix K'!$H$47+'Appendix K'!$G$47))/((1+$Y$16)^AO$34))</f>
        <v>811849.32997605053</v>
      </c>
      <c r="AP68" s="193">
        <f>(((S68*'Appendix K'!$C$22*1000)-('Appendix K'!$E$48+'Appendix K'!$F$48+'Appendix K'!$H$48+'Appendix K'!$G$48))/((1+$Y$16)^AP$34))</f>
        <v>643838.92068769445</v>
      </c>
      <c r="AQ68" s="193">
        <f>(((T68*'Appendix K'!$C$23*1000)-('Appendix K'!$E$49+'Appendix K'!$F$49+'Appendix K'!$H$49+'Appendix K'!$G$49))/((1+$Y$16)^AQ$34))</f>
        <v>307798.87587055145</v>
      </c>
      <c r="AR68" s="193">
        <f>(((U68*'Appendix K'!$C$24*1000)-('Appendix K'!$E$50+'Appendix K'!$F$50+'Appendix K'!$H$50+'Appendix K'!$G$50))/((1+$Y$16)^AR$34))</f>
        <v>39680.63868394692</v>
      </c>
      <c r="AS68" s="209">
        <f t="shared" si="14"/>
        <v>39898259.928013422</v>
      </c>
      <c r="AU68" s="199">
        <f t="shared" si="13"/>
        <v>4.9363822153498961E-9</v>
      </c>
    </row>
    <row r="69" spans="1:47" x14ac:dyDescent="0.35">
      <c r="A69">
        <v>35</v>
      </c>
      <c r="B69" s="70">
        <v>56</v>
      </c>
      <c r="C69" s="70">
        <v>65.998402214306623</v>
      </c>
      <c r="D69" s="70">
        <v>22.188124636331381</v>
      </c>
      <c r="E69" s="70">
        <v>16.734820910417206</v>
      </c>
      <c r="F69" s="70">
        <v>21.065674614715224</v>
      </c>
      <c r="G69" s="70">
        <v>22.982104247945191</v>
      </c>
      <c r="H69" s="70">
        <v>25.780559278649335</v>
      </c>
      <c r="I69" s="70">
        <v>26.727393100868198</v>
      </c>
      <c r="J69" s="70">
        <v>33.194135277535338</v>
      </c>
      <c r="K69" s="70">
        <v>34.277905683150863</v>
      </c>
      <c r="L69" s="70">
        <v>46.910969610121306</v>
      </c>
      <c r="M69" s="70">
        <v>49.892336626113064</v>
      </c>
      <c r="N69" s="70">
        <v>41.423980720813397</v>
      </c>
      <c r="O69" s="70">
        <v>37.864893511560084</v>
      </c>
      <c r="P69" s="70">
        <v>38.399248914239109</v>
      </c>
      <c r="Q69" s="70">
        <v>44.302249270459015</v>
      </c>
      <c r="R69" s="70">
        <v>58.928944487836752</v>
      </c>
      <c r="S69" s="70">
        <v>80.919556868697256</v>
      </c>
      <c r="T69" s="70">
        <v>49.565364378483736</v>
      </c>
      <c r="U69" s="70">
        <v>28.416073300597272</v>
      </c>
      <c r="V69" s="70">
        <v>33.913899266820295</v>
      </c>
      <c r="X69" s="193">
        <f>((0-('Appendix K'!$I$30))/(1+$Y$16)^0)</f>
        <v>-33594902.4440751</v>
      </c>
      <c r="Y69" s="193">
        <f>(((B69*'Appendix K'!$C$5*1000)-('Appendix K'!$E$31+'Appendix K'!$F$31+'Appendix K'!$H$31+'Appendix K'!$G$31))/((1+$Y$16)^1))</f>
        <v>34971064.972647354</v>
      </c>
      <c r="Z69" s="193">
        <f>+(((C69*'Appendix K'!$C$6*1000)-('Appendix K'!$E$32+'Appendix K'!$F$32+'Appendix K'!$H$32+'Appendix K'!$G$32))/((1+$Y$16)^2))</f>
        <v>13185077.508310033</v>
      </c>
      <c r="AA69" s="193">
        <f>(((D69*'Appendix K'!$C$7*1000)-('Appendix K'!$E$33+'Appendix K'!$F$33+'Appendix K'!$H$33+'Appendix K'!$G$33))/((1+$Y$16)^3))</f>
        <v>-138688.5194948648</v>
      </c>
      <c r="AB69" s="193">
        <f>(((E69*'Appendix K'!$C$8*1000)-('Appendix K'!$E$34+'Appendix K'!$F$34+'Appendix K'!$H$34+'Appendix K'!$G$34))/((1+$Y$16)^4))</f>
        <v>374911.66216832964</v>
      </c>
      <c r="AC69" s="193">
        <f>(((F69*'Appendix K'!$C$9*1000)-('Appendix K'!$E$35+'Appendix K'!$F$35+'Appendix K'!$H$35+'Appendix K'!$G$35))/((1+$Y$16)^AC$34))</f>
        <v>2614994.7143869619</v>
      </c>
      <c r="AD69" s="193">
        <f>(((G69*'Appendix K'!$C$10*1000)-('Appendix K'!$E$36+'Appendix K'!$F$36+'Appendix K'!$H$36+'Appendix K'!$G$36))/((1+$Y$16)^AD$34))</f>
        <v>1093437.4874663216</v>
      </c>
      <c r="AE69" s="193">
        <f>(((H69*'Appendix K'!$C$11*1000)-('Appendix K'!$E$37+'Appendix K'!$F$37+'Appendix K'!$H$37+'Appendix K'!$G$37))/((1+$Y$16)^AE$34))</f>
        <v>351350.88714052521</v>
      </c>
      <c r="AF69" s="193">
        <f>(((I69*'Appendix K'!$C$12*1000)-('Appendix K'!$E$38+'Appendix K'!$F$38+'Appendix K'!$H$38+'Appendix K'!$G$38))/((1+$Y$16)^AF$34))</f>
        <v>-241593.51121552804</v>
      </c>
      <c r="AG69" s="193">
        <f>(((J69*'Appendix K'!$C$13*1000)-('Appendix K'!$E$39+'Appendix K'!$F$39+'Appendix K'!$H$39+'Appendix K'!$G$39))/((1+$Y$16)^AG$34))</f>
        <v>-287385.19821797102</v>
      </c>
      <c r="AH69" s="193">
        <f>(((K69*'Appendix K'!$C$14*1000)-('Appendix K'!$E$40+'Appendix K'!$F$40+'Appendix K'!$H$40+'Appendix K'!$G$40))/((1+$Y$16)^AH$34))</f>
        <v>-477352.01100563316</v>
      </c>
      <c r="AI69" s="193">
        <f>(((L69*'Appendix K'!$C$15*1000)-('Appendix K'!$E$41+'Appendix K'!$F$41+'Appendix K'!$H$41+'Appendix K'!$G$41))/((1+$Y$16)^AI$34))</f>
        <v>-287326.22060252429</v>
      </c>
      <c r="AJ69" s="193">
        <f>(((M69*'Appendix K'!$C$16*1000)-('Appendix K'!$E$42+'Appendix K'!$F$42+'Appendix K'!$H$42+'Appendix K'!$G$42))/((1+$Y$16)^AJ$34))</f>
        <v>-381615.38482833939</v>
      </c>
      <c r="AK69" s="193">
        <f>(((N69*'Appendix K'!$C$17*1000)-('Appendix K'!$E$43+'Appendix K'!$F$43+'Appendix K'!$H$43))/((1+$Y$16)^AK$34))</f>
        <v>-367824.82409456192</v>
      </c>
      <c r="AL69" s="193">
        <f>(((O69*'Appendix K'!$C$18*1000)-('Appendix K'!$E$44+'Appendix K'!$F$44+'Appendix K'!$H$44+'Appendix K'!$G$44))/((1+$Y$16)^AL$34))</f>
        <v>-685765.40105225658</v>
      </c>
      <c r="AM69" s="193">
        <f>(((P69*'Appendix K'!$C$19*1000)-('Appendix K'!$E$45+'Appendix K'!$F$45+'Appendix K'!$H$45+'Appendix K'!$G$45))/((1+$Y$16)^AM$34))</f>
        <v>-670853.60290244326</v>
      </c>
      <c r="AN69" s="193">
        <f>(((Q69*'Appendix K'!$C$20*1000)-('Appendix K'!$E$46+'Appendix K'!$F$46+'Appendix K'!$H$46+'Appendix K'!$G$46))/((1+$Y$16)^AN$34))</f>
        <v>-595128.15438975091</v>
      </c>
      <c r="AO69" s="193">
        <f>(((R69*'Appendix K'!$C$21*1000)-('Appendix K'!$E$47+'Appendix K'!$F$47+'Appendix K'!$H$47+'Appendix K'!$G$47))/((1+$Y$16)^AO$34))</f>
        <v>-494722.35298573016</v>
      </c>
      <c r="AP69" s="193">
        <f>(((S69*'Appendix K'!$C$22*1000)-('Appendix K'!$E$48+'Appendix K'!$F$48+'Appendix K'!$H$48+'Appendix K'!$G$48))/((1+$Y$16)^AP$34))</f>
        <v>-376871.26616250846</v>
      </c>
      <c r="AQ69" s="193">
        <f>(((T69*'Appendix K'!$C$23*1000)-('Appendix K'!$E$49+'Appendix K'!$F$49+'Appendix K'!$H$49+'Appendix K'!$G$49))/((1+$Y$16)^AQ$34))</f>
        <v>-499499.48439310846</v>
      </c>
      <c r="AR69" s="193">
        <f>(((U69*'Appendix K'!$C$24*1000)-('Appendix K'!$E$50+'Appendix K'!$F$50+'Appendix K'!$H$50+'Appendix K'!$G$50))/((1+$Y$16)^AR$34))</f>
        <v>-537788.31709444465</v>
      </c>
      <c r="AS69" s="209">
        <f t="shared" si="14"/>
        <v>18995934.78804443</v>
      </c>
      <c r="AU69" s="199">
        <f t="shared" si="13"/>
        <v>3.3841736508037985E-9</v>
      </c>
    </row>
    <row r="70" spans="1:47" x14ac:dyDescent="0.35">
      <c r="A70">
        <v>36</v>
      </c>
      <c r="B70" s="70">
        <v>56</v>
      </c>
      <c r="C70" s="70">
        <v>50.154248142878068</v>
      </c>
      <c r="D70" s="70">
        <v>57.991606214766513</v>
      </c>
      <c r="E70" s="70">
        <v>66.019708841948386</v>
      </c>
      <c r="F70" s="70">
        <v>64.1429664715249</v>
      </c>
      <c r="G70" s="70">
        <v>86.365375357267595</v>
      </c>
      <c r="H70" s="70">
        <v>75.921682988062003</v>
      </c>
      <c r="I70" s="70">
        <v>39.828019795259884</v>
      </c>
      <c r="J70" s="70">
        <v>52.765127831706849</v>
      </c>
      <c r="K70" s="70">
        <v>51.811285535776868</v>
      </c>
      <c r="L70" s="70">
        <v>79.491109543759791</v>
      </c>
      <c r="M70" s="70">
        <v>59.195004587866151</v>
      </c>
      <c r="N70" s="70">
        <v>62.668029857023512</v>
      </c>
      <c r="O70" s="70">
        <v>82.921587545148455</v>
      </c>
      <c r="P70" s="70">
        <v>84.332404616142526</v>
      </c>
      <c r="Q70" s="70">
        <v>80.93841302841949</v>
      </c>
      <c r="R70" s="70">
        <v>52.519831398966261</v>
      </c>
      <c r="S70" s="70">
        <v>42.196806361524594</v>
      </c>
      <c r="T70" s="70">
        <v>63.702688426625322</v>
      </c>
      <c r="U70" s="70">
        <v>26.606632825809434</v>
      </c>
      <c r="V70" s="70">
        <v>24.097603366283415</v>
      </c>
      <c r="X70" s="193">
        <f>((0-('Appendix K'!$I$30))/(1+$Y$16)^0)</f>
        <v>-33594902.4440751</v>
      </c>
      <c r="Y70" s="193">
        <f>(((B70*'Appendix K'!$C$5*1000)-('Appendix K'!$E$31+'Appendix K'!$F$31+'Appendix K'!$H$31+'Appendix K'!$G$31))/((1+$Y$16)^1))</f>
        <v>34971064.972647354</v>
      </c>
      <c r="Z70" s="193">
        <f>+(((C70*'Appendix K'!$C$6*1000)-('Appendix K'!$E$32+'Appendix K'!$F$32+'Appendix K'!$H$32+'Appendix K'!$G$32))/((1+$Y$16)^2))</f>
        <v>9182573.2053340599</v>
      </c>
      <c r="AA70" s="193">
        <f>(((D70*'Appendix K'!$C$7*1000)-('Appendix K'!$E$33+'Appendix K'!$F$33+'Appendix K'!$H$33+'Appendix K'!$G$33))/((1+$Y$16)^3))</f>
        <v>4421775.3765469277</v>
      </c>
      <c r="AB70" s="193">
        <f>(((E70*'Appendix K'!$C$8*1000)-('Appendix K'!$E$34+'Appendix K'!$F$34+'Appendix K'!$H$34+'Appendix K'!$G$34))/((1+$Y$16)^4))</f>
        <v>11177707.937035229</v>
      </c>
      <c r="AC70" s="193">
        <f>(((F70*'Appendix K'!$C$9*1000)-('Appendix K'!$E$35+'Appendix K'!$F$35+'Appendix K'!$H$35+'Appendix K'!$G$35))/((1+$Y$16)^AC$34))</f>
        <v>14064871.246440137</v>
      </c>
      <c r="AD70" s="193">
        <f>(((G70*'Appendix K'!$C$10*1000)-('Appendix K'!$E$36+'Appendix K'!$F$36+'Appendix K'!$H$36+'Appendix K'!$G$36))/((1+$Y$16)^AD$34))</f>
        <v>11047396.842504399</v>
      </c>
      <c r="AE70" s="193">
        <f>(((H70*'Appendix K'!$C$11*1000)-('Appendix K'!$E$37+'Appendix K'!$F$37+'Appendix K'!$H$37+'Appendix K'!$G$37))/((1+$Y$16)^AE$34))</f>
        <v>5352307.6731141089</v>
      </c>
      <c r="AF70" s="193">
        <f>(((I70*'Appendix K'!$C$12*1000)-('Appendix K'!$E$38+'Appendix K'!$F$38+'Appendix K'!$H$38+'Appendix K'!$G$38))/((1+$Y$16)^AF$34))</f>
        <v>618625.43327064638</v>
      </c>
      <c r="AG70" s="193">
        <f>(((J70*'Appendix K'!$C$13*1000)-('Appendix K'!$E$39+'Appendix K'!$F$39+'Appendix K'!$H$39+'Appendix K'!$G$39))/((1+$Y$16)^AG$34))</f>
        <v>613250.98829978949</v>
      </c>
      <c r="AH70" s="193">
        <f>(((K70*'Appendix K'!$C$14*1000)-('Appendix K'!$E$40+'Appendix K'!$F$40+'Appendix K'!$H$40+'Appendix K'!$G$40))/((1+$Y$16)^AH$34))</f>
        <v>113637.32612273734</v>
      </c>
      <c r="AI70" s="193">
        <f>(((L70*'Appendix K'!$C$15*1000)-('Appendix K'!$E$41+'Appendix K'!$F$41+'Appendix K'!$H$41+'Appendix K'!$G$41))/((1+$Y$16)^AI$34))</f>
        <v>566334.37081922742</v>
      </c>
      <c r="AJ70" s="193">
        <f>(((M70*'Appendix K'!$C$16*1000)-('Appendix K'!$E$42+'Appendix K'!$F$42+'Appendix K'!$H$42+'Appendix K'!$G$42))/((1+$Y$16)^AJ$34))</f>
        <v>-195172.55099886679</v>
      </c>
      <c r="AK70" s="193">
        <f>(((N70*'Appendix K'!$C$17*1000)-('Appendix K'!$E$43+'Appendix K'!$F$43+'Appendix K'!$H$43))/((1+$Y$16)^AK$34))</f>
        <v>-41433.431474885372</v>
      </c>
      <c r="AL70" s="193">
        <f>(((O70*'Appendix K'!$C$18*1000)-('Appendix K'!$E$44+'Appendix K'!$F$44+'Appendix K'!$H$44+'Appendix K'!$G$44))/((1+$Y$16)^AL$34))</f>
        <v>-151695.14864412189</v>
      </c>
      <c r="AM70" s="193">
        <f>(((P70*'Appendix K'!$C$19*1000)-('Appendix K'!$E$45+'Appendix K'!$F$45+'Appendix K'!$H$45+'Appendix K'!$G$45))/((1+$Y$16)^AM$34))</f>
        <v>-245111.50232880388</v>
      </c>
      <c r="AN70" s="193">
        <f>(((Q70*'Appendix K'!$C$20*1000)-('Appendix K'!$E$46+'Appendix K'!$F$46+'Appendix K'!$H$46+'Appendix K'!$G$46))/((1+$Y$16)^AN$34))</f>
        <v>-330020.92738716822</v>
      </c>
      <c r="AO70" s="193">
        <f>(((R70*'Appendix K'!$C$21*1000)-('Appendix K'!$E$47+'Appendix K'!$F$47+'Appendix K'!$H$47+'Appendix K'!$G$47))/((1+$Y$16)^AO$34))</f>
        <v>-532600.91942002659</v>
      </c>
      <c r="AP70" s="193">
        <f>(((S70*'Appendix K'!$C$22*1000)-('Appendix K'!$E$48+'Appendix K'!$F$48+'Appendix K'!$H$48+'Appendix K'!$G$48))/((1+$Y$16)^AP$34))</f>
        <v>-562342.37322994589</v>
      </c>
      <c r="AQ70" s="193">
        <f>(((T70*'Appendix K'!$C$23*1000)-('Appendix K'!$E$49+'Appendix K'!$F$49+'Appendix K'!$H$49+'Appendix K'!$G$49))/((1+$Y$16)^AQ$34))</f>
        <v>-444169.61731645832</v>
      </c>
      <c r="AR70" s="193">
        <f>(((U70*'Appendix K'!$C$24*1000)-('Appendix K'!$E$50+'Appendix K'!$F$50+'Appendix K'!$H$50+'Appendix K'!$G$50))/((1+$Y$16)^AR$34))</f>
        <v>-543614.76612171822</v>
      </c>
      <c r="AS70" s="209">
        <f t="shared" si="14"/>
        <v>58534642.928059511</v>
      </c>
      <c r="AU70" s="199">
        <f t="shared" si="13"/>
        <v>6.1646758857020104E-9</v>
      </c>
    </row>
    <row r="71" spans="1:47" x14ac:dyDescent="0.35">
      <c r="A71">
        <v>37</v>
      </c>
      <c r="B71" s="70">
        <v>56</v>
      </c>
      <c r="C71" s="70">
        <v>82.175867534561661</v>
      </c>
      <c r="D71" s="70">
        <v>53.402421711139915</v>
      </c>
      <c r="E71" s="70">
        <v>48.221715832573345</v>
      </c>
      <c r="F71" s="70">
        <v>35.735167233733904</v>
      </c>
      <c r="G71" s="70">
        <v>24.536322527784865</v>
      </c>
      <c r="H71" s="70">
        <v>31.129262775746426</v>
      </c>
      <c r="I71" s="70">
        <v>34.31437669732783</v>
      </c>
      <c r="J71" s="70">
        <v>53.313098052198882</v>
      </c>
      <c r="K71" s="70">
        <v>58.352996421826681</v>
      </c>
      <c r="L71" s="70">
        <v>51.735944153800183</v>
      </c>
      <c r="M71" s="70">
        <v>43.128040714834682</v>
      </c>
      <c r="N71" s="70">
        <v>44.986398867663119</v>
      </c>
      <c r="O71" s="70">
        <v>17.529625784626571</v>
      </c>
      <c r="P71" s="70">
        <v>11.226301673286782</v>
      </c>
      <c r="Q71" s="70">
        <v>8.9759418784543357</v>
      </c>
      <c r="R71" s="70">
        <v>11.927199648202691</v>
      </c>
      <c r="S71" s="70">
        <v>9.2826849465778398</v>
      </c>
      <c r="T71" s="70">
        <v>4.6525312609015836</v>
      </c>
      <c r="U71" s="70">
        <v>4.4675373444459545</v>
      </c>
      <c r="V71" s="70">
        <v>3.8226190024423206</v>
      </c>
      <c r="X71" s="193">
        <f>((0-('Appendix K'!$I$30))/(1+$Y$16)^0)</f>
        <v>-33594902.4440751</v>
      </c>
      <c r="Y71" s="193">
        <f>(((B71*'Appendix K'!$C$5*1000)-('Appendix K'!$E$31+'Appendix K'!$F$31+'Appendix K'!$H$31+'Appendix K'!$G$31))/((1+$Y$16)^1))</f>
        <v>34971064.972647354</v>
      </c>
      <c r="Z71" s="193">
        <f>+(((C71*'Appendix K'!$C$6*1000)-('Appendix K'!$E$32+'Appendix K'!$F$32+'Appendix K'!$H$32+'Appendix K'!$G$32))/((1+$Y$16)^2))</f>
        <v>17271781.93340322</v>
      </c>
      <c r="AA71" s="193">
        <f>(((D71*'Appendix K'!$C$7*1000)-('Appendix K'!$E$33+'Appendix K'!$F$33+'Appendix K'!$H$33+'Appendix K'!$G$33))/((1+$Y$16)^3))</f>
        <v>3837228.5861680503</v>
      </c>
      <c r="AB71" s="193">
        <f>(((E71*'Appendix K'!$C$8*1000)-('Appendix K'!$E$34+'Appendix K'!$F$34+'Appendix K'!$H$34+'Appendix K'!$G$34))/((1+$Y$16)^4))</f>
        <v>7276550.794324642</v>
      </c>
      <c r="AC71" s="193">
        <f>(((F71*'Appendix K'!$C$9*1000)-('Appendix K'!$E$35+'Appendix K'!$F$35+'Appendix K'!$H$35+'Appendix K'!$G$35))/((1+$Y$16)^AC$34))</f>
        <v>6514122.8172850413</v>
      </c>
      <c r="AD71" s="193">
        <f>(((G71*'Appendix K'!$C$10*1000)-('Appendix K'!$E$36+'Appendix K'!$F$36+'Appendix K'!$H$36+'Appendix K'!$G$36))/((1+$Y$16)^AD$34))</f>
        <v>1337518.0676512385</v>
      </c>
      <c r="AE71" s="193">
        <f>(((H71*'Appendix K'!$C$11*1000)-('Appendix K'!$E$37+'Appendix K'!$F$37+'Appendix K'!$H$37+'Appendix K'!$G$37))/((1+$Y$16)^AE$34))</f>
        <v>884817.89129039377</v>
      </c>
      <c r="AF71" s="193">
        <f>(((I71*'Appendix K'!$C$12*1000)-('Appendix K'!$E$38+'Appendix K'!$F$38+'Appendix K'!$H$38+'Appendix K'!$G$38))/((1+$Y$16)^AF$34))</f>
        <v>256586.24563338453</v>
      </c>
      <c r="AG71" s="193">
        <f>(((J71*'Appendix K'!$C$13*1000)-('Appendix K'!$E$39+'Appendix K'!$F$39+'Appendix K'!$H$39+'Appendix K'!$G$39))/((1+$Y$16)^AG$34))</f>
        <v>638467.99292248278</v>
      </c>
      <c r="AH71" s="193">
        <f>(((K71*'Appendix K'!$C$14*1000)-('Appendix K'!$E$40+'Appendix K'!$F$40+'Appendix K'!$H$40+'Appendix K'!$G$40))/((1+$Y$16)^AH$34))</f>
        <v>334135.67913440685</v>
      </c>
      <c r="AI71" s="193">
        <f>(((L71*'Appendix K'!$C$15*1000)-('Appendix K'!$E$41+'Appendix K'!$F$41+'Appendix K'!$H$41+'Appendix K'!$G$41))/((1+$Y$16)^AI$34))</f>
        <v>-160902.86481149774</v>
      </c>
      <c r="AJ71" s="193">
        <f>(((M71*'Appendix K'!$C$16*1000)-('Appendix K'!$E$42+'Appendix K'!$F$42+'Appendix K'!$H$42+'Appendix K'!$G$42))/((1+$Y$16)^AJ$34))</f>
        <v>-517184.50368165708</v>
      </c>
      <c r="AK71" s="193">
        <f>(((N71*'Appendix K'!$C$17*1000)-('Appendix K'!$E$43+'Appendix K'!$F$43+'Appendix K'!$H$43))/((1+$Y$16)^AK$34))</f>
        <v>-313092.19696737221</v>
      </c>
      <c r="AL71" s="193">
        <f>(((O71*'Appendix K'!$C$18*1000)-('Appendix K'!$E$44+'Appendix K'!$F$44+'Appendix K'!$H$44+'Appendix K'!$G$44))/((1+$Y$16)^AL$34))</f>
        <v>-926805.31311536161</v>
      </c>
      <c r="AM71" s="193">
        <f>(((P71*'Appendix K'!$C$19*1000)-('Appendix K'!$E$45+'Appendix K'!$F$45+'Appendix K'!$H$45+'Appendix K'!$G$45))/((1+$Y$16)^AM$34))</f>
        <v>-922712.36288440414</v>
      </c>
      <c r="AN71" s="193">
        <f>(((Q71*'Appendix K'!$C$20*1000)-('Appendix K'!$E$46+'Appendix K'!$F$46+'Appendix K'!$H$46+'Appendix K'!$G$46))/((1+$Y$16)^AN$34))</f>
        <v>-850756.97663237096</v>
      </c>
      <c r="AO71" s="193">
        <f>(((R71*'Appendix K'!$C$21*1000)-('Appendix K'!$E$47+'Appendix K'!$F$47+'Appendix K'!$H$47+'Appendix K'!$G$47))/((1+$Y$16)^AO$34))</f>
        <v>-772507.85774262843</v>
      </c>
      <c r="AP71" s="193">
        <f>(((S71*'Appendix K'!$C$22*1000)-('Appendix K'!$E$48+'Appendix K'!$F$48+'Appendix K'!$H$48+'Appendix K'!$G$48))/((1+$Y$16)^AP$34))</f>
        <v>-719991.77718567604</v>
      </c>
      <c r="AQ71" s="193">
        <f>(((T71*'Appendix K'!$C$23*1000)-('Appendix K'!$E$49+'Appendix K'!$F$49+'Appendix K'!$H$49+'Appendix K'!$G$49))/((1+$Y$16)^AQ$34))</f>
        <v>-675276.81523516786</v>
      </c>
      <c r="AR71" s="193">
        <f>(((U71*'Appendix K'!$C$24*1000)-('Appendix K'!$E$50+'Appendix K'!$F$50+'Appendix K'!$H$50+'Appendix K'!$G$50))/((1+$Y$16)^AR$34))</f>
        <v>-614903.27388389374</v>
      </c>
      <c r="AS71" s="209">
        <f t="shared" si="14"/>
        <v>39727372.536385126</v>
      </c>
      <c r="AU71" s="199">
        <f t="shared" si="13"/>
        <v>4.9238771914074832E-9</v>
      </c>
    </row>
    <row r="72" spans="1:47" x14ac:dyDescent="0.35">
      <c r="A72">
        <v>38</v>
      </c>
      <c r="B72" s="70">
        <v>56</v>
      </c>
      <c r="C72" s="70">
        <v>64.94512620524695</v>
      </c>
      <c r="D72" s="70">
        <v>54.276158742830347</v>
      </c>
      <c r="E72" s="70">
        <v>27.545942096625005</v>
      </c>
      <c r="F72" s="70">
        <v>31.566156277711322</v>
      </c>
      <c r="G72" s="70">
        <v>43.439587642685993</v>
      </c>
      <c r="H72" s="70">
        <v>51.31809917971605</v>
      </c>
      <c r="I72" s="70">
        <v>52.743506256973035</v>
      </c>
      <c r="J72" s="70">
        <v>53.36635372444448</v>
      </c>
      <c r="K72" s="70">
        <v>47.843878292000191</v>
      </c>
      <c r="L72" s="70">
        <v>54.023407139737628</v>
      </c>
      <c r="M72" s="70">
        <v>91.275923902652409</v>
      </c>
      <c r="N72" s="70">
        <v>98.778856783882944</v>
      </c>
      <c r="O72" s="70">
        <v>75.2850482538189</v>
      </c>
      <c r="P72" s="70">
        <v>107.21969040540834</v>
      </c>
      <c r="Q72" s="70">
        <v>101.54908110207107</v>
      </c>
      <c r="R72" s="70">
        <v>105.21288546456634</v>
      </c>
      <c r="S72" s="70">
        <v>55.15554560371244</v>
      </c>
      <c r="T72" s="70">
        <v>62.276472236886413</v>
      </c>
      <c r="U72" s="70">
        <v>86.570987755961227</v>
      </c>
      <c r="V72" s="70">
        <v>54.05060561757864</v>
      </c>
      <c r="X72" s="193">
        <f>((0-('Appendix K'!$I$30))/(1+$Y$16)^0)</f>
        <v>-33594902.4440751</v>
      </c>
      <c r="Y72" s="193">
        <f>(((B72*'Appendix K'!$C$5*1000)-('Appendix K'!$E$31+'Appendix K'!$F$31+'Appendix K'!$H$31+'Appendix K'!$G$31))/((1+$Y$16)^1))</f>
        <v>34971064.972647354</v>
      </c>
      <c r="Z72" s="193">
        <f>+(((C72*'Appendix K'!$C$6*1000)-('Appendix K'!$E$32+'Appendix K'!$F$32+'Appendix K'!$H$32+'Appendix K'!$G$32))/((1+$Y$16)^2))</f>
        <v>12919001.974111279</v>
      </c>
      <c r="AA72" s="193">
        <f>(((D72*'Appendix K'!$C$7*1000)-('Appendix K'!$E$33+'Appendix K'!$F$33+'Appendix K'!$H$33+'Appendix K'!$G$33))/((1+$Y$16)^3))</f>
        <v>3948520.7290544822</v>
      </c>
      <c r="AB72" s="193">
        <f>(((E72*'Appendix K'!$C$8*1000)-('Appendix K'!$E$34+'Appendix K'!$F$34+'Appendix K'!$H$34+'Appendix K'!$G$34))/((1+$Y$16)^4))</f>
        <v>2744610.4598961594</v>
      </c>
      <c r="AC72" s="193">
        <f>(((F72*'Appendix K'!$C$9*1000)-('Appendix K'!$E$35+'Appendix K'!$F$35+'Appendix K'!$H$35+'Appendix K'!$G$35))/((1+$Y$16)^AC$34))</f>
        <v>5406006.2516962141</v>
      </c>
      <c r="AD72" s="193">
        <f>(((G72*'Appendix K'!$C$10*1000)-('Appendix K'!$E$36+'Appendix K'!$F$36+'Appendix K'!$H$36+'Appendix K'!$G$36))/((1+$Y$16)^AD$34))</f>
        <v>4306161.5178558799</v>
      </c>
      <c r="AE72" s="193">
        <f>(((H72*'Appendix K'!$C$11*1000)-('Appendix K'!$E$37+'Appendix K'!$F$37+'Appendix K'!$H$37+'Appendix K'!$G$37))/((1+$Y$16)^AE$34))</f>
        <v>2898404.563189995</v>
      </c>
      <c r="AF72" s="193">
        <f>(((I72*'Appendix K'!$C$12*1000)-('Appendix K'!$E$38+'Appendix K'!$F$38+'Appendix K'!$H$38+'Appendix K'!$G$38))/((1+$Y$16)^AF$34))</f>
        <v>1466687.6207365755</v>
      </c>
      <c r="AG72" s="193">
        <f>(((J72*'Appendix K'!$C$13*1000)-('Appendix K'!$E$39+'Appendix K'!$F$39+'Appendix K'!$H$39+'Appendix K'!$G$39))/((1+$Y$16)^AG$34))</f>
        <v>640918.76211208582</v>
      </c>
      <c r="AH72" s="193">
        <f>(((K72*'Appendix K'!$C$14*1000)-('Appendix K'!$E$40+'Appendix K'!$F$40+'Appendix K'!$H$40+'Appendix K'!$G$40))/((1+$Y$16)^AH$34))</f>
        <v>-20090.19229218502</v>
      </c>
      <c r="AI72" s="193">
        <f>(((L72*'Appendix K'!$C$15*1000)-('Appendix K'!$E$41+'Appendix K'!$F$41+'Appendix K'!$H$41+'Appendix K'!$G$41))/((1+$Y$16)^AI$34))</f>
        <v>-100967.05700317786</v>
      </c>
      <c r="AJ72" s="193">
        <f>(((M72*'Appendix K'!$C$16*1000)-('Appendix K'!$E$42+'Appendix K'!$F$42+'Appendix K'!$H$42+'Appendix K'!$G$42))/((1+$Y$16)^AJ$34))</f>
        <v>447788.96643835743</v>
      </c>
      <c r="AK72" s="193">
        <f>(((N72*'Appendix K'!$C$17*1000)-('Appendix K'!$E$43+'Appendix K'!$F$43+'Appendix K'!$H$43))/((1+$Y$16)^AK$34))</f>
        <v>513369.61071994249</v>
      </c>
      <c r="AL72" s="193">
        <f>(((O72*'Appendix K'!$C$18*1000)-('Appendix K'!$E$44+'Appendix K'!$F$44+'Appendix K'!$H$44+'Appendix K'!$G$44))/((1+$Y$16)^AL$34))</f>
        <v>-242213.29593217303</v>
      </c>
      <c r="AM72" s="193">
        <f>(((P72*'Appendix K'!$C$19*1000)-('Appendix K'!$E$45+'Appendix K'!$F$45+'Appendix K'!$H$45+'Appendix K'!$G$45))/((1+$Y$16)^AM$34))</f>
        <v>-32975.388895006829</v>
      </c>
      <c r="AN72" s="193">
        <f>(((Q72*'Appendix K'!$C$20*1000)-('Appendix K'!$E$46+'Appendix K'!$F$46+'Appendix K'!$H$46+'Appendix K'!$G$46))/((1+$Y$16)^AN$34))</f>
        <v>-180877.6629401863</v>
      </c>
      <c r="AO72" s="193">
        <f>(((R72*'Appendix K'!$C$21*1000)-('Appendix K'!$E$47+'Appendix K'!$F$47+'Appendix K'!$H$47+'Appendix K'!$G$47))/((1+$Y$16)^AO$34))</f>
        <v>-221179.14836159677</v>
      </c>
      <c r="AP72" s="193">
        <f>(((S72*'Appendix K'!$C$22*1000)-('Appendix K'!$E$48+'Appendix K'!$F$48+'Appendix K'!$H$48+'Appendix K'!$G$48))/((1+$Y$16)^AP$34))</f>
        <v>-500273.64923778962</v>
      </c>
      <c r="AQ72" s="193">
        <f>(((T72*'Appendix K'!$C$23*1000)-('Appendix K'!$E$49+'Appendix K'!$F$49+'Appendix K'!$H$49+'Appendix K'!$G$49))/((1+$Y$16)^AQ$34))</f>
        <v>-449751.46236238786</v>
      </c>
      <c r="AR72" s="193">
        <f>(((U72*'Appendix K'!$C$24*1000)-('Appendix K'!$E$50+'Appendix K'!$F$50+'Appendix K'!$H$50+'Appendix K'!$G$50))/((1+$Y$16)^AR$34))</f>
        <v>-350527.86311384937</v>
      </c>
      <c r="AS72" s="209">
        <f t="shared" si="14"/>
        <v>36667632.984383218</v>
      </c>
      <c r="AU72" s="199">
        <f t="shared" si="13"/>
        <v>4.6980452580258808E-9</v>
      </c>
    </row>
    <row r="73" spans="1:47" x14ac:dyDescent="0.35">
      <c r="A73">
        <v>39</v>
      </c>
      <c r="B73" s="70">
        <v>56</v>
      </c>
      <c r="C73" s="70">
        <v>56.047481557322378</v>
      </c>
      <c r="D73" s="70">
        <v>73.394082214670419</v>
      </c>
      <c r="E73" s="70">
        <v>80.384257767010496</v>
      </c>
      <c r="F73" s="70">
        <v>114.92313723243092</v>
      </c>
      <c r="G73" s="70">
        <v>61.713288678414173</v>
      </c>
      <c r="H73" s="70">
        <v>55.076300805835039</v>
      </c>
      <c r="I73" s="70">
        <v>78.488019403442465</v>
      </c>
      <c r="J73" s="70">
        <v>78.427374862709769</v>
      </c>
      <c r="K73" s="70">
        <v>86.03597485680443</v>
      </c>
      <c r="L73" s="70">
        <v>65.105412771596846</v>
      </c>
      <c r="M73" s="70">
        <v>80.135593144792395</v>
      </c>
      <c r="N73" s="70">
        <v>108.16856499752949</v>
      </c>
      <c r="O73" s="70">
        <v>91.498291399267515</v>
      </c>
      <c r="P73" s="70">
        <v>104.17927891381774</v>
      </c>
      <c r="Q73" s="70">
        <v>128.95925349901586</v>
      </c>
      <c r="R73" s="70">
        <v>153.09118990975824</v>
      </c>
      <c r="S73" s="70">
        <v>159.94042128510921</v>
      </c>
      <c r="T73" s="70">
        <v>104.02571493510742</v>
      </c>
      <c r="U73" s="70">
        <v>102.65417114389359</v>
      </c>
      <c r="V73" s="70">
        <v>74.919599586257846</v>
      </c>
      <c r="X73" s="193">
        <f>((0-('Appendix K'!$I$30))/(1+$Y$16)^0)</f>
        <v>-33594902.4440751</v>
      </c>
      <c r="Y73" s="193">
        <f>(((B73*'Appendix K'!$C$5*1000)-('Appendix K'!$E$31+'Appendix K'!$F$31+'Appendix K'!$H$31+'Appendix K'!$G$31))/((1+$Y$16)^1))</f>
        <v>34971064.972647354</v>
      </c>
      <c r="Z73" s="193">
        <f>+(((C73*'Appendix K'!$C$6*1000)-('Appendix K'!$E$32+'Appendix K'!$F$32+'Appendix K'!$H$32+'Appendix K'!$G$32))/((1+$Y$16)^2))</f>
        <v>10671304.758525047</v>
      </c>
      <c r="AA73" s="193">
        <f>(((D73*'Appendix K'!$C$7*1000)-('Appendix K'!$E$33+'Appendix K'!$F$33+'Appendix K'!$H$33+'Appendix K'!$G$33))/((1+$Y$16)^3))</f>
        <v>6383663.7910389937</v>
      </c>
      <c r="AB73" s="193">
        <f>(((E73*'Appendix K'!$C$8*1000)-('Appendix K'!$E$34+'Appendix K'!$F$34+'Appendix K'!$H$34+'Appendix K'!$G$34))/((1+$Y$16)^4))</f>
        <v>14326285.566619858</v>
      </c>
      <c r="AC73" s="193">
        <f>(((F73*'Appendix K'!$C$9*1000)-('Appendix K'!$E$35+'Appendix K'!$F$35+'Appendix K'!$H$35+'Appendix K'!$G$35))/((1+$Y$16)^AC$34))</f>
        <v>27562160.895511661</v>
      </c>
      <c r="AD73" s="193">
        <f>(((G73*'Appendix K'!$C$10*1000)-('Appendix K'!$E$36+'Appendix K'!$F$36+'Appendix K'!$H$36+'Appendix K'!$G$36))/((1+$Y$16)^AD$34))</f>
        <v>7175935.7373344703</v>
      </c>
      <c r="AE73" s="193">
        <f>(((H73*'Appendix K'!$C$11*1000)-('Appendix K'!$E$37+'Appendix K'!$F$37+'Appendix K'!$H$37+'Appendix K'!$G$37))/((1+$Y$16)^AE$34))</f>
        <v>3273238.6820685174</v>
      </c>
      <c r="AF73" s="193">
        <f>(((I73*'Appendix K'!$C$12*1000)-('Appendix K'!$E$38+'Appendix K'!$F$38+'Appendix K'!$H$38+'Appendix K'!$G$38))/((1+$Y$16)^AF$34))</f>
        <v>3157134.8368721921</v>
      </c>
      <c r="AG73" s="193">
        <f>(((J73*'Appendix K'!$C$13*1000)-('Appendix K'!$E$39+'Appendix K'!$F$39+'Appendix K'!$H$39+'Appendix K'!$G$39))/((1+$Y$16)^AG$34))</f>
        <v>1794200.2038035712</v>
      </c>
      <c r="AH73" s="193">
        <f>(((K73*'Appendix K'!$C$14*1000)-('Appendix K'!$E$40+'Appendix K'!$F$40+'Appendix K'!$H$40+'Appendix K'!$G$40))/((1+$Y$16)^AH$34))</f>
        <v>1267232.7324430507</v>
      </c>
      <c r="AI73" s="193">
        <f>(((L73*'Appendix K'!$C$15*1000)-('Appendix K'!$E$41+'Appendix K'!$F$41+'Appendix K'!$H$41+'Appendix K'!$G$41))/((1+$Y$16)^AI$34))</f>
        <v>189402.21400368284</v>
      </c>
      <c r="AJ73" s="193">
        <f>(((M73*'Appendix K'!$C$16*1000)-('Appendix K'!$E$42+'Appendix K'!$F$42+'Appendix K'!$H$42+'Appendix K'!$G$42))/((1+$Y$16)^AJ$34))</f>
        <v>224515.93929898614</v>
      </c>
      <c r="AK73" s="193">
        <f>(((N73*'Appendix K'!$C$17*1000)-('Appendix K'!$E$43+'Appendix K'!$F$43+'Appendix K'!$H$43))/((1+$Y$16)^AK$34))</f>
        <v>657632.12491836562</v>
      </c>
      <c r="AL73" s="193">
        <f>(((O73*'Appendix K'!$C$18*1000)-('Appendix K'!$E$44+'Appendix K'!$F$44+'Appendix K'!$H$44+'Appendix K'!$G$44))/((1+$Y$16)^AL$34))</f>
        <v>-50032.954147904988</v>
      </c>
      <c r="AM73" s="193">
        <f>(((P73*'Appendix K'!$C$19*1000)-('Appendix K'!$E$45+'Appendix K'!$F$45+'Appendix K'!$H$45+'Appendix K'!$G$45))/((1+$Y$16)^AM$34))</f>
        <v>-61156.147548703695</v>
      </c>
      <c r="AN73" s="193">
        <f>(((Q73*'Appendix K'!$C$20*1000)-('Appendix K'!$E$46+'Appendix K'!$F$46+'Appendix K'!$H$46+'Appendix K'!$G$46))/((1+$Y$16)^AN$34))</f>
        <v>17468.28954065554</v>
      </c>
      <c r="AO73" s="193">
        <f>(((R73*'Appendix K'!$C$21*1000)-('Appendix K'!$E$47+'Appendix K'!$F$47+'Appendix K'!$H$47+'Appendix K'!$G$47))/((1+$Y$16)^AO$34))</f>
        <v>61786.920506488859</v>
      </c>
      <c r="AP73" s="193">
        <f>(((S73*'Appendix K'!$C$22*1000)-('Appendix K'!$E$48+'Appendix K'!$F$48+'Appendix K'!$H$48+'Appendix K'!$G$48))/((1+$Y$16)^AP$34))</f>
        <v>1616.4965294269516</v>
      </c>
      <c r="AQ73" s="193">
        <f>(((T73*'Appendix K'!$C$23*1000)-('Appendix K'!$E$49+'Appendix K'!$F$49+'Appendix K'!$H$49+'Appendix K'!$G$49))/((1+$Y$16)^AQ$34))</f>
        <v>-286355.61452178971</v>
      </c>
      <c r="AR73" s="193">
        <f>(((U73*'Appendix K'!$C$24*1000)-('Appendix K'!$E$50+'Appendix K'!$F$50+'Appendix K'!$H$50+'Appendix K'!$G$50))/((1+$Y$16)^AR$34))</f>
        <v>-298739.56197226647</v>
      </c>
      <c r="AS73" s="209">
        <f t="shared" si="14"/>
        <v>78139741.717587203</v>
      </c>
      <c r="AU73" s="199">
        <f t="shared" si="13"/>
        <v>6.932331896387079E-9</v>
      </c>
    </row>
    <row r="74" spans="1:47" x14ac:dyDescent="0.35">
      <c r="A74">
        <v>40</v>
      </c>
      <c r="B74" s="70">
        <v>56</v>
      </c>
      <c r="C74" s="70">
        <v>67.491593449946023</v>
      </c>
      <c r="D74" s="70">
        <v>67.525135379956581</v>
      </c>
      <c r="E74" s="70">
        <v>72.913620373584223</v>
      </c>
      <c r="F74" s="70">
        <v>70.894215580622912</v>
      </c>
      <c r="G74" s="70">
        <v>40.344110097217424</v>
      </c>
      <c r="H74" s="70">
        <v>33.001124824523814</v>
      </c>
      <c r="I74" s="70">
        <v>25.691493060724405</v>
      </c>
      <c r="J74" s="70">
        <v>37.948426290004853</v>
      </c>
      <c r="K74" s="70">
        <v>26.535136792294026</v>
      </c>
      <c r="L74" s="70">
        <v>30.307161524948626</v>
      </c>
      <c r="M74" s="70">
        <v>21.997384618501979</v>
      </c>
      <c r="N74" s="70">
        <v>34.308141158888304</v>
      </c>
      <c r="O74" s="70">
        <v>24.41595257032796</v>
      </c>
      <c r="P74" s="70">
        <v>18.76872054202072</v>
      </c>
      <c r="Q74" s="70">
        <v>21.906618315717388</v>
      </c>
      <c r="R74" s="70">
        <v>15.89372329166279</v>
      </c>
      <c r="S74" s="70">
        <v>25.971188584554344</v>
      </c>
      <c r="T74" s="70">
        <v>12.947440532247304</v>
      </c>
      <c r="U74" s="70">
        <v>14.342409580916362</v>
      </c>
      <c r="V74" s="70">
        <v>10.705939671519108</v>
      </c>
      <c r="X74" s="193">
        <f>((0-('Appendix K'!$I$30))/(1+$Y$16)^0)</f>
        <v>-33594902.4440751</v>
      </c>
      <c r="Y74" s="193">
        <f>(((B74*'Appendix K'!$C$5*1000)-('Appendix K'!$E$31+'Appendix K'!$F$31+'Appendix K'!$H$31+'Appendix K'!$G$31))/((1+$Y$16)^1))</f>
        <v>34971064.972647354</v>
      </c>
      <c r="Z74" s="193">
        <f>+(((C74*'Appendix K'!$C$6*1000)-('Appendix K'!$E$32+'Appendix K'!$F$32+'Appendix K'!$H$32+'Appendix K'!$G$32))/((1+$Y$16)^2))</f>
        <v>13562283.15266753</v>
      </c>
      <c r="AA74" s="193">
        <f>(((D74*'Appendix K'!$C$7*1000)-('Appendix K'!$E$33+'Appendix K'!$F$33+'Appendix K'!$H$33+'Appendix K'!$G$33))/((1+$Y$16)^3))</f>
        <v>5636107.4370887075</v>
      </c>
      <c r="AB74" s="193">
        <f>(((E74*'Appendix K'!$C$8*1000)-('Appendix K'!$E$34+'Appendix K'!$F$34+'Appendix K'!$H$34+'Appendix K'!$G$34))/((1+$Y$16)^4))</f>
        <v>12688790.237083873</v>
      </c>
      <c r="AC74" s="193">
        <f>(((F74*'Appendix K'!$C$9*1000)-('Appendix K'!$E$35+'Appendix K'!$F$35+'Appendix K'!$H$35+'Appendix K'!$G$35))/((1+$Y$16)^AC$34))</f>
        <v>15859342.65827487</v>
      </c>
      <c r="AD74" s="193">
        <f>(((G74*'Appendix K'!$C$10*1000)-('Appendix K'!$E$36+'Appendix K'!$F$36+'Appendix K'!$H$36+'Appendix K'!$G$36))/((1+$Y$16)^AD$34))</f>
        <v>3820035.4922854635</v>
      </c>
      <c r="AE74" s="193">
        <f>(((H74*'Appendix K'!$C$11*1000)-('Appendix K'!$E$37+'Appendix K'!$F$37+'Appendix K'!$H$37+'Appendix K'!$G$37))/((1+$Y$16)^AE$34))</f>
        <v>1071512.9735444521</v>
      </c>
      <c r="AF74" s="193">
        <f>(((I74*'Appendix K'!$C$12*1000)-('Appendix K'!$E$38+'Appendix K'!$F$38+'Appendix K'!$H$38+'Appendix K'!$G$38))/((1+$Y$16)^AF$34))</f>
        <v>-309613.22202120681</v>
      </c>
      <c r="AG74" s="193">
        <f>(((J74*'Appendix K'!$C$13*1000)-('Appendix K'!$E$39+'Appendix K'!$F$39+'Appendix K'!$H$39+'Appendix K'!$G$39))/((1+$Y$16)^AG$34))</f>
        <v>-68597.80073600047</v>
      </c>
      <c r="AH74" s="193">
        <f>(((K74*'Appendix K'!$C$14*1000)-('Appendix K'!$E$40+'Appendix K'!$F$40+'Appendix K'!$H$40+'Appendix K'!$G$40))/((1+$Y$16)^AH$34))</f>
        <v>-738333.85779202473</v>
      </c>
      <c r="AI74" s="193">
        <f>(((L74*'Appendix K'!$C$15*1000)-('Appendix K'!$E$41+'Appendix K'!$F$41+'Appendix K'!$H$41+'Appendix K'!$G$41))/((1+$Y$16)^AI$34))</f>
        <v>-722377.04170741839</v>
      </c>
      <c r="AJ74" s="193">
        <f>(((M74*'Appendix K'!$C$16*1000)-('Appendix K'!$E$42+'Appendix K'!$F$42+'Appendix K'!$H$42+'Appendix K'!$G$42))/((1+$Y$16)^AJ$34))</f>
        <v>-940682.30232111993</v>
      </c>
      <c r="AK74" s="193">
        <f>(((N74*'Appendix K'!$C$17*1000)-('Appendix K'!$E$43+'Appendix K'!$F$43+'Appendix K'!$H$43))/((1+$Y$16)^AK$34))</f>
        <v>-477151.85348446196</v>
      </c>
      <c r="AL74" s="193">
        <f>(((O74*'Appendix K'!$C$18*1000)-('Appendix K'!$E$44+'Appendix K'!$F$44+'Appendix K'!$H$44+'Appendix K'!$G$44))/((1+$Y$16)^AL$34))</f>
        <v>-845179.65540814586</v>
      </c>
      <c r="AM74" s="193">
        <f>(((P74*'Appendix K'!$C$19*1000)-('Appendix K'!$E$45+'Appendix K'!$F$45+'Appendix K'!$H$45+'Appendix K'!$G$45))/((1+$Y$16)^AM$34))</f>
        <v>-852803.70532513305</v>
      </c>
      <c r="AN74" s="193">
        <f>(((Q74*'Appendix K'!$C$20*1000)-('Appendix K'!$E$46+'Appendix K'!$F$46+'Appendix K'!$H$46+'Appendix K'!$G$46))/((1+$Y$16)^AN$34))</f>
        <v>-757187.79738647945</v>
      </c>
      <c r="AO74" s="193">
        <f>(((R74*'Appendix K'!$C$21*1000)-('Appendix K'!$E$47+'Appendix K'!$F$47+'Appendix K'!$H$47+'Appendix K'!$G$47))/((1+$Y$16)^AO$34))</f>
        <v>-749065.26478808757</v>
      </c>
      <c r="AP74" s="193">
        <f>(((S74*'Appendix K'!$C$22*1000)-('Appendix K'!$E$48+'Appendix K'!$F$48+'Appendix K'!$H$48+'Appendix K'!$G$48))/((1+$Y$16)^AP$34))</f>
        <v>-640058.52852708392</v>
      </c>
      <c r="AQ74" s="193">
        <f>(((T74*'Appendix K'!$C$23*1000)-('Appendix K'!$E$49+'Appendix K'!$F$49+'Appendix K'!$H$49+'Appendix K'!$G$49))/((1+$Y$16)^AQ$34))</f>
        <v>-642812.66389835509</v>
      </c>
      <c r="AR74" s="193">
        <f>(((U74*'Appendix K'!$C$24*1000)-('Appendix K'!$E$50+'Appendix K'!$F$50+'Appendix K'!$H$50+'Appendix K'!$G$50))/((1+$Y$16)^AR$34))</f>
        <v>-583105.90859981044</v>
      </c>
      <c r="AS74" s="209">
        <f t="shared" si="14"/>
        <v>54014234.479517139</v>
      </c>
      <c r="AU74" s="199">
        <f t="shared" si="13"/>
        <v>5.8993646973824044E-9</v>
      </c>
    </row>
    <row r="75" spans="1:47" x14ac:dyDescent="0.35">
      <c r="A75">
        <v>41</v>
      </c>
      <c r="B75" s="70">
        <v>56</v>
      </c>
      <c r="C75" s="70">
        <v>39.020308977242429</v>
      </c>
      <c r="D75" s="70">
        <v>34.841991887719011</v>
      </c>
      <c r="E75" s="70">
        <v>45.438169933481973</v>
      </c>
      <c r="F75" s="70">
        <v>54.314058754980977</v>
      </c>
      <c r="G75" s="70">
        <v>60.122811715104667</v>
      </c>
      <c r="H75" s="70">
        <v>64.192175369233951</v>
      </c>
      <c r="I75" s="70">
        <v>61.474568096979162</v>
      </c>
      <c r="J75" s="70">
        <v>69.063866302278839</v>
      </c>
      <c r="K75" s="70">
        <v>77.140352495751912</v>
      </c>
      <c r="L75" s="70">
        <v>86.372754285920067</v>
      </c>
      <c r="M75" s="70">
        <v>102.9361549145742</v>
      </c>
      <c r="N75" s="70">
        <v>105.39232549197212</v>
      </c>
      <c r="O75" s="70">
        <v>123.00736909741504</v>
      </c>
      <c r="P75" s="70">
        <v>219.54464279537407</v>
      </c>
      <c r="Q75" s="70">
        <v>216.83670297461109</v>
      </c>
      <c r="R75" s="70">
        <v>388.5303792761473</v>
      </c>
      <c r="S75" s="70">
        <v>402.50436748631637</v>
      </c>
      <c r="T75" s="70">
        <v>417.19928475740625</v>
      </c>
      <c r="U75" s="70">
        <v>337.78202040824397</v>
      </c>
      <c r="V75" s="70">
        <v>457.73934637083613</v>
      </c>
      <c r="X75" s="193">
        <f>((0-('Appendix K'!$I$30))/(1+$Y$16)^0)</f>
        <v>-33594902.4440751</v>
      </c>
      <c r="Y75" s="193">
        <f>(((B75*'Appendix K'!$C$5*1000)-('Appendix K'!$E$31+'Appendix K'!$F$31+'Appendix K'!$H$31+'Appendix K'!$G$31))/((1+$Y$16)^1))</f>
        <v>34971064.972647354</v>
      </c>
      <c r="Z75" s="193">
        <f>+(((C75*'Appendix K'!$C$6*1000)-('Appendix K'!$E$32+'Appendix K'!$F$32+'Appendix K'!$H$32+'Appendix K'!$G$32))/((1+$Y$16)^2))</f>
        <v>6369949.7469513826</v>
      </c>
      <c r="AA75" s="193">
        <f>(((D75*'Appendix K'!$C$7*1000)-('Appendix K'!$E$33+'Appendix K'!$F$33+'Appendix K'!$H$33+'Appendix K'!$G$33))/((1+$Y$16)^3))</f>
        <v>1473096.2064915835</v>
      </c>
      <c r="AB75" s="193">
        <f>(((E75*'Appendix K'!$C$8*1000)-('Appendix K'!$E$34+'Appendix K'!$F$34+'Appendix K'!$H$34+'Appendix K'!$G$34))/((1+$Y$16)^4))</f>
        <v>6666423.0141539704</v>
      </c>
      <c r="AC75" s="193">
        <f>(((F75*'Appendix K'!$C$9*1000)-('Appendix K'!$E$35+'Appendix K'!$F$35+'Appendix K'!$H$35+'Appendix K'!$G$35))/((1+$Y$16)^AC$34))</f>
        <v>11452363.009537535</v>
      </c>
      <c r="AD75" s="193">
        <f>(((G75*'Appendix K'!$C$10*1000)-('Appendix K'!$E$36+'Appendix K'!$F$36+'Appendix K'!$H$36+'Appendix K'!$G$36))/((1+$Y$16)^AD$34))</f>
        <v>6926160.9502206696</v>
      </c>
      <c r="AE75" s="193">
        <f>(((H75*'Appendix K'!$C$11*1000)-('Appendix K'!$E$37+'Appendix K'!$F$37+'Appendix K'!$H$37+'Appendix K'!$G$37))/((1+$Y$16)^AE$34))</f>
        <v>4182434.3957927371</v>
      </c>
      <c r="AF75" s="193">
        <f>(((I75*'Appendix K'!$C$12*1000)-('Appendix K'!$E$38+'Appendix K'!$F$38+'Appendix K'!$H$38+'Appendix K'!$G$38))/((1+$Y$16)^AF$34))</f>
        <v>2039990.3317793116</v>
      </c>
      <c r="AG75" s="193">
        <f>(((J75*'Appendix K'!$C$13*1000)-('Appendix K'!$E$39+'Appendix K'!$F$39+'Appendix K'!$H$39+'Appendix K'!$G$39))/((1+$Y$16)^AG$34))</f>
        <v>1363301.5348193338</v>
      </c>
      <c r="AH75" s="193">
        <f>(((K75*'Appendix K'!$C$14*1000)-('Appendix K'!$E$40+'Appendix K'!$F$40+'Appendix K'!$H$40+'Appendix K'!$G$40))/((1+$Y$16)^AH$34))</f>
        <v>967392.19931758184</v>
      </c>
      <c r="AI75" s="193">
        <f>(((L75*'Appendix K'!$C$15*1000)-('Appendix K'!$E$41+'Appendix K'!$F$41+'Appendix K'!$H$41+'Appendix K'!$G$41))/((1+$Y$16)^AI$34))</f>
        <v>746646.33180259645</v>
      </c>
      <c r="AJ75" s="193">
        <f>(((M75*'Appendix K'!$C$16*1000)-('Appendix K'!$E$42+'Appendix K'!$F$42+'Appendix K'!$H$42+'Appendix K'!$G$42))/((1+$Y$16)^AJ$34))</f>
        <v>681481.76531143615</v>
      </c>
      <c r="AK75" s="193">
        <f>(((N75*'Appendix K'!$C$17*1000)-('Appendix K'!$E$43+'Appendix K'!$F$43+'Appendix K'!$H$43))/((1+$Y$16)^AK$34))</f>
        <v>614978.2658232965</v>
      </c>
      <c r="AL75" s="193">
        <f>(((O75*'Appendix K'!$C$18*1000)-('Appendix K'!$E$44+'Appendix K'!$F$44+'Appendix K'!$H$44+'Appendix K'!$G$44))/((1+$Y$16)^AL$34))</f>
        <v>323453.41542133968</v>
      </c>
      <c r="AM75" s="193">
        <f>(((P75*'Appendix K'!$C$19*1000)-('Appendix K'!$E$45+'Appendix K'!$F$45+'Appendix K'!$H$45+'Appendix K'!$G$45))/((1+$Y$16)^AM$34))</f>
        <v>1008134.4683873742</v>
      </c>
      <c r="AN75" s="193">
        <f>(((Q75*'Appendix K'!$C$20*1000)-('Appendix K'!$E$46+'Appendix K'!$F$46+'Appendix K'!$H$46+'Appendix K'!$G$46))/((1+$Y$16)^AN$34))</f>
        <v>653368.57376385166</v>
      </c>
      <c r="AO75" s="193">
        <f>(((R75*'Appendix K'!$C$21*1000)-('Appendix K'!$E$47+'Appendix K'!$F$47+'Appendix K'!$H$47+'Appendix K'!$G$47))/((1+$Y$16)^AO$34))</f>
        <v>1453258.5409929627</v>
      </c>
      <c r="AP75" s="193">
        <f>(((S75*'Appendix K'!$C$22*1000)-('Appendix K'!$E$48+'Appendix K'!$F$48+'Appendix K'!$H$48+'Appendix K'!$G$48))/((1+$Y$16)^AP$34))</f>
        <v>1163429.7212447249</v>
      </c>
      <c r="AQ75" s="193">
        <f>(((T75*'Appendix K'!$C$23*1000)-('Appendix K'!$E$49+'Appendix K'!$F$49+'Appendix K'!$H$49+'Appendix K'!$G$49))/((1+$Y$16)^AQ$34))</f>
        <v>939325.56327264628</v>
      </c>
      <c r="AR75" s="193">
        <f>(((U75*'Appendix K'!$C$24*1000)-('Appendix K'!$E$50+'Appendix K'!$F$50+'Appendix K'!$H$50+'Appendix K'!$G$50))/((1+$Y$16)^AR$34))</f>
        <v>458378.70067289617</v>
      </c>
      <c r="AS75" s="209">
        <f t="shared" si="14"/>
        <v>50859729.264329456</v>
      </c>
      <c r="AU75" s="199">
        <f t="shared" si="13"/>
        <v>5.699552323878385E-9</v>
      </c>
    </row>
    <row r="76" spans="1:47" x14ac:dyDescent="0.35">
      <c r="A76">
        <v>42</v>
      </c>
      <c r="B76" s="70">
        <v>56</v>
      </c>
      <c r="C76" s="70">
        <v>72.141812864605015</v>
      </c>
      <c r="D76" s="70">
        <v>66.843824433624135</v>
      </c>
      <c r="E76" s="70">
        <v>65.299289407929763</v>
      </c>
      <c r="F76" s="70">
        <v>55.461382393381264</v>
      </c>
      <c r="G76" s="70">
        <v>55.799017414215932</v>
      </c>
      <c r="H76" s="70">
        <v>54.257435421147932</v>
      </c>
      <c r="I76" s="70">
        <v>45.75958855915119</v>
      </c>
      <c r="J76" s="70">
        <v>58.872074949844539</v>
      </c>
      <c r="K76" s="70">
        <v>22.840476209228477</v>
      </c>
      <c r="L76" s="70">
        <v>13.743322435515566</v>
      </c>
      <c r="M76" s="70">
        <v>20.067879678342145</v>
      </c>
      <c r="N76" s="70">
        <v>24.179084066303837</v>
      </c>
      <c r="O76" s="70">
        <v>28.908318573506232</v>
      </c>
      <c r="P76" s="70">
        <v>48.493479860015469</v>
      </c>
      <c r="Q76" s="70">
        <v>44.052779857338251</v>
      </c>
      <c r="R76" s="70">
        <v>41.505900555089852</v>
      </c>
      <c r="S76" s="70">
        <v>43.780650597862788</v>
      </c>
      <c r="T76" s="70">
        <v>41.433235143439219</v>
      </c>
      <c r="U76" s="70">
        <v>44.64794218972439</v>
      </c>
      <c r="V76" s="70">
        <v>57.039942615805309</v>
      </c>
      <c r="X76" s="193">
        <f>((0-('Appendix K'!$I$30))/(1+$Y$16)^0)</f>
        <v>-33594902.4440751</v>
      </c>
      <c r="Y76" s="193">
        <f>(((B76*'Appendix K'!$C$5*1000)-('Appendix K'!$E$31+'Appendix K'!$F$31+'Appendix K'!$H$31+'Appendix K'!$G$31))/((1+$Y$16)^1))</f>
        <v>34971064.972647354</v>
      </c>
      <c r="Z76" s="193">
        <f>+(((C76*'Appendix K'!$C$6*1000)-('Appendix K'!$E$32+'Appendix K'!$F$32+'Appendix K'!$H$32+'Appendix K'!$G$32))/((1+$Y$16)^2))</f>
        <v>14737008.110090069</v>
      </c>
      <c r="AA76" s="193">
        <f>(((D76*'Appendix K'!$C$7*1000)-('Appendix K'!$E$33+'Appendix K'!$F$33+'Appendix K'!$H$33+'Appendix K'!$G$33))/((1+$Y$16)^3))</f>
        <v>5549325.5422631884</v>
      </c>
      <c r="AB76" s="193">
        <f>(((E76*'Appendix K'!$C$8*1000)-('Appendix K'!$E$34+'Appendix K'!$F$34+'Appendix K'!$H$34+'Appendix K'!$G$34))/((1+$Y$16)^4))</f>
        <v>11019798.591903515</v>
      </c>
      <c r="AC76" s="193">
        <f>(((F76*'Appendix K'!$C$9*1000)-('Appendix K'!$E$35+'Appendix K'!$F$35+'Appendix K'!$H$35+'Appendix K'!$G$35))/((1+$Y$16)^AC$34))</f>
        <v>11757319.831002917</v>
      </c>
      <c r="AD76" s="193">
        <f>(((G76*'Appendix K'!$C$10*1000)-('Appendix K'!$E$36+'Appendix K'!$F$36+'Appendix K'!$H$36+'Appendix K'!$G$36))/((1+$Y$16)^AD$34))</f>
        <v>6247135.2076653671</v>
      </c>
      <c r="AE76" s="193">
        <f>(((H76*'Appendix K'!$C$11*1000)-('Appendix K'!$E$37+'Appendix K'!$F$37+'Appendix K'!$H$37+'Appendix K'!$G$37))/((1+$Y$16)^AE$34))</f>
        <v>3191566.9902635505</v>
      </c>
      <c r="AF76" s="193">
        <f>(((I76*'Appendix K'!$C$12*1000)-('Appendix K'!$E$38+'Appendix K'!$F$38+'Appendix K'!$H$38+'Appendix K'!$G$38))/((1+$Y$16)^AF$34))</f>
        <v>1008106.634456699</v>
      </c>
      <c r="AG76" s="193">
        <f>(((J76*'Appendix K'!$C$13*1000)-('Appendix K'!$E$39+'Appendix K'!$F$39+'Appendix K'!$H$39+'Appendix K'!$G$39))/((1+$Y$16)^AG$34))</f>
        <v>894286.17588780017</v>
      </c>
      <c r="AH76" s="193">
        <f>(((K76*'Appendix K'!$C$14*1000)-('Appendix K'!$E$40+'Appendix K'!$F$40+'Appendix K'!$H$40+'Appendix K'!$G$40))/((1+$Y$16)^AH$34))</f>
        <v>-862868.03359003575</v>
      </c>
      <c r="AI76" s="193">
        <f>(((L76*'Appendix K'!$C$15*1000)-('Appendix K'!$E$41+'Appendix K'!$F$41+'Appendix K'!$H$41+'Appendix K'!$G$41))/((1+$Y$16)^AI$34))</f>
        <v>-1156380.6003815457</v>
      </c>
      <c r="AJ76" s="193">
        <f>(((M76*'Appendix K'!$C$16*1000)-('Appendix K'!$E$42+'Appendix K'!$F$42+'Appendix K'!$H$42+'Appendix K'!$G$42))/((1+$Y$16)^AJ$34))</f>
        <v>-979353.18366509653</v>
      </c>
      <c r="AK76" s="193">
        <f>(((N76*'Appendix K'!$C$17*1000)-('Appendix K'!$E$43+'Appendix K'!$F$43+'Appendix K'!$H$43))/((1+$Y$16)^AK$34))</f>
        <v>-632773.64804799343</v>
      </c>
      <c r="AL76" s="193">
        <f>(((O76*'Appendix K'!$C$18*1000)-('Appendix K'!$E$44+'Appendix K'!$F$44+'Appendix K'!$H$44+'Appendix K'!$G$44))/((1+$Y$16)^AL$34))</f>
        <v>-791930.3192842264</v>
      </c>
      <c r="AM76" s="193">
        <f>(((P76*'Appendix K'!$C$19*1000)-('Appendix K'!$E$45+'Appendix K'!$F$45+'Appendix K'!$H$45+'Appendix K'!$G$45))/((1+$Y$16)^AM$34))</f>
        <v>-577292.88361678412</v>
      </c>
      <c r="AN76" s="193">
        <f>(((Q76*'Appendix K'!$C$20*1000)-('Appendix K'!$E$46+'Appendix K'!$F$46+'Appendix K'!$H$46+'Appendix K'!$G$46))/((1+$Y$16)^AN$34))</f>
        <v>-596933.36917073466</v>
      </c>
      <c r="AO76" s="193">
        <f>(((R76*'Appendix K'!$C$21*1000)-('Appendix K'!$E$47+'Appendix K'!$F$47+'Appendix K'!$H$47+'Appendix K'!$G$47))/((1+$Y$16)^AO$34))</f>
        <v>-597694.46752685902</v>
      </c>
      <c r="AP76" s="193">
        <f>(((S76*'Appendix K'!$C$22*1000)-('Appendix K'!$E$48+'Appendix K'!$F$48+'Appendix K'!$H$48+'Appendix K'!$G$48))/((1+$Y$16)^AP$34))</f>
        <v>-554756.20385694085</v>
      </c>
      <c r="AQ76" s="193">
        <f>(((T76*'Appendix K'!$C$23*1000)-('Appendix K'!$E$49+'Appendix K'!$F$49+'Appendix K'!$H$49+'Appendix K'!$G$49))/((1+$Y$16)^AQ$34))</f>
        <v>-531326.55634059629</v>
      </c>
      <c r="AR76" s="193">
        <f>(((U76*'Appendix K'!$C$24*1000)-('Appendix K'!$E$50+'Appendix K'!$F$50+'Appendix K'!$H$50+'Appendix K'!$G$50))/((1+$Y$16)^AR$34))</f>
        <v>-485521.24447301659</v>
      </c>
      <c r="AS76" s="209">
        <f t="shared" si="14"/>
        <v>55780709.612105347</v>
      </c>
      <c r="AU76" s="199">
        <f t="shared" si="13"/>
        <v>6.0061897590852392E-9</v>
      </c>
    </row>
    <row r="77" spans="1:47" x14ac:dyDescent="0.35">
      <c r="A77">
        <v>43</v>
      </c>
      <c r="B77" s="70">
        <v>56</v>
      </c>
      <c r="C77" s="70">
        <v>80.57821808230409</v>
      </c>
      <c r="D77" s="70">
        <v>60.815196145154317</v>
      </c>
      <c r="E77" s="70">
        <v>80.193202613700961</v>
      </c>
      <c r="F77" s="70">
        <v>85.337453757664548</v>
      </c>
      <c r="G77" s="70">
        <v>80.93873324984412</v>
      </c>
      <c r="H77" s="70">
        <v>108.7098556255342</v>
      </c>
      <c r="I77" s="70">
        <v>137.5795283933418</v>
      </c>
      <c r="J77" s="70">
        <v>198.46601424507693</v>
      </c>
      <c r="K77" s="70">
        <v>206.61671207872766</v>
      </c>
      <c r="L77" s="70">
        <v>237.78749966534969</v>
      </c>
      <c r="M77" s="70">
        <v>85.657657382874845</v>
      </c>
      <c r="N77" s="70">
        <v>90.229021144394792</v>
      </c>
      <c r="O77" s="70">
        <v>78.14034087086074</v>
      </c>
      <c r="P77" s="70">
        <v>133.53338433095109</v>
      </c>
      <c r="Q77" s="70">
        <v>85.177938078110486</v>
      </c>
      <c r="R77" s="70">
        <v>102.7883495518244</v>
      </c>
      <c r="S77" s="70">
        <v>93.557121370492411</v>
      </c>
      <c r="T77" s="70">
        <v>74.740113660876517</v>
      </c>
      <c r="U77" s="70">
        <v>88.677399357062384</v>
      </c>
      <c r="V77" s="70">
        <v>108.40863350618346</v>
      </c>
      <c r="X77" s="193">
        <f>((0-('Appendix K'!$I$30))/(1+$Y$16)^0)</f>
        <v>-33594902.4440751</v>
      </c>
      <c r="Y77" s="193">
        <f>(((B77*'Appendix K'!$C$5*1000)-('Appendix K'!$E$31+'Appendix K'!$F$31+'Appendix K'!$H$31+'Appendix K'!$G$31))/((1+$Y$16)^1))</f>
        <v>34971064.972647354</v>
      </c>
      <c r="Z77" s="193">
        <f>+(((C77*'Appendix K'!$C$6*1000)-('Appendix K'!$E$32+'Appendix K'!$F$32+'Appendix K'!$H$32+'Appendix K'!$G$32))/((1+$Y$16)^2))</f>
        <v>16868188.35696613</v>
      </c>
      <c r="AA77" s="193">
        <f>(((D77*'Appendix K'!$C$7*1000)-('Appendix K'!$E$33+'Appendix K'!$F$33+'Appendix K'!$H$33+'Appendix K'!$G$33))/((1+$Y$16)^3))</f>
        <v>4781429.7835227204</v>
      </c>
      <c r="AB77" s="193">
        <f>(((E77*'Appendix K'!$C$8*1000)-('Appendix K'!$E$34+'Appendix K'!$F$34+'Appendix K'!$H$34+'Appendix K'!$G$34))/((1+$Y$16)^4))</f>
        <v>14284408.025955999</v>
      </c>
      <c r="AC77" s="193">
        <f>(((F77*'Appendix K'!$C$9*1000)-('Appendix K'!$E$35+'Appendix K'!$F$35+'Appendix K'!$H$35+'Appendix K'!$G$35))/((1+$Y$16)^AC$34))</f>
        <v>19698332.685778685</v>
      </c>
      <c r="AD77" s="193">
        <f>(((G77*'Appendix K'!$C$10*1000)-('Appendix K'!$E$36+'Appendix K'!$F$36+'Appendix K'!$H$36+'Appendix K'!$G$36))/((1+$Y$16)^AD$34))</f>
        <v>10195175.522489777</v>
      </c>
      <c r="AE77" s="193">
        <f>(((H77*'Appendix K'!$C$11*1000)-('Appendix K'!$E$37+'Appendix K'!$F$37+'Appendix K'!$H$37+'Appendix K'!$G$37))/((1+$Y$16)^AE$34))</f>
        <v>8622522.2658568416</v>
      </c>
      <c r="AF77" s="193">
        <f>(((I77*'Appendix K'!$C$12*1000)-('Appendix K'!$E$38+'Appendix K'!$F$38+'Appendix K'!$H$38+'Appendix K'!$G$38))/((1+$Y$16)^AF$34))</f>
        <v>7037226.734548145</v>
      </c>
      <c r="AG77" s="193">
        <f>(((J77*'Appendix K'!$C$13*1000)-('Appendix K'!$E$39+'Appendix K'!$F$39+'Appendix K'!$H$39+'Appendix K'!$G$39))/((1+$Y$16)^AG$34))</f>
        <v>7318250.2543500448</v>
      </c>
      <c r="AH77" s="193">
        <f>(((K77*'Appendix K'!$C$14*1000)-('Appendix K'!$E$40+'Appendix K'!$F$40+'Appendix K'!$H$40+'Appendix K'!$G$40))/((1+$Y$16)^AH$34))</f>
        <v>5331590.5778907211</v>
      </c>
      <c r="AI77" s="193">
        <f>(((L77*'Appendix K'!$C$15*1000)-('Appendix K'!$E$41+'Appendix K'!$F$41+'Appendix K'!$H$41+'Appendix K'!$G$41))/((1+$Y$16)^AI$34))</f>
        <v>4713995.8077059267</v>
      </c>
      <c r="AJ77" s="193">
        <f>(((M77*'Appendix K'!$C$16*1000)-('Appendix K'!$E$42+'Appendix K'!$F$42+'Appendix K'!$H$42+'Appendix K'!$G$42))/((1+$Y$16)^AJ$34))</f>
        <v>335188.41620231763</v>
      </c>
      <c r="AK77" s="193">
        <f>(((N77*'Appendix K'!$C$17*1000)-('Appendix K'!$E$43+'Appendix K'!$F$43+'Appendix K'!$H$43))/((1+$Y$16)^AK$34))</f>
        <v>382010.81263255875</v>
      </c>
      <c r="AL77" s="193">
        <f>(((O77*'Appendix K'!$C$18*1000)-('Appendix K'!$E$44+'Appendix K'!$F$44+'Appendix K'!$H$44+'Appendix K'!$G$44))/((1+$Y$16)^AL$34))</f>
        <v>-208368.67236645322</v>
      </c>
      <c r="AM77" s="193">
        <f>(((P77*'Appendix K'!$C$19*1000)-('Appendix K'!$E$45+'Appendix K'!$F$45+'Appendix K'!$H$45+'Appendix K'!$G$45))/((1+$Y$16)^AM$34))</f>
        <v>210919.18256480142</v>
      </c>
      <c r="AN77" s="193">
        <f>(((Q77*'Appendix K'!$C$20*1000)-('Appendix K'!$E$46+'Appendix K'!$F$46+'Appendix K'!$H$46+'Appendix K'!$G$46))/((1+$Y$16)^AN$34))</f>
        <v>-299342.8046132641</v>
      </c>
      <c r="AO77" s="193">
        <f>(((R77*'Appendix K'!$C$21*1000)-('Appendix K'!$E$47+'Appendix K'!$F$47+'Appendix K'!$H$47+'Appendix K'!$G$47))/((1+$Y$16)^AO$34))</f>
        <v>-235508.42346872698</v>
      </c>
      <c r="AP77" s="193">
        <f>(((S77*'Appendix K'!$C$22*1000)-('Appendix K'!$E$48+'Appendix K'!$F$48+'Appendix K'!$H$48+'Appendix K'!$G$48))/((1+$Y$16)^AP$34))</f>
        <v>-316340.87903647177</v>
      </c>
      <c r="AQ77" s="193">
        <f>(((T77*'Appendix K'!$C$23*1000)-('Appendix K'!$E$49+'Appendix K'!$F$49+'Appendix K'!$H$49+'Appendix K'!$G$49))/((1+$Y$16)^AQ$34))</f>
        <v>-400971.96060292626</v>
      </c>
      <c r="AR77" s="193">
        <f>(((U77*'Appendix K'!$C$24*1000)-('Appendix K'!$E$50+'Appendix K'!$F$50+'Appendix K'!$H$50+'Appendix K'!$G$50))/((1+$Y$16)^AR$34))</f>
        <v>-343745.15873905492</v>
      </c>
      <c r="AS77" s="209">
        <f t="shared" si="14"/>
        <v>101155400.95503691</v>
      </c>
      <c r="AU77" s="199">
        <f t="shared" si="13"/>
        <v>6.8324659740233839E-9</v>
      </c>
    </row>
    <row r="78" spans="1:47" x14ac:dyDescent="0.35">
      <c r="A78">
        <v>44</v>
      </c>
      <c r="B78" s="70">
        <v>56</v>
      </c>
      <c r="C78" s="70">
        <v>45.022104759359799</v>
      </c>
      <c r="D78" s="70">
        <v>42.694551670071917</v>
      </c>
      <c r="E78" s="70">
        <v>38.492424748315827</v>
      </c>
      <c r="F78" s="70">
        <v>40.890561362897763</v>
      </c>
      <c r="G78" s="70">
        <v>54.999401884301065</v>
      </c>
      <c r="H78" s="70">
        <v>47.810865758368926</v>
      </c>
      <c r="I78" s="70">
        <v>33.233214805103898</v>
      </c>
      <c r="J78" s="70">
        <v>23.721608837218916</v>
      </c>
      <c r="K78" s="70">
        <v>30.292948913448342</v>
      </c>
      <c r="L78" s="70">
        <v>11.376157414689001</v>
      </c>
      <c r="M78" s="70">
        <v>14.594929650929199</v>
      </c>
      <c r="N78" s="70">
        <v>13.525067751014475</v>
      </c>
      <c r="O78" s="70">
        <v>11.800861064517642</v>
      </c>
      <c r="P78" s="70">
        <v>8.0520401565988973</v>
      </c>
      <c r="Q78" s="70">
        <v>9.0911234120542428</v>
      </c>
      <c r="R78" s="70">
        <v>5.6314010763600528</v>
      </c>
      <c r="S78" s="70">
        <v>7.5049796245221394</v>
      </c>
      <c r="T78" s="70">
        <v>5.4557551245751004</v>
      </c>
      <c r="U78" s="70">
        <v>10.426496009635013</v>
      </c>
      <c r="V78" s="70">
        <v>13.457872608523891</v>
      </c>
      <c r="X78" s="193">
        <f>((0-('Appendix K'!$I$30))/(1+$Y$16)^0)</f>
        <v>-33594902.4440751</v>
      </c>
      <c r="Y78" s="193">
        <f>(((B78*'Appendix K'!$C$5*1000)-('Appendix K'!$E$31+'Appendix K'!$F$31+'Appendix K'!$H$31+'Appendix K'!$G$31))/((1+$Y$16)^1))</f>
        <v>34971064.972647354</v>
      </c>
      <c r="Z78" s="193">
        <f>+(((C78*'Appendix K'!$C$6*1000)-('Appendix K'!$E$32+'Appendix K'!$F$32+'Appendix K'!$H$32+'Appendix K'!$G$32))/((1+$Y$16)^2))</f>
        <v>7886106.0109722298</v>
      </c>
      <c r="AA78" s="193">
        <f>(((D78*'Appendix K'!$C$7*1000)-('Appendix K'!$E$33+'Appendix K'!$F$33+'Appendix K'!$H$33+'Appendix K'!$G$33))/((1+$Y$16)^3))</f>
        <v>2473315.0064559923</v>
      </c>
      <c r="AB78" s="193">
        <f>(((E78*'Appendix K'!$C$8*1000)-('Appendix K'!$E$34+'Appendix K'!$F$34+'Appendix K'!$H$34+'Appendix K'!$G$34))/((1+$Y$16)^4))</f>
        <v>5143979.2517429162</v>
      </c>
      <c r="AC78" s="193">
        <f>(((F78*'Appendix K'!$C$9*1000)-('Appendix K'!$E$35+'Appendix K'!$F$35+'Appendix K'!$H$35+'Appendix K'!$G$35))/((1+$Y$16)^AC$34))</f>
        <v>7884418.4813952874</v>
      </c>
      <c r="AD78" s="193">
        <f>(((G78*'Appendix K'!$C$10*1000)-('Appendix K'!$E$36+'Appendix K'!$F$36+'Appendix K'!$H$36+'Appendix K'!$G$36))/((1+$Y$16)^AD$34))</f>
        <v>6121560.4251537211</v>
      </c>
      <c r="AE78" s="193">
        <f>(((H78*'Appendix K'!$C$11*1000)-('Appendix K'!$E$37+'Appendix K'!$F$37+'Appendix K'!$H$37+'Appendix K'!$G$37))/((1+$Y$16)^AE$34))</f>
        <v>2548601.4179687672</v>
      </c>
      <c r="AF78" s="193">
        <f>(((I78*'Appendix K'!$C$12*1000)-('Appendix K'!$E$38+'Appendix K'!$F$38+'Appendix K'!$H$38+'Appendix K'!$G$38))/((1+$Y$16)^AF$34))</f>
        <v>185594.53176784198</v>
      </c>
      <c r="AG78" s="193">
        <f>(((J78*'Appendix K'!$C$13*1000)-('Appendix K'!$E$39+'Appendix K'!$F$39+'Appendix K'!$H$39+'Appendix K'!$G$39))/((1+$Y$16)^AG$34))</f>
        <v>-723300.75366468809</v>
      </c>
      <c r="AH78" s="193">
        <f>(((K78*'Appendix K'!$C$14*1000)-('Appendix K'!$E$40+'Appendix K'!$F$40+'Appendix K'!$H$40+'Appendix K'!$G$40))/((1+$Y$16)^AH$34))</f>
        <v>-611671.06298573269</v>
      </c>
      <c r="AI78" s="193">
        <f>(((L78*'Appendix K'!$C$15*1000)-('Appendix K'!$E$41+'Appendix K'!$F$41+'Appendix K'!$H$41+'Appendix K'!$G$41))/((1+$Y$16)^AI$34))</f>
        <v>-1218404.7505474968</v>
      </c>
      <c r="AJ78" s="193">
        <f>(((M78*'Appendix K'!$C$16*1000)-('Appendix K'!$E$42+'Appendix K'!$F$42+'Appendix K'!$H$42+'Appendix K'!$G$42))/((1+$Y$16)^AJ$34))</f>
        <v>-1089041.3200914629</v>
      </c>
      <c r="AK78" s="193">
        <f>(((N78*'Appendix K'!$C$17*1000)-('Appendix K'!$E$43+'Appendix K'!$F$43+'Appendix K'!$H$43))/((1+$Y$16)^AK$34))</f>
        <v>-796460.86228122166</v>
      </c>
      <c r="AL78" s="193">
        <f>(((O78*'Appendix K'!$C$18*1000)-('Appendix K'!$E$44+'Appendix K'!$F$44+'Appendix K'!$H$44+'Appendix K'!$G$44))/((1+$Y$16)^AL$34))</f>
        <v>-994710.0470440113</v>
      </c>
      <c r="AM78" s="193">
        <f>(((P78*'Appendix K'!$C$19*1000)-('Appendix K'!$E$45+'Appendix K'!$F$45+'Appendix K'!$H$45+'Appendix K'!$G$45))/((1+$Y$16)^AM$34))</f>
        <v>-952133.74152111646</v>
      </c>
      <c r="AN78" s="193">
        <f>(((Q78*'Appendix K'!$C$20*1000)-('Appendix K'!$E$46+'Appendix K'!$F$46+'Appendix K'!$H$46+'Appendix K'!$G$46))/((1+$Y$16)^AN$34))</f>
        <v>-849923.49807341734</v>
      </c>
      <c r="AO78" s="193">
        <f>(((R78*'Appendix K'!$C$21*1000)-('Appendix K'!$E$47+'Appendix K'!$F$47+'Appendix K'!$H$47+'Appendix K'!$G$47))/((1+$Y$16)^AO$34))</f>
        <v>-809716.72286229802</v>
      </c>
      <c r="AP78" s="193">
        <f>(((S78*'Appendix K'!$C$22*1000)-('Appendix K'!$E$48+'Appendix K'!$F$48+'Appendix K'!$H$48+'Appendix K'!$G$48))/((1+$Y$16)^AP$34))</f>
        <v>-728506.48675054207</v>
      </c>
      <c r="AQ78" s="193">
        <f>(((T78*'Appendix K'!$C$23*1000)-('Appendix K'!$E$49+'Appendix K'!$F$49+'Appendix K'!$H$49+'Appendix K'!$G$49))/((1+$Y$16)^AQ$34))</f>
        <v>-672133.20266333246</v>
      </c>
      <c r="AR78" s="193">
        <f>(((U78*'Appendix K'!$C$24*1000)-('Appendix K'!$E$50+'Appendix K'!$F$50+'Appendix K'!$H$50+'Appendix K'!$G$50))/((1+$Y$16)^AR$34))</f>
        <v>-595715.260018765</v>
      </c>
      <c r="AS78" s="209">
        <f t="shared" si="14"/>
        <v>33619737.654029019</v>
      </c>
      <c r="AU78" s="199">
        <f t="shared" si="13"/>
        <v>4.4704476285769619E-9</v>
      </c>
    </row>
    <row r="79" spans="1:47" x14ac:dyDescent="0.35">
      <c r="A79">
        <v>45</v>
      </c>
      <c r="B79" s="70">
        <v>56</v>
      </c>
      <c r="C79" s="70">
        <v>87.297814232761311</v>
      </c>
      <c r="D79" s="70">
        <v>51.262313083773691</v>
      </c>
      <c r="E79" s="70">
        <v>61.374371351158956</v>
      </c>
      <c r="F79" s="70">
        <v>69.469897828723447</v>
      </c>
      <c r="G79" s="70">
        <v>65.777287533962152</v>
      </c>
      <c r="H79" s="70">
        <v>56.621995127735062</v>
      </c>
      <c r="I79" s="70">
        <v>86.48325775039784</v>
      </c>
      <c r="J79" s="70">
        <v>96.725383263036065</v>
      </c>
      <c r="K79" s="70">
        <v>131.77904760927473</v>
      </c>
      <c r="L79" s="70">
        <v>161.19518234476402</v>
      </c>
      <c r="M79" s="70">
        <v>140.07548596004835</v>
      </c>
      <c r="N79" s="70">
        <v>114.01232161973473</v>
      </c>
      <c r="O79" s="70">
        <v>196.99983169291875</v>
      </c>
      <c r="P79" s="70">
        <v>294.10113131303962</v>
      </c>
      <c r="Q79" s="70">
        <v>276.85851616793991</v>
      </c>
      <c r="R79" s="70">
        <v>177.54937573086224</v>
      </c>
      <c r="S79" s="70">
        <v>136.44793221044335</v>
      </c>
      <c r="T79" s="70">
        <v>195.83994102366586</v>
      </c>
      <c r="U79" s="70">
        <v>186.71919865559218</v>
      </c>
      <c r="V79" s="70">
        <v>241.86542464004813</v>
      </c>
      <c r="X79" s="193">
        <f>((0-('Appendix K'!$I$30))/(1+$Y$16)^0)</f>
        <v>-33594902.4440751</v>
      </c>
      <c r="Y79" s="193">
        <f>(((B79*'Appendix K'!$C$5*1000)-('Appendix K'!$E$31+'Appendix K'!$F$31+'Appendix K'!$H$31+'Appendix K'!$G$31))/((1+$Y$16)^1))</f>
        <v>34971064.972647354</v>
      </c>
      <c r="Z79" s="193">
        <f>+(((C79*'Appendix K'!$C$6*1000)-('Appendix K'!$E$32+'Appendix K'!$F$32+'Appendix K'!$H$32+'Appendix K'!$G$32))/((1+$Y$16)^2))</f>
        <v>18565673.270658392</v>
      </c>
      <c r="AA79" s="193">
        <f>(((D79*'Appendix K'!$C$7*1000)-('Appendix K'!$E$33+'Appendix K'!$F$33+'Appendix K'!$H$33+'Appendix K'!$G$33))/((1+$Y$16)^3))</f>
        <v>3564632.5229240288</v>
      </c>
      <c r="AB79" s="193">
        <f>(((E79*'Appendix K'!$C$8*1000)-('Appendix K'!$E$34+'Appendix K'!$F$34+'Appendix K'!$H$34+'Appendix K'!$G$34))/((1+$Y$16)^4))</f>
        <v>10159492.483025968</v>
      </c>
      <c r="AC79" s="193">
        <f>(((F79*'Appendix K'!$C$9*1000)-('Appendix K'!$E$35+'Appendix K'!$F$35+'Appendix K'!$H$35+'Appendix K'!$G$35))/((1+$Y$16)^AC$34))</f>
        <v>15480761.236400219</v>
      </c>
      <c r="AD79" s="193">
        <f>(((G79*'Appendix K'!$C$10*1000)-('Appendix K'!$E$36+'Appendix K'!$F$36+'Appendix K'!$H$36+'Appendix K'!$G$36))/((1+$Y$16)^AD$34))</f>
        <v>7814162.1765675182</v>
      </c>
      <c r="AE79" s="193">
        <f>(((H79*'Appendix K'!$C$11*1000)-('Appendix K'!$E$37+'Appendix K'!$F$37+'Appendix K'!$H$37+'Appendix K'!$G$37))/((1+$Y$16)^AE$34))</f>
        <v>3427402.5686408426</v>
      </c>
      <c r="AF79" s="193">
        <f>(((I79*'Appendix K'!$C$12*1000)-('Appendix K'!$E$38+'Appendix K'!$F$38+'Appendix K'!$H$38+'Appendix K'!$G$38))/((1+$Y$16)^AF$34))</f>
        <v>3682121.5914888722</v>
      </c>
      <c r="AG79" s="193">
        <f>(((J79*'Appendix K'!$C$13*1000)-('Appendix K'!$E$39+'Appendix K'!$F$39+'Appendix K'!$H$39+'Appendix K'!$G$39))/((1+$Y$16)^AG$34))</f>
        <v>2636255.0183932981</v>
      </c>
      <c r="AH79" s="193">
        <f>(((K79*'Appendix K'!$C$14*1000)-('Appendix K'!$E$40+'Appendix K'!$F$40+'Appendix K'!$H$40+'Appendix K'!$G$40))/((1+$Y$16)^AH$34))</f>
        <v>2809072.8380829436</v>
      </c>
      <c r="AI79" s="193">
        <f>(((L79*'Appendix K'!$C$15*1000)-('Appendix K'!$E$41+'Appendix K'!$F$41+'Appendix K'!$H$41+'Appendix K'!$G$41))/((1+$Y$16)^AI$34))</f>
        <v>2707133.8655708712</v>
      </c>
      <c r="AJ79" s="193">
        <f>(((M79*'Appendix K'!$C$16*1000)-('Appendix K'!$E$42+'Appendix K'!$F$42+'Appendix K'!$H$42+'Appendix K'!$G$42))/((1+$Y$16)^AJ$34))</f>
        <v>1425823.2977747982</v>
      </c>
      <c r="AK79" s="193">
        <f>(((N79*'Appendix K'!$C$17*1000)-('Appendix K'!$E$43+'Appendix K'!$F$43+'Appendix K'!$H$43))/((1+$Y$16)^AK$34))</f>
        <v>747415.00245845667</v>
      </c>
      <c r="AL79" s="193">
        <f>(((O79*'Appendix K'!$C$18*1000)-('Appendix K'!$E$44+'Appendix K'!$F$44+'Appendix K'!$H$44+'Appendix K'!$G$44))/((1+$Y$16)^AL$34))</f>
        <v>1200507.8470052751</v>
      </c>
      <c r="AM79" s="193">
        <f>(((P79*'Appendix K'!$C$19*1000)-('Appendix K'!$E$45+'Appendix K'!$F$45+'Appendix K'!$H$45+'Appendix K'!$G$45))/((1+$Y$16)^AM$34))</f>
        <v>1699178.5638312674</v>
      </c>
      <c r="AN79" s="193">
        <f>(((Q79*'Appendix K'!$C$20*1000)-('Appendix K'!$E$46+'Appendix K'!$F$46+'Appendix K'!$H$46+'Appendix K'!$G$46))/((1+$Y$16)^AN$34))</f>
        <v>1087699.4322149621</v>
      </c>
      <c r="AO79" s="193">
        <f>(((R79*'Appendix K'!$C$21*1000)-('Appendix K'!$E$47+'Appendix K'!$F$47+'Appendix K'!$H$47+'Appendix K'!$G$47))/((1+$Y$16)^AO$34))</f>
        <v>206337.5008505671</v>
      </c>
      <c r="AP79" s="193">
        <f>(((S79*'Appendix K'!$C$22*1000)-('Appendix K'!$E$48+'Appendix K'!$F$48+'Appendix K'!$H$48+'Appendix K'!$G$48))/((1+$Y$16)^AP$34))</f>
        <v>-110905.93277581736</v>
      </c>
      <c r="AQ79" s="193">
        <f>(((T79*'Appendix K'!$C$23*1000)-('Appendix K'!$E$49+'Appendix K'!$F$49+'Appendix K'!$H$49+'Appendix K'!$G$49))/((1+$Y$16)^AQ$34))</f>
        <v>72981.761344135404</v>
      </c>
      <c r="AR79" s="193">
        <f>(((U79*'Appendix K'!$C$24*1000)-('Appendix K'!$E$50+'Appendix K'!$F$50+'Appendix K'!$H$50+'Appendix K'!$G$50))/((1+$Y$16)^AR$34))</f>
        <v>-28047.817978480423</v>
      </c>
      <c r="AS79" s="209">
        <f t="shared" si="14"/>
        <v>78662813.505804658</v>
      </c>
      <c r="AU79" s="199">
        <f t="shared" si="13"/>
        <v>6.9427154681951222E-9</v>
      </c>
    </row>
    <row r="80" spans="1:47" x14ac:dyDescent="0.35">
      <c r="A80">
        <v>46</v>
      </c>
      <c r="B80" s="70">
        <v>56</v>
      </c>
      <c r="C80" s="70">
        <v>91.64469133466784</v>
      </c>
      <c r="D80" s="70">
        <v>115.20766933599248</v>
      </c>
      <c r="E80" s="70">
        <v>143.25677200380539</v>
      </c>
      <c r="F80" s="70">
        <v>82.445729880916502</v>
      </c>
      <c r="G80" s="70">
        <v>86.931139996608294</v>
      </c>
      <c r="H80" s="70">
        <v>36.964448363331392</v>
      </c>
      <c r="I80" s="70">
        <v>32.246172098260942</v>
      </c>
      <c r="J80" s="70">
        <v>19.315265940441265</v>
      </c>
      <c r="K80" s="70">
        <v>25.344200305102575</v>
      </c>
      <c r="L80" s="70">
        <v>25.549602955794576</v>
      </c>
      <c r="M80" s="70">
        <v>33.174362087336632</v>
      </c>
      <c r="N80" s="70">
        <v>42.39893255972855</v>
      </c>
      <c r="O80" s="70">
        <v>61.107242588979972</v>
      </c>
      <c r="P80" s="70">
        <v>70.503645683766933</v>
      </c>
      <c r="Q80" s="70">
        <v>72.587590342866491</v>
      </c>
      <c r="R80" s="70">
        <v>87.020753762456138</v>
      </c>
      <c r="S80" s="70">
        <v>127.11255978506495</v>
      </c>
      <c r="T80" s="70">
        <v>153.74766659363715</v>
      </c>
      <c r="U80" s="70">
        <v>142.04413035963091</v>
      </c>
      <c r="V80" s="70">
        <v>237.42263105105616</v>
      </c>
      <c r="X80" s="193">
        <f>((0-('Appendix K'!$I$30))/(1+$Y$16)^0)</f>
        <v>-33594902.4440751</v>
      </c>
      <c r="Y80" s="193">
        <f>(((B80*'Appendix K'!$C$5*1000)-('Appendix K'!$E$31+'Appendix K'!$F$31+'Appendix K'!$H$31+'Appendix K'!$G$31))/((1+$Y$16)^1))</f>
        <v>34971064.972647354</v>
      </c>
      <c r="Z80" s="193">
        <f>+(((C80*'Appendix K'!$C$6*1000)-('Appendix K'!$E$32+'Appendix K'!$F$32+'Appendix K'!$H$32+'Appendix K'!$G$32))/((1+$Y$16)^2))</f>
        <v>19663768.771778446</v>
      </c>
      <c r="AA80" s="193">
        <f>(((D80*'Appendix K'!$C$7*1000)-('Appendix K'!$E$33+'Appendix K'!$F$33+'Appendix K'!$H$33+'Appendix K'!$G$33))/((1+$Y$16)^3))</f>
        <v>11709664.113466909</v>
      </c>
      <c r="AB80" s="193">
        <f>(((E80*'Appendix K'!$C$8*1000)-('Appendix K'!$E$34+'Appendix K'!$F$34+'Appendix K'!$H$34+'Appendix K'!$G$34))/((1+$Y$16)^4))</f>
        <v>28107365.144853625</v>
      </c>
      <c r="AC80" s="193">
        <f>(((F80*'Appendix K'!$C$9*1000)-('Appendix K'!$E$35+'Appendix K'!$F$35+'Appendix K'!$H$35+'Appendix K'!$G$35))/((1+$Y$16)^AC$34))</f>
        <v>18929717.020160388</v>
      </c>
      <c r="AD80" s="193">
        <f>(((G80*'Appendix K'!$C$10*1000)-('Appendix K'!$E$36+'Appendix K'!$F$36+'Appendix K'!$H$36+'Appendix K'!$G$36))/((1+$Y$16)^AD$34))</f>
        <v>11136246.757094666</v>
      </c>
      <c r="AE80" s="193">
        <f>(((H80*'Appendix K'!$C$11*1000)-('Appendix K'!$E$37+'Appendix K'!$F$37+'Appendix K'!$H$37+'Appendix K'!$G$37))/((1+$Y$16)^AE$34))</f>
        <v>1466805.4656169387</v>
      </c>
      <c r="AF80" s="193">
        <f>(((I80*'Appendix K'!$C$12*1000)-('Appendix K'!$E$38+'Appendix K'!$F$38+'Appendix K'!$H$38+'Appendix K'!$G$38))/((1+$Y$16)^AF$34))</f>
        <v>120782.91204535117</v>
      </c>
      <c r="AG80" s="193">
        <f>(((J80*'Appendix K'!$C$13*1000)-('Appendix K'!$E$39+'Appendix K'!$F$39+'Appendix K'!$H$39+'Appendix K'!$G$39))/((1+$Y$16)^AG$34))</f>
        <v>-926075.95027563209</v>
      </c>
      <c r="AH80" s="193">
        <f>(((K80*'Appendix K'!$C$14*1000)-('Appendix K'!$E$40+'Appendix K'!$F$40+'Appendix K'!$H$40+'Appendix K'!$G$40))/((1+$Y$16)^AH$34))</f>
        <v>-778476.19036242482</v>
      </c>
      <c r="AI80" s="193">
        <f>(((L80*'Appendix K'!$C$15*1000)-('Appendix K'!$E$41+'Appendix K'!$F$41+'Appendix K'!$H$41+'Appendix K'!$G$41))/((1+$Y$16)^AI$34))</f>
        <v>-847033.97289740387</v>
      </c>
      <c r="AJ80" s="193">
        <f>(((M80*'Appendix K'!$C$16*1000)-('Appendix K'!$E$42+'Appendix K'!$F$42+'Appendix K'!$H$42+'Appendix K'!$G$42))/((1+$Y$16)^AJ$34))</f>
        <v>-716674.80667521548</v>
      </c>
      <c r="AK80" s="193">
        <f>(((N80*'Appendix K'!$C$17*1000)-('Appendix K'!$E$43+'Appendix K'!$F$43+'Appendix K'!$H$43))/((1+$Y$16)^AK$34))</f>
        <v>-352845.76401047304</v>
      </c>
      <c r="AL80" s="193">
        <f>(((O80*'Appendix K'!$C$18*1000)-('Appendix K'!$E$44+'Appendix K'!$F$44+'Appendix K'!$H$44+'Appendix K'!$G$44))/((1+$Y$16)^AL$34))</f>
        <v>-410266.9983269684</v>
      </c>
      <c r="AM80" s="193">
        <f>(((P80*'Appendix K'!$C$19*1000)-('Appendix K'!$E$45+'Appendix K'!$F$45+'Appendix K'!$H$45+'Appendix K'!$G$45))/((1+$Y$16)^AM$34))</f>
        <v>-373286.55989298708</v>
      </c>
      <c r="AN80" s="193">
        <f>(((Q80*'Appendix K'!$C$20*1000)-('Appendix K'!$E$46+'Appendix K'!$F$46+'Appendix K'!$H$46+'Appendix K'!$G$46))/((1+$Y$16)^AN$34))</f>
        <v>-390449.29155715246</v>
      </c>
      <c r="AO80" s="193">
        <f>(((R80*'Appendix K'!$C$21*1000)-('Appendix K'!$E$47+'Appendix K'!$F$47+'Appendix K'!$H$47+'Appendix K'!$G$47))/((1+$Y$16)^AO$34))</f>
        <v>-328696.65658851061</v>
      </c>
      <c r="AP80" s="193">
        <f>(((S80*'Appendix K'!$C$22*1000)-('Appendix K'!$E$48+'Appendix K'!$F$48+'Appendix K'!$H$48+'Appendix K'!$G$48))/((1+$Y$16)^AP$34))</f>
        <v>-155619.74664348277</v>
      </c>
      <c r="AQ80" s="193">
        <f>(((T80*'Appendix K'!$C$23*1000)-('Appendix K'!$E$49+'Appendix K'!$F$49+'Appendix K'!$H$49+'Appendix K'!$G$49))/((1+$Y$16)^AQ$34))</f>
        <v>-91756.62487638263</v>
      </c>
      <c r="AR80" s="193">
        <f>(((U80*'Appendix K'!$C$24*1000)-('Appendix K'!$E$50+'Appendix K'!$F$50+'Appendix K'!$H$50+'Appendix K'!$G$50))/((1+$Y$16)^AR$34))</f>
        <v>-171902.78963589596</v>
      </c>
      <c r="AS80" s="209">
        <f t="shared" si="14"/>
        <v>92510512.713588595</v>
      </c>
      <c r="AU80" s="199">
        <f t="shared" si="13"/>
        <v>7.0035890831852106E-9</v>
      </c>
    </row>
    <row r="81" spans="1:47" x14ac:dyDescent="0.35">
      <c r="A81">
        <v>47</v>
      </c>
      <c r="B81" s="70">
        <v>56</v>
      </c>
      <c r="C81" s="70">
        <v>49.144636252487579</v>
      </c>
      <c r="D81" s="70">
        <v>62.395933015964175</v>
      </c>
      <c r="E81" s="70">
        <v>60.096664819889732</v>
      </c>
      <c r="F81" s="70">
        <v>53.534566577675633</v>
      </c>
      <c r="G81" s="70">
        <v>60.438643636100593</v>
      </c>
      <c r="H81" s="70">
        <v>54.769210380332353</v>
      </c>
      <c r="I81" s="70">
        <v>47.343862800605173</v>
      </c>
      <c r="J81" s="70">
        <v>41.144591427751031</v>
      </c>
      <c r="K81" s="70">
        <v>48.54514612507711</v>
      </c>
      <c r="L81" s="70">
        <v>55.221344304477363</v>
      </c>
      <c r="M81" s="70">
        <v>74.640902069004568</v>
      </c>
      <c r="N81" s="70">
        <v>13.338401639200598</v>
      </c>
      <c r="O81" s="70">
        <v>10.454792389421852</v>
      </c>
      <c r="P81" s="70">
        <v>11.460844179436956</v>
      </c>
      <c r="Q81" s="70">
        <v>11.90541444534519</v>
      </c>
      <c r="R81" s="70">
        <v>13.168027504636949</v>
      </c>
      <c r="S81" s="70">
        <v>8.3729839540924118</v>
      </c>
      <c r="T81" s="70">
        <v>13.362017829529499</v>
      </c>
      <c r="U81" s="70">
        <v>27.344158020473785</v>
      </c>
      <c r="V81" s="70">
        <v>25.559083761840096</v>
      </c>
      <c r="X81" s="193">
        <f>((0-('Appendix K'!$I$30))/(1+$Y$16)^0)</f>
        <v>-33594902.4440751</v>
      </c>
      <c r="Y81" s="193">
        <f>(((B81*'Appendix K'!$C$5*1000)-('Appendix K'!$E$31+'Appendix K'!$F$31+'Appendix K'!$H$31+'Appendix K'!$G$31))/((1+$Y$16)^1))</f>
        <v>34971064.972647354</v>
      </c>
      <c r="Z81" s="193">
        <f>+(((C81*'Appendix K'!$C$6*1000)-('Appendix K'!$E$32+'Appendix K'!$F$32+'Appendix K'!$H$32+'Appendix K'!$G$32))/((1+$Y$16)^2))</f>
        <v>8927527.9743039832</v>
      </c>
      <c r="AA81" s="193">
        <f>(((D81*'Appendix K'!$C$7*1000)-('Appendix K'!$E$33+'Appendix K'!$F$33+'Appendix K'!$H$33+'Appendix K'!$G$33))/((1+$Y$16)^3))</f>
        <v>4982775.9406744428</v>
      </c>
      <c r="AB81" s="193">
        <f>(((E81*'Appendix K'!$C$8*1000)-('Appendix K'!$E$34+'Appendix K'!$F$34+'Appendix K'!$H$34+'Appendix K'!$G$34))/((1+$Y$16)^4))</f>
        <v>9879430.9076492786</v>
      </c>
      <c r="AC81" s="193">
        <f>(((F81*'Appendix K'!$C$9*1000)-('Appendix K'!$E$35+'Appendix K'!$F$35+'Appendix K'!$H$35+'Appendix K'!$G$35))/((1+$Y$16)^AC$34))</f>
        <v>11245175.212832144</v>
      </c>
      <c r="AD81" s="193">
        <f>(((G81*'Appendix K'!$C$10*1000)-('Appendix K'!$E$36+'Appendix K'!$F$36+'Appendix K'!$H$36+'Appendix K'!$G$36))/((1+$Y$16)^AD$34))</f>
        <v>6975760.4431088613</v>
      </c>
      <c r="AE81" s="193">
        <f>(((H81*'Appendix K'!$C$11*1000)-('Appendix K'!$E$37+'Appendix K'!$F$37+'Appendix K'!$H$37+'Appendix K'!$G$37))/((1+$Y$16)^AE$34))</f>
        <v>3242610.2111904938</v>
      </c>
      <c r="AF81" s="193">
        <f>(((I81*'Appendix K'!$C$12*1000)-('Appendix K'!$E$38+'Appendix K'!$F$38+'Appendix K'!$H$38+'Appendix K'!$G$38))/((1+$Y$16)^AF$34))</f>
        <v>1112133.9262459991</v>
      </c>
      <c r="AG81" s="193">
        <f>(((J81*'Appendix K'!$C$13*1000)-('Appendix K'!$E$39+'Appendix K'!$F$39+'Appendix K'!$H$39+'Appendix K'!$G$39))/((1+$Y$16)^AG$34))</f>
        <v>78486.307194292909</v>
      </c>
      <c r="AH81" s="193">
        <f>(((K81*'Appendix K'!$C$14*1000)-('Appendix K'!$E$40+'Appendix K'!$F$40+'Appendix K'!$H$40+'Appendix K'!$G$40))/((1+$Y$16)^AH$34))</f>
        <v>3547.1106866528503</v>
      </c>
      <c r="AI81" s="193">
        <f>(((L81*'Appendix K'!$C$15*1000)-('Appendix K'!$E$41+'Appendix K'!$F$41+'Appendix K'!$H$41+'Appendix K'!$G$41))/((1+$Y$16)^AI$34))</f>
        <v>-69578.863133514169</v>
      </c>
      <c r="AJ81" s="193">
        <f>(((M81*'Appendix K'!$C$16*1000)-('Appendix K'!$E$42+'Appendix K'!$F$42+'Appendix K'!$H$42+'Appendix K'!$G$42))/((1+$Y$16)^AJ$34))</f>
        <v>114392.07167312912</v>
      </c>
      <c r="AK81" s="193">
        <f>(((N81*'Appendix K'!$C$17*1000)-('Appendix K'!$E$43+'Appendix K'!$F$43+'Appendix K'!$H$43))/((1+$Y$16)^AK$34))</f>
        <v>-799328.78128287685</v>
      </c>
      <c r="AL81" s="193">
        <f>(((O81*'Appendix K'!$C$18*1000)-('Appendix K'!$E$44+'Appendix K'!$F$44+'Appendix K'!$H$44+'Appendix K'!$G$44))/((1+$Y$16)^AL$34))</f>
        <v>-1010665.3951334911</v>
      </c>
      <c r="AM81" s="193">
        <f>(((P81*'Appendix K'!$C$19*1000)-('Appendix K'!$E$45+'Appendix K'!$F$45+'Appendix K'!$H$45+'Appendix K'!$G$45))/((1+$Y$16)^AM$34))</f>
        <v>-920538.45130101056</v>
      </c>
      <c r="AN81" s="193">
        <f>(((Q81*'Appendix K'!$C$20*1000)-('Appendix K'!$E$46+'Appendix K'!$F$46+'Appendix K'!$H$46+'Appendix K'!$G$46))/((1+$Y$16)^AN$34))</f>
        <v>-829558.67776245123</v>
      </c>
      <c r="AO81" s="193">
        <f>(((R81*'Appendix K'!$C$21*1000)-('Appendix K'!$E$47+'Appendix K'!$F$47+'Appendix K'!$H$47+'Appendix K'!$G$47))/((1+$Y$16)^AO$34))</f>
        <v>-765174.42802439048</v>
      </c>
      <c r="AP81" s="193">
        <f>(((S81*'Appendix K'!$C$22*1000)-('Appendix K'!$E$48+'Appendix K'!$F$48+'Appendix K'!$H$48+'Appendix K'!$G$48))/((1+$Y$16)^AP$34))</f>
        <v>-724348.98962453334</v>
      </c>
      <c r="AQ81" s="193">
        <f>(((T81*'Appendix K'!$C$23*1000)-('Appendix K'!$E$49+'Appendix K'!$F$49+'Appendix K'!$H$49+'Appendix K'!$G$49))/((1+$Y$16)^AQ$34))</f>
        <v>-641190.11449130264</v>
      </c>
      <c r="AR81" s="193">
        <f>(((U81*'Appendix K'!$C$24*1000)-('Appendix K'!$E$50+'Appendix K'!$F$50+'Appendix K'!$H$50+'Appendix K'!$G$50))/((1+$Y$16)^AR$34))</f>
        <v>-541239.91433028493</v>
      </c>
      <c r="AS81" s="209">
        <f t="shared" si="14"/>
        <v>47938002.634131528</v>
      </c>
      <c r="AU81" s="199">
        <f t="shared" si="13"/>
        <v>5.5053325163984193E-9</v>
      </c>
    </row>
    <row r="82" spans="1:47" x14ac:dyDescent="0.35">
      <c r="A82">
        <v>48</v>
      </c>
      <c r="B82" s="70">
        <v>56</v>
      </c>
      <c r="C82" s="70">
        <v>62.092049561228052</v>
      </c>
      <c r="D82" s="70">
        <v>64.591674166596178</v>
      </c>
      <c r="E82" s="70">
        <v>93.855794186031574</v>
      </c>
      <c r="F82" s="70">
        <v>102.28956693440037</v>
      </c>
      <c r="G82" s="70">
        <v>131.54459870714058</v>
      </c>
      <c r="H82" s="70">
        <v>169.58812989144735</v>
      </c>
      <c r="I82" s="70">
        <v>192.7412096753061</v>
      </c>
      <c r="J82" s="70">
        <v>154.1967163809133</v>
      </c>
      <c r="K82" s="70">
        <v>82.868561625536358</v>
      </c>
      <c r="L82" s="70">
        <v>93.064199513112058</v>
      </c>
      <c r="M82" s="70">
        <v>78.401370492909493</v>
      </c>
      <c r="N82" s="70">
        <v>52.378411024738696</v>
      </c>
      <c r="O82" s="70">
        <v>54.560522837709335</v>
      </c>
      <c r="P82" s="70">
        <v>46.784791778521729</v>
      </c>
      <c r="Q82" s="70">
        <v>40.529844017335805</v>
      </c>
      <c r="R82" s="70">
        <v>28.570657124828905</v>
      </c>
      <c r="S82" s="70">
        <v>23.705898534252427</v>
      </c>
      <c r="T82" s="70">
        <v>28.221519930649137</v>
      </c>
      <c r="U82" s="70">
        <v>42.917700046045454</v>
      </c>
      <c r="V82" s="70">
        <v>36.537484599339187</v>
      </c>
      <c r="X82" s="193">
        <f>((0-('Appendix K'!$I$30))/(1+$Y$16)^0)</f>
        <v>-33594902.4440751</v>
      </c>
      <c r="Y82" s="193">
        <f>(((B82*'Appendix K'!$C$5*1000)-('Appendix K'!$E$31+'Appendix K'!$F$31+'Appendix K'!$H$31+'Appendix K'!$G$31))/((1+$Y$16)^1))</f>
        <v>34971064.972647354</v>
      </c>
      <c r="Z82" s="193">
        <f>+(((C82*'Appendix K'!$C$6*1000)-('Appendix K'!$E$32+'Appendix K'!$F$32+'Appendix K'!$H$32+'Appendix K'!$G$32))/((1+$Y$16)^2))</f>
        <v>12198266.017308235</v>
      </c>
      <c r="AA82" s="193">
        <f>(((D82*'Appendix K'!$C$7*1000)-('Appendix K'!$E$33+'Appendix K'!$F$33+'Appendix K'!$H$33+'Appendix K'!$G$33))/((1+$Y$16)^3))</f>
        <v>5262458.189468422</v>
      </c>
      <c r="AB82" s="193">
        <f>(((E82*'Appendix K'!$C$8*1000)-('Appendix K'!$E$34+'Appendix K'!$F$34+'Appendix K'!$H$34+'Appendix K'!$G$34))/((1+$Y$16)^4))</f>
        <v>17279123.029622961</v>
      </c>
      <c r="AC82" s="193">
        <f>(((F82*'Appendix K'!$C$9*1000)-('Appendix K'!$E$35+'Appendix K'!$F$35+'Appendix K'!$H$35+'Appendix K'!$G$35))/((1+$Y$16)^AC$34))</f>
        <v>24204177.748560488</v>
      </c>
      <c r="AD82" s="193">
        <f>(((G82*'Appendix K'!$C$10*1000)-('Appendix K'!$E$36+'Appendix K'!$F$36+'Appendix K'!$H$36+'Appendix K'!$G$36))/((1+$Y$16)^AD$34))</f>
        <v>18142520.60380676</v>
      </c>
      <c r="AE82" s="193">
        <f>(((H82*'Appendix K'!$C$11*1000)-('Appendix K'!$E$37+'Appendix K'!$F$37+'Appendix K'!$H$37+'Appendix K'!$G$37))/((1+$Y$16)^AE$34))</f>
        <v>14694376.988796113</v>
      </c>
      <c r="AF82" s="193">
        <f>(((I82*'Appendix K'!$C$12*1000)-('Appendix K'!$E$38+'Appendix K'!$F$38+'Appendix K'!$H$38+'Appendix K'!$G$38))/((1+$Y$16)^AF$34))</f>
        <v>10659276.60707582</v>
      </c>
      <c r="AG82" s="193">
        <f>(((J82*'Appendix K'!$C$13*1000)-('Appendix K'!$E$39+'Appendix K'!$F$39+'Appendix K'!$H$39+'Appendix K'!$G$39))/((1+$Y$16)^AG$34))</f>
        <v>5281024.4213811979</v>
      </c>
      <c r="AH82" s="193">
        <f>(((K82*'Appendix K'!$C$14*1000)-('Appendix K'!$E$40+'Appendix K'!$F$40+'Appendix K'!$H$40+'Appendix K'!$G$40))/((1+$Y$16)^AH$34))</f>
        <v>1160470.2336155134</v>
      </c>
      <c r="AI82" s="193">
        <f>(((L82*'Appendix K'!$C$15*1000)-('Appendix K'!$E$41+'Appendix K'!$F$41+'Appendix K'!$H$41+'Appendix K'!$G$41))/((1+$Y$16)^AI$34))</f>
        <v>921974.70981895982</v>
      </c>
      <c r="AJ82" s="193">
        <f>(((M82*'Appendix K'!$C$16*1000)-('Appendix K'!$E$42+'Appendix K'!$F$42+'Appendix K'!$H$42+'Appendix K'!$G$42))/((1+$Y$16)^AJ$34))</f>
        <v>189758.87959980502</v>
      </c>
      <c r="AK82" s="193">
        <f>(((N82*'Appendix K'!$C$17*1000)-('Appendix K'!$E$43+'Appendix K'!$F$43+'Appendix K'!$H$43))/((1+$Y$16)^AK$34))</f>
        <v>-199522.08014359348</v>
      </c>
      <c r="AL82" s="193">
        <f>(((O82*'Appendix K'!$C$18*1000)-('Appendix K'!$E$44+'Appendix K'!$F$44+'Appendix K'!$H$44+'Appendix K'!$G$44))/((1+$Y$16)^AL$34))</f>
        <v>-487867.19392498466</v>
      </c>
      <c r="AM82" s="193">
        <f>(((P82*'Appendix K'!$C$19*1000)-('Appendix K'!$E$45+'Appendix K'!$F$45+'Appendix K'!$H$45+'Appendix K'!$G$45))/((1+$Y$16)^AM$34))</f>
        <v>-593130.25516080239</v>
      </c>
      <c r="AN82" s="193">
        <f>(((Q82*'Appendix K'!$C$20*1000)-('Appendix K'!$E$46+'Appendix K'!$F$46+'Appendix K'!$H$46+'Appendix K'!$G$46))/((1+$Y$16)^AN$34))</f>
        <v>-622426.09700166434</v>
      </c>
      <c r="AO82" s="193">
        <f>(((R82*'Appendix K'!$C$21*1000)-('Appendix K'!$E$47+'Appendix K'!$F$47+'Appendix K'!$H$47+'Appendix K'!$G$47))/((1+$Y$16)^AO$34))</f>
        <v>-674143.18528591585</v>
      </c>
      <c r="AP82" s="193">
        <f>(((S82*'Appendix K'!$C$22*1000)-('Appendix K'!$E$48+'Appendix K'!$F$48+'Appendix K'!$H$48+'Appendix K'!$G$48))/((1+$Y$16)^AP$34))</f>
        <v>-650908.63209554099</v>
      </c>
      <c r="AQ82" s="193">
        <f>(((T82*'Appendix K'!$C$23*1000)-('Appendix K'!$E$49+'Appendix K'!$F$49+'Appendix K'!$H$49+'Appendix K'!$G$49))/((1+$Y$16)^AQ$34))</f>
        <v>-583033.82739761961</v>
      </c>
      <c r="AR82" s="193">
        <f>(((U82*'Appendix K'!$C$24*1000)-('Appendix K'!$E$50+'Appendix K'!$F$50+'Appendix K'!$H$50+'Appendix K'!$G$50))/((1+$Y$16)^AR$34))</f>
        <v>-491092.67265507265</v>
      </c>
      <c r="AS82" s="209">
        <f t="shared" si="14"/>
        <v>111369589.95762655</v>
      </c>
      <c r="AU82" s="199">
        <f t="shared" si="13"/>
        <v>6.4401576350020722E-9</v>
      </c>
    </row>
    <row r="83" spans="1:47" x14ac:dyDescent="0.35">
      <c r="A83">
        <v>49</v>
      </c>
      <c r="B83" s="70">
        <v>56</v>
      </c>
      <c r="C83" s="70">
        <v>80.709266950884484</v>
      </c>
      <c r="D83" s="70">
        <v>100.36238836647233</v>
      </c>
      <c r="E83" s="70">
        <v>93.990241530397213</v>
      </c>
      <c r="F83" s="70">
        <v>111.08283454500307</v>
      </c>
      <c r="G83" s="70">
        <v>141.38055690483148</v>
      </c>
      <c r="H83" s="70">
        <v>119.73224151443151</v>
      </c>
      <c r="I83" s="70">
        <v>85.578518418439899</v>
      </c>
      <c r="J83" s="70">
        <v>74.732581886456671</v>
      </c>
      <c r="K83" s="70">
        <v>78.492775717574517</v>
      </c>
      <c r="L83" s="70">
        <v>43.224815429093276</v>
      </c>
      <c r="M83" s="70">
        <v>69.682474596497997</v>
      </c>
      <c r="N83" s="70">
        <v>75.738654205119147</v>
      </c>
      <c r="O83" s="70">
        <v>67.267193057096037</v>
      </c>
      <c r="P83" s="70">
        <v>62.97359753326743</v>
      </c>
      <c r="Q83" s="70">
        <v>68.499279557480989</v>
      </c>
      <c r="R83" s="70">
        <v>72.736165956111009</v>
      </c>
      <c r="S83" s="70">
        <v>110.6154758967665</v>
      </c>
      <c r="T83" s="70">
        <v>137.13729481012001</v>
      </c>
      <c r="U83" s="70">
        <v>223.05733017107781</v>
      </c>
      <c r="V83" s="70">
        <v>308.0298069468077</v>
      </c>
      <c r="X83" s="193">
        <f>((0-('Appendix K'!$I$30))/(1+$Y$16)^0)</f>
        <v>-33594902.4440751</v>
      </c>
      <c r="Y83" s="193">
        <f>(((B83*'Appendix K'!$C$5*1000)-('Appendix K'!$E$31+'Appendix K'!$F$31+'Appendix K'!$H$31+'Appendix K'!$G$31))/((1+$Y$16)^1))</f>
        <v>34971064.972647354</v>
      </c>
      <c r="Z83" s="193">
        <f>+(((C83*'Appendix K'!$C$6*1000)-('Appendix K'!$E$32+'Appendix K'!$F$32+'Appendix K'!$H$32+'Appendix K'!$G$32))/((1+$Y$16)^2))</f>
        <v>16901293.5425146</v>
      </c>
      <c r="AA83" s="193">
        <f>(((D83*'Appendix K'!$C$7*1000)-('Appendix K'!$E$33+'Appendix K'!$F$33+'Appendix K'!$H$33+'Appendix K'!$G$33))/((1+$Y$16)^3))</f>
        <v>9818748.3448487408</v>
      </c>
      <c r="AB83" s="193">
        <f>(((E83*'Appendix K'!$C$8*1000)-('Appendix K'!$E$34+'Appendix K'!$F$34+'Appendix K'!$H$34+'Appendix K'!$G$34))/((1+$Y$16)^4))</f>
        <v>17308592.656760927</v>
      </c>
      <c r="AC83" s="193">
        <f>(((F83*'Appendix K'!$C$9*1000)-('Appendix K'!$E$35+'Appendix K'!$F$35+'Appendix K'!$H$35+'Appendix K'!$G$35))/((1+$Y$16)^AC$34))</f>
        <v>26541414.471550714</v>
      </c>
      <c r="AD83" s="193">
        <f>(((G83*'Appendix K'!$C$10*1000)-('Appendix K'!$E$36+'Appendix K'!$F$36+'Appendix K'!$H$36+'Appendix K'!$G$36))/((1+$Y$16)^AD$34))</f>
        <v>19687198.346121468</v>
      </c>
      <c r="AE83" s="193">
        <f>(((H83*'Appendix K'!$C$11*1000)-('Appendix K'!$E$37+'Appendix K'!$F$37+'Appendix K'!$H$37+'Appendix K'!$G$37))/((1+$Y$16)^AE$34))</f>
        <v>9721868.8985361718</v>
      </c>
      <c r="AF83" s="193">
        <f>(((I83*'Appendix K'!$C$12*1000)-('Appendix K'!$E$38+'Appendix K'!$F$38+'Appendix K'!$H$38+'Appendix K'!$G$38))/((1+$Y$16)^AF$34))</f>
        <v>3622714.211114835</v>
      </c>
      <c r="AG83" s="193">
        <f>(((J83*'Appendix K'!$C$13*1000)-('Appendix K'!$E$39+'Appendix K'!$F$39+'Appendix K'!$H$39+'Appendix K'!$G$39))/((1+$Y$16)^AG$34))</f>
        <v>1624169.774999595</v>
      </c>
      <c r="AH83" s="193">
        <f>(((K83*'Appendix K'!$C$14*1000)-('Appendix K'!$E$40+'Appendix K'!$F$40+'Appendix K'!$H$40+'Appendix K'!$G$40))/((1+$Y$16)^AH$34))</f>
        <v>1012977.6888295909</v>
      </c>
      <c r="AI83" s="193">
        <f>(((L83*'Appendix K'!$C$15*1000)-('Appendix K'!$E$41+'Appendix K'!$F$41+'Appendix K'!$H$41+'Appendix K'!$G$41))/((1+$Y$16)^AI$34))</f>
        <v>-383910.35328757786</v>
      </c>
      <c r="AJ83" s="193">
        <f>(((M83*'Appendix K'!$C$16*1000)-('Appendix K'!$E$42+'Appendix K'!$F$42+'Appendix K'!$H$42+'Appendix K'!$G$42))/((1+$Y$16)^AJ$34))</f>
        <v>15015.927849350306</v>
      </c>
      <c r="AK83" s="193">
        <f>(((N83*'Appendix K'!$C$17*1000)-('Appendix K'!$E$43+'Appendix K'!$F$43+'Appendix K'!$H$43))/((1+$Y$16)^AK$34))</f>
        <v>159382.30078173193</v>
      </c>
      <c r="AL83" s="193">
        <f>(((O83*'Appendix K'!$C$18*1000)-('Appendix K'!$E$44+'Appendix K'!$F$44+'Appendix K'!$H$44+'Appendix K'!$G$44))/((1+$Y$16)^AL$34))</f>
        <v>-337251.29284986714</v>
      </c>
      <c r="AM83" s="193">
        <f>(((P83*'Appendix K'!$C$19*1000)-('Appendix K'!$E$45+'Appendix K'!$F$45+'Appendix K'!$H$45+'Appendix K'!$G$45))/((1+$Y$16)^AM$34))</f>
        <v>-443080.55658286531</v>
      </c>
      <c r="AN83" s="193">
        <f>(((Q83*'Appendix K'!$C$20*1000)-('Appendix K'!$E$46+'Appendix K'!$F$46+'Appendix K'!$H$46+'Appendix K'!$G$46))/((1+$Y$16)^AN$34))</f>
        <v>-420033.19511754648</v>
      </c>
      <c r="AO83" s="193">
        <f>(((R83*'Appendix K'!$C$21*1000)-('Appendix K'!$E$47+'Appendix K'!$F$47+'Appendix K'!$H$47+'Appendix K'!$G$47))/((1+$Y$16)^AO$34))</f>
        <v>-413120.1486858459</v>
      </c>
      <c r="AP83" s="193">
        <f>(((S83*'Appendix K'!$C$22*1000)-('Appendix K'!$E$48+'Appendix K'!$F$48+'Appendix K'!$H$48+'Appendix K'!$G$48))/((1+$Y$16)^AP$34))</f>
        <v>-234636.1484246614</v>
      </c>
      <c r="AQ83" s="193">
        <f>(((T83*'Appendix K'!$C$23*1000)-('Appendix K'!$E$49+'Appendix K'!$F$49+'Appendix K'!$H$49+'Appendix K'!$G$49))/((1+$Y$16)^AQ$34))</f>
        <v>-156765.36767283539</v>
      </c>
      <c r="AR83" s="193">
        <f>(((U83*'Appendix K'!$C$24*1000)-('Appendix K'!$E$50+'Appendix K'!$F$50+'Appendix K'!$H$50+'Appendix K'!$G$50))/((1+$Y$16)^AR$34))</f>
        <v>88961.983654350901</v>
      </c>
      <c r="AS83" s="209">
        <f t="shared" si="14"/>
        <v>107878500.67613432</v>
      </c>
      <c r="AU83" s="199">
        <f t="shared" si="13"/>
        <v>6.5956320834242114E-9</v>
      </c>
    </row>
    <row r="84" spans="1:47" x14ac:dyDescent="0.35">
      <c r="A84">
        <v>50</v>
      </c>
      <c r="B84" s="70">
        <v>56</v>
      </c>
      <c r="C84" s="70">
        <v>72.934738173999961</v>
      </c>
      <c r="D84" s="70">
        <v>77.819470742525723</v>
      </c>
      <c r="E84" s="70">
        <v>64.453138386345657</v>
      </c>
      <c r="F84" s="70">
        <v>75.978415947722652</v>
      </c>
      <c r="G84" s="70">
        <v>62.07789987454133</v>
      </c>
      <c r="H84" s="70">
        <v>27.069221349744417</v>
      </c>
      <c r="I84" s="70">
        <v>27.456126835113</v>
      </c>
      <c r="J84" s="70">
        <v>34.062022962893117</v>
      </c>
      <c r="K84" s="70">
        <v>19.406652783933414</v>
      </c>
      <c r="L84" s="70">
        <v>18.731498320908031</v>
      </c>
      <c r="M84" s="70">
        <v>7.9140126389230527</v>
      </c>
      <c r="N84" s="70">
        <v>8.1859658012427108</v>
      </c>
      <c r="O84" s="70">
        <v>7.0757011908745575</v>
      </c>
      <c r="P84" s="70">
        <v>9.0712578640721961</v>
      </c>
      <c r="Q84" s="70">
        <v>10.121525755011668</v>
      </c>
      <c r="R84" s="70">
        <v>10.888922749104271</v>
      </c>
      <c r="S84" s="70">
        <v>20.281626952583821</v>
      </c>
      <c r="T84" s="70">
        <v>29.725604116933489</v>
      </c>
      <c r="U84" s="70">
        <v>33.924999014006943</v>
      </c>
      <c r="V84" s="70">
        <v>36.194464082679893</v>
      </c>
      <c r="X84" s="193">
        <f>((0-('Appendix K'!$I$30))/(1+$Y$16)^0)</f>
        <v>-33594902.4440751</v>
      </c>
      <c r="Y84" s="193">
        <f>(((B84*'Appendix K'!$C$5*1000)-('Appendix K'!$E$31+'Appendix K'!$F$31+'Appendix K'!$H$31+'Appendix K'!$G$31))/((1+$Y$16)^1))</f>
        <v>34971064.972647354</v>
      </c>
      <c r="Z84" s="193">
        <f>+(((C84*'Appendix K'!$C$6*1000)-('Appendix K'!$E$32+'Appendix K'!$F$32+'Appendix K'!$H$32+'Appendix K'!$G$32))/((1+$Y$16)^2))</f>
        <v>14937314.604743188</v>
      </c>
      <c r="AA84" s="193">
        <f>(((D84*'Appendix K'!$C$7*1000)-('Appendix K'!$E$33+'Appendix K'!$F$33+'Appendix K'!$H$33+'Appendix K'!$G$33))/((1+$Y$16)^3))</f>
        <v>6947347.089911174</v>
      </c>
      <c r="AB84" s="193">
        <f>(((E84*'Appendix K'!$C$8*1000)-('Appendix K'!$E$34+'Appendix K'!$F$34+'Appendix K'!$H$34+'Appendix K'!$G$34))/((1+$Y$16)^4))</f>
        <v>10834330.033739351</v>
      </c>
      <c r="AC84" s="193">
        <f>(((F84*'Appendix K'!$C$9*1000)-('Appendix K'!$E$35+'Appendix K'!$F$35+'Appendix K'!$H$35+'Appendix K'!$G$35))/((1+$Y$16)^AC$34))</f>
        <v>17210715.132222746</v>
      </c>
      <c r="AD84" s="193">
        <f>(((G84*'Appendix K'!$C$10*1000)-('Appendix K'!$E$36+'Appendix K'!$F$36+'Appendix K'!$H$36+'Appendix K'!$G$36))/((1+$Y$16)^AD$34))</f>
        <v>7233195.7203413704</v>
      </c>
      <c r="AE84" s="193">
        <f>(((H84*'Appendix K'!$C$11*1000)-('Appendix K'!$E$37+'Appendix K'!$F$37+'Appendix K'!$H$37+'Appendix K'!$G$37))/((1+$Y$16)^AE$34))</f>
        <v>479878.98648305994</v>
      </c>
      <c r="AF84" s="193">
        <f>(((I84*'Appendix K'!$C$12*1000)-('Appendix K'!$E$38+'Appendix K'!$F$38+'Appendix K'!$H$38+'Appendix K'!$G$38))/((1+$Y$16)^AF$34))</f>
        <v>-193743.08555979241</v>
      </c>
      <c r="AG84" s="193">
        <f>(((J84*'Appendix K'!$C$13*1000)-('Appendix K'!$E$39+'Appendix K'!$F$39+'Appendix K'!$H$39+'Appendix K'!$G$39))/((1+$Y$16)^AG$34))</f>
        <v>-247445.93335428133</v>
      </c>
      <c r="AH84" s="193">
        <f>(((K84*'Appendix K'!$C$14*1000)-('Appendix K'!$E$40+'Appendix K'!$F$40+'Appendix K'!$H$40+'Appendix K'!$G$40))/((1+$Y$16)^AH$34))</f>
        <v>-978610.29475065612</v>
      </c>
      <c r="AI84" s="193">
        <f>(((L84*'Appendix K'!$C$15*1000)-('Appendix K'!$E$41+'Appendix K'!$F$41+'Appendix K'!$H$41+'Appendix K'!$G$41))/((1+$Y$16)^AI$34))</f>
        <v>-1025681.0642496179</v>
      </c>
      <c r="AJ84" s="193">
        <f>(((M84*'Appendix K'!$C$16*1000)-('Appendix K'!$E$42+'Appendix K'!$F$42+'Appendix K'!$H$42+'Appendix K'!$G$42))/((1+$Y$16)^AJ$34))</f>
        <v>-1222939.3701367988</v>
      </c>
      <c r="AK84" s="193">
        <f>(((N84*'Appendix K'!$C$17*1000)-('Appendix K'!$E$43+'Appendix K'!$F$43+'Appendix K'!$H$43))/((1+$Y$16)^AK$34))</f>
        <v>-878490.27718001069</v>
      </c>
      <c r="AL84" s="193">
        <f>(((O84*'Appendix K'!$C$18*1000)-('Appendix K'!$E$44+'Appendix K'!$F$44+'Appendix K'!$H$44+'Appendix K'!$G$44))/((1+$Y$16)^AL$34))</f>
        <v>-1050718.7574146416</v>
      </c>
      <c r="AM84" s="193">
        <f>(((P84*'Appendix K'!$C$19*1000)-('Appendix K'!$E$45+'Appendix K'!$F$45+'Appendix K'!$H$45+'Appendix K'!$G$45))/((1+$Y$16)^AM$34))</f>
        <v>-942686.88595261157</v>
      </c>
      <c r="AN84" s="193">
        <f>(((Q84*'Appendix K'!$C$20*1000)-('Appendix K'!$E$46+'Appendix K'!$F$46+'Appendix K'!$H$46+'Appendix K'!$G$46))/((1+$Y$16)^AN$34))</f>
        <v>-842467.28323490138</v>
      </c>
      <c r="AO84" s="193">
        <f>(((R84*'Appendix K'!$C$21*1000)-('Appendix K'!$E$47+'Appendix K'!$F$47+'Appendix K'!$H$47+'Appendix K'!$G$47))/((1+$Y$16)^AO$34))</f>
        <v>-778644.18892517372</v>
      </c>
      <c r="AP84" s="193">
        <f>(((S84*'Appendix K'!$C$22*1000)-('Appendix K'!$E$48+'Appendix K'!$F$48+'Appendix K'!$H$48+'Appendix K'!$G$48))/((1+$Y$16)^AP$34))</f>
        <v>-667309.93192144053</v>
      </c>
      <c r="AQ84" s="193">
        <f>(((T84*'Appendix K'!$C$23*1000)-('Appendix K'!$E$49+'Appendix K'!$F$49+'Appendix K'!$H$49+'Appendix K'!$G$49))/((1+$Y$16)^AQ$34))</f>
        <v>-577147.22694792948</v>
      </c>
      <c r="AR84" s="193">
        <f>(((U84*'Appendix K'!$C$24*1000)-('Appendix K'!$E$50+'Appendix K'!$F$50+'Appendix K'!$H$50+'Appendix K'!$G$50))/((1+$Y$16)^AR$34))</f>
        <v>-520049.421943455</v>
      </c>
      <c r="AS84" s="209">
        <f t="shared" si="14"/>
        <v>59018944.096013151</v>
      </c>
      <c r="AU84" s="199">
        <f t="shared" si="13"/>
        <v>6.1914686090947593E-9</v>
      </c>
    </row>
    <row r="85" spans="1:47" x14ac:dyDescent="0.35">
      <c r="A85">
        <v>51</v>
      </c>
      <c r="B85" s="70">
        <v>56</v>
      </c>
      <c r="C85" s="70">
        <v>81.136318471342193</v>
      </c>
      <c r="D85" s="70">
        <v>76.890886678901822</v>
      </c>
      <c r="E85" s="70">
        <v>106.54450224547482</v>
      </c>
      <c r="F85" s="70">
        <v>105.24663026607929</v>
      </c>
      <c r="G85" s="70">
        <v>145.97991480603343</v>
      </c>
      <c r="H85" s="70">
        <v>138.5666304420202</v>
      </c>
      <c r="I85" s="70">
        <v>216.93083364271277</v>
      </c>
      <c r="J85" s="70">
        <v>352.45334503798006</v>
      </c>
      <c r="K85" s="70">
        <v>295.67070937425694</v>
      </c>
      <c r="L85" s="70">
        <v>315.56883742252148</v>
      </c>
      <c r="M85" s="70">
        <v>305.15182852339774</v>
      </c>
      <c r="N85" s="70">
        <v>303.29009073888147</v>
      </c>
      <c r="O85" s="70">
        <v>237.61997692677994</v>
      </c>
      <c r="P85" s="70">
        <v>205.21395515449029</v>
      </c>
      <c r="Q85" s="70">
        <v>170.70861456734826</v>
      </c>
      <c r="R85" s="70">
        <v>184.07251391633474</v>
      </c>
      <c r="S85" s="70">
        <v>302.04649080011177</v>
      </c>
      <c r="T85" s="70">
        <v>326.57764690486351</v>
      </c>
      <c r="U85" s="70">
        <v>354.31402869333419</v>
      </c>
      <c r="V85" s="70">
        <v>408.80765039505184</v>
      </c>
      <c r="X85" s="193">
        <f>((0-('Appendix K'!$I$30))/(1+$Y$16)^0)</f>
        <v>-33594902.4440751</v>
      </c>
      <c r="Y85" s="193">
        <f>(((B85*'Appendix K'!$C$5*1000)-('Appendix K'!$E$31+'Appendix K'!$F$31+'Appendix K'!$H$31+'Appendix K'!$G$31))/((1+$Y$16)^1))</f>
        <v>34971064.972647354</v>
      </c>
      <c r="Z85" s="193">
        <f>+(((C85*'Appendix K'!$C$6*1000)-('Appendix K'!$E$32+'Appendix K'!$F$32+'Appendix K'!$H$32+'Appendix K'!$G$32))/((1+$Y$16)^2))</f>
        <v>17009174.060497362</v>
      </c>
      <c r="AA85" s="193">
        <f>(((D85*'Appendix K'!$C$7*1000)-('Appendix K'!$E$33+'Appendix K'!$F$33+'Appendix K'!$H$33+'Appendix K'!$G$33))/((1+$Y$16)^3))</f>
        <v>6829068.8133329768</v>
      </c>
      <c r="AB85" s="193">
        <f>(((E85*'Appendix K'!$C$8*1000)-('Appendix K'!$E$34+'Appendix K'!$F$34+'Appendix K'!$H$34+'Appendix K'!$G$34))/((1+$Y$16)^4))</f>
        <v>20060371.682310488</v>
      </c>
      <c r="AC85" s="193">
        <f>(((F85*'Appendix K'!$C$9*1000)-('Appendix K'!$E$35+'Appendix K'!$F$35+'Appendix K'!$H$35+'Appendix K'!$G$35))/((1+$Y$16)^AC$34))</f>
        <v>24990160.538698059</v>
      </c>
      <c r="AD85" s="193">
        <f>(((G85*'Appendix K'!$C$10*1000)-('Appendix K'!$E$36+'Appendix K'!$F$36+'Appendix K'!$H$36+'Appendix K'!$G$36))/((1+$Y$16)^AD$34))</f>
        <v>20409499.685364019</v>
      </c>
      <c r="AE85" s="193">
        <f>(((H85*'Appendix K'!$C$11*1000)-('Appendix K'!$E$37+'Appendix K'!$F$37+'Appendix K'!$H$37+'Appendix K'!$G$37))/((1+$Y$16)^AE$34))</f>
        <v>11600366.190757981</v>
      </c>
      <c r="AF85" s="193">
        <f>(((I85*'Appendix K'!$C$12*1000)-('Appendix K'!$E$38+'Appendix K'!$F$38+'Appendix K'!$H$38+'Appendix K'!$G$38))/((1+$Y$16)^AF$34))</f>
        <v>12247626.025937438</v>
      </c>
      <c r="AG85" s="193">
        <f>(((J85*'Appendix K'!$C$13*1000)-('Appendix K'!$E$39+'Appendix K'!$F$39+'Appendix K'!$H$39+'Appendix K'!$G$39))/((1+$Y$16)^AG$34))</f>
        <v>14404582.845479077</v>
      </c>
      <c r="AH85" s="193">
        <f>(((K85*'Appendix K'!$C$14*1000)-('Appendix K'!$E$40+'Appendix K'!$F$40+'Appendix K'!$H$40+'Appendix K'!$G$40))/((1+$Y$16)^AH$34))</f>
        <v>8333291.5204750486</v>
      </c>
      <c r="AI85" s="193">
        <f>(((L85*'Appendix K'!$C$15*1000)-('Appendix K'!$E$41+'Appendix K'!$F$41+'Appendix K'!$H$41+'Appendix K'!$G$41))/((1+$Y$16)^AI$34))</f>
        <v>6752012.3087586593</v>
      </c>
      <c r="AJ85" s="193">
        <f>(((M85*'Appendix K'!$C$16*1000)-('Appendix K'!$E$42+'Appendix K'!$F$42+'Appendix K'!$H$42+'Appendix K'!$G$42))/((1+$Y$16)^AJ$34))</f>
        <v>4734261.3966355966</v>
      </c>
      <c r="AK85" s="193">
        <f>(((N85*'Appendix K'!$C$17*1000)-('Appendix K'!$E$43+'Appendix K'!$F$43+'Appendix K'!$H$43))/((1+$Y$16)^AK$34))</f>
        <v>3655459.2391592348</v>
      </c>
      <c r="AL85" s="193">
        <f>(((O85*'Appendix K'!$C$18*1000)-('Appendix K'!$E$44+'Appendix K'!$F$44+'Appendix K'!$H$44+'Appendix K'!$G$44))/((1+$Y$16)^AL$34))</f>
        <v>1681990.3810263271</v>
      </c>
      <c r="AM85" s="193">
        <f>(((P85*'Appendix K'!$C$19*1000)-('Appendix K'!$E$45+'Appendix K'!$F$45+'Appendix K'!$H$45+'Appendix K'!$G$45))/((1+$Y$16)^AM$34))</f>
        <v>875307.16824518668</v>
      </c>
      <c r="AN85" s="193">
        <f>(((Q85*'Appendix K'!$C$20*1000)-('Appendix K'!$E$46+'Appendix K'!$F$46+'Appendix K'!$H$46+'Appendix K'!$G$46))/((1+$Y$16)^AN$34))</f>
        <v>319575.72128697939</v>
      </c>
      <c r="AO85" s="193">
        <f>(((R85*'Appendix K'!$C$21*1000)-('Appendix K'!$E$47+'Appendix K'!$F$47+'Appendix K'!$H$47+'Appendix K'!$G$47))/((1+$Y$16)^AO$34))</f>
        <v>244889.9682032787</v>
      </c>
      <c r="AP85" s="193">
        <f>(((S85*'Appendix K'!$C$22*1000)-('Appendix K'!$E$48+'Appendix K'!$F$48+'Appendix K'!$H$48+'Appendix K'!$G$48))/((1+$Y$16)^AP$34))</f>
        <v>682264.68625623046</v>
      </c>
      <c r="AQ85" s="193">
        <f>(((T85*'Appendix K'!$C$23*1000)-('Appendix K'!$E$49+'Appendix K'!$F$49+'Appendix K'!$H$49+'Appendix K'!$G$49))/((1+$Y$16)^AQ$34))</f>
        <v>584655.67245206807</v>
      </c>
      <c r="AR85" s="193">
        <f>(((U85*'Appendix K'!$C$24*1000)-('Appendix K'!$E$50+'Appendix K'!$F$50+'Appendix K'!$H$50+'Appendix K'!$G$50))/((1+$Y$16)^AR$34))</f>
        <v>511612.23055888887</v>
      </c>
      <c r="AS85" s="209">
        <f t="shared" si="14"/>
        <v>157302332.66400716</v>
      </c>
      <c r="AU85" s="199">
        <f t="shared" si="13"/>
        <v>3.3077218600999634E-9</v>
      </c>
    </row>
    <row r="86" spans="1:47" x14ac:dyDescent="0.35">
      <c r="A86">
        <v>52</v>
      </c>
      <c r="B86" s="70">
        <v>56</v>
      </c>
      <c r="C86" s="70">
        <v>59.798991909830718</v>
      </c>
      <c r="D86" s="70">
        <v>42.871188510142133</v>
      </c>
      <c r="E86" s="70">
        <v>33.448553717409055</v>
      </c>
      <c r="F86" s="70">
        <v>42.730316044840464</v>
      </c>
      <c r="G86" s="70">
        <v>37.757112640264957</v>
      </c>
      <c r="H86" s="70">
        <v>44.788902087504276</v>
      </c>
      <c r="I86" s="70">
        <v>33.3818232221724</v>
      </c>
      <c r="J86" s="70">
        <v>44.607944580198293</v>
      </c>
      <c r="K86" s="70">
        <v>55.76804857505067</v>
      </c>
      <c r="L86" s="70">
        <v>70.571305704095494</v>
      </c>
      <c r="M86" s="70">
        <v>74.743913715722854</v>
      </c>
      <c r="N86" s="70">
        <v>91.804506370407552</v>
      </c>
      <c r="O86" s="70">
        <v>112.52414904064484</v>
      </c>
      <c r="P86" s="70">
        <v>133.93569604312546</v>
      </c>
      <c r="Q86" s="70">
        <v>91.117941671210048</v>
      </c>
      <c r="R86" s="70">
        <v>65.399368713152455</v>
      </c>
      <c r="S86" s="70">
        <v>44.993234736687683</v>
      </c>
      <c r="T86" s="70">
        <v>41.764904887830802</v>
      </c>
      <c r="U86" s="70">
        <v>44.827909867184118</v>
      </c>
      <c r="V86" s="70">
        <v>48.47790082335905</v>
      </c>
      <c r="X86" s="193">
        <f>((0-('Appendix K'!$I$30))/(1+$Y$16)^0)</f>
        <v>-33594902.4440751</v>
      </c>
      <c r="Y86" s="193">
        <f>(((B86*'Appendix K'!$C$5*1000)-('Appendix K'!$E$31+'Appendix K'!$F$31+'Appendix K'!$H$31+'Appendix K'!$G$31))/((1+$Y$16)^1))</f>
        <v>34971064.972647354</v>
      </c>
      <c r="Z86" s="193">
        <f>+(((C86*'Appendix K'!$C$6*1000)-('Appendix K'!$E$32+'Appendix K'!$F$32+'Appendix K'!$H$32+'Appendix K'!$G$32))/((1+$Y$16)^2))</f>
        <v>11619000.436115721</v>
      </c>
      <c r="AA86" s="193">
        <f>(((D86*'Appendix K'!$C$7*1000)-('Appendix K'!$E$33+'Appendix K'!$F$33+'Appendix K'!$H$33+'Appendix K'!$G$33))/((1+$Y$16)^3))</f>
        <v>2495814.1014137384</v>
      </c>
      <c r="AB86" s="193">
        <f>(((E86*'Appendix K'!$C$8*1000)-('Appendix K'!$E$34+'Appendix K'!$F$34+'Appendix K'!$H$34+'Appendix K'!$G$34))/((1+$Y$16)^4))</f>
        <v>4038408.8939633495</v>
      </c>
      <c r="AC86" s="193">
        <f>(((F86*'Appendix K'!$C$9*1000)-('Appendix K'!$E$35+'Appendix K'!$F$35+'Appendix K'!$H$35+'Appendix K'!$G$35))/((1+$Y$16)^AC$34))</f>
        <v>8373422.3869223902</v>
      </c>
      <c r="AD86" s="193">
        <f>(((G86*'Appendix K'!$C$10*1000)-('Appendix K'!$E$36+'Appendix K'!$F$36+'Appendix K'!$H$36+'Appendix K'!$G$36))/((1+$Y$16)^AD$34))</f>
        <v>3413763.1890829806</v>
      </c>
      <c r="AE86" s="193">
        <f>(((H86*'Appendix K'!$C$11*1000)-('Appendix K'!$E$37+'Appendix K'!$F$37+'Appendix K'!$H$37+'Appendix K'!$G$37))/((1+$Y$16)^AE$34))</f>
        <v>2247197.9270067322</v>
      </c>
      <c r="AF86" s="193">
        <f>(((I86*'Appendix K'!$C$12*1000)-('Appendix K'!$E$38+'Appendix K'!$F$38+'Appendix K'!$H$38+'Appendix K'!$G$38))/((1+$Y$16)^AF$34))</f>
        <v>195352.52111098959</v>
      </c>
      <c r="AG86" s="193">
        <f>(((J86*'Appendix K'!$C$13*1000)-('Appendix K'!$E$39+'Appendix K'!$F$39+'Appendix K'!$H$39+'Appendix K'!$G$39))/((1+$Y$16)^AG$34))</f>
        <v>237866.12235443477</v>
      </c>
      <c r="AH86" s="193">
        <f>(((K86*'Appendix K'!$C$14*1000)-('Appendix K'!$E$40+'Appendix K'!$F$40+'Appendix K'!$H$40+'Appendix K'!$G$40))/((1+$Y$16)^AH$34))</f>
        <v>247006.0653737855</v>
      </c>
      <c r="AI86" s="193">
        <f>(((L86*'Appendix K'!$C$15*1000)-('Appendix K'!$E$41+'Appendix K'!$F$41+'Appendix K'!$H$41+'Appendix K'!$G$41))/((1+$Y$16)^AI$34))</f>
        <v>332618.83010505128</v>
      </c>
      <c r="AJ86" s="193">
        <f>(((M86*'Appendix K'!$C$16*1000)-('Appendix K'!$E$42+'Appendix K'!$F$42+'Appendix K'!$H$42+'Appendix K'!$G$42))/((1+$Y$16)^AJ$34))</f>
        <v>116456.61739383626</v>
      </c>
      <c r="AK86" s="193">
        <f>(((N86*'Appendix K'!$C$17*1000)-('Appendix K'!$E$43+'Appendix K'!$F$43+'Appendix K'!$H$43))/((1+$Y$16)^AK$34))</f>
        <v>406216.40609889769</v>
      </c>
      <c r="AL86" s="193">
        <f>(((O86*'Appendix K'!$C$18*1000)-('Appendix K'!$E$44+'Appendix K'!$F$44+'Appendix K'!$H$44+'Appendix K'!$G$44))/((1+$Y$16)^AL$34))</f>
        <v>199192.7233786532</v>
      </c>
      <c r="AM86" s="193">
        <f>(((P86*'Appendix K'!$C$19*1000)-('Appendix K'!$E$45+'Appendix K'!$F$45+'Appendix K'!$H$45+'Appendix K'!$G$45))/((1+$Y$16)^AM$34))</f>
        <v>214648.10192183571</v>
      </c>
      <c r="AN86" s="193">
        <f>(((Q86*'Appendix K'!$C$20*1000)-('Appendix K'!$E$46+'Appendix K'!$F$46+'Appendix K'!$H$46+'Appendix K'!$G$46))/((1+$Y$16)^AN$34))</f>
        <v>-256359.65028095944</v>
      </c>
      <c r="AO86" s="193">
        <f>(((R86*'Appendix K'!$C$21*1000)-('Appendix K'!$E$47+'Appendix K'!$F$47+'Appendix K'!$H$47+'Appendix K'!$G$47))/((1+$Y$16)^AO$34))</f>
        <v>-456481.43096138554</v>
      </c>
      <c r="AP86" s="193">
        <f>(((S86*'Appendix K'!$C$22*1000)-('Appendix K'!$E$48+'Appendix K'!$F$48+'Appendix K'!$H$48+'Appendix K'!$G$48))/((1+$Y$16)^AP$34))</f>
        <v>-548948.2661537911</v>
      </c>
      <c r="AQ86" s="193">
        <f>(((T86*'Appendix K'!$C$23*1000)-('Appendix K'!$E$49+'Appendix K'!$F$49+'Appendix K'!$H$49+'Appendix K'!$G$49))/((1+$Y$16)^AQ$34))</f>
        <v>-530028.48587067984</v>
      </c>
      <c r="AR86" s="193">
        <f>(((U86*'Appendix K'!$C$24*1000)-('Appendix K'!$E$50+'Appendix K'!$F$50+'Appendix K'!$H$50+'Appendix K'!$G$50))/((1+$Y$16)^AR$34))</f>
        <v>-484941.74350910733</v>
      </c>
      <c r="AS86" s="209">
        <f t="shared" si="14"/>
        <v>35513126.850814663</v>
      </c>
      <c r="AU86" s="199">
        <f t="shared" si="13"/>
        <v>4.6120665488116119E-9</v>
      </c>
    </row>
    <row r="87" spans="1:47" x14ac:dyDescent="0.35">
      <c r="A87">
        <v>53</v>
      </c>
      <c r="B87" s="70">
        <v>56</v>
      </c>
      <c r="C87" s="70">
        <v>78.350777061859063</v>
      </c>
      <c r="D87" s="70">
        <v>72.029957218855543</v>
      </c>
      <c r="E87" s="70">
        <v>83.742056063551132</v>
      </c>
      <c r="F87" s="70">
        <v>117.33376981163808</v>
      </c>
      <c r="G87" s="70">
        <v>160.01182736547452</v>
      </c>
      <c r="H87" s="70">
        <v>132.64560292640851</v>
      </c>
      <c r="I87" s="70">
        <v>130.84965570442139</v>
      </c>
      <c r="J87" s="70">
        <v>135.33908663083832</v>
      </c>
      <c r="K87" s="70">
        <v>254.35876228645355</v>
      </c>
      <c r="L87" s="70">
        <v>233.88377882649746</v>
      </c>
      <c r="M87" s="70">
        <v>176.31540835875251</v>
      </c>
      <c r="N87" s="70">
        <v>109.88464479512079</v>
      </c>
      <c r="O87" s="70">
        <v>68.34299169088419</v>
      </c>
      <c r="P87" s="70">
        <v>50.817898478353911</v>
      </c>
      <c r="Q87" s="70">
        <v>55.806816654054678</v>
      </c>
      <c r="R87" s="70">
        <v>24.791361083645995</v>
      </c>
      <c r="S87" s="70">
        <v>22.131461413899544</v>
      </c>
      <c r="T87" s="70">
        <v>36.366837727328132</v>
      </c>
      <c r="U87" s="70">
        <v>51.638446847260639</v>
      </c>
      <c r="V87" s="70">
        <v>54.671104068051086</v>
      </c>
      <c r="X87" s="193">
        <f>((0-('Appendix K'!$I$30))/(1+$Y$16)^0)</f>
        <v>-33594902.4440751</v>
      </c>
      <c r="Y87" s="193">
        <f>(((B87*'Appendix K'!$C$5*1000)-('Appendix K'!$E$31+'Appendix K'!$F$31+'Appendix K'!$H$31+'Appendix K'!$G$31))/((1+$Y$16)^1))</f>
        <v>34971064.972647354</v>
      </c>
      <c r="Z87" s="193">
        <f>+(((C87*'Appendix K'!$C$6*1000)-('Appendix K'!$E$32+'Appendix K'!$F$32+'Appendix K'!$H$32+'Appendix K'!$G$32))/((1+$Y$16)^2))</f>
        <v>16305498.65900155</v>
      </c>
      <c r="AA87" s="193">
        <f>(((D87*'Appendix K'!$C$7*1000)-('Appendix K'!$E$33+'Appendix K'!$F$33+'Appendix K'!$H$33+'Appendix K'!$G$33))/((1+$Y$16)^3))</f>
        <v>6209908.543816085</v>
      </c>
      <c r="AB87" s="193">
        <f>(((E87*'Appendix K'!$C$8*1000)-('Appendix K'!$E$34+'Appendix K'!$F$34+'Appendix K'!$H$34+'Appendix K'!$G$34))/((1+$Y$16)^4))</f>
        <v>15062284.215536674</v>
      </c>
      <c r="AC87" s="193">
        <f>(((F87*'Appendix K'!$C$9*1000)-('Appendix K'!$E$35+'Appendix K'!$F$35+'Appendix K'!$H$35+'Appendix K'!$G$35))/((1+$Y$16)^AC$34))</f>
        <v>28202903.249692492</v>
      </c>
      <c r="AD87" s="193">
        <f>(((G87*'Appendix K'!$C$10*1000)-('Appendix K'!$E$36+'Appendix K'!$F$36+'Appendix K'!$H$36+'Appendix K'!$G$36))/((1+$Y$16)^AD$34))</f>
        <v>22613126.681030098</v>
      </c>
      <c r="AE87" s="193">
        <f>(((H87*'Appendix K'!$C$11*1000)-('Appendix K'!$E$37+'Appendix K'!$F$37+'Appendix K'!$H$37+'Appendix K'!$G$37))/((1+$Y$16)^AE$34))</f>
        <v>11009816.9460753</v>
      </c>
      <c r="AF87" s="193">
        <f>(((I87*'Appendix K'!$C$12*1000)-('Appendix K'!$E$38+'Appendix K'!$F$38+'Appendix K'!$H$38+'Appendix K'!$G$38))/((1+$Y$16)^AF$34))</f>
        <v>6595326.9601298915</v>
      </c>
      <c r="AG87" s="193">
        <f>(((J87*'Appendix K'!$C$13*1000)-('Appendix K'!$E$39+'Appendix K'!$F$39+'Appendix K'!$H$39+'Appendix K'!$G$39))/((1+$Y$16)^AG$34))</f>
        <v>4413216.4296372468</v>
      </c>
      <c r="AH87" s="193">
        <f>(((K87*'Appendix K'!$C$14*1000)-('Appendix K'!$E$40+'Appendix K'!$F$40+'Appendix K'!$H$40+'Appendix K'!$G$40))/((1+$Y$16)^AH$34))</f>
        <v>6940809.2706111372</v>
      </c>
      <c r="AI87" s="193">
        <f>(((L87*'Appendix K'!$C$15*1000)-('Appendix K'!$E$41+'Appendix K'!$F$41+'Appendix K'!$H$41+'Appendix K'!$G$41))/((1+$Y$16)^AI$34))</f>
        <v>4611711.0217342349</v>
      </c>
      <c r="AJ87" s="193">
        <f>(((M87*'Appendix K'!$C$16*1000)-('Appendix K'!$E$42+'Appendix K'!$F$42+'Appendix K'!$H$42+'Appendix K'!$G$42))/((1+$Y$16)^AJ$34))</f>
        <v>2152139.0017807791</v>
      </c>
      <c r="AK87" s="193">
        <f>(((N87*'Appendix K'!$C$17*1000)-('Appendix K'!$E$43+'Appendix K'!$F$43+'Appendix K'!$H$43))/((1+$Y$16)^AK$34))</f>
        <v>683997.79896623874</v>
      </c>
      <c r="AL87" s="193">
        <f>(((O87*'Appendix K'!$C$18*1000)-('Appendix K'!$E$44+'Appendix K'!$F$44+'Appendix K'!$H$44+'Appendix K'!$G$44))/((1+$Y$16)^AL$34))</f>
        <v>-324499.53508754086</v>
      </c>
      <c r="AM87" s="193">
        <f>(((P87*'Appendix K'!$C$19*1000)-('Appendix K'!$E$45+'Appendix K'!$F$45+'Appendix K'!$H$45+'Appendix K'!$G$45))/((1+$Y$16)^AM$34))</f>
        <v>-555748.47087044024</v>
      </c>
      <c r="AN87" s="193">
        <f>(((Q87*'Appendix K'!$C$20*1000)-('Appendix K'!$E$46+'Appendix K'!$F$46+'Appendix K'!$H$46+'Appendix K'!$G$46))/((1+$Y$16)^AN$34))</f>
        <v>-511878.60956625128</v>
      </c>
      <c r="AO87" s="193">
        <f>(((R87*'Appendix K'!$C$21*1000)-('Appendix K'!$E$47+'Appendix K'!$F$47+'Appendix K'!$H$47+'Appendix K'!$G$47))/((1+$Y$16)^AO$34))</f>
        <v>-696479.24242608564</v>
      </c>
      <c r="AP87" s="193">
        <f>(((S87*'Appendix K'!$C$22*1000)-('Appendix K'!$E$48+'Appendix K'!$F$48+'Appendix K'!$H$48+'Appendix K'!$G$48))/((1+$Y$16)^AP$34))</f>
        <v>-658449.74402316159</v>
      </c>
      <c r="AQ87" s="193">
        <f>(((T87*'Appendix K'!$C$23*1000)-('Appendix K'!$E$49+'Appendix K'!$F$49+'Appendix K'!$H$49+'Appendix K'!$G$49))/((1+$Y$16)^AQ$34))</f>
        <v>-551155.13879625278</v>
      </c>
      <c r="AR87" s="193">
        <f>(((U87*'Appendix K'!$C$24*1000)-('Appendix K'!$E$50+'Appendix K'!$F$50+'Appendix K'!$H$50+'Appendix K'!$G$50))/((1+$Y$16)^AR$34))</f>
        <v>-463011.62360978848</v>
      </c>
      <c r="AS87" s="209">
        <f t="shared" si="14"/>
        <v>126176901.30658394</v>
      </c>
      <c r="AU87" s="199">
        <f t="shared" si="13"/>
        <v>5.5806808405527575E-9</v>
      </c>
    </row>
    <row r="88" spans="1:47" x14ac:dyDescent="0.35">
      <c r="A88">
        <v>54</v>
      </c>
      <c r="B88" s="70">
        <v>56</v>
      </c>
      <c r="C88" s="70">
        <v>55.426629936262948</v>
      </c>
      <c r="D88" s="70">
        <v>50.047809882949771</v>
      </c>
      <c r="E88" s="70">
        <v>47.997162140492449</v>
      </c>
      <c r="F88" s="70">
        <v>39.492704993429953</v>
      </c>
      <c r="G88" s="70">
        <v>28.115971711531621</v>
      </c>
      <c r="H88" s="70">
        <v>25.968098975118703</v>
      </c>
      <c r="I88" s="70">
        <v>18.662353182519698</v>
      </c>
      <c r="J88" s="70">
        <v>25.285266919128794</v>
      </c>
      <c r="K88" s="70">
        <v>31.683911163347961</v>
      </c>
      <c r="L88" s="70">
        <v>34.64660334699041</v>
      </c>
      <c r="M88" s="70">
        <v>70.501341860127681</v>
      </c>
      <c r="N88" s="70">
        <v>90.121071793004717</v>
      </c>
      <c r="O88" s="70">
        <v>88.340535857263077</v>
      </c>
      <c r="P88" s="70">
        <v>85.261179777212789</v>
      </c>
      <c r="Q88" s="70">
        <v>110.6538558819403</v>
      </c>
      <c r="R88" s="70">
        <v>162.98098478903751</v>
      </c>
      <c r="S88" s="70">
        <v>149.13623157162178</v>
      </c>
      <c r="T88" s="70">
        <v>105.23856774924427</v>
      </c>
      <c r="U88" s="70">
        <v>163.41247129311893</v>
      </c>
      <c r="V88" s="70">
        <v>190.96492018004071</v>
      </c>
      <c r="X88" s="193">
        <f>((0-('Appendix K'!$I$30))/(1+$Y$16)^0)</f>
        <v>-33594902.4440751</v>
      </c>
      <c r="Y88" s="193">
        <f>(((B88*'Appendix K'!$C$5*1000)-('Appendix K'!$E$31+'Appendix K'!$F$31+'Appendix K'!$H$31+'Appendix K'!$G$31))/((1+$Y$16)^1))</f>
        <v>34971064.972647354</v>
      </c>
      <c r="Z88" s="193">
        <f>+(((C88*'Appendix K'!$C$6*1000)-('Appendix K'!$E$32+'Appendix K'!$F$32+'Appendix K'!$H$32+'Appendix K'!$G$32))/((1+$Y$16)^2))</f>
        <v>10514467.020543121</v>
      </c>
      <c r="AA88" s="193">
        <f>(((D88*'Appendix K'!$C$7*1000)-('Appendix K'!$E$33+'Appendix K'!$F$33+'Appendix K'!$H$33+'Appendix K'!$G$33))/((1+$Y$16)^3))</f>
        <v>3409935.332740136</v>
      </c>
      <c r="AB88" s="193">
        <f>(((E88*'Appendix K'!$C$8*1000)-('Appendix K'!$E$34+'Appendix K'!$F$34+'Appendix K'!$H$34+'Appendix K'!$G$34))/((1+$Y$16)^4))</f>
        <v>7227330.6806117082</v>
      </c>
      <c r="AC88" s="193">
        <f>(((F88*'Appendix K'!$C$9*1000)-('Appendix K'!$E$35+'Appendix K'!$F$35+'Appendix K'!$H$35+'Appendix K'!$G$35))/((1+$Y$16)^AC$34))</f>
        <v>7512870.4534191415</v>
      </c>
      <c r="AD88" s="193">
        <f>(((G88*'Appendix K'!$C$10*1000)-('Appendix K'!$E$36+'Appendix K'!$F$36+'Appendix K'!$H$36+'Appendix K'!$G$36))/((1+$Y$16)^AD$34))</f>
        <v>1899680.3205089923</v>
      </c>
      <c r="AE88" s="193">
        <f>(((H88*'Appendix K'!$C$11*1000)-('Appendix K'!$E$37+'Appendix K'!$F$37+'Appendix K'!$H$37+'Appendix K'!$G$37))/((1+$Y$16)^AE$34))</f>
        <v>370055.65177909372</v>
      </c>
      <c r="AF88" s="193">
        <f>(((I88*'Appendix K'!$C$12*1000)-('Appendix K'!$E$38+'Appendix K'!$F$38+'Appendix K'!$H$38+'Appendix K'!$G$38))/((1+$Y$16)^AF$34))</f>
        <v>-771163.6064210193</v>
      </c>
      <c r="AG88" s="193">
        <f>(((J88*'Appendix K'!$C$13*1000)-('Appendix K'!$E$39+'Appendix K'!$F$39+'Appendix K'!$H$39+'Appendix K'!$G$39))/((1+$Y$16)^AG$34))</f>
        <v>-651342.87784357578</v>
      </c>
      <c r="AH88" s="193">
        <f>(((K88*'Appendix K'!$C$14*1000)-('Appendix K'!$E$40+'Appendix K'!$F$40+'Appendix K'!$H$40+'Appendix K'!$G$40))/((1+$Y$16)^AH$34))</f>
        <v>-564786.55669268942</v>
      </c>
      <c r="AI88" s="193">
        <f>(((L88*'Appendix K'!$C$15*1000)-('Appendix K'!$E$41+'Appendix K'!$F$41+'Appendix K'!$H$41+'Appendix K'!$G$41))/((1+$Y$16)^AI$34))</f>
        <v>-608675.55117392528</v>
      </c>
      <c r="AJ88" s="193">
        <f>(((M88*'Appendix K'!$C$16*1000)-('Appendix K'!$E$42+'Appendix K'!$F$42+'Appendix K'!$H$42+'Appendix K'!$G$42))/((1+$Y$16)^AJ$34))</f>
        <v>31427.556619612707</v>
      </c>
      <c r="AK88" s="193">
        <f>(((N88*'Appendix K'!$C$17*1000)-('Appendix K'!$E$43+'Appendix K'!$F$43+'Appendix K'!$H$43))/((1+$Y$16)^AK$34))</f>
        <v>380352.28986664501</v>
      </c>
      <c r="AL88" s="193">
        <f>(((O88*'Appendix K'!$C$18*1000)-('Appendix K'!$E$44+'Appendix K'!$F$44+'Appendix K'!$H$44+'Appendix K'!$G$44))/((1+$Y$16)^AL$34))</f>
        <v>-87462.759763565395</v>
      </c>
      <c r="AM88" s="193">
        <f>(((P88*'Appendix K'!$C$19*1000)-('Appendix K'!$E$45+'Appendix K'!$F$45+'Appendix K'!$H$45+'Appendix K'!$G$45))/((1+$Y$16)^AM$34))</f>
        <v>-236502.9344655188</v>
      </c>
      <c r="AN88" s="193">
        <f>(((Q88*'Appendix K'!$C$20*1000)-('Appendix K'!$E$46+'Appendix K'!$F$46+'Appendix K'!$H$46+'Appendix K'!$G$46))/((1+$Y$16)^AN$34))</f>
        <v>-114993.53789039279</v>
      </c>
      <c r="AO88" s="193">
        <f>(((R88*'Appendix K'!$C$21*1000)-('Appendix K'!$E$47+'Appendix K'!$F$47+'Appendix K'!$H$47+'Appendix K'!$G$47))/((1+$Y$16)^AO$34))</f>
        <v>120236.70086796545</v>
      </c>
      <c r="AP88" s="193">
        <f>(((S88*'Appendix K'!$C$22*1000)-('Appendix K'!$E$48+'Appendix K'!$F$48+'Appendix K'!$H$48+'Appendix K'!$G$48))/((1+$Y$16)^AP$34))</f>
        <v>-50132.539912495005</v>
      </c>
      <c r="AQ88" s="193">
        <f>(((T88*'Appendix K'!$C$23*1000)-('Appendix K'!$E$49+'Appendix K'!$F$49+'Appendix K'!$H$49+'Appendix K'!$G$49))/((1+$Y$16)^AQ$34))</f>
        <v>-281608.81910554162</v>
      </c>
      <c r="AR88" s="193">
        <f>(((U88*'Appendix K'!$C$24*1000)-('Appendix K'!$E$50+'Appendix K'!$F$50+'Appendix K'!$H$50+'Appendix K'!$G$50))/((1+$Y$16)^AR$34))</f>
        <v>-103096.13311354202</v>
      </c>
      <c r="AS88" s="209">
        <f t="shared" si="14"/>
        <v>32842518.535528675</v>
      </c>
      <c r="AU88" s="199">
        <f t="shared" si="13"/>
        <v>4.4121589485654358E-9</v>
      </c>
    </row>
    <row r="89" spans="1:47" x14ac:dyDescent="0.35">
      <c r="A89">
        <v>55</v>
      </c>
      <c r="B89" s="70">
        <v>56</v>
      </c>
      <c r="C89" s="70">
        <v>58.262379457872051</v>
      </c>
      <c r="D89" s="70">
        <v>81.673978079279948</v>
      </c>
      <c r="E89" s="70">
        <v>68.343637271131911</v>
      </c>
      <c r="F89" s="70">
        <v>15.043261135254227</v>
      </c>
      <c r="G89" s="70">
        <v>21.9148117526824</v>
      </c>
      <c r="H89" s="70">
        <v>41.388285588976927</v>
      </c>
      <c r="I89" s="70">
        <v>60.398678797479491</v>
      </c>
      <c r="J89" s="70">
        <v>35.600742490671621</v>
      </c>
      <c r="K89" s="70">
        <v>50.061387713302409</v>
      </c>
      <c r="L89" s="70">
        <v>33.841597942002409</v>
      </c>
      <c r="M89" s="70">
        <v>35.053802672017312</v>
      </c>
      <c r="N89" s="70">
        <v>32.867043716905727</v>
      </c>
      <c r="O89" s="70">
        <v>33.746283292552995</v>
      </c>
      <c r="P89" s="70">
        <v>31.613911266311938</v>
      </c>
      <c r="Q89" s="70">
        <v>45.588212266530391</v>
      </c>
      <c r="R89" s="70">
        <v>59.638394534572683</v>
      </c>
      <c r="S89" s="70">
        <v>40.036202863192457</v>
      </c>
      <c r="T89" s="70">
        <v>30.291188857118517</v>
      </c>
      <c r="U89" s="70">
        <v>40.843619603540489</v>
      </c>
      <c r="V89" s="70">
        <v>65.806121072327642</v>
      </c>
      <c r="X89" s="193">
        <f>((0-('Appendix K'!$I$30))/(1+$Y$16)^0)</f>
        <v>-33594902.4440751</v>
      </c>
      <c r="Y89" s="193">
        <f>(((B89*'Appendix K'!$C$5*1000)-('Appendix K'!$E$31+'Appendix K'!$F$31+'Appendix K'!$H$31+'Appendix K'!$G$31))/((1+$Y$16)^1))</f>
        <v>34971064.972647354</v>
      </c>
      <c r="Z89" s="193">
        <f>+(((C89*'Appendix K'!$C$6*1000)-('Appendix K'!$E$32+'Appendix K'!$F$32+'Appendix K'!$H$32+'Appendix K'!$G$32))/((1+$Y$16)^2))</f>
        <v>11230825.849877523</v>
      </c>
      <c r="AA89" s="193">
        <f>(((D89*'Appendix K'!$C$7*1000)-('Appendix K'!$E$33+'Appendix K'!$F$33+'Appendix K'!$H$33+'Appendix K'!$G$33))/((1+$Y$16)^3))</f>
        <v>7438314.4699350074</v>
      </c>
      <c r="AB89" s="193">
        <f>(((E89*'Appendix K'!$C$8*1000)-('Appendix K'!$E$34+'Appendix K'!$F$34+'Appendix K'!$H$34+'Appendix K'!$G$34))/((1+$Y$16)^4))</f>
        <v>11687091.775195075</v>
      </c>
      <c r="AC89" s="193">
        <f>(((F89*'Appendix K'!$C$9*1000)-('Appendix K'!$E$35+'Appendix K'!$F$35+'Appendix K'!$H$35+'Appendix K'!$G$35))/((1+$Y$16)^AC$34))</f>
        <v>1014246.6684324289</v>
      </c>
      <c r="AD89" s="193">
        <f>(((G89*'Appendix K'!$C$10*1000)-('Appendix K'!$E$36+'Appendix K'!$F$36+'Appendix K'!$H$36+'Appendix K'!$G$36))/((1+$Y$16)^AD$34))</f>
        <v>925825.6565865411</v>
      </c>
      <c r="AE89" s="193">
        <f>(((H89*'Appendix K'!$C$11*1000)-('Appendix K'!$E$37+'Appendix K'!$F$37+'Appendix K'!$H$37+'Appendix K'!$G$37))/((1+$Y$16)^AE$34))</f>
        <v>1908028.5008613903</v>
      </c>
      <c r="AF89" s="193">
        <f>(((I89*'Appendix K'!$C$12*1000)-('Appendix K'!$E$38+'Appendix K'!$F$38+'Appendix K'!$H$38+'Appendix K'!$G$38))/((1+$Y$16)^AF$34))</f>
        <v>1969344.8291488322</v>
      </c>
      <c r="AG89" s="193">
        <f>(((J89*'Appendix K'!$C$13*1000)-('Appendix K'!$E$39+'Appendix K'!$F$39+'Appendix K'!$H$39+'Appendix K'!$G$39))/((1+$Y$16)^AG$34))</f>
        <v>-176635.70317392924</v>
      </c>
      <c r="AH89" s="193">
        <f>(((K89*'Appendix K'!$C$14*1000)-('Appendix K'!$E$40+'Appendix K'!$F$40+'Appendix K'!$H$40+'Appendix K'!$G$40))/((1+$Y$16)^AH$34))</f>
        <v>54654.348348964217</v>
      </c>
      <c r="AI89" s="193">
        <f>(((L89*'Appendix K'!$C$15*1000)-('Appendix K'!$E$41+'Appendix K'!$F$41+'Appendix K'!$H$41+'Appendix K'!$G$41))/((1+$Y$16)^AI$34))</f>
        <v>-629768.19815209985</v>
      </c>
      <c r="AJ89" s="193">
        <f>(((M89*'Appendix K'!$C$16*1000)-('Appendix K'!$E$42+'Appendix K'!$F$42+'Appendix K'!$H$42+'Appendix K'!$G$42))/((1+$Y$16)^AJ$34))</f>
        <v>-679007.30848408875</v>
      </c>
      <c r="AK89" s="193">
        <f>(((N89*'Appendix K'!$C$17*1000)-('Appendix K'!$E$43+'Appendix K'!$F$43+'Appendix K'!$H$43))/((1+$Y$16)^AK$34))</f>
        <v>-499292.72681673191</v>
      </c>
      <c r="AL89" s="193">
        <f>(((O89*'Appendix K'!$C$18*1000)-('Appendix K'!$E$44+'Appendix K'!$F$44+'Appendix K'!$H$44+'Appendix K'!$G$44))/((1+$Y$16)^AL$34))</f>
        <v>-734584.49988796085</v>
      </c>
      <c r="AM89" s="193">
        <f>(((P89*'Appendix K'!$C$19*1000)-('Appendix K'!$E$45+'Appendix K'!$F$45+'Appendix K'!$H$45+'Appendix K'!$G$45))/((1+$Y$16)^AM$34))</f>
        <v>-733745.07768108998</v>
      </c>
      <c r="AN89" s="193">
        <f>(((Q89*'Appendix K'!$C$20*1000)-('Appendix K'!$E$46+'Appendix K'!$F$46+'Appendix K'!$H$46+'Appendix K'!$G$46))/((1+$Y$16)^AN$34))</f>
        <v>-585822.64723652613</v>
      </c>
      <c r="AO89" s="193">
        <f>(((R89*'Appendix K'!$C$21*1000)-('Appendix K'!$E$47+'Appendix K'!$F$47+'Appendix K'!$H$47+'Appendix K'!$G$47))/((1+$Y$16)^AO$34))</f>
        <v>-490529.42482945102</v>
      </c>
      <c r="AP89" s="193">
        <f>(((S89*'Appendix K'!$C$22*1000)-('Appendix K'!$E$48+'Appendix K'!$F$48+'Appendix K'!$H$48+'Appendix K'!$G$48))/((1+$Y$16)^AP$34))</f>
        <v>-572691.057595619</v>
      </c>
      <c r="AQ89" s="193">
        <f>(((T89*'Appendix K'!$C$23*1000)-('Appendix K'!$E$49+'Appendix K'!$F$49+'Appendix K'!$H$49+'Appendix K'!$G$49))/((1+$Y$16)^AQ$34))</f>
        <v>-574933.67306825216</v>
      </c>
      <c r="AR89" s="193">
        <f>(((U89*'Appendix K'!$C$24*1000)-('Appendix K'!$E$50+'Appendix K'!$F$50+'Appendix K'!$H$50+'Appendix K'!$G$50))/((1+$Y$16)^AR$34))</f>
        <v>-497771.2697933052</v>
      </c>
      <c r="AS89" s="209">
        <f t="shared" si="14"/>
        <v>37604494.626958005</v>
      </c>
      <c r="AU89" s="199">
        <f t="shared" si="13"/>
        <v>4.767541782292153E-9</v>
      </c>
    </row>
    <row r="90" spans="1:47" x14ac:dyDescent="0.35">
      <c r="A90">
        <v>56</v>
      </c>
      <c r="B90" s="70">
        <v>56</v>
      </c>
      <c r="C90" s="70">
        <v>56.329650538726405</v>
      </c>
      <c r="D90" s="70">
        <v>55.311127601536313</v>
      </c>
      <c r="E90" s="70">
        <v>37.092075462482164</v>
      </c>
      <c r="F90" s="70">
        <v>54.950646498483536</v>
      </c>
      <c r="G90" s="70">
        <v>57.992809864011974</v>
      </c>
      <c r="H90" s="70">
        <v>54.865096380001766</v>
      </c>
      <c r="I90" s="70">
        <v>66.880364493627397</v>
      </c>
      <c r="J90" s="70">
        <v>36.638429309924085</v>
      </c>
      <c r="K90" s="70">
        <v>28.671836648193196</v>
      </c>
      <c r="L90" s="70">
        <v>18.407342135529376</v>
      </c>
      <c r="M90" s="70">
        <v>24.215826599234795</v>
      </c>
      <c r="N90" s="70">
        <v>36.855314228745939</v>
      </c>
      <c r="O90" s="70">
        <v>32.759360212491053</v>
      </c>
      <c r="P90" s="70">
        <v>30.721269806592048</v>
      </c>
      <c r="Q90" s="70">
        <v>28.827247097978624</v>
      </c>
      <c r="R90" s="70">
        <v>30.722792621266681</v>
      </c>
      <c r="S90" s="70">
        <v>40.426731655788572</v>
      </c>
      <c r="T90" s="70">
        <v>14.505942207985768</v>
      </c>
      <c r="U90" s="70">
        <v>15.791763977027758</v>
      </c>
      <c r="V90" s="70">
        <v>11.826826539558724</v>
      </c>
      <c r="X90" s="193">
        <f>((0-('Appendix K'!$I$30))/(1+$Y$16)^0)</f>
        <v>-33594902.4440751</v>
      </c>
      <c r="Y90" s="193">
        <f>(((B90*'Appendix K'!$C$5*1000)-('Appendix K'!$E$31+'Appendix K'!$F$31+'Appendix K'!$H$31+'Appendix K'!$G$31))/((1+$Y$16)^1))</f>
        <v>34971064.972647354</v>
      </c>
      <c r="Z90" s="193">
        <f>+(((C90*'Appendix K'!$C$6*1000)-('Appendix K'!$E$32+'Appendix K'!$F$32+'Appendix K'!$H$32+'Appendix K'!$G$32))/((1+$Y$16)^2))</f>
        <v>10742585.469198804</v>
      </c>
      <c r="AA90" s="193">
        <f>(((D90*'Appendix K'!$C$7*1000)-('Appendix K'!$E$33+'Appendix K'!$F$33+'Appendix K'!$H$33+'Appendix K'!$G$33))/((1+$Y$16)^3))</f>
        <v>4080349.7553271386</v>
      </c>
      <c r="AB90" s="193">
        <f>(((E90*'Appendix K'!$C$8*1000)-('Appendix K'!$E$34+'Appendix K'!$F$34+'Appendix K'!$H$34+'Appendix K'!$G$34))/((1+$Y$16)^4))</f>
        <v>4837035.5072520599</v>
      </c>
      <c r="AC90" s="193">
        <f>(((F90*'Appendix K'!$C$9*1000)-('Appendix K'!$E$35+'Appendix K'!$F$35+'Appendix K'!$H$35+'Appendix K'!$G$35))/((1+$Y$16)^AC$34))</f>
        <v>11621567.032138374</v>
      </c>
      <c r="AD90" s="193">
        <f>(((G90*'Appendix K'!$C$10*1000)-('Appendix K'!$E$36+'Appendix K'!$F$36+'Appendix K'!$H$36+'Appendix K'!$G$36))/((1+$Y$16)^AD$34))</f>
        <v>6591657.0427880008</v>
      </c>
      <c r="AE90" s="193">
        <f>(((H90*'Appendix K'!$C$11*1000)-('Appendix K'!$E$37+'Appendix K'!$F$37+'Appendix K'!$H$37+'Appendix K'!$G$37))/((1+$Y$16)^AE$34))</f>
        <v>3252173.6534361369</v>
      </c>
      <c r="AF90" s="193">
        <f>(((I90*'Appendix K'!$C$12*1000)-('Appendix K'!$E$38+'Appendix K'!$F$38+'Appendix K'!$H$38+'Appendix K'!$G$38))/((1+$Y$16)^AF$34))</f>
        <v>2394948.0432621227</v>
      </c>
      <c r="AG90" s="193">
        <f>(((J90*'Appendix K'!$C$13*1000)-('Appendix K'!$E$39+'Appendix K'!$F$39+'Appendix K'!$H$39+'Appendix K'!$G$39))/((1+$Y$16)^AG$34))</f>
        <v>-128882.46341848916</v>
      </c>
      <c r="AH90" s="193">
        <f>(((K90*'Appendix K'!$C$14*1000)-('Appendix K'!$E$40+'Appendix K'!$F$40+'Appendix K'!$H$40+'Appendix K'!$G$40))/((1+$Y$16)^AH$34))</f>
        <v>-666313.12692928663</v>
      </c>
      <c r="AI90" s="193">
        <f>(((L90*'Appendix K'!$C$15*1000)-('Appendix K'!$E$41+'Appendix K'!$F$41+'Appendix K'!$H$41+'Appendix K'!$G$41))/((1+$Y$16)^AI$34))</f>
        <v>-1034174.5624815779</v>
      </c>
      <c r="AJ90" s="193">
        <f>(((M90*'Appendix K'!$C$16*1000)-('Appendix K'!$E$42+'Appendix K'!$F$42+'Appendix K'!$H$42+'Appendix K'!$G$42))/((1+$Y$16)^AJ$34))</f>
        <v>-896220.58324497764</v>
      </c>
      <c r="AK90" s="193">
        <f>(((N90*'Appendix K'!$C$17*1000)-('Appendix K'!$E$43+'Appendix K'!$F$43+'Appendix K'!$H$43))/((1+$Y$16)^AK$34))</f>
        <v>-438017.34761961224</v>
      </c>
      <c r="AL90" s="193">
        <f>(((O90*'Appendix K'!$C$18*1000)-('Appendix K'!$E$44+'Appendix K'!$F$44+'Appendix K'!$H$44+'Appendix K'!$G$44))/((1+$Y$16)^AL$34))</f>
        <v>-746282.78956014966</v>
      </c>
      <c r="AM90" s="193">
        <f>(((P90*'Appendix K'!$C$19*1000)-('Appendix K'!$E$45+'Appendix K'!$F$45+'Appendix K'!$H$45+'Appendix K'!$G$45))/((1+$Y$16)^AM$34))</f>
        <v>-742018.73195789638</v>
      </c>
      <c r="AN90" s="193">
        <f>(((Q90*'Appendix K'!$C$20*1000)-('Appendix K'!$E$46+'Appendix K'!$F$46+'Appendix K'!$H$46+'Appendix K'!$G$46))/((1+$Y$16)^AN$34))</f>
        <v>-707108.62649673573</v>
      </c>
      <c r="AO90" s="193">
        <f>(((R90*'Appendix K'!$C$21*1000)-('Appendix K'!$E$47+'Appendix K'!$F$47+'Appendix K'!$H$47+'Appendix K'!$G$47))/((1+$Y$16)^AO$34))</f>
        <v>-661423.82673395239</v>
      </c>
      <c r="AP90" s="193">
        <f>(((S90*'Appendix K'!$C$22*1000)-('Appendix K'!$E$48+'Appendix K'!$F$48+'Appendix K'!$H$48+'Appendix K'!$G$48))/((1+$Y$16)^AP$34))</f>
        <v>-570820.53428423649</v>
      </c>
      <c r="AQ90" s="193">
        <f>(((T90*'Appendix K'!$C$23*1000)-('Appendix K'!$E$49+'Appendix K'!$F$49+'Appendix K'!$H$49+'Appendix K'!$G$49))/((1+$Y$16)^AQ$34))</f>
        <v>-636713.08732617623</v>
      </c>
      <c r="AR90" s="193">
        <f>(((U90*'Appendix K'!$C$24*1000)-('Appendix K'!$E$50+'Appendix K'!$F$50+'Appendix K'!$H$50+'Appendix K'!$G$50))/((1+$Y$16)^AR$34))</f>
        <v>-578438.94683507585</v>
      </c>
      <c r="AS90" s="209">
        <f t="shared" si="14"/>
        <v>44896479.031974889</v>
      </c>
      <c r="AU90" s="199">
        <f t="shared" si="13"/>
        <v>5.2952457804045142E-9</v>
      </c>
    </row>
    <row r="91" spans="1:47" x14ac:dyDescent="0.35">
      <c r="A91">
        <v>57</v>
      </c>
      <c r="B91" s="70">
        <v>56</v>
      </c>
      <c r="C91" s="70">
        <v>59.490416040430638</v>
      </c>
      <c r="D91" s="70">
        <v>77.692321669743279</v>
      </c>
      <c r="E91" s="70">
        <v>69.88552748431465</v>
      </c>
      <c r="F91" s="70">
        <v>32.953728012201147</v>
      </c>
      <c r="G91" s="70">
        <v>46.834832659281901</v>
      </c>
      <c r="H91" s="70">
        <v>31.392265081226299</v>
      </c>
      <c r="I91" s="70">
        <v>30.862176074460017</v>
      </c>
      <c r="J91" s="70">
        <v>23.041343725668813</v>
      </c>
      <c r="K91" s="70">
        <v>30.450742573048807</v>
      </c>
      <c r="L91" s="70">
        <v>9.601549101949324</v>
      </c>
      <c r="M91" s="70">
        <v>12.17946839978749</v>
      </c>
      <c r="N91" s="70">
        <v>11.623012958818652</v>
      </c>
      <c r="O91" s="70">
        <v>12.725472452538774</v>
      </c>
      <c r="P91" s="70">
        <v>14.667495116314486</v>
      </c>
      <c r="Q91" s="70">
        <v>20.504774044360538</v>
      </c>
      <c r="R91" s="70">
        <v>19.629842956797066</v>
      </c>
      <c r="S91" s="70">
        <v>23.253648100878348</v>
      </c>
      <c r="T91" s="70">
        <v>22.982471579639746</v>
      </c>
      <c r="U91" s="70">
        <v>33.283049453017796</v>
      </c>
      <c r="V91" s="70">
        <v>30.536503831888243</v>
      </c>
      <c r="X91" s="193">
        <f>((0-('Appendix K'!$I$30))/(1+$Y$16)^0)</f>
        <v>-33594902.4440751</v>
      </c>
      <c r="Y91" s="193">
        <f>(((B91*'Appendix K'!$C$5*1000)-('Appendix K'!$E$31+'Appendix K'!$F$31+'Appendix K'!$H$31+'Appendix K'!$G$31))/((1+$Y$16)^1))</f>
        <v>34971064.972647354</v>
      </c>
      <c r="Z91" s="193">
        <f>+(((C91*'Appendix K'!$C$6*1000)-('Appendix K'!$E$32+'Appendix K'!$F$32+'Appendix K'!$H$32+'Appendix K'!$G$32))/((1+$Y$16)^2))</f>
        <v>11541048.893893877</v>
      </c>
      <c r="AA91" s="193">
        <f>(((D91*'Appendix K'!$C$7*1000)-('Appendix K'!$E$33+'Appendix K'!$F$33+'Appendix K'!$H$33+'Appendix K'!$G$33))/((1+$Y$16)^3))</f>
        <v>6931151.4929950144</v>
      </c>
      <c r="AB91" s="193">
        <f>(((E91*'Appendix K'!$C$8*1000)-('Appendix K'!$E$34+'Appendix K'!$F$34+'Appendix K'!$H$34+'Appendix K'!$G$34))/((1+$Y$16)^4))</f>
        <v>12025059.99527837</v>
      </c>
      <c r="AC91" s="193">
        <f>(((F91*'Appendix K'!$C$9*1000)-('Appendix K'!$E$35+'Appendix K'!$F$35+'Appendix K'!$H$35+'Appendix K'!$G$35))/((1+$Y$16)^AC$34))</f>
        <v>5774820.6398449857</v>
      </c>
      <c r="AD91" s="193">
        <f>(((G91*'Appendix K'!$C$10*1000)-('Appendix K'!$E$36+'Appendix K'!$F$36+'Appendix K'!$H$36+'Appendix K'!$G$36))/((1+$Y$16)^AD$34))</f>
        <v>4839364.2116281893</v>
      </c>
      <c r="AE91" s="193">
        <f>(((H91*'Appendix K'!$C$11*1000)-('Appendix K'!$E$37+'Appendix K'!$F$37+'Appendix K'!$H$37+'Appendix K'!$G$37))/((1+$Y$16)^AE$34))</f>
        <v>911049.11761748441</v>
      </c>
      <c r="AF91" s="193">
        <f>(((I91*'Appendix K'!$C$12*1000)-('Appendix K'!$E$38+'Appendix K'!$F$38+'Appendix K'!$H$38+'Appendix K'!$G$38))/((1+$Y$16)^AF$34))</f>
        <v>29906.374110203335</v>
      </c>
      <c r="AG91" s="193">
        <f>(((J91*'Appendix K'!$C$13*1000)-('Appendix K'!$E$39+'Appendix K'!$F$39+'Appendix K'!$H$39+'Appendix K'!$G$39))/((1+$Y$16)^AG$34))</f>
        <v>-754605.82795725239</v>
      </c>
      <c r="AH91" s="193">
        <f>(((K91*'Appendix K'!$C$14*1000)-('Appendix K'!$E$40+'Appendix K'!$F$40+'Appendix K'!$H$40+'Appendix K'!$G$40))/((1+$Y$16)^AH$34))</f>
        <v>-606352.38677645789</v>
      </c>
      <c r="AI91" s="193">
        <f>(((L91*'Appendix K'!$C$15*1000)-('Appendix K'!$E$41+'Appendix K'!$F$41+'Appendix K'!$H$41+'Appendix K'!$G$41))/((1+$Y$16)^AI$34))</f>
        <v>-1264902.8068750936</v>
      </c>
      <c r="AJ91" s="193">
        <f>(((M91*'Appendix K'!$C$16*1000)-('Appendix K'!$E$42+'Appendix K'!$F$42+'Appendix K'!$H$42+'Appendix K'!$G$42))/((1+$Y$16)^AJ$34))</f>
        <v>-1137451.6731772325</v>
      </c>
      <c r="AK91" s="193">
        <f>(((N91*'Appendix K'!$C$17*1000)-('Appendix K'!$E$43+'Appendix K'!$F$43+'Appendix K'!$H$43))/((1+$Y$16)^AK$34))</f>
        <v>-825683.83707681077</v>
      </c>
      <c r="AL91" s="193">
        <f>(((O91*'Appendix K'!$C$18*1000)-('Appendix K'!$E$44+'Appendix K'!$F$44+'Appendix K'!$H$44+'Appendix K'!$G$44))/((1+$Y$16)^AL$34))</f>
        <v>-983750.35619293014</v>
      </c>
      <c r="AM91" s="193">
        <f>(((P91*'Appendix K'!$C$19*1000)-('Appendix K'!$E$45+'Appendix K'!$F$45+'Appendix K'!$H$45+'Appendix K'!$G$45))/((1+$Y$16)^AM$34))</f>
        <v>-890816.86381565325</v>
      </c>
      <c r="AN91" s="193">
        <f>(((Q91*'Appendix K'!$C$20*1000)-('Appendix K'!$E$46+'Appendix K'!$F$46+'Appendix K'!$H$46+'Appendix K'!$G$46))/((1+$Y$16)^AN$34))</f>
        <v>-767331.84658126219</v>
      </c>
      <c r="AO91" s="193">
        <f>(((R91*'Appendix K'!$C$21*1000)-('Appendix K'!$E$47+'Appendix K'!$F$47+'Appendix K'!$H$47+'Appendix K'!$G$47))/((1+$Y$16)^AO$34))</f>
        <v>-726984.38480049302</v>
      </c>
      <c r="AP91" s="193">
        <f>(((S91*'Appendix K'!$C$22*1000)-('Appendix K'!$E$48+'Appendix K'!$F$48+'Appendix K'!$H$48+'Appendix K'!$G$48))/((1+$Y$16)^AP$34))</f>
        <v>-653074.78474355815</v>
      </c>
      <c r="AQ91" s="193">
        <f>(((T91*'Appendix K'!$C$23*1000)-('Appendix K'!$E$49+'Appendix K'!$F$49+'Appendix K'!$H$49+'Appendix K'!$G$49))/((1+$Y$16)^AQ$34))</f>
        <v>-603538.12141269504</v>
      </c>
      <c r="AR91" s="193">
        <f>(((U91*'Appendix K'!$C$24*1000)-('Appendix K'!$E$50+'Appendix K'!$F$50+'Appendix K'!$H$50+'Appendix K'!$G$50))/((1+$Y$16)^AR$34))</f>
        <v>-522116.51751653402</v>
      </c>
      <c r="AS91" s="209">
        <f t="shared" si="14"/>
        <v>43428563.253940381</v>
      </c>
      <c r="AU91" s="199">
        <f t="shared" si="13"/>
        <v>5.1914024261321022E-9</v>
      </c>
    </row>
    <row r="92" spans="1:47" x14ac:dyDescent="0.35">
      <c r="A92">
        <v>58</v>
      </c>
      <c r="B92" s="70">
        <v>56</v>
      </c>
      <c r="C92" s="70">
        <v>43.806306828817661</v>
      </c>
      <c r="D92" s="70">
        <v>55.687916780611602</v>
      </c>
      <c r="E92" s="70">
        <v>58.868889510547135</v>
      </c>
      <c r="F92" s="70">
        <v>78.492403984520124</v>
      </c>
      <c r="G92" s="70">
        <v>98.587249173755453</v>
      </c>
      <c r="H92" s="70">
        <v>96.105657519057914</v>
      </c>
      <c r="I92" s="70">
        <v>135.58015990242001</v>
      </c>
      <c r="J92" s="70">
        <v>126.76498739701783</v>
      </c>
      <c r="K92" s="70">
        <v>141.6166174129678</v>
      </c>
      <c r="L92" s="70">
        <v>164.42638716640127</v>
      </c>
      <c r="M92" s="70">
        <v>188.82504510075557</v>
      </c>
      <c r="N92" s="70">
        <v>124.45303584476437</v>
      </c>
      <c r="O92" s="70">
        <v>168.16848528980319</v>
      </c>
      <c r="P92" s="70">
        <v>228.67095956158875</v>
      </c>
      <c r="Q92" s="70">
        <v>201.9076879977726</v>
      </c>
      <c r="R92" s="70">
        <v>186.82993038453751</v>
      </c>
      <c r="S92" s="70">
        <v>376.17789207945975</v>
      </c>
      <c r="T92" s="70">
        <v>396.38360896241528</v>
      </c>
      <c r="U92" s="70">
        <v>318.82338126844837</v>
      </c>
      <c r="V92" s="70">
        <v>416.32085651305306</v>
      </c>
      <c r="X92" s="193">
        <f>((0-('Appendix K'!$I$30))/(1+$Y$16)^0)</f>
        <v>-33594902.4440751</v>
      </c>
      <c r="Y92" s="193">
        <f>(((B92*'Appendix K'!$C$5*1000)-('Appendix K'!$E$31+'Appendix K'!$F$31+'Appendix K'!$H$31+'Appendix K'!$G$31))/((1+$Y$16)^1))</f>
        <v>34971064.972647354</v>
      </c>
      <c r="Z92" s="193">
        <f>+(((C92*'Appendix K'!$C$6*1000)-('Appendix K'!$E$32+'Appendix K'!$F$32+'Appendix K'!$H$32+'Appendix K'!$G$32))/((1+$Y$16)^2))</f>
        <v>7578974.6597744171</v>
      </c>
      <c r="AA92" s="193">
        <f>(((D92*'Appendix K'!$C$7*1000)-('Appendix K'!$E$33+'Appendix K'!$F$33+'Appendix K'!$H$33+'Appendix K'!$G$33))/((1+$Y$16)^3))</f>
        <v>4128343.2289179037</v>
      </c>
      <c r="AB92" s="193">
        <f>(((E92*'Appendix K'!$C$8*1000)-('Appendix K'!$E$34+'Appendix K'!$F$34+'Appendix K'!$H$34+'Appendix K'!$G$34))/((1+$Y$16)^4))</f>
        <v>9610313.799042562</v>
      </c>
      <c r="AC92" s="193">
        <f>(((F92*'Appendix K'!$C$9*1000)-('Appendix K'!$E$35+'Appendix K'!$F$35+'Appendix K'!$H$35+'Appendix K'!$G$35))/((1+$Y$16)^AC$34))</f>
        <v>17878929.204733882</v>
      </c>
      <c r="AD92" s="193">
        <f>(((G92*'Appendix K'!$C$10*1000)-('Appendix K'!$E$36+'Appendix K'!$F$36+'Appendix K'!$H$36+'Appendix K'!$G$36))/((1+$Y$16)^AD$34))</f>
        <v>12966768.201579478</v>
      </c>
      <c r="AE92" s="193">
        <f>(((H92*'Appendix K'!$C$11*1000)-('Appendix K'!$E$37+'Appendix K'!$F$37+'Appendix K'!$H$37+'Appendix K'!$G$37))/((1+$Y$16)^AE$34))</f>
        <v>7365409.4333316078</v>
      </c>
      <c r="AF92" s="193">
        <f>(((I92*'Appendix K'!$C$12*1000)-('Appendix K'!$E$38+'Appendix K'!$F$38+'Appendix K'!$H$38+'Appendix K'!$G$38))/((1+$Y$16)^AF$34))</f>
        <v>6905943.3468888393</v>
      </c>
      <c r="AG92" s="193">
        <f>(((J92*'Appendix K'!$C$13*1000)-('Appendix K'!$E$39+'Appendix K'!$F$39+'Appendix K'!$H$39+'Appendix K'!$G$39))/((1+$Y$16)^AG$34))</f>
        <v>4018645.5352179455</v>
      </c>
      <c r="AH92" s="193">
        <f>(((K92*'Appendix K'!$C$14*1000)-('Appendix K'!$E$40+'Appendix K'!$F$40+'Appendix K'!$H$40+'Appendix K'!$G$40))/((1+$Y$16)^AH$34))</f>
        <v>3140663.1478866679</v>
      </c>
      <c r="AI92" s="193">
        <f>(((L92*'Appendix K'!$C$15*1000)-('Appendix K'!$E$41+'Appendix K'!$F$41+'Appendix K'!$H$41+'Appendix K'!$G$41))/((1+$Y$16)^AI$34))</f>
        <v>2791797.4742804128</v>
      </c>
      <c r="AJ92" s="193">
        <f>(((M92*'Appendix K'!$C$16*1000)-('Appendix K'!$E$42+'Appendix K'!$F$42+'Appendix K'!$H$42+'Appendix K'!$G$42))/((1+$Y$16)^AJ$34))</f>
        <v>2402855.4773064535</v>
      </c>
      <c r="AK92" s="193">
        <f>(((N92*'Appendix K'!$C$17*1000)-('Appendix K'!$E$43+'Appendix K'!$F$43+'Appendix K'!$H$43))/((1+$Y$16)^AK$34))</f>
        <v>907825.06524837122</v>
      </c>
      <c r="AL92" s="193">
        <f>(((O92*'Appendix K'!$C$18*1000)-('Appendix K'!$E$44+'Appendix K'!$F$44+'Appendix K'!$H$44+'Appendix K'!$G$44))/((1+$Y$16)^AL$34))</f>
        <v>858761.41440417035</v>
      </c>
      <c r="AM92" s="193">
        <f>(((P92*'Appendix K'!$C$19*1000)-('Appendix K'!$E$45+'Appendix K'!$F$45+'Appendix K'!$H$45+'Appendix K'!$G$45))/((1+$Y$16)^AM$34))</f>
        <v>1092723.8507447387</v>
      </c>
      <c r="AN92" s="193">
        <f>(((Q92*'Appendix K'!$C$20*1000)-('Appendix K'!$E$46+'Appendix K'!$F$46+'Appendix K'!$H$46+'Appendix K'!$G$46))/((1+$Y$16)^AN$34))</f>
        <v>545338.98342417739</v>
      </c>
      <c r="AO92" s="193">
        <f>(((R92*'Appendix K'!$C$21*1000)-('Appendix K'!$E$47+'Appendix K'!$F$47+'Appendix K'!$H$47+'Appendix K'!$G$47))/((1+$Y$16)^AO$34))</f>
        <v>261186.6041698395</v>
      </c>
      <c r="AP92" s="193">
        <f>(((S92*'Appendix K'!$C$22*1000)-('Appendix K'!$E$48+'Appendix K'!$F$48+'Appendix K'!$H$48+'Appendix K'!$G$48))/((1+$Y$16)^AP$34))</f>
        <v>1037333.2927901163</v>
      </c>
      <c r="AQ92" s="193">
        <f>(((T92*'Appendix K'!$C$23*1000)-('Appendix K'!$E$49+'Appendix K'!$F$49+'Appendix K'!$H$49+'Appendix K'!$G$49))/((1+$Y$16)^AQ$34))</f>
        <v>857858.337160722</v>
      </c>
      <c r="AR92" s="193">
        <f>(((U92*'Appendix K'!$C$24*1000)-('Appendix K'!$E$50+'Appendix K'!$F$50+'Appendix K'!$H$50+'Appendix K'!$G$50))/((1+$Y$16)^AR$34))</f>
        <v>397331.35144332569</v>
      </c>
      <c r="AS92" s="209">
        <f t="shared" si="14"/>
        <v>86123164.936917871</v>
      </c>
      <c r="AU92" s="199">
        <f t="shared" si="13"/>
        <v>7.0272386559798456E-9</v>
      </c>
    </row>
    <row r="93" spans="1:47" x14ac:dyDescent="0.35">
      <c r="A93">
        <v>59</v>
      </c>
      <c r="B93" s="70">
        <v>56</v>
      </c>
      <c r="C93" s="70">
        <v>55.504027528243896</v>
      </c>
      <c r="D93" s="70">
        <v>76.13005611076737</v>
      </c>
      <c r="E93" s="70">
        <v>34.380931508781934</v>
      </c>
      <c r="F93" s="70">
        <v>31.65120714845213</v>
      </c>
      <c r="G93" s="70">
        <v>49.280224012757081</v>
      </c>
      <c r="H93" s="70">
        <v>37.196156168756715</v>
      </c>
      <c r="I93" s="70">
        <v>49.859416992305938</v>
      </c>
      <c r="J93" s="70">
        <v>56.381390175582432</v>
      </c>
      <c r="K93" s="70">
        <v>78.436974256105287</v>
      </c>
      <c r="L93" s="70">
        <v>117.15554827421046</v>
      </c>
      <c r="M93" s="70">
        <v>206.53025736631491</v>
      </c>
      <c r="N93" s="70">
        <v>158.75356344241916</v>
      </c>
      <c r="O93" s="70">
        <v>129.52039474634591</v>
      </c>
      <c r="P93" s="70">
        <v>164.55765024508389</v>
      </c>
      <c r="Q93" s="70">
        <v>176.84885193899399</v>
      </c>
      <c r="R93" s="70">
        <v>233.37758382964068</v>
      </c>
      <c r="S93" s="70">
        <v>334.27917763170387</v>
      </c>
      <c r="T93" s="70">
        <v>493.19499512622502</v>
      </c>
      <c r="U93" s="70">
        <v>400.15392849585851</v>
      </c>
      <c r="V93" s="70">
        <v>349.45829575518206</v>
      </c>
      <c r="X93" s="193">
        <f>((0-('Appendix K'!$I$30))/(1+$Y$16)^0)</f>
        <v>-33594902.4440751</v>
      </c>
      <c r="Y93" s="193">
        <f>(((B93*'Appendix K'!$C$5*1000)-('Appendix K'!$E$31+'Appendix K'!$F$31+'Appendix K'!$H$31+'Appendix K'!$G$31))/((1+$Y$16)^1))</f>
        <v>34971064.972647354</v>
      </c>
      <c r="Z93" s="193">
        <f>+(((C93*'Appendix K'!$C$6*1000)-('Appendix K'!$E$32+'Appendix K'!$F$32+'Appendix K'!$H$32+'Appendix K'!$G$32))/((1+$Y$16)^2))</f>
        <v>10534018.976018127</v>
      </c>
      <c r="AA93" s="193">
        <f>(((D93*'Appendix K'!$C$7*1000)-('Appendix K'!$E$33+'Appendix K'!$F$33+'Appendix K'!$H$33+'Appendix K'!$G$33))/((1+$Y$16)^3))</f>
        <v>6732158.1168304337</v>
      </c>
      <c r="AB93" s="193">
        <f>(((E93*'Appendix K'!$C$8*1000)-('Appendix K'!$E$34+'Appendix K'!$F$34+'Appendix K'!$H$34+'Appendix K'!$G$34))/((1+$Y$16)^4))</f>
        <v>4242777.57073511</v>
      </c>
      <c r="AC93" s="193">
        <f>(((F93*'Appendix K'!$C$9*1000)-('Appendix K'!$E$35+'Appendix K'!$F$35+'Appendix K'!$H$35+'Appendix K'!$G$35))/((1+$Y$16)^AC$34))</f>
        <v>5428612.6395852864</v>
      </c>
      <c r="AD93" s="193">
        <f>(((G93*'Appendix K'!$C$10*1000)-('Appendix K'!$E$36+'Appendix K'!$F$36+'Appendix K'!$H$36+'Appendix K'!$G$36))/((1+$Y$16)^AD$34))</f>
        <v>5223398.1327817682</v>
      </c>
      <c r="AE93" s="193">
        <f>(((H93*'Appendix K'!$C$11*1000)-('Appendix K'!$E$37+'Appendix K'!$F$37+'Appendix K'!$H$37+'Appendix K'!$G$37))/((1+$Y$16)^AE$34))</f>
        <v>1489915.4527129654</v>
      </c>
      <c r="AF93" s="193">
        <f>(((I93*'Appendix K'!$C$12*1000)-('Appendix K'!$E$38+'Appendix K'!$F$38+'Appendix K'!$H$38+'Appendix K'!$G$38))/((1+$Y$16)^AF$34))</f>
        <v>1277311.3198212979</v>
      </c>
      <c r="AG93" s="193">
        <f>(((J93*'Appendix K'!$C$13*1000)-('Appendix K'!$E$39+'Appendix K'!$F$39+'Appendix K'!$H$39+'Appendix K'!$G$39))/((1+$Y$16)^AG$34))</f>
        <v>779667.52122834942</v>
      </c>
      <c r="AH93" s="193">
        <f>(((K93*'Appendix K'!$C$14*1000)-('Appendix K'!$E$40+'Appendix K'!$F$40+'Appendix K'!$H$40+'Appendix K'!$G$40))/((1+$Y$16)^AH$34))</f>
        <v>1011096.8153755459</v>
      </c>
      <c r="AI93" s="193">
        <f>(((L93*'Appendix K'!$C$15*1000)-('Appendix K'!$E$41+'Appendix K'!$F$41+'Appendix K'!$H$41+'Appendix K'!$G$41))/((1+$Y$16)^AI$34))</f>
        <v>1553213.0984028294</v>
      </c>
      <c r="AJ93" s="193">
        <f>(((M93*'Appendix K'!$C$16*1000)-('Appendix K'!$E$42+'Appendix K'!$F$42+'Appendix K'!$H$42+'Appendix K'!$G$42))/((1+$Y$16)^AJ$34))</f>
        <v>2757700.986349124</v>
      </c>
      <c r="AK93" s="193">
        <f>(((N93*'Appendix K'!$C$17*1000)-('Appendix K'!$E$43+'Appendix K'!$F$43+'Appendix K'!$H$43))/((1+$Y$16)^AK$34))</f>
        <v>1434814.8541726419</v>
      </c>
      <c r="AL93" s="193">
        <f>(((O93*'Appendix K'!$C$18*1000)-('Appendix K'!$E$44+'Appendix K'!$F$44+'Appendix K'!$H$44+'Appendix K'!$G$44))/((1+$Y$16)^AL$34))</f>
        <v>400654.22490976163</v>
      </c>
      <c r="AM93" s="193">
        <f>(((P93*'Appendix K'!$C$19*1000)-('Appendix K'!$E$45+'Appendix K'!$F$45+'Appendix K'!$H$45+'Appendix K'!$G$45))/((1+$Y$16)^AM$34))</f>
        <v>498474.78237504326</v>
      </c>
      <c r="AN93" s="193">
        <f>(((Q93*'Appendix K'!$C$20*1000)-('Appendix K'!$E$46+'Appendix K'!$F$46+'Appendix K'!$H$46+'Appendix K'!$G$46))/((1+$Y$16)^AN$34))</f>
        <v>364007.81066972564</v>
      </c>
      <c r="AO93" s="193">
        <f>(((R93*'Appendix K'!$C$21*1000)-('Appendix K'!$E$47+'Appendix K'!$F$47+'Appendix K'!$H$47+'Appendix K'!$G$47))/((1+$Y$16)^AO$34))</f>
        <v>536288.37861702475</v>
      </c>
      <c r="AP93" s="193">
        <f>(((S93*'Appendix K'!$C$22*1000)-('Appendix K'!$E$48+'Appendix K'!$F$48+'Appendix K'!$H$48+'Appendix K'!$G$48))/((1+$Y$16)^AP$34))</f>
        <v>836650.20980797429</v>
      </c>
      <c r="AQ93" s="193">
        <f>(((T93*'Appendix K'!$C$23*1000)-('Appendix K'!$E$49+'Appendix K'!$F$49+'Appendix K'!$H$49+'Appendix K'!$G$49))/((1+$Y$16)^AQ$34))</f>
        <v>1236753.3182553924</v>
      </c>
      <c r="AR93" s="193">
        <f>(((U93*'Appendix K'!$C$24*1000)-('Appendix K'!$E$50+'Appendix K'!$F$50+'Appendix K'!$H$50+'Appendix K'!$G$50))/((1+$Y$16)^AR$34))</f>
        <v>659217.99230468622</v>
      </c>
      <c r="AS93" s="209">
        <f t="shared" si="14"/>
        <v>48372894.729525335</v>
      </c>
      <c r="AU93" s="199">
        <f t="shared" si="13"/>
        <v>5.5347460605620837E-9</v>
      </c>
    </row>
    <row r="94" spans="1:47" x14ac:dyDescent="0.35">
      <c r="A94">
        <v>60</v>
      </c>
      <c r="B94" s="70">
        <v>56</v>
      </c>
      <c r="C94" s="70">
        <v>34.229073506420278</v>
      </c>
      <c r="D94" s="70">
        <v>12.897937864500133</v>
      </c>
      <c r="E94" s="70">
        <v>14.730991625229473</v>
      </c>
      <c r="F94" s="70">
        <v>10.043006846115574</v>
      </c>
      <c r="G94" s="70">
        <v>17.628095725839575</v>
      </c>
      <c r="H94" s="70">
        <v>16.509682754584631</v>
      </c>
      <c r="I94" s="70">
        <v>15.315216297875034</v>
      </c>
      <c r="J94" s="70">
        <v>22.190146582381079</v>
      </c>
      <c r="K94" s="70">
        <v>20.141779091277623</v>
      </c>
      <c r="L94" s="70">
        <v>14.36453932812698</v>
      </c>
      <c r="M94" s="70">
        <v>11.455861722571981</v>
      </c>
      <c r="N94" s="70">
        <v>9.5063470016590461</v>
      </c>
      <c r="O94" s="70">
        <v>13.313191928122354</v>
      </c>
      <c r="P94" s="70">
        <v>19.008546075636836</v>
      </c>
      <c r="Q94" s="70">
        <v>21.583484488590134</v>
      </c>
      <c r="R94" s="70">
        <v>23.096246956457961</v>
      </c>
      <c r="S94" s="70">
        <v>30.977321128105967</v>
      </c>
      <c r="T94" s="70">
        <v>30.394973122939167</v>
      </c>
      <c r="U94" s="70">
        <v>38.754990241918897</v>
      </c>
      <c r="V94" s="70">
        <v>53.24480817056903</v>
      </c>
      <c r="X94" s="193">
        <f>((0-('Appendix K'!$I$30))/(1+$Y$16)^0)</f>
        <v>-33594902.4440751</v>
      </c>
      <c r="Y94" s="193">
        <f>(((B94*'Appendix K'!$C$5*1000)-('Appendix K'!$E$31+'Appendix K'!$F$31+'Appendix K'!$H$31+'Appendix K'!$G$31))/((1+$Y$16)^1))</f>
        <v>34971064.972647354</v>
      </c>
      <c r="Z94" s="193">
        <f>+(((C94*'Appendix K'!$C$6*1000)-('Appendix K'!$E$32+'Appendix K'!$F$32+'Appendix K'!$H$32+'Appendix K'!$G$32))/((1+$Y$16)^2))</f>
        <v>5159601.7219269266</v>
      </c>
      <c r="AA94" s="193">
        <f>(((D94*'Appendix K'!$C$7*1000)-('Appendix K'!$E$33+'Appendix K'!$F$33+'Appendix K'!$H$33+'Appendix K'!$G$33))/((1+$Y$16)^3))</f>
        <v>-1322024.8737431611</v>
      </c>
      <c r="AB94" s="193">
        <f>(((E94*'Appendix K'!$C$8*1000)-('Appendix K'!$E$34+'Appendix K'!$F$34+'Appendix K'!$H$34+'Appendix K'!$G$34))/((1+$Y$16)^4))</f>
        <v>-64309.373853264311</v>
      </c>
      <c r="AC94" s="193">
        <f>(((F94*'Appendix K'!$C$9*1000)-('Appendix K'!$E$35+'Appendix K'!$F$35+'Appendix K'!$H$35+'Appendix K'!$G$35))/((1+$Y$16)^AC$34))</f>
        <v>-314813.06981238374</v>
      </c>
      <c r="AD94" s="193">
        <f>(((G94*'Appendix K'!$C$10*1000)-('Appendix K'!$E$36+'Appendix K'!$F$36+'Appendix K'!$H$36+'Appendix K'!$G$36))/((1+$Y$16)^AD$34))</f>
        <v>252622.83270281315</v>
      </c>
      <c r="AE94" s="193">
        <f>(((H94*'Appendix K'!$C$11*1000)-('Appendix K'!$E$37+'Appendix K'!$F$37+'Appendix K'!$H$37+'Appendix K'!$G$37))/((1+$Y$16)^AE$34))</f>
        <v>-573304.35460550536</v>
      </c>
      <c r="AF94" s="193">
        <f>(((I94*'Appendix K'!$C$12*1000)-('Appendix K'!$E$38+'Appendix K'!$F$38+'Appendix K'!$H$38+'Appendix K'!$G$38))/((1+$Y$16)^AF$34))</f>
        <v>-990944.73789867433</v>
      </c>
      <c r="AG94" s="193">
        <f>(((J94*'Appendix K'!$C$13*1000)-('Appendix K'!$E$39+'Appendix K'!$F$39+'Appendix K'!$H$39+'Appendix K'!$G$39))/((1+$Y$16)^AG$34))</f>
        <v>-793777.0118910009</v>
      </c>
      <c r="AH94" s="193">
        <f>(((K94*'Appendix K'!$C$14*1000)-('Appendix K'!$E$40+'Appendix K'!$F$40+'Appendix K'!$H$40+'Appendix K'!$G$40))/((1+$Y$16)^AH$34))</f>
        <v>-953831.74020300491</v>
      </c>
      <c r="AI94" s="193">
        <f>(((L94*'Appendix K'!$C$15*1000)-('Appendix K'!$E$41+'Appendix K'!$F$41+'Appendix K'!$H$41+'Appendix K'!$G$41))/((1+$Y$16)^AI$34))</f>
        <v>-1140103.5561138412</v>
      </c>
      <c r="AJ94" s="193">
        <f>(((M94*'Appendix K'!$C$16*1000)-('Appendix K'!$E$42+'Appendix K'!$F$42+'Appendix K'!$H$42+'Appendix K'!$G$42))/((1+$Y$16)^AJ$34))</f>
        <v>-1151954.1019463404</v>
      </c>
      <c r="AK94" s="193">
        <f>(((N94*'Appendix K'!$C$17*1000)-('Appendix K'!$E$43+'Appendix K'!$F$43+'Appendix K'!$H$43))/((1+$Y$16)^AK$34))</f>
        <v>-858204.07580523763</v>
      </c>
      <c r="AL94" s="193">
        <f>(((O94*'Appendix K'!$C$18*1000)-('Appendix K'!$E$44+'Appendix K'!$F$44+'Appendix K'!$H$44+'Appendix K'!$G$44))/((1+$Y$16)^AL$34))</f>
        <v>-976783.94431113277</v>
      </c>
      <c r="AM94" s="193">
        <f>(((P94*'Appendix K'!$C$19*1000)-('Appendix K'!$E$45+'Appendix K'!$F$45+'Appendix K'!$H$45+'Appendix K'!$G$45))/((1+$Y$16)^AM$34))</f>
        <v>-850580.82677710662</v>
      </c>
      <c r="AN94" s="193">
        <f>(((Q94*'Appendix K'!$C$20*1000)-('Appendix K'!$E$46+'Appendix K'!$F$46+'Appendix K'!$H$46+'Appendix K'!$G$46))/((1+$Y$16)^AN$34))</f>
        <v>-759526.06384435389</v>
      </c>
      <c r="AO94" s="193">
        <f>(((R94*'Appendix K'!$C$21*1000)-('Appendix K'!$E$47+'Appendix K'!$F$47+'Appendix K'!$H$47+'Appendix K'!$G$47))/((1+$Y$16)^AO$34))</f>
        <v>-706497.55419404386</v>
      </c>
      <c r="AP94" s="193">
        <f>(((S94*'Appendix K'!$C$22*1000)-('Appendix K'!$E$48+'Appendix K'!$F$48+'Appendix K'!$H$48+'Appendix K'!$G$48))/((1+$Y$16)^AP$34))</f>
        <v>-616080.55865619727</v>
      </c>
      <c r="AQ94" s="193">
        <f>(((T94*'Appendix K'!$C$23*1000)-('Appendix K'!$E$49+'Appendix K'!$F$49+'Appendix K'!$H$49+'Appendix K'!$G$49))/((1+$Y$16)^AQ$34))</f>
        <v>-574527.48802128353</v>
      </c>
      <c r="AR94" s="193">
        <f>(((U94*'Appendix K'!$C$24*1000)-('Appendix K'!$E$50+'Appendix K'!$F$50+'Appendix K'!$H$50+'Appendix K'!$G$50))/((1+$Y$16)^AR$34))</f>
        <v>-504496.71485873742</v>
      </c>
      <c r="AS94" s="209">
        <f t="shared" si="14"/>
        <v>6788387.083201997</v>
      </c>
      <c r="AU94" s="199">
        <f t="shared" si="13"/>
        <v>2.5494478045602412E-9</v>
      </c>
    </row>
    <row r="95" spans="1:47" x14ac:dyDescent="0.35">
      <c r="A95">
        <v>61</v>
      </c>
      <c r="B95" s="70">
        <v>56</v>
      </c>
      <c r="C95" s="70">
        <v>55.311568159930644</v>
      </c>
      <c r="D95" s="70">
        <v>49.174205571080705</v>
      </c>
      <c r="E95" s="70">
        <v>50.658210439162936</v>
      </c>
      <c r="F95" s="70">
        <v>64.772150619227162</v>
      </c>
      <c r="G95" s="70">
        <v>50.770161320944638</v>
      </c>
      <c r="H95" s="70">
        <v>48.736597526890442</v>
      </c>
      <c r="I95" s="70">
        <v>31.067759400261046</v>
      </c>
      <c r="J95" s="70">
        <v>32.296889571330496</v>
      </c>
      <c r="K95" s="70">
        <v>44.50376295217761</v>
      </c>
      <c r="L95" s="70">
        <v>52.904630573651552</v>
      </c>
      <c r="M95" s="70">
        <v>58.704724744423544</v>
      </c>
      <c r="N95" s="70">
        <v>46.365097517103401</v>
      </c>
      <c r="O95" s="70">
        <v>48.866546704947389</v>
      </c>
      <c r="P95" s="70">
        <v>34.095922307454458</v>
      </c>
      <c r="Q95" s="70">
        <v>58.004567484705447</v>
      </c>
      <c r="R95" s="70">
        <v>48.449394574268211</v>
      </c>
      <c r="S95" s="70">
        <v>31.014631227781216</v>
      </c>
      <c r="T95" s="70">
        <v>32.729376390560127</v>
      </c>
      <c r="U95" s="70">
        <v>31.193344865839705</v>
      </c>
      <c r="V95" s="70">
        <v>30.194735671963038</v>
      </c>
      <c r="X95" s="193">
        <f>((0-('Appendix K'!$I$30))/(1+$Y$16)^0)</f>
        <v>-33594902.4440751</v>
      </c>
      <c r="Y95" s="193">
        <f>(((B95*'Appendix K'!$C$5*1000)-('Appendix K'!$E$31+'Appendix K'!$F$31+'Appendix K'!$H$31+'Appendix K'!$G$31))/((1+$Y$16)^1))</f>
        <v>34971064.972647354</v>
      </c>
      <c r="Z95" s="193">
        <f>+(((C95*'Appendix K'!$C$6*1000)-('Appendix K'!$E$32+'Appendix K'!$F$32+'Appendix K'!$H$32+'Appendix K'!$G$32))/((1+$Y$16)^2))</f>
        <v>10485400.447925743</v>
      </c>
      <c r="AA95" s="193">
        <f>(((D95*'Appendix K'!$C$7*1000)-('Appendix K'!$E$33+'Appendix K'!$F$33+'Appendix K'!$H$33+'Appendix K'!$G$33))/((1+$Y$16)^3))</f>
        <v>3298660.0950240106</v>
      </c>
      <c r="AB95" s="193">
        <f>(((E95*'Appendix K'!$C$8*1000)-('Appendix K'!$E$34+'Appendix K'!$F$34+'Appendix K'!$H$34+'Appendix K'!$G$34))/((1+$Y$16)^4))</f>
        <v>7810608.1081277207</v>
      </c>
      <c r="AC95" s="193">
        <f>(((F95*'Appendix K'!$C$9*1000)-('Appendix K'!$E$35+'Appendix K'!$F$35+'Appendix K'!$H$35+'Appendix K'!$G$35))/((1+$Y$16)^AC$34))</f>
        <v>14232107.404902987</v>
      </c>
      <c r="AD95" s="193">
        <f>(((G95*'Appendix K'!$C$10*1000)-('Appendix K'!$E$36+'Appendix K'!$F$36+'Appendix K'!$H$36+'Appendix K'!$G$36))/((1+$Y$16)^AD$34))</f>
        <v>5457383.7751711281</v>
      </c>
      <c r="AE95" s="193">
        <f>(((H95*'Appendix K'!$C$11*1000)-('Appendix K'!$E$37+'Appendix K'!$F$37+'Appendix K'!$H$37+'Appendix K'!$G$37))/((1+$Y$16)^AE$34))</f>
        <v>2640931.7094997065</v>
      </c>
      <c r="AF95" s="193">
        <f>(((I95*'Appendix K'!$C$12*1000)-('Appendix K'!$E$38+'Appendix K'!$F$38+'Appendix K'!$H$38+'Appendix K'!$G$38))/((1+$Y$16)^AF$34))</f>
        <v>43405.474241056712</v>
      </c>
      <c r="AG95" s="193">
        <f>(((J95*'Appendix K'!$C$13*1000)-('Appendix K'!$E$39+'Appendix K'!$F$39+'Appendix K'!$H$39+'Appendix K'!$G$39))/((1+$Y$16)^AG$34))</f>
        <v>-328675.48786316934</v>
      </c>
      <c r="AH95" s="193">
        <f>(((K95*'Appendix K'!$C$14*1000)-('Appendix K'!$E$40+'Appendix K'!$F$40+'Appendix K'!$H$40+'Appendix K'!$G$40))/((1+$Y$16)^AH$34))</f>
        <v>-132673.87936255924</v>
      </c>
      <c r="AI95" s="193">
        <f>(((L95*'Appendix K'!$C$15*1000)-('Appendix K'!$E$41+'Appendix K'!$F$41+'Appendix K'!$H$41+'Appendix K'!$G$41))/((1+$Y$16)^AI$34))</f>
        <v>-130281.09515707049</v>
      </c>
      <c r="AJ95" s="193">
        <f>(((M95*'Appendix K'!$C$16*1000)-('Appendix K'!$E$42+'Appendix K'!$F$42+'Appendix K'!$H$42+'Appendix K'!$G$42))/((1+$Y$16)^AJ$34))</f>
        <v>-204998.67440311241</v>
      </c>
      <c r="AK95" s="193">
        <f>(((N95*'Appendix K'!$C$17*1000)-('Appendix K'!$E$43+'Appendix K'!$F$43+'Appendix K'!$H$43))/((1+$Y$16)^AK$34))</f>
        <v>-291910.01228551357</v>
      </c>
      <c r="AL95" s="193">
        <f>(((O95*'Appendix K'!$C$18*1000)-('Appendix K'!$E$44+'Appendix K'!$F$44+'Appendix K'!$H$44+'Appendix K'!$G$44))/((1+$Y$16)^AL$34))</f>
        <v>-555359.56849119463</v>
      </c>
      <c r="AM95" s="193">
        <f>(((P95*'Appendix K'!$C$19*1000)-('Appendix K'!$E$45+'Appendix K'!$F$45+'Appendix K'!$H$45+'Appendix K'!$G$45))/((1+$Y$16)^AM$34))</f>
        <v>-710739.98303528072</v>
      </c>
      <c r="AN95" s="193">
        <f>(((Q95*'Appendix K'!$C$20*1000)-('Appendix K'!$E$46+'Appendix K'!$F$46+'Appendix K'!$H$46+'Appendix K'!$G$46))/((1+$Y$16)^AN$34))</f>
        <v>-495975.20788353967</v>
      </c>
      <c r="AO95" s="193">
        <f>(((R95*'Appendix K'!$C$21*1000)-('Appendix K'!$E$47+'Appendix K'!$F$47+'Appendix K'!$H$47+'Appendix K'!$G$47))/((1+$Y$16)^AO$34))</f>
        <v>-556657.65075601626</v>
      </c>
      <c r="AP95" s="193">
        <f>(((S95*'Appendix K'!$C$22*1000)-('Appendix K'!$E$48+'Appendix K'!$F$48+'Appendix K'!$H$48+'Appendix K'!$G$48))/((1+$Y$16)^AP$34))</f>
        <v>-615901.85375014262</v>
      </c>
      <c r="AQ95" s="193">
        <f>(((T95*'Appendix K'!$C$23*1000)-('Appendix K'!$E$49+'Appendix K'!$F$49+'Appendix K'!$H$49+'Appendix K'!$G$49))/((1+$Y$16)^AQ$34))</f>
        <v>-565391.23125437833</v>
      </c>
      <c r="AR95" s="193">
        <f>(((U95*'Appendix K'!$C$24*1000)-('Appendix K'!$E$50+'Appendix K'!$F$50+'Appendix K'!$H$50+'Appendix K'!$G$50))/((1+$Y$16)^AR$34))</f>
        <v>-528845.42483838473</v>
      </c>
      <c r="AS95" s="209">
        <f t="shared" si="14"/>
        <v>45344659.543464608</v>
      </c>
      <c r="AU95" s="199">
        <f t="shared" si="13"/>
        <v>5.3266528079646132E-9</v>
      </c>
    </row>
    <row r="96" spans="1:47" x14ac:dyDescent="0.35">
      <c r="A96">
        <v>62</v>
      </c>
      <c r="B96" s="70">
        <v>56</v>
      </c>
      <c r="C96" s="70">
        <v>7.7690250013849109</v>
      </c>
      <c r="D96" s="70">
        <v>10.689395554388378</v>
      </c>
      <c r="E96" s="70">
        <v>9.391148868807651</v>
      </c>
      <c r="F96" s="70">
        <v>9.3504461286291889</v>
      </c>
      <c r="G96" s="70">
        <v>9.0073491685165177</v>
      </c>
      <c r="H96" s="70">
        <v>11.691122873755939</v>
      </c>
      <c r="I96" s="70">
        <v>12.309160092470966</v>
      </c>
      <c r="J96" s="70">
        <v>15.202861474715267</v>
      </c>
      <c r="K96" s="70">
        <v>8.5614854322679648</v>
      </c>
      <c r="L96" s="70">
        <v>10.295612769131044</v>
      </c>
      <c r="M96" s="70">
        <v>13.725270400165687</v>
      </c>
      <c r="N96" s="70">
        <v>12.857746160421954</v>
      </c>
      <c r="O96" s="70">
        <v>20.045226926866899</v>
      </c>
      <c r="P96" s="70">
        <v>26.902352964722134</v>
      </c>
      <c r="Q96" s="70">
        <v>29.812553846393396</v>
      </c>
      <c r="R96" s="70">
        <v>30.263039024186735</v>
      </c>
      <c r="S96" s="70">
        <v>22.092219038268482</v>
      </c>
      <c r="T96" s="70">
        <v>28.060368373559612</v>
      </c>
      <c r="U96" s="70">
        <v>31.965565869229074</v>
      </c>
      <c r="V96" s="70">
        <v>41.643929131909857</v>
      </c>
      <c r="X96" s="193">
        <f>((0-('Appendix K'!$I$30))/(1+$Y$16)^0)</f>
        <v>-33594902.4440751</v>
      </c>
      <c r="Y96" s="193">
        <f>(((B96*'Appendix K'!$C$5*1000)-('Appendix K'!$E$31+'Appendix K'!$F$31+'Appendix K'!$H$31+'Appendix K'!$G$31))/((1+$Y$16)^1))</f>
        <v>34971064.972647354</v>
      </c>
      <c r="Z96" s="193">
        <f>+(((C96*'Appendix K'!$C$6*1000)-('Appendix K'!$E$32+'Appendix K'!$F$32+'Appendix K'!$H$32+'Appendix K'!$G$32))/((1+$Y$16)^2))</f>
        <v>-1524659.0799379065</v>
      </c>
      <c r="AA96" s="193">
        <f>(((D96*'Appendix K'!$C$7*1000)-('Appendix K'!$E$33+'Appendix K'!$F$33+'Appendix K'!$H$33+'Appendix K'!$G$33))/((1+$Y$16)^3))</f>
        <v>-1603337.6685919131</v>
      </c>
      <c r="AB96" s="193">
        <f>(((E96*'Appendix K'!$C$8*1000)-('Appendix K'!$E$34+'Appendix K'!$F$34+'Appendix K'!$H$34+'Appendix K'!$G$34))/((1+$Y$16)^4))</f>
        <v>-1234754.0245053594</v>
      </c>
      <c r="AC96" s="193">
        <f>(((F96*'Appendix K'!$C$9*1000)-('Appendix K'!$E$35+'Appendix K'!$F$35+'Appendix K'!$H$35+'Appendix K'!$G$35))/((1+$Y$16)^AC$34))</f>
        <v>-498894.62100478407</v>
      </c>
      <c r="AD96" s="193">
        <f>(((G96*'Appendix K'!$C$10*1000)-('Appendix K'!$E$36+'Appendix K'!$F$36+'Appendix K'!$H$36+'Appendix K'!$G$36))/((1+$Y$16)^AD$34))</f>
        <v>-1101213.2716798959</v>
      </c>
      <c r="AE96" s="193">
        <f>(((H96*'Appendix K'!$C$11*1000)-('Appendix K'!$E$37+'Appendix K'!$F$37+'Appendix K'!$H$37+'Appendix K'!$G$37))/((1+$Y$16)^AE$34))</f>
        <v>-1053896.0915259661</v>
      </c>
      <c r="AF96" s="193">
        <f>(((I96*'Appendix K'!$C$12*1000)-('Appendix K'!$E$38+'Appendix K'!$F$38+'Appendix K'!$H$38+'Appendix K'!$G$38))/((1+$Y$16)^AF$34))</f>
        <v>-1188329.6841612677</v>
      </c>
      <c r="AG96" s="193">
        <f>(((J96*'Appendix K'!$C$13*1000)-('Appendix K'!$E$39+'Appendix K'!$F$39+'Appendix K'!$H$39+'Appendix K'!$G$39))/((1+$Y$16)^AG$34))</f>
        <v>-1115324.4140506906</v>
      </c>
      <c r="AH96" s="193">
        <f>(((K96*'Appendix K'!$C$14*1000)-('Appendix K'!$E$40+'Appendix K'!$F$40+'Appendix K'!$H$40+'Appendix K'!$G$40))/((1+$Y$16)^AH$34))</f>
        <v>-1344163.2182645481</v>
      </c>
      <c r="AI96" s="193">
        <f>(((L96*'Appendix K'!$C$15*1000)-('Appendix K'!$E$41+'Appendix K'!$F$41+'Appendix K'!$H$41+'Appendix K'!$G$41))/((1+$Y$16)^AI$34))</f>
        <v>-1246717.0408895107</v>
      </c>
      <c r="AJ96" s="193">
        <f>(((M96*'Appendix K'!$C$16*1000)-('Appendix K'!$E$42+'Appendix K'!$F$42+'Appendix K'!$H$42+'Appendix K'!$G$42))/((1+$Y$16)^AJ$34))</f>
        <v>-1106470.9151114069</v>
      </c>
      <c r="AK96" s="193">
        <f>(((N96*'Appendix K'!$C$17*1000)-('Appendix K'!$E$43+'Appendix K'!$F$43+'Appendix K'!$H$43))/((1+$Y$16)^AK$34))</f>
        <v>-806713.52277368028</v>
      </c>
      <c r="AL96" s="193">
        <f>(((O96*'Appendix K'!$C$18*1000)-('Appendix K'!$E$44+'Appendix K'!$F$44+'Appendix K'!$H$44+'Appendix K'!$G$44))/((1+$Y$16)^AL$34))</f>
        <v>-896987.15255540272</v>
      </c>
      <c r="AM96" s="193">
        <f>(((P96*'Appendix K'!$C$19*1000)-('Appendix K'!$E$45+'Appendix K'!$F$45+'Appendix K'!$H$45+'Appendix K'!$G$45))/((1+$Y$16)^AM$34))</f>
        <v>-777415.24790218123</v>
      </c>
      <c r="AN96" s="193">
        <f>(((Q96*'Appendix K'!$C$20*1000)-('Appendix K'!$E$46+'Appendix K'!$F$46+'Appendix K'!$H$46+'Appendix K'!$G$46))/((1+$Y$16)^AN$34))</f>
        <v>-699978.73316115374</v>
      </c>
      <c r="AO96" s="193">
        <f>(((R96*'Appendix K'!$C$21*1000)-('Appendix K'!$E$47+'Appendix K'!$F$47+'Appendix K'!$H$47+'Appendix K'!$G$47))/((1+$Y$16)^AO$34))</f>
        <v>-664141.02128629072</v>
      </c>
      <c r="AP96" s="193">
        <f>(((S96*'Appendix K'!$C$22*1000)-('Appendix K'!$E$48+'Appendix K'!$F$48+'Appendix K'!$H$48+'Appendix K'!$G$48))/((1+$Y$16)^AP$34))</f>
        <v>-658637.70398873545</v>
      </c>
      <c r="AQ96" s="193">
        <f>(((T96*'Appendix K'!$C$23*1000)-('Appendix K'!$E$49+'Appendix K'!$F$49+'Appendix K'!$H$49+'Appendix K'!$G$49))/((1+$Y$16)^AQ$34))</f>
        <v>-583664.53333621135</v>
      </c>
      <c r="AR96" s="193">
        <f>(((U96*'Appendix K'!$C$24*1000)-('Appendix K'!$E$50+'Appendix K'!$F$50+'Appendix K'!$H$50+'Appendix K'!$G$50))/((1+$Y$16)^AR$34))</f>
        <v>-526358.85157071997</v>
      </c>
      <c r="AS96" s="209">
        <f t="shared" si="14"/>
        <v>1376162.5285722539</v>
      </c>
      <c r="AU96" s="199">
        <f t="shared" si="13"/>
        <v>2.2155499856643697E-9</v>
      </c>
    </row>
    <row r="97" spans="1:47" x14ac:dyDescent="0.35">
      <c r="A97">
        <v>63</v>
      </c>
      <c r="B97" s="70">
        <v>56</v>
      </c>
      <c r="C97" s="70">
        <v>81.528870136231106</v>
      </c>
      <c r="D97" s="70">
        <v>87.361267270701248</v>
      </c>
      <c r="E97" s="70">
        <v>99.624782114324617</v>
      </c>
      <c r="F97" s="70">
        <v>165.22720485061132</v>
      </c>
      <c r="G97" s="70">
        <v>153.25484991733362</v>
      </c>
      <c r="H97" s="70">
        <v>213.19187771676729</v>
      </c>
      <c r="I97" s="70">
        <v>265.14936021747013</v>
      </c>
      <c r="J97" s="70">
        <v>222.09657358846272</v>
      </c>
      <c r="K97" s="70">
        <v>268.34367911092903</v>
      </c>
      <c r="L97" s="70">
        <v>361.76052354546323</v>
      </c>
      <c r="M97" s="70">
        <v>277.23091010466152</v>
      </c>
      <c r="N97" s="70">
        <v>264.25530864985092</v>
      </c>
      <c r="O97" s="70">
        <v>396.68794303499396</v>
      </c>
      <c r="P97" s="70">
        <v>500</v>
      </c>
      <c r="Q97" s="70">
        <v>500</v>
      </c>
      <c r="R97" s="70">
        <v>500</v>
      </c>
      <c r="S97" s="70">
        <v>500</v>
      </c>
      <c r="T97" s="70">
        <v>500</v>
      </c>
      <c r="U97" s="70">
        <v>500</v>
      </c>
      <c r="V97" s="70">
        <v>500</v>
      </c>
      <c r="X97" s="193">
        <f>((0-('Appendix K'!$I$30))/(1+$Y$16)^0)</f>
        <v>-33594902.4440751</v>
      </c>
      <c r="Y97" s="193">
        <f>(((B97*'Appendix K'!$C$5*1000)-('Appendix K'!$E$31+'Appendix K'!$F$31+'Appendix K'!$H$31+'Appendix K'!$G$31))/((1+$Y$16)^1))</f>
        <v>34971064.972647354</v>
      </c>
      <c r="Z97" s="193">
        <f>+(((C97*'Appendix K'!$C$6*1000)-('Appendix K'!$E$32+'Appendix K'!$F$32+'Appendix K'!$H$32+'Appendix K'!$G$32))/((1+$Y$16)^2))</f>
        <v>17108339.324908137</v>
      </c>
      <c r="AA97" s="193">
        <f>(((D97*'Appendix K'!$C$7*1000)-('Appendix K'!$E$33+'Appendix K'!$F$33+'Appendix K'!$H$33+'Appendix K'!$G$33))/((1+$Y$16)^3))</f>
        <v>8162732.204757967</v>
      </c>
      <c r="AB97" s="193">
        <f>(((E97*'Appendix K'!$C$8*1000)-('Appendix K'!$E$34+'Appendix K'!$F$34+'Appendix K'!$H$34+'Appendix K'!$G$34))/((1+$Y$16)^4))</f>
        <v>18543632.373503294</v>
      </c>
      <c r="AC97" s="193">
        <f>(((F97*'Appendix K'!$C$9*1000)-('Appendix K'!$E$35+'Appendix K'!$F$35+'Appendix K'!$H$35+'Appendix K'!$G$35))/((1+$Y$16)^AC$34))</f>
        <v>40932903.076862827</v>
      </c>
      <c r="AD97" s="193">
        <f>(((G97*'Appendix K'!$C$10*1000)-('Appendix K'!$E$36+'Appendix K'!$F$36+'Appendix K'!$H$36+'Appendix K'!$G$36))/((1+$Y$16)^AD$34))</f>
        <v>21551984.242267407</v>
      </c>
      <c r="AE97" s="193">
        <f>(((H97*'Appendix K'!$C$11*1000)-('Appendix K'!$E$37+'Appendix K'!$F$37+'Appendix K'!$H$37+'Appendix K'!$G$37))/((1+$Y$16)^AE$34))</f>
        <v>19043311.405277479</v>
      </c>
      <c r="AF97" s="193">
        <f>(((I97*'Appendix K'!$C$12*1000)-('Appendix K'!$E$38+'Appendix K'!$F$38+'Appendix K'!$H$38+'Appendix K'!$G$38))/((1+$Y$16)^AF$34))</f>
        <v>15413771.509082383</v>
      </c>
      <c r="AG97" s="193">
        <f>(((J97*'Appendix K'!$C$13*1000)-('Appendix K'!$E$39+'Appendix K'!$F$39+'Appendix K'!$H$39+'Appendix K'!$G$39))/((1+$Y$16)^AG$34))</f>
        <v>8405703.3711707499</v>
      </c>
      <c r="AH97" s="193">
        <f>(((K97*'Appendix K'!$C$14*1000)-('Appendix K'!$E$40+'Appendix K'!$F$40+'Appendix K'!$H$40+'Appendix K'!$G$40))/((1+$Y$16)^AH$34))</f>
        <v>7412192.2437379239</v>
      </c>
      <c r="AI97" s="193">
        <f>(((L97*'Appendix K'!$C$15*1000)-('Appendix K'!$E$41+'Appendix K'!$F$41+'Appendix K'!$H$41+'Appendix K'!$G$41))/((1+$Y$16)^AI$34))</f>
        <v>7962320.8640563423</v>
      </c>
      <c r="AJ97" s="193">
        <f>(((M97*'Appendix K'!$C$16*1000)-('Appendix K'!$E$42+'Appendix K'!$F$42+'Appendix K'!$H$42+'Appendix K'!$G$42))/((1+$Y$16)^AJ$34))</f>
        <v>4174674.0637851506</v>
      </c>
      <c r="AK97" s="193">
        <f>(((N97*'Appendix K'!$C$17*1000)-('Appendix K'!$E$43+'Appendix K'!$F$43+'Appendix K'!$H$43))/((1+$Y$16)^AK$34))</f>
        <v>3055732.8496674993</v>
      </c>
      <c r="AL97" s="193">
        <f>(((O97*'Appendix K'!$C$18*1000)-('Appendix K'!$E$44+'Appendix K'!$F$44+'Appendix K'!$H$44+'Appendix K'!$G$44))/((1+$Y$16)^AL$34))</f>
        <v>3567469.7893941994</v>
      </c>
      <c r="AM97" s="193">
        <f>(((P97*'Appendix K'!$C$19*1000)-('Appendix K'!$E$45+'Appendix K'!$F$45+'Appendix K'!$H$45+'Appendix K'!$G$45))/((1+$Y$16)^AM$34))</f>
        <v>3607599.9540230581</v>
      </c>
      <c r="AN97" s="193">
        <f>(((Q97*'Appendix K'!$C$20*1000)-('Appendix K'!$E$46+'Appendix K'!$F$46+'Appendix K'!$H$46+'Appendix K'!$G$46))/((1+$Y$16)^AN$34))</f>
        <v>2702399.606577659</v>
      </c>
      <c r="AO97" s="193">
        <f>(((R97*'Appendix K'!$C$21*1000)-('Appendix K'!$E$47+'Appendix K'!$F$47+'Appendix K'!$H$47+'Appendix K'!$G$47))/((1+$Y$16)^AO$34))</f>
        <v>2112056.3146391152</v>
      </c>
      <c r="AP97" s="193">
        <f>(((S97*'Appendix K'!$C$22*1000)-('Appendix K'!$E$48+'Appendix K'!$F$48+'Appendix K'!$H$48+'Appendix K'!$G$48))/((1+$Y$16)^AP$34))</f>
        <v>1630406.4380253027</v>
      </c>
      <c r="AQ97" s="193">
        <f>(((T97*'Appendix K'!$C$23*1000)-('Appendix K'!$E$49+'Appendix K'!$F$49+'Appendix K'!$H$49+'Appendix K'!$G$49))/((1+$Y$16)^AQ$34))</f>
        <v>1263386.3652054211</v>
      </c>
      <c r="AR97" s="193">
        <f>(((U97*'Appendix K'!$C$24*1000)-('Appendix K'!$E$50+'Appendix K'!$F$50+'Appendix K'!$H$50+'Appendix K'!$G$50))/((1+$Y$16)^AR$34))</f>
        <v>980725.14012097823</v>
      </c>
      <c r="AS97" s="209">
        <f t="shared" si="14"/>
        <v>189007503.66563517</v>
      </c>
      <c r="AU97" s="199">
        <f t="shared" si="13"/>
        <v>1.4250513963283436E-9</v>
      </c>
    </row>
    <row r="98" spans="1:47" x14ac:dyDescent="0.35">
      <c r="A98">
        <v>64</v>
      </c>
      <c r="B98" s="70">
        <v>56</v>
      </c>
      <c r="C98" s="70">
        <v>84.928619374026894</v>
      </c>
      <c r="D98" s="70">
        <v>79.866079654145821</v>
      </c>
      <c r="E98" s="70">
        <v>70.634547279031139</v>
      </c>
      <c r="F98" s="70">
        <v>78.833241230815361</v>
      </c>
      <c r="G98" s="70">
        <v>71.697560819935035</v>
      </c>
      <c r="H98" s="70">
        <v>86.154395476420106</v>
      </c>
      <c r="I98" s="70">
        <v>85.630500377418741</v>
      </c>
      <c r="J98" s="70">
        <v>113.21793260938887</v>
      </c>
      <c r="K98" s="70">
        <v>105.38923528880814</v>
      </c>
      <c r="L98" s="70">
        <v>119.28870905683308</v>
      </c>
      <c r="M98" s="70">
        <v>125.41695868167736</v>
      </c>
      <c r="N98" s="70">
        <v>89.097090095204635</v>
      </c>
      <c r="O98" s="70">
        <v>119.62320903274133</v>
      </c>
      <c r="P98" s="70">
        <v>110.55790880819271</v>
      </c>
      <c r="Q98" s="70">
        <v>132.43861316018814</v>
      </c>
      <c r="R98" s="70">
        <v>176.31727254615942</v>
      </c>
      <c r="S98" s="70">
        <v>174.98077019460928</v>
      </c>
      <c r="T98" s="70">
        <v>210.59748730680548</v>
      </c>
      <c r="U98" s="70">
        <v>203.92583850531349</v>
      </c>
      <c r="V98" s="70">
        <v>97.823930091520026</v>
      </c>
      <c r="X98" s="193">
        <f>((0-('Appendix K'!$I$30))/(1+$Y$16)^0)</f>
        <v>-33594902.4440751</v>
      </c>
      <c r="Y98" s="193">
        <f>(((B98*'Appendix K'!$C$5*1000)-('Appendix K'!$E$31+'Appendix K'!$F$31+'Appendix K'!$H$31+'Appendix K'!$G$31))/((1+$Y$16)^1))</f>
        <v>34971064.972647354</v>
      </c>
      <c r="Z98" s="193">
        <f>+(((C98*'Appendix K'!$C$6*1000)-('Appendix K'!$E$32+'Appendix K'!$F$32+'Appendix K'!$H$32+'Appendix K'!$G$32))/((1+$Y$16)^2))</f>
        <v>17967174.128708426</v>
      </c>
      <c r="AA98" s="193">
        <f>(((D98*'Appendix K'!$C$7*1000)-('Appendix K'!$E$33+'Appendix K'!$F$33+'Appendix K'!$H$33+'Appendix K'!$G$33))/((1+$Y$16)^3))</f>
        <v>7208033.6387964804</v>
      </c>
      <c r="AB98" s="193">
        <f>(((E98*'Appendix K'!$C$8*1000)-('Appendix K'!$E$34+'Appendix K'!$F$34+'Appendix K'!$H$34+'Appendix K'!$G$34))/((1+$Y$16)^4))</f>
        <v>12189238.277663955</v>
      </c>
      <c r="AC98" s="193">
        <f>(((F98*'Appendix K'!$C$9*1000)-('Appendix K'!$E$35+'Appendix K'!$F$35+'Appendix K'!$H$35+'Appendix K'!$G$35))/((1+$Y$16)^AC$34))</f>
        <v>17969523.209588639</v>
      </c>
      <c r="AD98" s="193">
        <f>(((G98*'Appendix K'!$C$10*1000)-('Appendix K'!$E$36+'Appendix K'!$F$36+'Appendix K'!$H$36+'Appendix K'!$G$36))/((1+$Y$16)^AD$34))</f>
        <v>8743905.2874531969</v>
      </c>
      <c r="AE98" s="193">
        <f>(((H98*'Appendix K'!$C$11*1000)-('Appendix K'!$E$37+'Appendix K'!$F$37+'Appendix K'!$H$37+'Appendix K'!$G$37))/((1+$Y$16)^AE$34))</f>
        <v>6372894.1532684155</v>
      </c>
      <c r="AF98" s="193">
        <f>(((I98*'Appendix K'!$C$12*1000)-('Appendix K'!$E$38+'Appendix K'!$F$38+'Appendix K'!$H$38+'Appendix K'!$G$38))/((1+$Y$16)^AF$34))</f>
        <v>3626127.4727036296</v>
      </c>
      <c r="AG98" s="193">
        <f>(((J98*'Appendix K'!$C$13*1000)-('Appendix K'!$E$39+'Appendix K'!$F$39+'Appendix K'!$H$39+'Appendix K'!$G$39))/((1+$Y$16)^AG$34))</f>
        <v>3395224.5345351417</v>
      </c>
      <c r="AH98" s="193">
        <f>(((K98*'Appendix K'!$C$14*1000)-('Appendix K'!$E$40+'Appendix K'!$F$40+'Appendix K'!$H$40+'Appendix K'!$G$40))/((1+$Y$16)^AH$34))</f>
        <v>1919563.9230132226</v>
      </c>
      <c r="AI98" s="193">
        <f>(((L98*'Appendix K'!$C$15*1000)-('Appendix K'!$E$41+'Appendix K'!$F$41+'Appendix K'!$H$41+'Appendix K'!$G$41))/((1+$Y$16)^AI$34))</f>
        <v>1609105.8999377659</v>
      </c>
      <c r="AJ98" s="193">
        <f>(((M98*'Appendix K'!$C$16*1000)-('Appendix K'!$E$42+'Appendix K'!$F$42+'Appendix K'!$H$42+'Appendix K'!$G$42))/((1+$Y$16)^AJ$34))</f>
        <v>1132039.0439690666</v>
      </c>
      <c r="AK98" s="193">
        <f>(((N98*'Appendix K'!$C$17*1000)-('Appendix K'!$E$43+'Appendix K'!$F$43+'Appendix K'!$H$43))/((1+$Y$16)^AK$34))</f>
        <v>364619.94005804061</v>
      </c>
      <c r="AL98" s="193">
        <f>(((O98*'Appendix K'!$C$18*1000)-('Appendix K'!$E$44+'Appendix K'!$F$44+'Appendix K'!$H$44+'Appendix K'!$G$44))/((1+$Y$16)^AL$34))</f>
        <v>283339.97037846845</v>
      </c>
      <c r="AM98" s="193">
        <f>(((P98*'Appendix K'!$C$19*1000)-('Appendix K'!$E$45+'Appendix K'!$F$45+'Appendix K'!$H$45+'Appendix K'!$G$45))/((1+$Y$16)^AM$34))</f>
        <v>-2034.3378555701775</v>
      </c>
      <c r="AN98" s="193">
        <f>(((Q98*'Appendix K'!$C$20*1000)-('Appendix K'!$E$46+'Appendix K'!$F$46+'Appendix K'!$H$46+'Appendix K'!$G$46))/((1+$Y$16)^AN$34))</f>
        <v>42645.690690294381</v>
      </c>
      <c r="AO98" s="193">
        <f>(((R98*'Appendix K'!$C$21*1000)-('Appendix K'!$E$47+'Appendix K'!$F$47+'Appendix K'!$H$47+'Appendix K'!$G$47))/((1+$Y$16)^AO$34))</f>
        <v>199055.63490616402</v>
      </c>
      <c r="AP98" s="193">
        <f>(((S98*'Appendix K'!$C$22*1000)-('Appendix K'!$E$48+'Appendix K'!$F$48+'Appendix K'!$H$48+'Appendix K'!$G$48))/((1+$Y$16)^AP$34))</f>
        <v>73655.546606946518</v>
      </c>
      <c r="AQ98" s="193">
        <f>(((T98*'Appendix K'!$C$23*1000)-('Appendix K'!$E$49+'Appendix K'!$F$49+'Appendix K'!$H$49+'Appendix K'!$G$49))/((1+$Y$16)^AQ$34))</f>
        <v>130739.01946760343</v>
      </c>
      <c r="AR98" s="193">
        <f>(((U98*'Appendix K'!$C$24*1000)-('Appendix K'!$E$50+'Appendix K'!$F$50+'Appendix K'!$H$50+'Appendix K'!$G$50))/((1+$Y$16)^AR$34))</f>
        <v>27358.044448030651</v>
      </c>
      <c r="AS98" s="209">
        <f t="shared" si="14"/>
        <v>84630405.944765747</v>
      </c>
      <c r="AU98" s="199">
        <f t="shared" si="13"/>
        <v>7.0199458459031443E-9</v>
      </c>
    </row>
    <row r="99" spans="1:47" x14ac:dyDescent="0.35">
      <c r="A99">
        <v>65</v>
      </c>
      <c r="B99" s="70">
        <v>56</v>
      </c>
      <c r="C99" s="70">
        <v>81.255145935860057</v>
      </c>
      <c r="D99" s="70">
        <v>96.092647807552382</v>
      </c>
      <c r="E99" s="70">
        <v>74.965077465606512</v>
      </c>
      <c r="F99" s="70">
        <v>82.321127228299972</v>
      </c>
      <c r="G99" s="70">
        <v>124.53895509876789</v>
      </c>
      <c r="H99" s="70">
        <v>112.0443664772563</v>
      </c>
      <c r="I99" s="70">
        <v>118.43795446196211</v>
      </c>
      <c r="J99" s="70">
        <v>146.1125767961781</v>
      </c>
      <c r="K99" s="70">
        <v>174.21745157882862</v>
      </c>
      <c r="L99" s="70">
        <v>204.28964070025168</v>
      </c>
      <c r="M99" s="70">
        <v>313.12756841570899</v>
      </c>
      <c r="N99" s="70">
        <v>253.58459048561161</v>
      </c>
      <c r="O99" s="70">
        <v>149.60328560288741</v>
      </c>
      <c r="P99" s="70">
        <v>154.72442851011795</v>
      </c>
      <c r="Q99" s="70">
        <v>143.0131823004121</v>
      </c>
      <c r="R99" s="70">
        <v>117.31949796379604</v>
      </c>
      <c r="S99" s="70">
        <v>125.19627194071015</v>
      </c>
      <c r="T99" s="70">
        <v>124.2468697650263</v>
      </c>
      <c r="U99" s="70">
        <v>139.08866991971894</v>
      </c>
      <c r="V99" s="70">
        <v>268.05395380625623</v>
      </c>
      <c r="X99" s="193">
        <f>((0-('Appendix K'!$I$30))/(1+$Y$16)^0)</f>
        <v>-33594902.4440751</v>
      </c>
      <c r="Y99" s="193">
        <f>(((B99*'Appendix K'!$C$5*1000)-('Appendix K'!$E$31+'Appendix K'!$F$31+'Appendix K'!$H$31+'Appendix K'!$G$31))/((1+$Y$16)^1))</f>
        <v>34971064.972647354</v>
      </c>
      <c r="Z99" s="193">
        <f>+(((C99*'Appendix K'!$C$6*1000)-('Appendix K'!$E$32+'Appendix K'!$F$32+'Appendix K'!$H$32+'Appendix K'!$G$32))/((1+$Y$16)^2))</f>
        <v>17039191.910355445</v>
      </c>
      <c r="AA99" s="193">
        <f>(((D99*'Appendix K'!$C$7*1000)-('Appendix K'!$E$33+'Appendix K'!$F$33+'Appendix K'!$H$33+'Appendix K'!$G$33))/((1+$Y$16)^3))</f>
        <v>9274890.6861525569</v>
      </c>
      <c r="AB99" s="193">
        <f>(((E99*'Appendix K'!$C$8*1000)-('Appendix K'!$E$34+'Appendix K'!$F$34+'Appendix K'!$H$34+'Appendix K'!$G$34))/((1+$Y$16)^4))</f>
        <v>13138450.852372993</v>
      </c>
      <c r="AC99" s="193">
        <f>(((F99*'Appendix K'!$C$9*1000)-('Appendix K'!$E$35+'Appendix K'!$F$35+'Appendix K'!$H$35+'Appendix K'!$G$35))/((1+$Y$16)^AC$34))</f>
        <v>18896597.830756187</v>
      </c>
      <c r="AD99" s="193">
        <f>(((G99*'Appendix K'!$C$10*1000)-('Appendix K'!$E$36+'Appendix K'!$F$36+'Appendix K'!$H$36+'Appendix K'!$G$36))/((1+$Y$16)^AD$34))</f>
        <v>17042326.648632877</v>
      </c>
      <c r="AE99" s="193">
        <f>(((H99*'Appendix K'!$C$11*1000)-('Appendix K'!$E$37+'Appendix K'!$F$37+'Appendix K'!$H$37+'Appendix K'!$G$37))/((1+$Y$16)^AE$34))</f>
        <v>8955098.4715371281</v>
      </c>
      <c r="AF99" s="193">
        <f>(((I99*'Appendix K'!$C$12*1000)-('Appendix K'!$E$38+'Appendix K'!$F$38+'Appendix K'!$H$38+'Appendix K'!$G$38))/((1+$Y$16)^AF$34))</f>
        <v>5780344.5328665646</v>
      </c>
      <c r="AG99" s="193">
        <f>(((J99*'Appendix K'!$C$13*1000)-('Appendix K'!$E$39+'Appendix K'!$F$39+'Appendix K'!$H$39+'Appendix K'!$G$39))/((1+$Y$16)^AG$34))</f>
        <v>4909000.9470111523</v>
      </c>
      <c r="AH99" s="193">
        <f>(((K99*'Appendix K'!$C$14*1000)-('Appendix K'!$E$40+'Appendix K'!$F$40+'Appendix K'!$H$40+'Appendix K'!$G$40))/((1+$Y$16)^AH$34))</f>
        <v>4239524.0369712338</v>
      </c>
      <c r="AI99" s="193">
        <f>(((L99*'Appendix K'!$C$15*1000)-('Appendix K'!$E$41+'Appendix K'!$F$41+'Appendix K'!$H$41+'Appendix K'!$G$41))/((1+$Y$16)^AI$34))</f>
        <v>3836289.2615169329</v>
      </c>
      <c r="AJ99" s="193">
        <f>(((M99*'Appendix K'!$C$16*1000)-('Appendix K'!$E$42+'Appendix K'!$F$42+'Appendix K'!$H$42+'Appendix K'!$G$42))/((1+$Y$16)^AJ$34))</f>
        <v>4894110.1146080112</v>
      </c>
      <c r="AK99" s="193">
        <f>(((N99*'Appendix K'!$C$17*1000)-('Appendix K'!$E$43+'Appendix K'!$F$43+'Appendix K'!$H$43))/((1+$Y$16)^AK$34))</f>
        <v>2891789.0299395677</v>
      </c>
      <c r="AL99" s="193">
        <f>(((O99*'Appendix K'!$C$18*1000)-('Appendix K'!$E$44+'Appendix K'!$F$44+'Appendix K'!$H$44+'Appendix K'!$G$44))/((1+$Y$16)^AL$34))</f>
        <v>638702.63966567966</v>
      </c>
      <c r="AM99" s="193">
        <f>(((P99*'Appendix K'!$C$19*1000)-('Appendix K'!$E$45+'Appendix K'!$F$45+'Appendix K'!$H$45+'Appendix K'!$G$45))/((1+$Y$16)^AM$34))</f>
        <v>407333.28745969833</v>
      </c>
      <c r="AN99" s="193">
        <f>(((Q99*'Appendix K'!$C$20*1000)-('Appendix K'!$E$46+'Appendix K'!$F$46+'Appendix K'!$H$46+'Appendix K'!$G$46))/((1+$Y$16)^AN$34))</f>
        <v>119165.56651661418</v>
      </c>
      <c r="AO99" s="193">
        <f>(((R99*'Appendix K'!$C$21*1000)-('Appendix K'!$E$47+'Appendix K'!$F$47+'Appendix K'!$H$47+'Appendix K'!$G$47))/((1+$Y$16)^AO$34))</f>
        <v>-149627.73095211328</v>
      </c>
      <c r="AP99" s="193">
        <f>(((S99*'Appendix K'!$C$22*1000)-('Appendix K'!$E$48+'Appendix K'!$F$48+'Appendix K'!$H$48+'Appendix K'!$G$48))/((1+$Y$16)^AP$34))</f>
        <v>-164798.2275958242</v>
      </c>
      <c r="AQ99" s="193">
        <f>(((T99*'Appendix K'!$C$23*1000)-('Appendix K'!$E$49+'Appendix K'!$F$49+'Appendix K'!$H$49+'Appendix K'!$G$49))/((1+$Y$16)^AQ$34))</f>
        <v>-207215.19126588741</v>
      </c>
      <c r="AR99" s="193">
        <f>(((U99*'Appendix K'!$C$24*1000)-('Appendix K'!$E$50+'Appendix K'!$F$50+'Appendix K'!$H$50+'Appendix K'!$G$50))/((1+$Y$16)^AR$34))</f>
        <v>-181419.45506104061</v>
      </c>
      <c r="AS99" s="209">
        <f t="shared" si="14"/>
        <v>113438978.34493491</v>
      </c>
      <c r="AU99" s="199">
        <f t="shared" ref="AU99:AU162" si="17">_xlfn.NORM.DIST(AS99,$Y$17,$Y$19,FALSE)</f>
        <v>6.3384008709246369E-9</v>
      </c>
    </row>
    <row r="100" spans="1:47" x14ac:dyDescent="0.35">
      <c r="A100">
        <v>66</v>
      </c>
      <c r="B100" s="70">
        <v>56</v>
      </c>
      <c r="C100" s="70">
        <v>42.980721294649435</v>
      </c>
      <c r="D100" s="70">
        <v>59.166901054087624</v>
      </c>
      <c r="E100" s="70">
        <v>90.188643215791686</v>
      </c>
      <c r="F100" s="70">
        <v>93.521549219032821</v>
      </c>
      <c r="G100" s="70">
        <v>91.548760148490103</v>
      </c>
      <c r="H100" s="70">
        <v>107.66209542226125</v>
      </c>
      <c r="I100" s="70">
        <v>130.12987890031383</v>
      </c>
      <c r="J100" s="70">
        <v>149.12355933369653</v>
      </c>
      <c r="K100" s="70">
        <v>115.5061694763961</v>
      </c>
      <c r="L100" s="70">
        <v>106.92445909672668</v>
      </c>
      <c r="M100" s="70">
        <v>114.23898506264062</v>
      </c>
      <c r="N100" s="70">
        <v>117.00576753732928</v>
      </c>
      <c r="O100" s="70">
        <v>159.85748205035924</v>
      </c>
      <c r="P100" s="70">
        <v>272.56017148477628</v>
      </c>
      <c r="Q100" s="70">
        <v>313.06078862934834</v>
      </c>
      <c r="R100" s="70">
        <v>236.81603930157422</v>
      </c>
      <c r="S100" s="70">
        <v>209.45787538020906</v>
      </c>
      <c r="T100" s="70">
        <v>194.31407422005898</v>
      </c>
      <c r="U100" s="70">
        <v>238.9076994839387</v>
      </c>
      <c r="V100" s="70">
        <v>332.80807910178663</v>
      </c>
      <c r="X100" s="193">
        <f>((0-('Appendix K'!$I$30))/(1+$Y$16)^0)</f>
        <v>-33594902.4440751</v>
      </c>
      <c r="Y100" s="193">
        <f>(((B100*'Appendix K'!$C$5*1000)-('Appendix K'!$E$31+'Appendix K'!$F$31+'Appendix K'!$H$31+'Appendix K'!$G$31))/((1+$Y$16)^1))</f>
        <v>34971064.972647354</v>
      </c>
      <c r="Z100" s="193">
        <f>+(((C100*'Appendix K'!$C$6*1000)-('Appendix K'!$E$32+'Appendix K'!$F$32+'Appendix K'!$H$32+'Appendix K'!$G$32))/((1+$Y$16)^2))</f>
        <v>7370417.6337516895</v>
      </c>
      <c r="AA100" s="193">
        <f>(((D100*'Appendix K'!$C$7*1000)-('Appendix K'!$E$33+'Appendix K'!$F$33+'Appendix K'!$H$33+'Appendix K'!$G$33))/((1+$Y$16)^3))</f>
        <v>4571478.4066890171</v>
      </c>
      <c r="AB100" s="193">
        <f>(((E100*'Appendix K'!$C$8*1000)-('Appendix K'!$E$34+'Appendix K'!$F$34+'Appendix K'!$H$34+'Appendix K'!$G$34))/((1+$Y$16)^4))</f>
        <v>16475317.106482428</v>
      </c>
      <c r="AC100" s="193">
        <f>(((F100*'Appendix K'!$C$9*1000)-('Appendix K'!$E$35+'Appendix K'!$F$35+'Appendix K'!$H$35+'Appendix K'!$G$35))/((1+$Y$16)^AC$34))</f>
        <v>21873652.408074323</v>
      </c>
      <c r="AD100" s="193">
        <f>(((G100*'Appendix K'!$C$10*1000)-('Appendix K'!$E$36+'Appendix K'!$F$36+'Appendix K'!$H$36+'Appendix K'!$G$36))/((1+$Y$16)^AD$34))</f>
        <v>11861416.072347568</v>
      </c>
      <c r="AE100" s="193">
        <f>(((H100*'Appendix K'!$C$11*1000)-('Appendix K'!$E$37+'Appendix K'!$F$37+'Appendix K'!$H$37+'Appendix K'!$G$37))/((1+$Y$16)^AE$34))</f>
        <v>8518021.1475931667</v>
      </c>
      <c r="AF100" s="193">
        <f>(((I100*'Appendix K'!$C$12*1000)-('Appendix K'!$E$38+'Appendix K'!$F$38+'Appendix K'!$H$38+'Appendix K'!$G$38))/((1+$Y$16)^AF$34))</f>
        <v>6548064.668245784</v>
      </c>
      <c r="AG100" s="193">
        <f>(((J100*'Appendix K'!$C$13*1000)-('Appendix K'!$E$39+'Appendix K'!$F$39+'Appendix K'!$H$39+'Appendix K'!$G$39))/((1+$Y$16)^AG$34))</f>
        <v>5047563.1493499475</v>
      </c>
      <c r="AH100" s="193">
        <f>(((K100*'Appendix K'!$C$14*1000)-('Appendix K'!$E$40+'Appendix K'!$F$40+'Appendix K'!$H$40+'Appendix K'!$G$40))/((1+$Y$16)^AH$34))</f>
        <v>2260570.6358974171</v>
      </c>
      <c r="AI100" s="193">
        <f>(((L100*'Appendix K'!$C$15*1000)-('Appendix K'!$E$41+'Appendix K'!$F$41+'Appendix K'!$H$41+'Appendix K'!$G$41))/((1+$Y$16)^AI$34))</f>
        <v>1285139.4297221776</v>
      </c>
      <c r="AJ100" s="193">
        <f>(((M100*'Appendix K'!$C$16*1000)-('Appendix K'!$E$42+'Appendix K'!$F$42+'Appendix K'!$H$42+'Appendix K'!$G$42))/((1+$Y$16)^AJ$34))</f>
        <v>908011.583613322</v>
      </c>
      <c r="AK100" s="193">
        <f>(((N100*'Appendix K'!$C$17*1000)-('Appendix K'!$E$43+'Appendix K'!$F$43+'Appendix K'!$H$43))/((1+$Y$16)^AK$34))</f>
        <v>793405.99859628954</v>
      </c>
      <c r="AL100" s="193">
        <f>(((O100*'Appendix K'!$C$18*1000)-('Appendix K'!$E$44+'Appendix K'!$F$44+'Appendix K'!$H$44+'Appendix K'!$G$44))/((1+$Y$16)^AL$34))</f>
        <v>760248.64747666835</v>
      </c>
      <c r="AM100" s="193">
        <f>(((P100*'Appendix K'!$C$19*1000)-('Appendix K'!$E$45+'Appendix K'!$F$45+'Appendix K'!$H$45+'Appendix K'!$G$45))/((1+$Y$16)^AM$34))</f>
        <v>1499521.1846349766</v>
      </c>
      <c r="AN100" s="193">
        <f>(((Q100*'Appendix K'!$C$20*1000)-('Appendix K'!$E$46+'Appendix K'!$F$46+'Appendix K'!$H$46+'Appendix K'!$G$46))/((1+$Y$16)^AN$34))</f>
        <v>1349666.927688627</v>
      </c>
      <c r="AO100" s="193">
        <f>(((R100*'Appendix K'!$C$21*1000)-('Appendix K'!$E$47+'Appendix K'!$F$47+'Appendix K'!$H$47+'Appendix K'!$G$47))/((1+$Y$16)^AO$34))</f>
        <v>556610.03033685079</v>
      </c>
      <c r="AP100" s="193">
        <f>(((S100*'Appendix K'!$C$22*1000)-('Appendix K'!$E$48+'Appendix K'!$F$48+'Appendix K'!$H$48+'Appendix K'!$G$48))/((1+$Y$16)^AP$34))</f>
        <v>238791.20415971268</v>
      </c>
      <c r="AQ100" s="193">
        <f>(((T100*'Appendix K'!$C$23*1000)-('Appendix K'!$E$49+'Appendix K'!$F$49+'Appendix K'!$H$49+'Appendix K'!$G$49))/((1+$Y$16)^AQ$34))</f>
        <v>67009.909306737944</v>
      </c>
      <c r="AR100" s="193">
        <f>(((U100*'Appendix K'!$C$24*1000)-('Appendix K'!$E$50+'Appendix K'!$F$50+'Appendix K'!$H$50+'Appendix K'!$G$50))/((1+$Y$16)^AR$34))</f>
        <v>140000.61695101912</v>
      </c>
      <c r="AS100" s="209">
        <f t="shared" ref="AS100:AS163" si="18">SUMIF(Y100:AR100,"&gt;0")+X100</f>
        <v>93501069.289489985</v>
      </c>
      <c r="AU100" s="199">
        <f t="shared" si="17"/>
        <v>6.991991190473774E-9</v>
      </c>
    </row>
    <row r="101" spans="1:47" x14ac:dyDescent="0.35">
      <c r="A101">
        <v>67</v>
      </c>
      <c r="B101" s="70">
        <v>56</v>
      </c>
      <c r="C101" s="70">
        <v>47.96334640188352</v>
      </c>
      <c r="D101" s="70">
        <v>41.734398531094115</v>
      </c>
      <c r="E101" s="70">
        <v>59.704758724430505</v>
      </c>
      <c r="F101" s="70">
        <v>68.545824435169891</v>
      </c>
      <c r="G101" s="70">
        <v>90.949324909526567</v>
      </c>
      <c r="H101" s="70">
        <v>115.34869270250229</v>
      </c>
      <c r="I101" s="70">
        <v>202.52393297618579</v>
      </c>
      <c r="J101" s="70">
        <v>66.242076843512507</v>
      </c>
      <c r="K101" s="70">
        <v>43.983312288593865</v>
      </c>
      <c r="L101" s="70">
        <v>29.942977862263955</v>
      </c>
      <c r="M101" s="70">
        <v>30.268352113043075</v>
      </c>
      <c r="N101" s="70">
        <v>43.225865325921632</v>
      </c>
      <c r="O101" s="70">
        <v>74.183378927993147</v>
      </c>
      <c r="P101" s="70">
        <v>114.48038651155679</v>
      </c>
      <c r="Q101" s="70">
        <v>140.39463402291375</v>
      </c>
      <c r="R101" s="70">
        <v>187.74723035719285</v>
      </c>
      <c r="S101" s="70">
        <v>216.12265916586639</v>
      </c>
      <c r="T101" s="70">
        <v>232.03994445187442</v>
      </c>
      <c r="U101" s="70">
        <v>247.5359029871401</v>
      </c>
      <c r="V101" s="70">
        <v>311.72488765884657</v>
      </c>
      <c r="X101" s="193">
        <f>((0-('Appendix K'!$I$30))/(1+$Y$16)^0)</f>
        <v>-33594902.4440751</v>
      </c>
      <c r="Y101" s="193">
        <f>(((B101*'Appendix K'!$C$5*1000)-('Appendix K'!$E$31+'Appendix K'!$F$31+'Appendix K'!$H$31+'Appendix K'!$G$31))/((1+$Y$16)^1))</f>
        <v>34971064.972647354</v>
      </c>
      <c r="Z101" s="193">
        <f>+(((C101*'Appendix K'!$C$6*1000)-('Appendix K'!$E$32+'Appendix K'!$F$32+'Appendix K'!$H$32+'Appendix K'!$G$32))/((1+$Y$16)^2))</f>
        <v>8629113.9542945027</v>
      </c>
      <c r="AA101" s="193">
        <f>(((D101*'Appendix K'!$C$7*1000)-('Appendix K'!$E$33+'Appendix K'!$F$33+'Appendix K'!$H$33+'Appendix K'!$G$33))/((1+$Y$16)^3))</f>
        <v>2351015.6229341161</v>
      </c>
      <c r="AB101" s="193">
        <f>(((E101*'Appendix K'!$C$8*1000)-('Appendix K'!$E$34+'Appendix K'!$F$34+'Appendix K'!$H$34+'Appendix K'!$G$34))/((1+$Y$16)^4))</f>
        <v>9793528.6790796164</v>
      </c>
      <c r="AC101" s="193">
        <f>(((F101*'Appendix K'!$C$9*1000)-('Appendix K'!$E$35+'Appendix K'!$F$35+'Appendix K'!$H$35+'Appendix K'!$G$35))/((1+$Y$16)^AC$34))</f>
        <v>15235143.979449302</v>
      </c>
      <c r="AD101" s="193">
        <f>(((G101*'Appendix K'!$C$10*1000)-('Appendix K'!$E$36+'Appendix K'!$F$36+'Appendix K'!$H$36+'Appendix K'!$G$36))/((1+$Y$16)^AD$34))</f>
        <v>11767278.393742604</v>
      </c>
      <c r="AE101" s="193">
        <f>(((H101*'Appendix K'!$C$11*1000)-('Appendix K'!$E$37+'Appendix K'!$F$37+'Appendix K'!$H$37+'Appendix K'!$G$37))/((1+$Y$16)^AE$34))</f>
        <v>9284664.1341453698</v>
      </c>
      <c r="AF101" s="193">
        <f>(((I101*'Appendix K'!$C$12*1000)-('Appendix K'!$E$38+'Appendix K'!$F$38+'Appendix K'!$H$38+'Appendix K'!$G$38))/((1+$Y$16)^AF$34))</f>
        <v>11301633.962062936</v>
      </c>
      <c r="AG101" s="193">
        <f>(((J101*'Appendix K'!$C$13*1000)-('Appendix K'!$E$39+'Appendix K'!$F$39+'Appendix K'!$H$39+'Appendix K'!$G$39))/((1+$Y$16)^AG$34))</f>
        <v>1233445.7960127892</v>
      </c>
      <c r="AH101" s="193">
        <f>(((K101*'Appendix K'!$C$14*1000)-('Appendix K'!$E$40+'Appendix K'!$F$40+'Appendix K'!$H$40+'Appendix K'!$G$40))/((1+$Y$16)^AH$34))</f>
        <v>-150216.46357990344</v>
      </c>
      <c r="AI101" s="193">
        <f>(((L101*'Appendix K'!$C$15*1000)-('Appendix K'!$E$41+'Appendix K'!$F$41+'Appendix K'!$H$41+'Appendix K'!$G$41))/((1+$Y$16)^AI$34))</f>
        <v>-731919.33469654538</v>
      </c>
      <c r="AJ101" s="193">
        <f>(((M101*'Appendix K'!$C$16*1000)-('Appendix K'!$E$42+'Appendix K'!$F$42+'Appendix K'!$H$42+'Appendix K'!$G$42))/((1+$Y$16)^AJ$34))</f>
        <v>-774916.67201659665</v>
      </c>
      <c r="AK101" s="193">
        <f>(((N101*'Appendix K'!$C$17*1000)-('Appendix K'!$E$43+'Appendix K'!$F$43+'Appendix K'!$H$43))/((1+$Y$16)^AK$34))</f>
        <v>-340140.85378219857</v>
      </c>
      <c r="AL101" s="193">
        <f>(((O101*'Appendix K'!$C$18*1000)-('Appendix K'!$E$44+'Appendix K'!$F$44+'Appendix K'!$H$44+'Appendix K'!$G$44))/((1+$Y$16)^AL$34))</f>
        <v>-255271.70661972713</v>
      </c>
      <c r="AM101" s="193">
        <f>(((P101*'Appendix K'!$C$19*1000)-('Appendix K'!$E$45+'Appendix K'!$F$45+'Appendix K'!$H$45+'Appendix K'!$G$45))/((1+$Y$16)^AM$34))</f>
        <v>34322.055938080979</v>
      </c>
      <c r="AN101" s="193">
        <f>(((Q101*'Appendix K'!$C$20*1000)-('Appendix K'!$E$46+'Appendix K'!$F$46+'Appendix K'!$H$46+'Appendix K'!$G$46))/((1+$Y$16)^AN$34))</f>
        <v>100217.18324138295</v>
      </c>
      <c r="AO101" s="193">
        <f>(((R101*'Appendix K'!$C$21*1000)-('Appendix K'!$E$47+'Appendix K'!$F$47+'Appendix K'!$H$47+'Appendix K'!$G$47))/((1+$Y$16)^AO$34))</f>
        <v>266607.94835157035</v>
      </c>
      <c r="AP101" s="193">
        <f>(((S101*'Appendix K'!$C$22*1000)-('Appendix K'!$E$48+'Appendix K'!$F$48+'Appendix K'!$H$48+'Appendix K'!$G$48))/((1+$Y$16)^AP$34))</f>
        <v>270713.64796602255</v>
      </c>
      <c r="AQ101" s="193">
        <f>(((T101*'Appendix K'!$C$23*1000)-('Appendix K'!$E$49+'Appendix K'!$F$49+'Appendix K'!$H$49+'Appendix K'!$G$49))/((1+$Y$16)^AQ$34))</f>
        <v>214659.30732359175</v>
      </c>
      <c r="AR101" s="193">
        <f>(((U101*'Appendix K'!$C$24*1000)-('Appendix K'!$E$50+'Appendix K'!$F$50+'Appendix K'!$H$50+'Appendix K'!$G$50))/((1+$Y$16)^AR$34))</f>
        <v>167783.6739837412</v>
      </c>
      <c r="AS101" s="209">
        <f t="shared" si="18"/>
        <v>72026290.867097884</v>
      </c>
      <c r="AU101" s="199">
        <f t="shared" si="17"/>
        <v>6.7693459646235353E-9</v>
      </c>
    </row>
    <row r="102" spans="1:47" x14ac:dyDescent="0.35">
      <c r="A102">
        <v>68</v>
      </c>
      <c r="B102" s="70">
        <v>56</v>
      </c>
      <c r="C102" s="70">
        <v>41.279664932491173</v>
      </c>
      <c r="D102" s="70">
        <v>59.301286613080308</v>
      </c>
      <c r="E102" s="70">
        <v>79.808119796810857</v>
      </c>
      <c r="F102" s="70">
        <v>105.19501202440244</v>
      </c>
      <c r="G102" s="70">
        <v>102.74331601187998</v>
      </c>
      <c r="H102" s="70">
        <v>117.25418625351634</v>
      </c>
      <c r="I102" s="70">
        <v>167.55641895448906</v>
      </c>
      <c r="J102" s="70">
        <v>152.85017796695567</v>
      </c>
      <c r="K102" s="70">
        <v>169.37189563081577</v>
      </c>
      <c r="L102" s="70">
        <v>89.060573885589776</v>
      </c>
      <c r="M102" s="70">
        <v>114.0710607874569</v>
      </c>
      <c r="N102" s="70">
        <v>133.07833803823553</v>
      </c>
      <c r="O102" s="70">
        <v>152.08594423140264</v>
      </c>
      <c r="P102" s="70">
        <v>183.71978442473238</v>
      </c>
      <c r="Q102" s="70">
        <v>242.98984751689233</v>
      </c>
      <c r="R102" s="70">
        <v>267.27334630460012</v>
      </c>
      <c r="S102" s="70">
        <v>317.25946563380597</v>
      </c>
      <c r="T102" s="70">
        <v>153.17028240948591</v>
      </c>
      <c r="U102" s="70">
        <v>127.53465939573729</v>
      </c>
      <c r="V102" s="70">
        <v>97.21393378207631</v>
      </c>
      <c r="X102" s="193">
        <f>((0-('Appendix K'!$I$30))/(1+$Y$16)^0)</f>
        <v>-33594902.4440751</v>
      </c>
      <c r="Y102" s="193">
        <f>(((B102*'Appendix K'!$C$5*1000)-('Appendix K'!$E$31+'Appendix K'!$F$31+'Appendix K'!$H$31+'Appendix K'!$G$31))/((1+$Y$16)^1))</f>
        <v>34971064.972647354</v>
      </c>
      <c r="Z102" s="193">
        <f>+(((C102*'Appendix K'!$C$6*1000)-('Appendix K'!$E$32+'Appendix K'!$F$32+'Appendix K'!$H$32+'Appendix K'!$G$32))/((1+$Y$16)^2))</f>
        <v>6940701.7032924723</v>
      </c>
      <c r="AA102" s="193">
        <f>(((D102*'Appendix K'!$C$7*1000)-('Appendix K'!$E$33+'Appendix K'!$F$33+'Appendix K'!$H$33+'Appendix K'!$G$33))/((1+$Y$16)^3))</f>
        <v>4588595.7501125317</v>
      </c>
      <c r="AB102" s="193">
        <f>(((E102*'Appendix K'!$C$8*1000)-('Appendix K'!$E$34+'Appendix K'!$F$34+'Appendix K'!$H$34+'Appendix K'!$G$34))/((1+$Y$16)^4))</f>
        <v>14200001.397587586</v>
      </c>
      <c r="AC102" s="193">
        <f>(((F102*'Appendix K'!$C$9*1000)-('Appendix K'!$E$35+'Appendix K'!$F$35+'Appendix K'!$H$35+'Appendix K'!$G$35))/((1+$Y$16)^AC$34))</f>
        <v>24976440.491115529</v>
      </c>
      <c r="AD102" s="193">
        <f>(((G102*'Appendix K'!$C$10*1000)-('Appendix K'!$E$36+'Appendix K'!$F$36+'Appendix K'!$H$36+'Appendix K'!$G$36))/((1+$Y$16)^AD$34))</f>
        <v>13619453.36060448</v>
      </c>
      <c r="AE102" s="193">
        <f>(((H102*'Appendix K'!$C$11*1000)-('Appendix K'!$E$37+'Appendix K'!$F$37+'Appendix K'!$H$37+'Appendix K'!$G$37))/((1+$Y$16)^AE$34))</f>
        <v>9474713.5426867213</v>
      </c>
      <c r="AF102" s="193">
        <f>(((I102*'Appendix K'!$C$12*1000)-('Appendix K'!$E$38+'Appendix K'!$F$38+'Appendix K'!$H$38+'Appendix K'!$G$38))/((1+$Y$16)^AF$34))</f>
        <v>9005582.1238767188</v>
      </c>
      <c r="AG102" s="193">
        <f>(((J102*'Appendix K'!$C$13*1000)-('Appendix K'!$E$39+'Appendix K'!$F$39+'Appendix K'!$H$39+'Appendix K'!$G$39))/((1+$Y$16)^AG$34))</f>
        <v>5219058.160917419</v>
      </c>
      <c r="AH102" s="193">
        <f>(((K102*'Appendix K'!$C$14*1000)-('Appendix K'!$E$40+'Appendix K'!$F$40+'Appendix K'!$H$40+'Appendix K'!$G$40))/((1+$Y$16)^AH$34))</f>
        <v>4076197.1757610915</v>
      </c>
      <c r="AI102" s="193">
        <f>(((L102*'Appendix K'!$C$15*1000)-('Appendix K'!$E$41+'Appendix K'!$F$41+'Appendix K'!$H$41+'Appendix K'!$G$41))/((1+$Y$16)^AI$34))</f>
        <v>817072.23156124051</v>
      </c>
      <c r="AJ102" s="193">
        <f>(((M102*'Appendix K'!$C$16*1000)-('Appendix K'!$E$42+'Appendix K'!$F$42+'Appendix K'!$H$42+'Appendix K'!$G$42))/((1+$Y$16)^AJ$34))</f>
        <v>904646.06762772123</v>
      </c>
      <c r="AK102" s="193">
        <f>(((N102*'Appendix K'!$C$17*1000)-('Appendix K'!$E$43+'Appendix K'!$F$43+'Appendix K'!$H$43))/((1+$Y$16)^AK$34))</f>
        <v>1040343.3237330073</v>
      </c>
      <c r="AL102" s="193">
        <f>(((O102*'Appendix K'!$C$18*1000)-('Appendix K'!$E$44+'Appendix K'!$F$44+'Appendix K'!$H$44+'Appendix K'!$G$44))/((1+$Y$16)^AL$34))</f>
        <v>668130.32291705022</v>
      </c>
      <c r="AM102" s="193">
        <f>(((P102*'Appendix K'!$C$19*1000)-('Appendix K'!$E$45+'Appendix K'!$F$45+'Appendix K'!$H$45+'Appendix K'!$G$45))/((1+$Y$16)^AM$34))</f>
        <v>676083.46465374436</v>
      </c>
      <c r="AN102" s="193">
        <f>(((Q102*'Appendix K'!$C$20*1000)-('Appendix K'!$E$46+'Appendix K'!$F$46+'Appendix K'!$H$46+'Appendix K'!$G$46))/((1+$Y$16)^AN$34))</f>
        <v>842618.40005046397</v>
      </c>
      <c r="AO102" s="193">
        <f>(((R102*'Appendix K'!$C$21*1000)-('Appendix K'!$E$47+'Appendix K'!$F$47+'Appendix K'!$H$47+'Appendix K'!$G$47))/((1+$Y$16)^AO$34))</f>
        <v>736616.07964923722</v>
      </c>
      <c r="AP102" s="193">
        <f>(((S102*'Appendix K'!$C$22*1000)-('Appendix K'!$E$48+'Appendix K'!$F$48+'Appendix K'!$H$48+'Appendix K'!$G$48))/((1+$Y$16)^AP$34))</f>
        <v>755130.56606173899</v>
      </c>
      <c r="AQ102" s="193">
        <f>(((T102*'Appendix K'!$C$23*1000)-('Appendix K'!$E$49+'Appendix K'!$F$49+'Appendix K'!$H$49+'Appendix K'!$G$49))/((1+$Y$16)^AQ$34))</f>
        <v>-94016.358759008581</v>
      </c>
      <c r="AR102" s="193">
        <f>(((U102*'Appendix K'!$C$24*1000)-('Appendix K'!$E$50+'Appendix K'!$F$50+'Appendix K'!$H$50+'Appendix K'!$G$50))/((1+$Y$16)^AR$34))</f>
        <v>-218623.69267844825</v>
      </c>
      <c r="AS102" s="209">
        <f t="shared" si="18"/>
        <v>99917546.690780997</v>
      </c>
      <c r="AU102" s="199">
        <f t="shared" si="17"/>
        <v>6.8664769933184717E-9</v>
      </c>
    </row>
    <row r="103" spans="1:47" x14ac:dyDescent="0.35">
      <c r="A103">
        <v>69</v>
      </c>
      <c r="B103" s="70">
        <v>56</v>
      </c>
      <c r="C103" s="70">
        <v>55.668617333898197</v>
      </c>
      <c r="D103" s="70">
        <v>63.404033987272186</v>
      </c>
      <c r="E103" s="70">
        <v>86.819952470079059</v>
      </c>
      <c r="F103" s="70">
        <v>148.25402106937113</v>
      </c>
      <c r="G103" s="70">
        <v>203.1188847102402</v>
      </c>
      <c r="H103" s="70">
        <v>153.03026310388697</v>
      </c>
      <c r="I103" s="70">
        <v>185.0020224130096</v>
      </c>
      <c r="J103" s="70">
        <v>166.46737173372236</v>
      </c>
      <c r="K103" s="70">
        <v>200.12776690861574</v>
      </c>
      <c r="L103" s="70">
        <v>259.43717763238732</v>
      </c>
      <c r="M103" s="70">
        <v>272.83844178212598</v>
      </c>
      <c r="N103" s="70">
        <v>372.02908153561759</v>
      </c>
      <c r="O103" s="70">
        <v>471.71694885198411</v>
      </c>
      <c r="P103" s="70">
        <v>500</v>
      </c>
      <c r="Q103" s="70">
        <v>500</v>
      </c>
      <c r="R103" s="70">
        <v>461.33957875178135</v>
      </c>
      <c r="S103" s="70">
        <v>500</v>
      </c>
      <c r="T103" s="70">
        <v>441.82392925388115</v>
      </c>
      <c r="U103" s="70">
        <v>500</v>
      </c>
      <c r="V103" s="70">
        <v>500</v>
      </c>
      <c r="X103" s="193">
        <f>((0-('Appendix K'!$I$30))/(1+$Y$16)^0)</f>
        <v>-33594902.4440751</v>
      </c>
      <c r="Y103" s="193">
        <f>(((B103*'Appendix K'!$C$5*1000)-('Appendix K'!$E$31+'Appendix K'!$F$31+'Appendix K'!$H$31+'Appendix K'!$G$31))/((1+$Y$16)^1))</f>
        <v>34971064.972647354</v>
      </c>
      <c r="Z103" s="193">
        <f>+(((C103*'Appendix K'!$C$6*1000)-('Appendix K'!$E$32+'Appendix K'!$F$32+'Appendix K'!$H$32+'Appendix K'!$G$32))/((1+$Y$16)^2))</f>
        <v>10575597.175926274</v>
      </c>
      <c r="AA103" s="193">
        <f>(((D103*'Appendix K'!$C$7*1000)-('Appendix K'!$E$33+'Appendix K'!$F$33+'Appendix K'!$H$33+'Appendix K'!$G$33))/((1+$Y$16)^3))</f>
        <v>5111182.6732192459</v>
      </c>
      <c r="AB103" s="193">
        <f>(((E103*'Appendix K'!$C$8*1000)-('Appendix K'!$E$34+'Appendix K'!$F$34+'Appendix K'!$H$34+'Appendix K'!$G$34))/((1+$Y$16)^4))</f>
        <v>15736930.932417886</v>
      </c>
      <c r="AC103" s="193">
        <f>(((F103*'Appendix K'!$C$9*1000)-('Appendix K'!$E$35+'Appendix K'!$F$35+'Appendix K'!$H$35+'Appendix K'!$G$35))/((1+$Y$16)^AC$34))</f>
        <v>36421457.480490543</v>
      </c>
      <c r="AD103" s="193">
        <f>(((G103*'Appendix K'!$C$10*1000)-('Appendix K'!$E$36+'Appendix K'!$F$36+'Appendix K'!$H$36+'Appendix K'!$G$36))/((1+$Y$16)^AD$34))</f>
        <v>29382829.304692626</v>
      </c>
      <c r="AE103" s="193">
        <f>(((H103*'Appendix K'!$C$11*1000)-('Appendix K'!$E$37+'Appendix K'!$F$37+'Appendix K'!$H$37+'Appendix K'!$G$37))/((1+$Y$16)^AE$34))</f>
        <v>13042934.616814483</v>
      </c>
      <c r="AF103" s="193">
        <f>(((I103*'Appendix K'!$C$12*1000)-('Appendix K'!$E$38+'Appendix K'!$F$38+'Appendix K'!$H$38+'Appendix K'!$G$38))/((1+$Y$16)^AF$34))</f>
        <v>10151102.78812382</v>
      </c>
      <c r="AG103" s="193">
        <f>(((J103*'Appendix K'!$C$13*1000)-('Appendix K'!$E$39+'Appendix K'!$F$39+'Appendix K'!$H$39+'Appendix K'!$G$39))/((1+$Y$16)^AG$34))</f>
        <v>5845706.882551115</v>
      </c>
      <c r="AH103" s="193">
        <f>(((K103*'Appendix K'!$C$14*1000)-('Appendix K'!$E$40+'Appendix K'!$F$40+'Appendix K'!$H$40+'Appendix K'!$G$40))/((1+$Y$16)^AH$34))</f>
        <v>5112870.7738951202</v>
      </c>
      <c r="AI103" s="193">
        <f>(((L103*'Appendix K'!$C$15*1000)-('Appendix K'!$E$41+'Appendix K'!$F$41+'Appendix K'!$H$41+'Appendix K'!$G$41))/((1+$Y$16)^AI$34))</f>
        <v>5281257.8555386309</v>
      </c>
      <c r="AJ103" s="193">
        <f>(((M103*'Appendix K'!$C$16*1000)-('Appendix K'!$E$42+'Appendix K'!$F$42+'Appendix K'!$H$42+'Appendix K'!$G$42))/((1+$Y$16)^AJ$34))</f>
        <v>4086640.7979600439</v>
      </c>
      <c r="AK103" s="193">
        <f>(((N103*'Appendix K'!$C$17*1000)-('Appendix K'!$E$43+'Appendix K'!$F$43+'Appendix K'!$H$43))/((1+$Y$16)^AK$34))</f>
        <v>4711558.0454445379</v>
      </c>
      <c r="AL103" s="193">
        <f>(((O103*'Appendix K'!$C$18*1000)-('Appendix K'!$E$44+'Appendix K'!$F$44+'Appendix K'!$H$44+'Appendix K'!$G$44))/((1+$Y$16)^AL$34))</f>
        <v>4456810.6727874605</v>
      </c>
      <c r="AM103" s="193">
        <f>(((P103*'Appendix K'!$C$19*1000)-('Appendix K'!$E$45+'Appendix K'!$F$45+'Appendix K'!$H$45+'Appendix K'!$G$45))/((1+$Y$16)^AM$34))</f>
        <v>3607599.9540230581</v>
      </c>
      <c r="AN103" s="193">
        <f>(((Q103*'Appendix K'!$C$20*1000)-('Appendix K'!$E$46+'Appendix K'!$F$46+'Appendix K'!$H$46+'Appendix K'!$G$46))/((1+$Y$16)^AN$34))</f>
        <v>2702399.606577659</v>
      </c>
      <c r="AO103" s="193">
        <f>(((R103*'Appendix K'!$C$21*1000)-('Appendix K'!$E$47+'Appendix K'!$F$47+'Appendix K'!$H$47+'Appendix K'!$G$47))/((1+$Y$16)^AO$34))</f>
        <v>1883568.9538572475</v>
      </c>
      <c r="AP103" s="193">
        <f>(((S103*'Appendix K'!$C$22*1000)-('Appendix K'!$E$48+'Appendix K'!$F$48+'Appendix K'!$H$48+'Appendix K'!$G$48))/((1+$Y$16)^AP$34))</f>
        <v>1630406.4380253027</v>
      </c>
      <c r="AQ103" s="193">
        <f>(((T103*'Appendix K'!$C$23*1000)-('Appendix K'!$E$49+'Appendix K'!$F$49+'Appendix K'!$H$49+'Appendix K'!$G$49))/((1+$Y$16)^AQ$34))</f>
        <v>1035700.1177611828</v>
      </c>
      <c r="AR103" s="193">
        <f>(((U103*'Appendix K'!$C$24*1000)-('Appendix K'!$E$50+'Appendix K'!$F$50+'Appendix K'!$H$50+'Appendix K'!$G$50))/((1+$Y$16)^AR$34))</f>
        <v>980725.14012097823</v>
      </c>
      <c r="AS103" s="209">
        <f t="shared" si="18"/>
        <v>163133442.73879948</v>
      </c>
      <c r="AU103" s="199">
        <f t="shared" si="17"/>
        <v>2.9003022683354111E-9</v>
      </c>
    </row>
    <row r="104" spans="1:47" x14ac:dyDescent="0.35">
      <c r="A104">
        <v>70</v>
      </c>
      <c r="B104" s="70">
        <v>56</v>
      </c>
      <c r="C104" s="70">
        <v>72.764134993089556</v>
      </c>
      <c r="D104" s="70">
        <v>111.62261684539224</v>
      </c>
      <c r="E104" s="70">
        <v>218.40604974761703</v>
      </c>
      <c r="F104" s="70">
        <v>326.32541188262121</v>
      </c>
      <c r="G104" s="70">
        <v>400.51288552360859</v>
      </c>
      <c r="H104" s="70">
        <v>486.28239164774425</v>
      </c>
      <c r="I104" s="70">
        <v>500</v>
      </c>
      <c r="J104" s="70">
        <v>483.70302892360394</v>
      </c>
      <c r="K104" s="70">
        <v>500</v>
      </c>
      <c r="L104" s="70">
        <v>500</v>
      </c>
      <c r="M104" s="70">
        <v>500</v>
      </c>
      <c r="N104" s="70">
        <v>500</v>
      </c>
      <c r="O104" s="70">
        <v>453.71419100239279</v>
      </c>
      <c r="P104" s="70">
        <v>500</v>
      </c>
      <c r="Q104" s="70">
        <v>500</v>
      </c>
      <c r="R104" s="70">
        <v>387.01356147767399</v>
      </c>
      <c r="S104" s="70">
        <v>339.09342835330403</v>
      </c>
      <c r="T104" s="70">
        <v>469.59551309563193</v>
      </c>
      <c r="U104" s="70">
        <v>500</v>
      </c>
      <c r="V104" s="70">
        <v>386.1455043469706</v>
      </c>
      <c r="X104" s="193">
        <f>((0-('Appendix K'!$I$30))/(1+$Y$16)^0)</f>
        <v>-33594902.4440751</v>
      </c>
      <c r="Y104" s="193">
        <f>(((B104*'Appendix K'!$C$5*1000)-('Appendix K'!$E$31+'Appendix K'!$F$31+'Appendix K'!$H$31+'Appendix K'!$G$31))/((1+$Y$16)^1))</f>
        <v>34971064.972647354</v>
      </c>
      <c r="Z104" s="193">
        <f>+(((C104*'Appendix K'!$C$6*1000)-('Appendix K'!$E$32+'Appendix K'!$F$32+'Appendix K'!$H$32+'Appendix K'!$G$32))/((1+$Y$16)^2))</f>
        <v>14894217.323397849</v>
      </c>
      <c r="AA104" s="193">
        <f>(((D104*'Appendix K'!$C$7*1000)-('Appendix K'!$E$33+'Appendix K'!$F$33+'Appendix K'!$H$33+'Appendix K'!$G$33))/((1+$Y$16)^3))</f>
        <v>11253018.510078309</v>
      </c>
      <c r="AB104" s="193">
        <f>(((E104*'Appendix K'!$C$8*1000)-('Appendix K'!$E$34+'Appendix K'!$F$34+'Appendix K'!$H$34+'Appendix K'!$G$34))/((1+$Y$16)^4))</f>
        <v>44579398.900872447</v>
      </c>
      <c r="AC104" s="193">
        <f>(((F104*'Appendix K'!$C$9*1000)-('Appendix K'!$E$35+'Appendix K'!$F$35+'Appendix K'!$H$35+'Appendix K'!$G$35))/((1+$Y$16)^AC$34))</f>
        <v>83752553.536390632</v>
      </c>
      <c r="AD104" s="193">
        <f>(((G104*'Appendix K'!$C$10*1000)-('Appendix K'!$E$36+'Appendix K'!$F$36+'Appendix K'!$H$36+'Appendix K'!$G$36))/((1+$Y$16)^AD$34))</f>
        <v>60382363.198039323</v>
      </c>
      <c r="AE104" s="193">
        <f>(((H104*'Appendix K'!$C$11*1000)-('Appendix K'!$E$37+'Appendix K'!$F$37+'Appendix K'!$H$37+'Appendix K'!$G$37))/((1+$Y$16)^AE$34))</f>
        <v>46280711.722489685</v>
      </c>
      <c r="AF104" s="193">
        <f>(((I104*'Appendix K'!$C$12*1000)-('Appendix K'!$E$38+'Appendix K'!$F$38+'Appendix K'!$H$38+'Appendix K'!$G$38))/((1+$Y$16)^AF$34))</f>
        <v>30834634.508874267</v>
      </c>
      <c r="AG104" s="193">
        <f>(((J104*'Appendix K'!$C$13*1000)-('Appendix K'!$E$39+'Appendix K'!$F$39+'Appendix K'!$H$39+'Appendix K'!$G$39))/((1+$Y$16)^AG$34))</f>
        <v>20444553.196968179</v>
      </c>
      <c r="AH104" s="193">
        <f>(((K104*'Appendix K'!$C$14*1000)-('Appendix K'!$E$40+'Appendix K'!$F$40+'Appendix K'!$H$40+'Appendix K'!$G$40))/((1+$Y$16)^AH$34))</f>
        <v>15220522.22201786</v>
      </c>
      <c r="AI104" s="193">
        <f>(((L104*'Appendix K'!$C$15*1000)-('Appendix K'!$E$41+'Appendix K'!$F$41+'Appendix K'!$H$41+'Appendix K'!$G$41))/((1+$Y$16)^AI$34))</f>
        <v>11584453.656253781</v>
      </c>
      <c r="AJ104" s="193">
        <f>(((M104*'Appendix K'!$C$16*1000)-('Appendix K'!$E$42+'Appendix K'!$F$42+'Appendix K'!$H$42+'Appendix K'!$G$42))/((1+$Y$16)^AJ$34))</f>
        <v>8639382.5302660316</v>
      </c>
      <c r="AK104" s="193">
        <f>(((N104*'Appendix K'!$C$17*1000)-('Appendix K'!$E$43+'Appendix K'!$F$43+'Appendix K'!$H$43))/((1+$Y$16)^AK$34))</f>
        <v>6677690.1149291173</v>
      </c>
      <c r="AL104" s="193">
        <f>(((O104*'Appendix K'!$C$18*1000)-('Appendix K'!$E$44+'Appendix K'!$F$44+'Appendix K'!$H$44+'Appendix K'!$G$44))/((1+$Y$16)^AL$34))</f>
        <v>4243418.686646482</v>
      </c>
      <c r="AM104" s="193">
        <f>(((P104*'Appendix K'!$C$19*1000)-('Appendix K'!$E$45+'Appendix K'!$F$45+'Appendix K'!$H$45+'Appendix K'!$G$45))/((1+$Y$16)^AM$34))</f>
        <v>3607599.9540230581</v>
      </c>
      <c r="AN104" s="193">
        <f>(((Q104*'Appendix K'!$C$20*1000)-('Appendix K'!$E$46+'Appendix K'!$F$46+'Appendix K'!$H$46+'Appendix K'!$G$46))/((1+$Y$16)^AN$34))</f>
        <v>2702399.606577659</v>
      </c>
      <c r="AO104" s="193">
        <f>(((R104*'Appendix K'!$C$21*1000)-('Appendix K'!$E$47+'Appendix K'!$F$47+'Appendix K'!$H$47+'Appendix K'!$G$47))/((1+$Y$16)^AO$34))</f>
        <v>1444293.9802258939</v>
      </c>
      <c r="AP104" s="193">
        <f>(((S104*'Appendix K'!$C$22*1000)-('Appendix K'!$E$48+'Appendix K'!$F$48+'Appendix K'!$H$48+'Appendix K'!$G$48))/((1+$Y$16)^AP$34))</f>
        <v>859709.11960494216</v>
      </c>
      <c r="AQ104" s="193">
        <f>(((T104*'Appendix K'!$C$23*1000)-('Appendix K'!$E$49+'Appendix K'!$F$49+'Appendix K'!$H$49+'Appendix K'!$G$49))/((1+$Y$16)^AQ$34))</f>
        <v>1144390.9872099948</v>
      </c>
      <c r="AR104" s="193">
        <f>(((U104*'Appendix K'!$C$24*1000)-('Appendix K'!$E$50+'Appendix K'!$F$50+'Appendix K'!$H$50+'Appendix K'!$G$50))/((1+$Y$16)^AR$34))</f>
        <v>980725.14012097823</v>
      </c>
      <c r="AS104" s="209">
        <f t="shared" si="18"/>
        <v>370902199.42355883</v>
      </c>
      <c r="AU104" s="199">
        <f t="shared" si="17"/>
        <v>2.7305551407593508E-14</v>
      </c>
    </row>
    <row r="105" spans="1:47" x14ac:dyDescent="0.35">
      <c r="A105">
        <v>71</v>
      </c>
      <c r="B105" s="70">
        <v>56</v>
      </c>
      <c r="C105" s="70">
        <v>44.303406965151098</v>
      </c>
      <c r="D105" s="70">
        <v>64.193721819232707</v>
      </c>
      <c r="E105" s="70">
        <v>93.106120052363138</v>
      </c>
      <c r="F105" s="70">
        <v>115.04512278985881</v>
      </c>
      <c r="G105" s="70">
        <v>131.9928276048893</v>
      </c>
      <c r="H105" s="70">
        <v>123.96127137438299</v>
      </c>
      <c r="I105" s="70">
        <v>102.85831892151568</v>
      </c>
      <c r="J105" s="70">
        <v>83.833682478781782</v>
      </c>
      <c r="K105" s="70">
        <v>136.77538023196618</v>
      </c>
      <c r="L105" s="70">
        <v>157.11393900446623</v>
      </c>
      <c r="M105" s="70">
        <v>144.27657422332342</v>
      </c>
      <c r="N105" s="70">
        <v>171.21365481287202</v>
      </c>
      <c r="O105" s="70">
        <v>160.66644503388741</v>
      </c>
      <c r="P105" s="70">
        <v>203.68137592244133</v>
      </c>
      <c r="Q105" s="70">
        <v>259.29382347044856</v>
      </c>
      <c r="R105" s="70">
        <v>416.77294654489071</v>
      </c>
      <c r="S105" s="70">
        <v>500</v>
      </c>
      <c r="T105" s="70">
        <v>500</v>
      </c>
      <c r="U105" s="70">
        <v>490.73872165437399</v>
      </c>
      <c r="V105" s="70">
        <v>500</v>
      </c>
      <c r="X105" s="193">
        <f>((0-('Appendix K'!$I$30))/(1+$Y$16)^0)</f>
        <v>-33594902.4440751</v>
      </c>
      <c r="Y105" s="193">
        <f>(((B105*'Appendix K'!$C$5*1000)-('Appendix K'!$E$31+'Appendix K'!$F$31+'Appendix K'!$H$31+'Appendix K'!$G$31))/((1+$Y$16)^1))</f>
        <v>34971064.972647354</v>
      </c>
      <c r="Z105" s="193">
        <f>+(((C105*'Appendix K'!$C$6*1000)-('Appendix K'!$E$32+'Appendix K'!$F$32+'Appendix K'!$H$32+'Appendix K'!$G$32))/((1+$Y$16)^2))</f>
        <v>7704550.656177558</v>
      </c>
      <c r="AA105" s="193">
        <f>(((D105*'Appendix K'!$C$7*1000)-('Appendix K'!$E$33+'Appendix K'!$F$33+'Appendix K'!$H$33+'Appendix K'!$G$33))/((1+$Y$16)^3))</f>
        <v>5211769.0600182489</v>
      </c>
      <c r="AB105" s="193">
        <f>(((E105*'Appendix K'!$C$8*1000)-('Appendix K'!$E$34+'Appendix K'!$F$34+'Appendix K'!$H$34+'Appendix K'!$G$34))/((1+$Y$16)^4))</f>
        <v>17114801.322129004</v>
      </c>
      <c r="AC105" s="193">
        <f>(((F105*'Appendix K'!$C$9*1000)-('Appendix K'!$E$35+'Appendix K'!$F$35+'Appendix K'!$H$35+'Appendix K'!$G$35))/((1+$Y$16)^AC$34))</f>
        <v>27594584.465124302</v>
      </c>
      <c r="AD105" s="193">
        <f>(((G105*'Appendix K'!$C$10*1000)-('Appendix K'!$E$36+'Appendix K'!$F$36+'Appendix K'!$H$36+'Appendix K'!$G$36))/((1+$Y$16)^AD$34))</f>
        <v>18212912.241093021</v>
      </c>
      <c r="AE105" s="193">
        <f>(((H105*'Appendix K'!$C$11*1000)-('Appendix K'!$E$37+'Appendix K'!$F$37+'Appendix K'!$H$37+'Appendix K'!$G$37))/((1+$Y$16)^AE$34))</f>
        <v>10143662.309046416</v>
      </c>
      <c r="AF105" s="193">
        <f>(((I105*'Appendix K'!$C$12*1000)-('Appendix K'!$E$38+'Appendix K'!$F$38+'Appendix K'!$H$38+'Appendix K'!$G$38))/((1+$Y$16)^AF$34))</f>
        <v>4757347.8508971892</v>
      </c>
      <c r="AG105" s="193">
        <f>(((J105*'Appendix K'!$C$13*1000)-('Appendix K'!$E$39+'Appendix K'!$F$39+'Appendix K'!$H$39+'Appendix K'!$G$39))/((1+$Y$16)^AG$34))</f>
        <v>2042992.7093958934</v>
      </c>
      <c r="AH105" s="193">
        <f>(((K105*'Appendix K'!$C$14*1000)-('Appendix K'!$E$40+'Appendix K'!$F$40+'Appendix K'!$H$40+'Appendix K'!$G$40))/((1+$Y$16)^AH$34))</f>
        <v>2977481.8573123435</v>
      </c>
      <c r="AI105" s="193">
        <f>(((L105*'Appendix K'!$C$15*1000)-('Appendix K'!$E$41+'Appendix K'!$F$41+'Appendix K'!$H$41+'Appendix K'!$G$41))/((1+$Y$16)^AI$34))</f>
        <v>2600197.6580925998</v>
      </c>
      <c r="AJ105" s="193">
        <f>(((M105*'Appendix K'!$C$16*1000)-('Appendix K'!$E$42+'Appendix K'!$F$42+'Appendix K'!$H$42+'Appendix K'!$G$42))/((1+$Y$16)^AJ$34))</f>
        <v>1510020.9499099746</v>
      </c>
      <c r="AK105" s="193">
        <f>(((N105*'Appendix K'!$C$17*1000)-('Appendix K'!$E$43+'Appendix K'!$F$43+'Appendix K'!$H$43))/((1+$Y$16)^AK$34))</f>
        <v>1626250.4203632048</v>
      </c>
      <c r="AL105" s="193">
        <f>(((O105*'Appendix K'!$C$18*1000)-('Appendix K'!$E$44+'Appendix K'!$F$44+'Appendix K'!$H$44+'Appendix K'!$G$44))/((1+$Y$16)^AL$34))</f>
        <v>769837.52375950583</v>
      </c>
      <c r="AM105" s="193">
        <f>(((P105*'Appendix K'!$C$19*1000)-('Appendix K'!$E$45+'Appendix K'!$F$45+'Appendix K'!$H$45+'Appendix K'!$G$45))/((1+$Y$16)^AM$34))</f>
        <v>861102.10239291773</v>
      </c>
      <c r="AN105" s="193">
        <f>(((Q105*'Appendix K'!$C$20*1000)-('Appendix K'!$E$46+'Appendix K'!$F$46+'Appendix K'!$H$46+'Appendix K'!$G$46))/((1+$Y$16)^AN$34))</f>
        <v>960597.50623417075</v>
      </c>
      <c r="AO105" s="193">
        <f>(((R105*'Appendix K'!$C$21*1000)-('Appendix K'!$E$47+'Appendix K'!$F$47+'Appendix K'!$H$47+'Appendix K'!$G$47))/((1+$Y$16)^AO$34))</f>
        <v>1620175.2337912046</v>
      </c>
      <c r="AP105" s="193">
        <f>(((S105*'Appendix K'!$C$22*1000)-('Appendix K'!$E$48+'Appendix K'!$F$48+'Appendix K'!$H$48+'Appendix K'!$G$48))/((1+$Y$16)^AP$34))</f>
        <v>1630406.4380253027</v>
      </c>
      <c r="AQ105" s="193">
        <f>(((T105*'Appendix K'!$C$23*1000)-('Appendix K'!$E$49+'Appendix K'!$F$49+'Appendix K'!$H$49+'Appendix K'!$G$49))/((1+$Y$16)^AQ$34))</f>
        <v>1263386.3652054211</v>
      </c>
      <c r="AR105" s="193">
        <f>(((U105*'Appendix K'!$C$24*1000)-('Appendix K'!$E$50+'Appendix K'!$F$50+'Appendix K'!$H$50+'Appendix K'!$G$50))/((1+$Y$16)^AR$34))</f>
        <v>950903.56435761461</v>
      </c>
      <c r="AS105" s="209">
        <f t="shared" si="18"/>
        <v>110929142.76189813</v>
      </c>
      <c r="AU105" s="199">
        <f t="shared" si="17"/>
        <v>6.4609165460117212E-9</v>
      </c>
    </row>
    <row r="106" spans="1:47" x14ac:dyDescent="0.35">
      <c r="A106">
        <v>72</v>
      </c>
      <c r="B106" s="70">
        <v>56</v>
      </c>
      <c r="C106" s="70">
        <v>83.648740709552484</v>
      </c>
      <c r="D106" s="70">
        <v>86.102449257117371</v>
      </c>
      <c r="E106" s="70">
        <v>87.500243702676613</v>
      </c>
      <c r="F106" s="70">
        <v>109.21450342576611</v>
      </c>
      <c r="G106" s="70">
        <v>93.972897661671198</v>
      </c>
      <c r="H106" s="70">
        <v>110.20381818525699</v>
      </c>
      <c r="I106" s="70">
        <v>108.69870235783289</v>
      </c>
      <c r="J106" s="70">
        <v>113.16761077569994</v>
      </c>
      <c r="K106" s="70">
        <v>123.64814306687383</v>
      </c>
      <c r="L106" s="70">
        <v>189.80456231215499</v>
      </c>
      <c r="M106" s="70">
        <v>247.24993437665134</v>
      </c>
      <c r="N106" s="70">
        <v>276.03027337936231</v>
      </c>
      <c r="O106" s="70">
        <v>205.35029290032787</v>
      </c>
      <c r="P106" s="70">
        <v>316.5639909363336</v>
      </c>
      <c r="Q106" s="70">
        <v>254.95175389347972</v>
      </c>
      <c r="R106" s="70">
        <v>280.82334028145112</v>
      </c>
      <c r="S106" s="70">
        <v>182.07522625424227</v>
      </c>
      <c r="T106" s="70">
        <v>260.37888398608044</v>
      </c>
      <c r="U106" s="70">
        <v>276.96037092643417</v>
      </c>
      <c r="V106" s="70">
        <v>240.09343903036222</v>
      </c>
      <c r="X106" s="193">
        <f>((0-('Appendix K'!$I$30))/(1+$Y$16)^0)</f>
        <v>-33594902.4440751</v>
      </c>
      <c r="Y106" s="193">
        <f>(((B106*'Appendix K'!$C$5*1000)-('Appendix K'!$E$31+'Appendix K'!$F$31+'Appendix K'!$H$31+'Appendix K'!$G$31))/((1+$Y$16)^1))</f>
        <v>34971064.972647354</v>
      </c>
      <c r="Z106" s="193">
        <f>+(((C106*'Appendix K'!$C$6*1000)-('Appendix K'!$E$32+'Appendix K'!$F$32+'Appendix K'!$H$32+'Appendix K'!$G$32))/((1+$Y$16)^2))</f>
        <v>17643854.888138577</v>
      </c>
      <c r="AA106" s="193">
        <f>(((D106*'Appendix K'!$C$7*1000)-('Appendix K'!$E$33+'Appendix K'!$F$33+'Appendix K'!$H$33+'Appendix K'!$G$33))/((1+$Y$16)^3))</f>
        <v>8002390.4209551858</v>
      </c>
      <c r="AB106" s="193">
        <f>(((E106*'Appendix K'!$C$8*1000)-('Appendix K'!$E$34+'Appendix K'!$F$34+'Appendix K'!$H$34+'Appendix K'!$G$34))/((1+$Y$16)^4))</f>
        <v>15886044.543136433</v>
      </c>
      <c r="AC106" s="193">
        <f>(((F106*'Appendix K'!$C$9*1000)-('Appendix K'!$E$35+'Appendix K'!$F$35+'Appendix K'!$H$35+'Appendix K'!$G$35))/((1+$Y$16)^AC$34))</f>
        <v>26044814.993863855</v>
      </c>
      <c r="AD106" s="193">
        <f>(((G106*'Appendix K'!$C$10*1000)-('Appendix K'!$E$36+'Appendix K'!$F$36+'Appendix K'!$H$36+'Appendix K'!$G$36))/((1+$Y$16)^AD$34))</f>
        <v>12242112.206436465</v>
      </c>
      <c r="AE106" s="193">
        <f>(((H106*'Appendix K'!$C$11*1000)-('Appendix K'!$E$37+'Appendix K'!$F$37+'Appendix K'!$H$37+'Appendix K'!$G$37))/((1+$Y$16)^AE$34))</f>
        <v>8771526.5491340775</v>
      </c>
      <c r="AF106" s="193">
        <f>(((I106*'Appendix K'!$C$12*1000)-('Appendix K'!$E$38+'Appendix K'!$F$38+'Appendix K'!$H$38+'Appendix K'!$G$38))/((1+$Y$16)^AF$34))</f>
        <v>5140841.6021643775</v>
      </c>
      <c r="AG106" s="193">
        <f>(((J106*'Appendix K'!$C$13*1000)-('Appendix K'!$E$39+'Appendix K'!$F$39+'Appendix K'!$H$39+'Appendix K'!$G$39))/((1+$Y$16)^AG$34))</f>
        <v>3392908.777464225</v>
      </c>
      <c r="AH106" s="193">
        <f>(((K106*'Appendix K'!$C$14*1000)-('Appendix K'!$E$40+'Appendix K'!$F$40+'Appendix K'!$H$40+'Appendix K'!$G$40))/((1+$Y$16)^AH$34))</f>
        <v>2535008.2865727637</v>
      </c>
      <c r="AI106" s="193">
        <f>(((L106*'Appendix K'!$C$15*1000)-('Appendix K'!$E$41+'Appendix K'!$F$41+'Appendix K'!$H$41+'Appendix K'!$G$41))/((1+$Y$16)^AI$34))</f>
        <v>3456753.1205193903</v>
      </c>
      <c r="AJ106" s="193">
        <f>(((M106*'Appendix K'!$C$16*1000)-('Appendix K'!$E$42+'Appendix K'!$F$42+'Appendix K'!$H$42+'Appendix K'!$G$42))/((1+$Y$16)^AJ$34))</f>
        <v>3573799.3363752891</v>
      </c>
      <c r="AK106" s="193">
        <f>(((N106*'Appendix K'!$C$17*1000)-('Appendix K'!$E$43+'Appendix K'!$F$43+'Appendix K'!$H$43))/((1+$Y$16)^AK$34))</f>
        <v>3236642.2003977252</v>
      </c>
      <c r="AL106" s="193">
        <f>(((O106*'Appendix K'!$C$18*1000)-('Appendix K'!$E$44+'Appendix K'!$F$44+'Appendix K'!$H$44+'Appendix K'!$G$44))/((1+$Y$16)^AL$34))</f>
        <v>1299488.3208376591</v>
      </c>
      <c r="AM106" s="193">
        <f>(((P106*'Appendix K'!$C$19*1000)-('Appendix K'!$E$45+'Appendix K'!$F$45+'Appendix K'!$H$45+'Appendix K'!$G$45))/((1+$Y$16)^AM$34))</f>
        <v>1907380.784967049</v>
      </c>
      <c r="AN106" s="193">
        <f>(((Q106*'Appendix K'!$C$20*1000)-('Appendix K'!$E$46+'Appendix K'!$F$46+'Appendix K'!$H$46+'Appendix K'!$G$46))/((1+$Y$16)^AN$34))</f>
        <v>929177.34901991079</v>
      </c>
      <c r="AO106" s="193">
        <f>(((R106*'Appendix K'!$C$21*1000)-('Appendix K'!$E$47+'Appendix K'!$F$47+'Appendix K'!$H$47+'Appendix K'!$G$47))/((1+$Y$16)^AO$34))</f>
        <v>816698.04105630657</v>
      </c>
      <c r="AP106" s="193">
        <f>(((S106*'Appendix K'!$C$22*1000)-('Appendix K'!$E$48+'Appendix K'!$F$48+'Appendix K'!$H$48+'Appendix K'!$G$48))/((1+$Y$16)^AP$34))</f>
        <v>107636.00001450304</v>
      </c>
      <c r="AQ106" s="193">
        <f>(((T106*'Appendix K'!$C$23*1000)-('Appendix K'!$E$49+'Appendix K'!$F$49+'Appendix K'!$H$49+'Appendix K'!$G$49))/((1+$Y$16)^AQ$34))</f>
        <v>325570.66170589172</v>
      </c>
      <c r="AR106" s="193">
        <f>(((U106*'Appendix K'!$C$24*1000)-('Appendix K'!$E$50+'Appendix K'!$F$50+'Appendix K'!$H$50+'Appendix K'!$G$50))/((1+$Y$16)^AR$34))</f>
        <v>262531.28518827382</v>
      </c>
      <c r="AS106" s="209">
        <f t="shared" si="18"/>
        <v>116951341.89652023</v>
      </c>
      <c r="AU106" s="199">
        <f t="shared" si="17"/>
        <v>6.1506077471280999E-9</v>
      </c>
    </row>
    <row r="107" spans="1:47" x14ac:dyDescent="0.35">
      <c r="A107">
        <v>73</v>
      </c>
      <c r="B107" s="70">
        <v>56</v>
      </c>
      <c r="C107" s="70">
        <v>63.267798831339938</v>
      </c>
      <c r="D107" s="70">
        <v>53.138964694765214</v>
      </c>
      <c r="E107" s="70">
        <v>71.664768986470392</v>
      </c>
      <c r="F107" s="70">
        <v>89.555330834870944</v>
      </c>
      <c r="G107" s="70">
        <v>149.97821354444909</v>
      </c>
      <c r="H107" s="70">
        <v>205.80578501468565</v>
      </c>
      <c r="I107" s="70">
        <v>289.54972450916381</v>
      </c>
      <c r="J107" s="70">
        <v>427.06846134347791</v>
      </c>
      <c r="K107" s="70">
        <v>209.07631610693466</v>
      </c>
      <c r="L107" s="70">
        <v>159.37129033747107</v>
      </c>
      <c r="M107" s="70">
        <v>182.97575916951473</v>
      </c>
      <c r="N107" s="70">
        <v>197.2004306276049</v>
      </c>
      <c r="O107" s="70">
        <v>163.92406555924455</v>
      </c>
      <c r="P107" s="70">
        <v>298.60750329956153</v>
      </c>
      <c r="Q107" s="70">
        <v>290.46782917383189</v>
      </c>
      <c r="R107" s="70">
        <v>377.76928623797039</v>
      </c>
      <c r="S107" s="70">
        <v>447.68198858193148</v>
      </c>
      <c r="T107" s="70">
        <v>481.41986871082884</v>
      </c>
      <c r="U107" s="70">
        <v>500</v>
      </c>
      <c r="V107" s="70">
        <v>368.16186605878374</v>
      </c>
      <c r="X107" s="193">
        <f>((0-('Appendix K'!$I$30))/(1+$Y$16)^0)</f>
        <v>-33594902.4440751</v>
      </c>
      <c r="Y107" s="193">
        <f>(((B107*'Appendix K'!$C$5*1000)-('Appendix K'!$E$31+'Appendix K'!$F$31+'Appendix K'!$H$31+'Appendix K'!$G$31))/((1+$Y$16)^1))</f>
        <v>34971064.972647354</v>
      </c>
      <c r="Z107" s="193">
        <f>+(((C107*'Appendix K'!$C$6*1000)-('Appendix K'!$E$32+'Appendix K'!$F$32+'Appendix K'!$H$32+'Appendix K'!$G$32))/((1+$Y$16)^2))</f>
        <v>12495280.391924161</v>
      </c>
      <c r="AA107" s="193">
        <f>(((D107*'Appendix K'!$C$7*1000)-('Appendix K'!$E$33+'Appendix K'!$F$33+'Appendix K'!$H$33+'Appendix K'!$G$33))/((1+$Y$16)^3))</f>
        <v>3803670.7823353815</v>
      </c>
      <c r="AB107" s="193">
        <f>(((E107*'Appendix K'!$C$8*1000)-('Appendix K'!$E$34+'Appendix K'!$F$34+'Appendix K'!$H$34+'Appendix K'!$G$34))/((1+$Y$16)^4))</f>
        <v>12415053.445162622</v>
      </c>
      <c r="AC107" s="193">
        <f>(((F107*'Appendix K'!$C$9*1000)-('Appendix K'!$E$35+'Appendix K'!$F$35+'Appendix K'!$H$35+'Appendix K'!$G$35))/((1+$Y$16)^AC$34))</f>
        <v>20819437.789644588</v>
      </c>
      <c r="AD107" s="193">
        <f>(((G107*'Appendix K'!$C$10*1000)-('Appendix K'!$E$36+'Appendix K'!$F$36+'Appendix K'!$H$36+'Appendix K'!$G$36))/((1+$Y$16)^AD$34))</f>
        <v>21037408.318587523</v>
      </c>
      <c r="AE107" s="193">
        <f>(((H107*'Appendix K'!$C$11*1000)-('Appendix K'!$E$37+'Appendix K'!$F$37+'Appendix K'!$H$37+'Appendix K'!$G$37))/((1+$Y$16)^AE$34))</f>
        <v>18306640.032805406</v>
      </c>
      <c r="AF107" s="193">
        <f>(((I107*'Appendix K'!$C$12*1000)-('Appendix K'!$E$38+'Appendix K'!$F$38+'Appendix K'!$H$38+'Appendix K'!$G$38))/((1+$Y$16)^AF$34))</f>
        <v>17015958.649111677</v>
      </c>
      <c r="AG107" s="193">
        <f>(((J107*'Appendix K'!$C$13*1000)-('Appendix K'!$E$39+'Appendix K'!$F$39+'Appendix K'!$H$39+'Appendix K'!$G$39))/((1+$Y$16)^AG$34))</f>
        <v>17838290.850832079</v>
      </c>
      <c r="AH107" s="193">
        <f>(((K107*'Appendix K'!$C$14*1000)-('Appendix K'!$E$40+'Appendix K'!$F$40+'Appendix K'!$H$40+'Appendix K'!$G$40))/((1+$Y$16)^AH$34))</f>
        <v>5414495.2868770268</v>
      </c>
      <c r="AI107" s="193">
        <f>(((L107*'Appendix K'!$C$15*1000)-('Appendix K'!$E$41+'Appendix K'!$F$41+'Appendix K'!$H$41+'Appendix K'!$G$41))/((1+$Y$16)^AI$34))</f>
        <v>2659344.4842850179</v>
      </c>
      <c r="AJ107" s="193">
        <f>(((M107*'Appendix K'!$C$16*1000)-('Appendix K'!$E$42+'Appendix K'!$F$42+'Appendix K'!$H$42+'Appendix K'!$G$42))/((1+$Y$16)^AJ$34))</f>
        <v>2285624.8667565431</v>
      </c>
      <c r="AK107" s="193">
        <f>(((N107*'Appendix K'!$C$17*1000)-('Appendix K'!$E$43+'Appendix K'!$F$43+'Appendix K'!$H$43))/((1+$Y$16)^AK$34))</f>
        <v>2025508.5793649566</v>
      </c>
      <c r="AL107" s="193">
        <f>(((O107*'Appendix K'!$C$18*1000)-('Appendix K'!$E$44+'Appendix K'!$F$44+'Appendix K'!$H$44+'Appendix K'!$G$44))/((1+$Y$16)^AL$34))</f>
        <v>808451.05840832961</v>
      </c>
      <c r="AM107" s="193">
        <f>(((P107*'Appendix K'!$C$19*1000)-('Appendix K'!$E$45+'Appendix K'!$F$45+'Appendix K'!$H$45+'Appendix K'!$G$45))/((1+$Y$16)^AM$34))</f>
        <v>1740946.9171305499</v>
      </c>
      <c r="AN107" s="193">
        <f>(((Q107*'Appendix K'!$C$20*1000)-('Appendix K'!$E$46+'Appendix K'!$F$46+'Appendix K'!$H$46+'Appendix K'!$G$46))/((1+$Y$16)^AN$34))</f>
        <v>1186179.3728615385</v>
      </c>
      <c r="AO107" s="193">
        <f>(((R107*'Appendix K'!$C$21*1000)-('Appendix K'!$E$47+'Appendix K'!$F$47+'Appendix K'!$H$47+'Appendix K'!$G$47))/((1+$Y$16)^AO$34))</f>
        <v>1389659.2922513452</v>
      </c>
      <c r="AP107" s="193">
        <f>(((S107*'Appendix K'!$C$22*1000)-('Appendix K'!$E$48+'Appendix K'!$F$48+'Appendix K'!$H$48+'Appendix K'!$G$48))/((1+$Y$16)^AP$34))</f>
        <v>1379817.8468176969</v>
      </c>
      <c r="AQ107" s="193">
        <f>(((T107*'Appendix K'!$C$23*1000)-('Appendix K'!$E$49+'Appendix K'!$F$49+'Appendix K'!$H$49+'Appendix K'!$G$49))/((1+$Y$16)^AQ$34))</f>
        <v>1190668.4879752044</v>
      </c>
      <c r="AR107" s="193">
        <f>(((U107*'Appendix K'!$C$24*1000)-('Appendix K'!$E$50+'Appendix K'!$F$50+'Appendix K'!$H$50+'Appendix K'!$G$50))/((1+$Y$16)^AR$34))</f>
        <v>980725.14012097823</v>
      </c>
      <c r="AS107" s="209">
        <f t="shared" si="18"/>
        <v>146169324.12182489</v>
      </c>
      <c r="AU107" s="199">
        <f t="shared" si="17"/>
        <v>4.1284402583985339E-9</v>
      </c>
    </row>
    <row r="108" spans="1:47" x14ac:dyDescent="0.35">
      <c r="A108">
        <v>74</v>
      </c>
      <c r="B108" s="70">
        <v>56</v>
      </c>
      <c r="C108" s="70">
        <v>66.939448433149209</v>
      </c>
      <c r="D108" s="70">
        <v>58.752233796431355</v>
      </c>
      <c r="E108" s="70">
        <v>77.383950098809692</v>
      </c>
      <c r="F108" s="70">
        <v>72.37662385426016</v>
      </c>
      <c r="G108" s="70">
        <v>71.681529400302779</v>
      </c>
      <c r="H108" s="70">
        <v>104.89373710008104</v>
      </c>
      <c r="I108" s="70">
        <v>104.16323745486925</v>
      </c>
      <c r="J108" s="70">
        <v>151.1320069054365</v>
      </c>
      <c r="K108" s="70">
        <v>205.28112900890352</v>
      </c>
      <c r="L108" s="70">
        <v>191.31202487904972</v>
      </c>
      <c r="M108" s="70">
        <v>215.00675890857724</v>
      </c>
      <c r="N108" s="70">
        <v>254.9046749328615</v>
      </c>
      <c r="O108" s="70">
        <v>263.24538722480924</v>
      </c>
      <c r="P108" s="70">
        <v>385.36621583543547</v>
      </c>
      <c r="Q108" s="70">
        <v>343.13699153674906</v>
      </c>
      <c r="R108" s="70">
        <v>318.66164924440352</v>
      </c>
      <c r="S108" s="70">
        <v>216.44679308410221</v>
      </c>
      <c r="T108" s="70">
        <v>233.48343242523922</v>
      </c>
      <c r="U108" s="70">
        <v>279.86435915625304</v>
      </c>
      <c r="V108" s="70">
        <v>272.81275403644241</v>
      </c>
      <c r="X108" s="193">
        <f>((0-('Appendix K'!$I$30))/(1+$Y$16)^0)</f>
        <v>-33594902.4440751</v>
      </c>
      <c r="Y108" s="193">
        <f>(((B108*'Appendix K'!$C$5*1000)-('Appendix K'!$E$31+'Appendix K'!$F$31+'Appendix K'!$H$31+'Appendix K'!$G$31))/((1+$Y$16)^1))</f>
        <v>34971064.972647354</v>
      </c>
      <c r="Z108" s="193">
        <f>+(((C108*'Appendix K'!$C$6*1000)-('Appendix K'!$E$32+'Appendix K'!$F$32+'Appendix K'!$H$32+'Appendix K'!$G$32))/((1+$Y$16)^2))</f>
        <v>13422801.87801992</v>
      </c>
      <c r="AA108" s="193">
        <f>(((D108*'Appendix K'!$C$7*1000)-('Appendix K'!$E$33+'Appendix K'!$F$33+'Appendix K'!$H$33+'Appendix K'!$G$33))/((1+$Y$16)^3))</f>
        <v>4518660.2176738149</v>
      </c>
      <c r="AB108" s="193">
        <f>(((E108*'Appendix K'!$C$8*1000)-('Appendix K'!$E$34+'Appendix K'!$F$34+'Appendix K'!$H$34+'Appendix K'!$G$34))/((1+$Y$16)^4))</f>
        <v>13668645.59092341</v>
      </c>
      <c r="AC108" s="193">
        <f>(((F108*'Appendix K'!$C$9*1000)-('Appendix K'!$E$35+'Appendix K'!$F$35+'Appendix K'!$H$35+'Appendix K'!$G$35))/((1+$Y$16)^AC$34))</f>
        <v>16253364.449608939</v>
      </c>
      <c r="AD108" s="193">
        <f>(((G108*'Appendix K'!$C$10*1000)-('Appendix K'!$E$36+'Appendix K'!$F$36+'Appendix K'!$H$36+'Appendix K'!$G$36))/((1+$Y$16)^AD$34))</f>
        <v>8741387.6499657314</v>
      </c>
      <c r="AE108" s="193">
        <f>(((H108*'Appendix K'!$C$11*1000)-('Appendix K'!$E$37+'Appendix K'!$F$37+'Appendix K'!$H$37+'Appendix K'!$G$37))/((1+$Y$16)^AE$34))</f>
        <v>8241911.6527691688</v>
      </c>
      <c r="AF108" s="193">
        <f>(((I108*'Appendix K'!$C$12*1000)-('Appendix K'!$E$38+'Appendix K'!$F$38+'Appendix K'!$H$38+'Appendix K'!$G$38))/((1+$Y$16)^AF$34))</f>
        <v>4843031.9688854078</v>
      </c>
      <c r="AG108" s="193">
        <f>(((J108*'Appendix K'!$C$13*1000)-('Appendix K'!$E$39+'Appendix K'!$F$39+'Appendix K'!$H$39+'Appendix K'!$G$39))/((1+$Y$16)^AG$34))</f>
        <v>5139989.7627077438</v>
      </c>
      <c r="AH108" s="193">
        <f>(((K108*'Appendix K'!$C$14*1000)-('Appendix K'!$E$40+'Appendix K'!$F$40+'Appendix K'!$H$40+'Appendix K'!$G$40))/((1+$Y$16)^AH$34))</f>
        <v>5286572.7114126263</v>
      </c>
      <c r="AI108" s="193">
        <f>(((L108*'Appendix K'!$C$15*1000)-('Appendix K'!$E$41+'Appendix K'!$F$41+'Appendix K'!$H$41+'Appendix K'!$G$41))/((1+$Y$16)^AI$34))</f>
        <v>3496251.4587408556</v>
      </c>
      <c r="AJ108" s="193">
        <f>(((M108*'Appendix K'!$C$16*1000)-('Appendix K'!$E$42+'Appendix K'!$F$42+'Appendix K'!$H$42+'Appendix K'!$G$42))/((1+$Y$16)^AJ$34))</f>
        <v>2927585.9026975161</v>
      </c>
      <c r="AK108" s="193">
        <f>(((N108*'Appendix K'!$C$17*1000)-('Appendix K'!$E$43+'Appendix K'!$F$43+'Appendix K'!$H$43))/((1+$Y$16)^AK$34))</f>
        <v>2912070.6720291199</v>
      </c>
      <c r="AL108" s="193">
        <f>(((O108*'Appendix K'!$C$18*1000)-('Appendix K'!$E$44+'Appendix K'!$F$44+'Appendix K'!$H$44+'Appendix K'!$G$44))/((1+$Y$16)^AL$34))</f>
        <v>1985735.9096203293</v>
      </c>
      <c r="AM108" s="193">
        <f>(((P108*'Appendix K'!$C$19*1000)-('Appendix K'!$E$45+'Appendix K'!$F$45+'Appendix K'!$H$45+'Appendix K'!$G$45))/((1+$Y$16)^AM$34))</f>
        <v>2545090.1542684436</v>
      </c>
      <c r="AN108" s="193">
        <f>(((Q108*'Appendix K'!$C$20*1000)-('Appendix K'!$E$46+'Appendix K'!$F$46+'Appendix K'!$H$46+'Appendix K'!$G$46))/((1+$Y$16)^AN$34))</f>
        <v>1567304.8551808449</v>
      </c>
      <c r="AO108" s="193">
        <f>(((R108*'Appendix K'!$C$21*1000)-('Appendix K'!$E$47+'Appendix K'!$F$47+'Appendix K'!$H$47+'Appendix K'!$G$47))/((1+$Y$16)^AO$34))</f>
        <v>1040326.6274052516</v>
      </c>
      <c r="AP108" s="193">
        <f>(((S108*'Appendix K'!$C$22*1000)-('Appendix K'!$E$48+'Appendix K'!$F$48+'Appendix K'!$H$48+'Appendix K'!$G$48))/((1+$Y$16)^AP$34))</f>
        <v>272266.15846349264</v>
      </c>
      <c r="AQ108" s="193">
        <f>(((T108*'Appendix K'!$C$23*1000)-('Appendix K'!$E$49+'Appendix K'!$F$49+'Appendix K'!$H$49+'Appendix K'!$G$49))/((1+$Y$16)^AQ$34))</f>
        <v>220308.74970894319</v>
      </c>
      <c r="AR108" s="193">
        <f>(((U108*'Appendix K'!$C$24*1000)-('Appendix K'!$E$50+'Appendix K'!$F$50+'Appendix K'!$H$50+'Appendix K'!$G$50))/((1+$Y$16)^AR$34))</f>
        <v>271882.20865472604</v>
      </c>
      <c r="AS108" s="209">
        <f t="shared" si="18"/>
        <v>98731351.107308567</v>
      </c>
      <c r="AU108" s="199">
        <f t="shared" si="17"/>
        <v>6.8961484056355794E-9</v>
      </c>
    </row>
    <row r="109" spans="1:47" x14ac:dyDescent="0.35">
      <c r="A109">
        <v>75</v>
      </c>
      <c r="B109" s="70">
        <v>56</v>
      </c>
      <c r="C109" s="70">
        <v>51.431780896654381</v>
      </c>
      <c r="D109" s="70">
        <v>78.717901673563915</v>
      </c>
      <c r="E109" s="70">
        <v>62.095159169737286</v>
      </c>
      <c r="F109" s="70">
        <v>64.690516260968835</v>
      </c>
      <c r="G109" s="70">
        <v>68.843365477278525</v>
      </c>
      <c r="H109" s="70">
        <v>89.161769570644424</v>
      </c>
      <c r="I109" s="70">
        <v>65.892374455837597</v>
      </c>
      <c r="J109" s="70">
        <v>67.626295740368718</v>
      </c>
      <c r="K109" s="70">
        <v>85.355848190337554</v>
      </c>
      <c r="L109" s="70">
        <v>77.34196591323844</v>
      </c>
      <c r="M109" s="70">
        <v>81.279868339261128</v>
      </c>
      <c r="N109" s="70">
        <v>109.06303293199333</v>
      </c>
      <c r="O109" s="70">
        <v>153.72655803149547</v>
      </c>
      <c r="P109" s="70">
        <v>106.9416060927054</v>
      </c>
      <c r="Q109" s="70">
        <v>169.55705404122452</v>
      </c>
      <c r="R109" s="70">
        <v>108.63519768032945</v>
      </c>
      <c r="S109" s="70">
        <v>122.63954827959468</v>
      </c>
      <c r="T109" s="70">
        <v>143.66084277102169</v>
      </c>
      <c r="U109" s="70">
        <v>183.19299508068545</v>
      </c>
      <c r="V109" s="70">
        <v>222.02614586227304</v>
      </c>
      <c r="X109" s="193">
        <f>((0-('Appendix K'!$I$30))/(1+$Y$16)^0)</f>
        <v>-33594902.4440751</v>
      </c>
      <c r="Y109" s="193">
        <f>(((B109*'Appendix K'!$C$5*1000)-('Appendix K'!$E$31+'Appendix K'!$F$31+'Appendix K'!$H$31+'Appendix K'!$G$31))/((1+$Y$16)^1))</f>
        <v>34971064.972647354</v>
      </c>
      <c r="Z109" s="193">
        <f>+(((C109*'Appendix K'!$C$6*1000)-('Appendix K'!$E$32+'Appendix K'!$F$32+'Appendix K'!$H$32+'Appendix K'!$G$32))/((1+$Y$16)^2))</f>
        <v>9505299.8287391681</v>
      </c>
      <c r="AA109" s="193">
        <f>(((D109*'Appendix K'!$C$7*1000)-('Appendix K'!$E$33+'Appendix K'!$F$33+'Appendix K'!$H$33+'Appendix K'!$G$33))/((1+$Y$16)^3))</f>
        <v>7061784.6150750611</v>
      </c>
      <c r="AB109" s="193">
        <f>(((E109*'Appendix K'!$C$8*1000)-('Appendix K'!$E$34+'Appendix K'!$F$34+'Appendix K'!$H$34+'Appendix K'!$G$34))/((1+$Y$16)^4))</f>
        <v>10317482.574680937</v>
      </c>
      <c r="AC109" s="193">
        <f>(((F109*'Appendix K'!$C$9*1000)-('Appendix K'!$E$35+'Appendix K'!$F$35+'Appendix K'!$H$35+'Appendix K'!$G$35))/((1+$Y$16)^AC$34))</f>
        <v>14210409.120666869</v>
      </c>
      <c r="AD109" s="193">
        <f>(((G109*'Appendix K'!$C$10*1000)-('Appendix K'!$E$36+'Appendix K'!$F$36+'Appendix K'!$H$36+'Appendix K'!$G$36))/((1+$Y$16)^AD$34))</f>
        <v>8295671.1724429466</v>
      </c>
      <c r="AE109" s="193">
        <f>(((H109*'Appendix K'!$C$11*1000)-('Appendix K'!$E$37+'Appendix K'!$F$37+'Appendix K'!$H$37+'Appendix K'!$G$37))/((1+$Y$16)^AE$34))</f>
        <v>6672842.5144506153</v>
      </c>
      <c r="AF109" s="193">
        <f>(((I109*'Appendix K'!$C$12*1000)-('Appendix K'!$E$38+'Appendix K'!$F$38+'Appendix K'!$H$38+'Appendix K'!$G$38))/((1+$Y$16)^AF$34))</f>
        <v>2330074.2194904536</v>
      </c>
      <c r="AG109" s="193">
        <f>(((J109*'Appendix K'!$C$13*1000)-('Appendix K'!$E$39+'Appendix K'!$F$39+'Appendix K'!$H$39+'Appendix K'!$G$39))/((1+$Y$16)^AG$34))</f>
        <v>1297146.0720779737</v>
      </c>
      <c r="AH109" s="193">
        <f>(((K109*'Appendix K'!$C$14*1000)-('Appendix K'!$E$40+'Appendix K'!$F$40+'Appendix K'!$H$40+'Appendix K'!$G$40))/((1+$Y$16)^AH$34))</f>
        <v>1244308.0247622102</v>
      </c>
      <c r="AI109" s="193">
        <f>(((L109*'Appendix K'!$C$15*1000)-('Appendix K'!$E$41+'Appendix K'!$F$41+'Appendix K'!$H$41+'Appendix K'!$G$41))/((1+$Y$16)^AI$34))</f>
        <v>510022.78878127207</v>
      </c>
      <c r="AJ109" s="193">
        <f>(((M109*'Appendix K'!$C$16*1000)-('Appendix K'!$E$42+'Appendix K'!$F$42+'Appendix K'!$H$42+'Appendix K'!$G$42))/((1+$Y$16)^AJ$34))</f>
        <v>247449.35053269373</v>
      </c>
      <c r="AK109" s="193">
        <f>(((N109*'Appendix K'!$C$17*1000)-('Appendix K'!$E$43+'Appendix K'!$F$43+'Appendix K'!$H$43))/((1+$Y$16)^AK$34))</f>
        <v>671374.63854707323</v>
      </c>
      <c r="AL109" s="193">
        <f>(((O109*'Appendix K'!$C$18*1000)-('Appendix K'!$E$44+'Appendix K'!$F$44+'Appendix K'!$H$44+'Appendix K'!$G$44))/((1+$Y$16)^AL$34))</f>
        <v>687577.00104364927</v>
      </c>
      <c r="AM109" s="193">
        <f>(((P109*'Appendix K'!$C$19*1000)-('Appendix K'!$E$45+'Appendix K'!$F$45+'Appendix K'!$H$45+'Appendix K'!$G$45))/((1+$Y$16)^AM$34))</f>
        <v>-35552.877805089083</v>
      </c>
      <c r="AN109" s="193">
        <f>(((Q109*'Appendix K'!$C$20*1000)-('Appendix K'!$E$46+'Appendix K'!$F$46+'Appendix K'!$H$46+'Appendix K'!$G$46))/((1+$Y$16)^AN$34))</f>
        <v>311242.77955696615</v>
      </c>
      <c r="AO109" s="193">
        <f>(((R109*'Appendix K'!$C$21*1000)-('Appendix K'!$E$47+'Appendix K'!$F$47+'Appendix K'!$H$47+'Appendix K'!$G$47))/((1+$Y$16)^AO$34))</f>
        <v>-200952.90506924552</v>
      </c>
      <c r="AP109" s="193">
        <f>(((S109*'Appendix K'!$C$22*1000)-('Appendix K'!$E$48+'Appendix K'!$F$48+'Appendix K'!$H$48+'Appendix K'!$G$48))/((1+$Y$16)^AP$34))</f>
        <v>-177044.21636681203</v>
      </c>
      <c r="AQ109" s="193">
        <f>(((T109*'Appendix K'!$C$23*1000)-('Appendix K'!$E$49+'Appendix K'!$F$49+'Appendix K'!$H$49+'Appendix K'!$G$49))/((1+$Y$16)^AQ$34))</f>
        <v>-131233.87102497503</v>
      </c>
      <c r="AR109" s="193">
        <f>(((U109*'Appendix K'!$C$24*1000)-('Appendix K'!$E$50+'Appendix K'!$F$50+'Appendix K'!$H$50+'Appendix K'!$G$50))/((1+$Y$16)^AR$34))</f>
        <v>-39402.292289879399</v>
      </c>
      <c r="AS109" s="209">
        <f t="shared" si="18"/>
        <v>64738847.229420133</v>
      </c>
      <c r="AU109" s="199">
        <f t="shared" si="17"/>
        <v>6.4810518061974624E-9</v>
      </c>
    </row>
    <row r="110" spans="1:47" x14ac:dyDescent="0.35">
      <c r="A110">
        <v>76</v>
      </c>
      <c r="B110" s="70">
        <v>56</v>
      </c>
      <c r="C110" s="70">
        <v>88.094378963299775</v>
      </c>
      <c r="D110" s="70">
        <v>91.271540070710174</v>
      </c>
      <c r="E110" s="70">
        <v>86.856863687767472</v>
      </c>
      <c r="F110" s="70">
        <v>120.7637131481118</v>
      </c>
      <c r="G110" s="70">
        <v>89.459692671286888</v>
      </c>
      <c r="H110" s="70">
        <v>110.81421999309038</v>
      </c>
      <c r="I110" s="70">
        <v>150.1987061955183</v>
      </c>
      <c r="J110" s="70">
        <v>122.44878278078275</v>
      </c>
      <c r="K110" s="70">
        <v>52.017709350866312</v>
      </c>
      <c r="L110" s="70">
        <v>53.417022139232401</v>
      </c>
      <c r="M110" s="70">
        <v>55.426309326852952</v>
      </c>
      <c r="N110" s="70">
        <v>69.925361966205784</v>
      </c>
      <c r="O110" s="70">
        <v>76.274199017923138</v>
      </c>
      <c r="P110" s="70">
        <v>110.80267076325394</v>
      </c>
      <c r="Q110" s="70">
        <v>129.30500226090908</v>
      </c>
      <c r="R110" s="70">
        <v>179.1362882950105</v>
      </c>
      <c r="S110" s="70">
        <v>217.52779494773344</v>
      </c>
      <c r="T110" s="70">
        <v>292.68014224852072</v>
      </c>
      <c r="U110" s="70">
        <v>446.5262757258036</v>
      </c>
      <c r="V110" s="70">
        <v>292.08317502997926</v>
      </c>
      <c r="X110" s="193">
        <f>((0-('Appendix K'!$I$30))/(1+$Y$16)^0)</f>
        <v>-33594902.4440751</v>
      </c>
      <c r="Y110" s="193">
        <f>(((B110*'Appendix K'!$C$5*1000)-('Appendix K'!$E$31+'Appendix K'!$F$31+'Appendix K'!$H$31+'Appendix K'!$G$31))/((1+$Y$16)^1))</f>
        <v>34971064.972647354</v>
      </c>
      <c r="Z110" s="193">
        <f>+(((C110*'Appendix K'!$C$6*1000)-('Appendix K'!$E$32+'Appendix K'!$F$32+'Appendix K'!$H$32+'Appendix K'!$G$32))/((1+$Y$16)^2))</f>
        <v>18766899.145337842</v>
      </c>
      <c r="AA110" s="193">
        <f>(((D110*'Appendix K'!$C$7*1000)-('Appendix K'!$E$33+'Appendix K'!$F$33+'Appendix K'!$H$33+'Appendix K'!$G$33))/((1+$Y$16)^3))</f>
        <v>8660802.7035458777</v>
      </c>
      <c r="AB110" s="193">
        <f>(((E110*'Appendix K'!$C$8*1000)-('Appendix K'!$E$34+'Appendix K'!$F$34+'Appendix K'!$H$34+'Appendix K'!$G$34))/((1+$Y$16)^4))</f>
        <v>15745021.533445511</v>
      </c>
      <c r="AC110" s="193">
        <f>(((F110*'Appendix K'!$C$9*1000)-('Appendix K'!$E$35+'Appendix K'!$F$35+'Appendix K'!$H$35+'Appendix K'!$G$35))/((1+$Y$16)^AC$34))</f>
        <v>29114576.802549656</v>
      </c>
      <c r="AD110" s="193">
        <f>(((G110*'Appendix K'!$C$10*1000)-('Appendix K'!$E$36+'Appendix K'!$F$36+'Appendix K'!$H$36+'Appendix K'!$G$36))/((1+$Y$16)^AD$34))</f>
        <v>11533340.66074335</v>
      </c>
      <c r="AE110" s="193">
        <f>(((H110*'Appendix K'!$C$11*1000)-('Appendix K'!$E$37+'Appendix K'!$F$37+'Appendix K'!$H$37+'Appendix K'!$G$37))/((1+$Y$16)^AE$34))</f>
        <v>8832406.5780848823</v>
      </c>
      <c r="AF110" s="193">
        <f>(((I110*'Appendix K'!$C$12*1000)-('Appendix K'!$E$38+'Appendix K'!$F$38+'Appendix K'!$H$38+'Appendix K'!$G$38))/((1+$Y$16)^AF$34))</f>
        <v>7865832.5762762148</v>
      </c>
      <c r="AG110" s="193">
        <f>(((J110*'Appendix K'!$C$13*1000)-('Appendix K'!$E$39+'Appendix K'!$F$39+'Appendix K'!$H$39+'Appendix K'!$G$39))/((1+$Y$16)^AG$34))</f>
        <v>3820018.4060605261</v>
      </c>
      <c r="AH110" s="193">
        <f>(((K110*'Appendix K'!$C$14*1000)-('Appendix K'!$E$40+'Appendix K'!$F$40+'Appendix K'!$H$40+'Appendix K'!$G$40))/((1+$Y$16)^AH$34))</f>
        <v>120595.15596915728</v>
      </c>
      <c r="AI110" s="193">
        <f>(((L110*'Appendix K'!$C$15*1000)-('Appendix K'!$E$41+'Appendix K'!$F$41+'Appendix K'!$H$41+'Appendix K'!$G$41))/((1+$Y$16)^AI$34))</f>
        <v>-116855.47796192614</v>
      </c>
      <c r="AJ110" s="193">
        <f>(((M110*'Appendix K'!$C$16*1000)-('Appendix K'!$E$42+'Appendix K'!$F$42+'Appendix K'!$H$42+'Appendix K'!$G$42))/((1+$Y$16)^AJ$34))</f>
        <v>-270704.2401005156</v>
      </c>
      <c r="AK110" s="193">
        <f>(((N110*'Appendix K'!$C$17*1000)-('Appendix K'!$E$43+'Appendix K'!$F$43+'Appendix K'!$H$43))/((1+$Y$16)^AK$34))</f>
        <v>70067.474902799455</v>
      </c>
      <c r="AL110" s="193">
        <f>(((O110*'Appendix K'!$C$18*1000)-('Appendix K'!$E$44+'Appendix K'!$F$44+'Appendix K'!$H$44+'Appendix K'!$G$44))/((1+$Y$16)^AL$34))</f>
        <v>-230488.60086553023</v>
      </c>
      <c r="AM110" s="193">
        <f>(((P110*'Appendix K'!$C$19*1000)-('Appendix K'!$E$45+'Appendix K'!$F$45+'Appendix K'!$H$45+'Appendix K'!$G$45))/((1+$Y$16)^AM$34))</f>
        <v>234.29505884465976</v>
      </c>
      <c r="AN110" s="193">
        <f>(((Q110*'Appendix K'!$C$20*1000)-('Appendix K'!$E$46+'Appendix K'!$F$46+'Appendix K'!$H$46+'Appendix K'!$G$46))/((1+$Y$16)^AN$34))</f>
        <v>19970.202571469781</v>
      </c>
      <c r="AO110" s="193">
        <f>(((R110*'Appendix K'!$C$21*1000)-('Appendix K'!$E$47+'Appendix K'!$F$47+'Appendix K'!$H$47+'Appendix K'!$G$47))/((1+$Y$16)^AO$34))</f>
        <v>215716.32942684719</v>
      </c>
      <c r="AP110" s="193">
        <f>(((S110*'Appendix K'!$C$22*1000)-('Appendix K'!$E$48+'Appendix K'!$F$48+'Appendix K'!$H$48+'Appendix K'!$G$48))/((1+$Y$16)^AP$34))</f>
        <v>277443.85399812448</v>
      </c>
      <c r="AQ110" s="193">
        <f>(((T110*'Appendix K'!$C$23*1000)-('Appendix K'!$E$49+'Appendix K'!$F$49+'Appendix K'!$H$49+'Appendix K'!$G$49))/((1+$Y$16)^AQ$34))</f>
        <v>451989.51721089124</v>
      </c>
      <c r="AR110" s="193">
        <f>(((U110*'Appendix K'!$C$24*1000)-('Appendix K'!$E$50+'Appendix K'!$F$50+'Appendix K'!$H$50+'Appendix K'!$G$50))/((1+$Y$16)^AR$34))</f>
        <v>808538.24968534813</v>
      </c>
      <c r="AS110" s="209">
        <f t="shared" si="18"/>
        <v>107679616.01343963</v>
      </c>
      <c r="AU110" s="199">
        <f t="shared" si="17"/>
        <v>6.6038490682684433E-9</v>
      </c>
    </row>
    <row r="111" spans="1:47" x14ac:dyDescent="0.35">
      <c r="A111">
        <v>77</v>
      </c>
      <c r="B111" s="70">
        <v>56</v>
      </c>
      <c r="C111" s="70">
        <v>65.044312641053409</v>
      </c>
      <c r="D111" s="70">
        <v>38.614293264027083</v>
      </c>
      <c r="E111" s="70">
        <v>54.33822590013844</v>
      </c>
      <c r="F111" s="70">
        <v>70.73085633407338</v>
      </c>
      <c r="G111" s="70">
        <v>78.534476225103674</v>
      </c>
      <c r="H111" s="70">
        <v>71.534648748640194</v>
      </c>
      <c r="I111" s="70">
        <v>107.8882957980548</v>
      </c>
      <c r="J111" s="70">
        <v>137.68964310083553</v>
      </c>
      <c r="K111" s="70">
        <v>92.730704324294521</v>
      </c>
      <c r="L111" s="70">
        <v>104.00668008403133</v>
      </c>
      <c r="M111" s="70">
        <v>46.92608102125071</v>
      </c>
      <c r="N111" s="70">
        <v>59.986668384908874</v>
      </c>
      <c r="O111" s="70">
        <v>63.324503038401055</v>
      </c>
      <c r="P111" s="70">
        <v>66.663437993957785</v>
      </c>
      <c r="Q111" s="70">
        <v>73.050166884572576</v>
      </c>
      <c r="R111" s="70">
        <v>61.644514824899503</v>
      </c>
      <c r="S111" s="70">
        <v>76.199492005269235</v>
      </c>
      <c r="T111" s="70">
        <v>105.3457606049457</v>
      </c>
      <c r="U111" s="70">
        <v>77.577533851056231</v>
      </c>
      <c r="V111" s="70">
        <v>66.799623949194597</v>
      </c>
      <c r="X111" s="193">
        <f>((0-('Appendix K'!$I$30))/(1+$Y$16)^0)</f>
        <v>-33594902.4440751</v>
      </c>
      <c r="Y111" s="193">
        <f>(((B111*'Appendix K'!$C$5*1000)-('Appendix K'!$E$31+'Appendix K'!$F$31+'Appendix K'!$H$31+'Appendix K'!$G$31))/((1+$Y$16)^1))</f>
        <v>34971064.972647354</v>
      </c>
      <c r="Z111" s="193">
        <f>+(((C111*'Appendix K'!$C$6*1000)-('Appendix K'!$E$32+'Appendix K'!$F$32+'Appendix K'!$H$32+'Appendix K'!$G$32))/((1+$Y$16)^2))</f>
        <v>12944058.16419391</v>
      </c>
      <c r="AA111" s="193">
        <f>(((D111*'Appendix K'!$C$7*1000)-('Appendix K'!$E$33+'Appendix K'!$F$33+'Appendix K'!$H$33+'Appendix K'!$G$33))/((1+$Y$16)^3))</f>
        <v>1953592.6127964817</v>
      </c>
      <c r="AB111" s="193">
        <f>(((E111*'Appendix K'!$C$8*1000)-('Appendix K'!$E$34+'Appendix K'!$F$34+'Appendix K'!$H$34+'Appendix K'!$G$34))/((1+$Y$16)^4))</f>
        <v>8617233.809874421</v>
      </c>
      <c r="AC111" s="193">
        <f>(((F111*'Appendix K'!$C$9*1000)-('Appendix K'!$E$35+'Appendix K'!$F$35+'Appendix K'!$H$35+'Appendix K'!$G$35))/((1+$Y$16)^AC$34))</f>
        <v>15815922.027062055</v>
      </c>
      <c r="AD111" s="193">
        <f>(((G111*'Appendix K'!$C$10*1000)-('Appendix K'!$E$36+'Appendix K'!$F$36+'Appendix K'!$H$36+'Appendix K'!$G$36))/((1+$Y$16)^AD$34))</f>
        <v>9817601.4988636728</v>
      </c>
      <c r="AE111" s="193">
        <f>(((H111*'Appendix K'!$C$11*1000)-('Appendix K'!$E$37+'Appendix K'!$F$37+'Appendix K'!$H$37+'Appendix K'!$G$37))/((1+$Y$16)^AE$34))</f>
        <v>4914755.2804497145</v>
      </c>
      <c r="AF111" s="193">
        <f>(((I111*'Appendix K'!$C$12*1000)-('Appendix K'!$E$38+'Appendix K'!$F$38+'Appendix K'!$H$38+'Appendix K'!$G$38))/((1+$Y$16)^AF$34))</f>
        <v>5087628.3405609904</v>
      </c>
      <c r="AG111" s="193">
        <f>(((J111*'Appendix K'!$C$13*1000)-('Appendix K'!$E$39+'Appendix K'!$F$39+'Appendix K'!$H$39+'Appendix K'!$G$39))/((1+$Y$16)^AG$34))</f>
        <v>4521386.5293127336</v>
      </c>
      <c r="AH111" s="193">
        <f>(((K111*'Appendix K'!$C$14*1000)-('Appendix K'!$E$40+'Appendix K'!$F$40+'Appendix K'!$H$40+'Appendix K'!$G$40))/((1+$Y$16)^AH$34))</f>
        <v>1492888.8103642256</v>
      </c>
      <c r="AI111" s="193">
        <f>(((L111*'Appendix K'!$C$15*1000)-('Appendix K'!$E$41+'Appendix K'!$F$41+'Appendix K'!$H$41+'Appendix K'!$G$41))/((1+$Y$16)^AI$34))</f>
        <v>1208688.1633160505</v>
      </c>
      <c r="AJ111" s="193">
        <f>(((M111*'Appendix K'!$C$16*1000)-('Appendix K'!$E$42+'Appendix K'!$F$42+'Appendix K'!$H$42+'Appendix K'!$G$42))/((1+$Y$16)^AJ$34))</f>
        <v>-441064.68508358288</v>
      </c>
      <c r="AK111" s="193">
        <f>(((N111*'Appendix K'!$C$17*1000)-('Appendix K'!$E$43+'Appendix K'!$F$43+'Appendix K'!$H$43))/((1+$Y$16)^AK$34))</f>
        <v>-82629.594192684905</v>
      </c>
      <c r="AL111" s="193">
        <f>(((O111*'Appendix K'!$C$18*1000)-('Appendix K'!$E$44+'Appendix K'!$F$44+'Appendix K'!$H$44+'Appendix K'!$G$44))/((1+$Y$16)^AL$34))</f>
        <v>-383985.15778637899</v>
      </c>
      <c r="AM111" s="193">
        <f>(((P111*'Appendix K'!$C$19*1000)-('Appendix K'!$E$45+'Appendix K'!$F$45+'Appendix K'!$H$45+'Appendix K'!$G$45))/((1+$Y$16)^AM$34))</f>
        <v>-408880.41499645083</v>
      </c>
      <c r="AN111" s="193">
        <f>(((Q111*'Appendix K'!$C$20*1000)-('Appendix K'!$E$46+'Appendix K'!$F$46+'Appendix K'!$H$46+'Appendix K'!$G$46))/((1+$Y$16)^AN$34))</f>
        <v>-387101.98737273179</v>
      </c>
      <c r="AO111" s="193">
        <f>(((R111*'Appendix K'!$C$21*1000)-('Appendix K'!$E$47+'Appendix K'!$F$47+'Appendix K'!$H$47+'Appendix K'!$G$47))/((1+$Y$16)^AO$34))</f>
        <v>-478673.03227736912</v>
      </c>
      <c r="AP111" s="193">
        <f>(((S111*'Appendix K'!$C$22*1000)-('Appendix K'!$E$48+'Appendix K'!$F$48+'Appendix K'!$H$48+'Appendix K'!$G$48))/((1+$Y$16)^AP$34))</f>
        <v>-399479.05213287618</v>
      </c>
      <c r="AQ111" s="193">
        <f>(((T111*'Appendix K'!$C$23*1000)-('Appendix K'!$E$49+'Appendix K'!$F$49+'Appendix K'!$H$49+'Appendix K'!$G$49))/((1+$Y$16)^AQ$34))</f>
        <v>-281189.29371040111</v>
      </c>
      <c r="AR111" s="193">
        <f>(((U111*'Appendix K'!$C$24*1000)-('Appendix K'!$E$50+'Appendix K'!$F$50+'Appendix K'!$H$50+'Appendix K'!$G$50))/((1+$Y$16)^AR$34))</f>
        <v>-379487.03667395655</v>
      </c>
      <c r="AS111" s="209">
        <f t="shared" si="18"/>
        <v>67749917.765366524</v>
      </c>
      <c r="AU111" s="199">
        <f t="shared" si="17"/>
        <v>6.6118558424337238E-9</v>
      </c>
    </row>
    <row r="112" spans="1:47" x14ac:dyDescent="0.35">
      <c r="A112">
        <v>78</v>
      </c>
      <c r="B112" s="70">
        <v>56</v>
      </c>
      <c r="C112" s="70">
        <v>54.669452436432671</v>
      </c>
      <c r="D112" s="70">
        <v>51.730578366636401</v>
      </c>
      <c r="E112" s="70">
        <v>37.700117948892711</v>
      </c>
      <c r="F112" s="70">
        <v>51.119245654776009</v>
      </c>
      <c r="G112" s="70">
        <v>50.756873580605685</v>
      </c>
      <c r="H112" s="70">
        <v>55.820324230015288</v>
      </c>
      <c r="I112" s="70">
        <v>35.226126126090989</v>
      </c>
      <c r="J112" s="70">
        <v>33.690909991148047</v>
      </c>
      <c r="K112" s="70">
        <v>37.716171225926139</v>
      </c>
      <c r="L112" s="70">
        <v>46.870805680288782</v>
      </c>
      <c r="M112" s="70">
        <v>59.447325716759153</v>
      </c>
      <c r="N112" s="70">
        <v>60.985902375485907</v>
      </c>
      <c r="O112" s="70">
        <v>42.895174025077495</v>
      </c>
      <c r="P112" s="70">
        <v>42.111104025123822</v>
      </c>
      <c r="Q112" s="70">
        <v>71.183807759021576</v>
      </c>
      <c r="R112" s="70">
        <v>88.190045369130075</v>
      </c>
      <c r="S112" s="70">
        <v>55.533554167462533</v>
      </c>
      <c r="T112" s="70">
        <v>47.083442295353038</v>
      </c>
      <c r="U112" s="70">
        <v>45.754430191052442</v>
      </c>
      <c r="V112" s="70">
        <v>55.342707746829831</v>
      </c>
      <c r="X112" s="193">
        <f>((0-('Appendix K'!$I$30))/(1+$Y$16)^0)</f>
        <v>-33594902.4440751</v>
      </c>
      <c r="Y112" s="193">
        <f>(((B112*'Appendix K'!$C$5*1000)-('Appendix K'!$E$31+'Appendix K'!$F$31+'Appendix K'!$H$31+'Appendix K'!$G$31))/((1+$Y$16)^1))</f>
        <v>34971064.972647354</v>
      </c>
      <c r="Z112" s="193">
        <f>+(((C112*'Appendix K'!$C$6*1000)-('Appendix K'!$E$32+'Appendix K'!$F$32+'Appendix K'!$H$32+'Appendix K'!$G$32))/((1+$Y$16)^2))</f>
        <v>10323191.033985259</v>
      </c>
      <c r="AA112" s="193">
        <f>(((D112*'Appendix K'!$C$7*1000)-('Appendix K'!$E$33+'Appendix K'!$F$33+'Appendix K'!$H$33+'Appendix K'!$G$33))/((1+$Y$16)^3))</f>
        <v>3624277.7535585673</v>
      </c>
      <c r="AB112" s="193">
        <f>(((E112*'Appendix K'!$C$8*1000)-('Appendix K'!$E$34+'Appendix K'!$F$34+'Appendix K'!$H$34+'Appendix K'!$G$34))/((1+$Y$16)^4))</f>
        <v>4970312.8541800249</v>
      </c>
      <c r="AC112" s="193">
        <f>(((F112*'Appendix K'!$C$9*1000)-('Appendix K'!$E$35+'Appendix K'!$F$35+'Appendix K'!$H$35+'Appendix K'!$G$35))/((1+$Y$16)^AC$34))</f>
        <v>10603186.704259876</v>
      </c>
      <c r="AD112" s="193">
        <f>(((G112*'Appendix K'!$C$10*1000)-('Appendix K'!$E$36+'Appendix K'!$F$36+'Appendix K'!$H$36+'Appendix K'!$G$36))/((1+$Y$16)^AD$34))</f>
        <v>5455297.0159215769</v>
      </c>
      <c r="AE112" s="193">
        <f>(((H112*'Appendix K'!$C$11*1000)-('Appendix K'!$E$37+'Appendix K'!$F$37+'Appendix K'!$H$37+'Appendix K'!$G$37))/((1+$Y$16)^AE$34))</f>
        <v>3347445.8141950564</v>
      </c>
      <c r="AF112" s="193">
        <f>(((I112*'Appendix K'!$C$12*1000)-('Appendix K'!$E$38+'Appendix K'!$F$38+'Appendix K'!$H$38+'Appendix K'!$G$38))/((1+$Y$16)^AF$34))</f>
        <v>316453.92597743048</v>
      </c>
      <c r="AG112" s="193">
        <f>(((J112*'Appendix K'!$C$13*1000)-('Appendix K'!$E$39+'Appendix K'!$F$39+'Appendix K'!$H$39+'Appendix K'!$G$39))/((1+$Y$16)^AG$34))</f>
        <v>-264524.15617382404</v>
      </c>
      <c r="AH112" s="193">
        <f>(((K112*'Appendix K'!$C$14*1000)-('Appendix K'!$E$40+'Appendix K'!$F$40+'Appendix K'!$H$40+'Appendix K'!$G$40))/((1+$Y$16)^AH$34))</f>
        <v>-361460.02149331186</v>
      </c>
      <c r="AI112" s="193">
        <f>(((L112*'Appendix K'!$C$15*1000)-('Appendix K'!$E$41+'Appendix K'!$F$41+'Appendix K'!$H$41+'Appendix K'!$G$41))/((1+$Y$16)^AI$34))</f>
        <v>-288378.59067105345</v>
      </c>
      <c r="AJ112" s="193">
        <f>(((M112*'Appendix K'!$C$16*1000)-('Appendix K'!$E$42+'Appendix K'!$F$42+'Appendix K'!$H$42+'Appendix K'!$G$42))/((1+$Y$16)^AJ$34))</f>
        <v>-190115.56449786737</v>
      </c>
      <c r="AK112" s="193">
        <f>(((N112*'Appendix K'!$C$17*1000)-('Appendix K'!$E$43+'Appendix K'!$F$43+'Appendix K'!$H$43))/((1+$Y$16)^AK$34))</f>
        <v>-67277.465620290823</v>
      </c>
      <c r="AL112" s="193">
        <f>(((O112*'Appendix K'!$C$18*1000)-('Appendix K'!$E$44+'Appendix K'!$F$44+'Appendix K'!$H$44+'Appendix K'!$G$44))/((1+$Y$16)^AL$34))</f>
        <v>-626140.00595479889</v>
      </c>
      <c r="AM112" s="193">
        <f>(((P112*'Appendix K'!$C$19*1000)-('Appendix K'!$E$45+'Appendix K'!$F$45+'Appendix K'!$H$45+'Appendix K'!$G$45))/((1+$Y$16)^AM$34))</f>
        <v>-636449.41342787666</v>
      </c>
      <c r="AN112" s="193">
        <f>(((Q112*'Appendix K'!$C$20*1000)-('Appendix K'!$E$46+'Appendix K'!$F$46+'Appendix K'!$H$46+'Appendix K'!$G$46))/((1+$Y$16)^AN$34))</f>
        <v>-400607.36680150119</v>
      </c>
      <c r="AO112" s="193">
        <f>(((R112*'Appendix K'!$C$21*1000)-('Appendix K'!$E$47+'Appendix K'!$F$47+'Appendix K'!$H$47+'Appendix K'!$G$47))/((1+$Y$16)^AO$34))</f>
        <v>-321786.01400968386</v>
      </c>
      <c r="AP112" s="193">
        <f>(((S112*'Appendix K'!$C$22*1000)-('Appendix K'!$E$48+'Appendix K'!$F$48+'Appendix K'!$H$48+'Appendix K'!$G$48))/((1+$Y$16)^AP$34))</f>
        <v>-498463.0943086734</v>
      </c>
      <c r="AQ112" s="193">
        <f>(((T112*'Appendix K'!$C$23*1000)-('Appendix K'!$E$49+'Appendix K'!$F$49+'Appendix K'!$H$49+'Appendix K'!$G$49))/((1+$Y$16)^AQ$34))</f>
        <v>-509213.09203813336</v>
      </c>
      <c r="AR112" s="193">
        <f>(((U112*'Appendix K'!$C$24*1000)-('Appendix K'!$E$50+'Appendix K'!$F$50+'Appendix K'!$H$50+'Appendix K'!$G$50))/((1+$Y$16)^AR$34))</f>
        <v>-481958.32210620941</v>
      </c>
      <c r="AS112" s="209">
        <f t="shared" si="18"/>
        <v>40016327.630650036</v>
      </c>
      <c r="AU112" s="199">
        <f t="shared" si="17"/>
        <v>4.9450144092563448E-9</v>
      </c>
    </row>
    <row r="113" spans="1:47" x14ac:dyDescent="0.35">
      <c r="A113">
        <v>79</v>
      </c>
      <c r="B113" s="70">
        <v>56</v>
      </c>
      <c r="C113" s="70">
        <v>79.084097570741179</v>
      </c>
      <c r="D113" s="70">
        <v>96.362950249099015</v>
      </c>
      <c r="E113" s="70">
        <v>119.7773281352672</v>
      </c>
      <c r="F113" s="70">
        <v>150.14593963762118</v>
      </c>
      <c r="G113" s="70">
        <v>183.59456865159996</v>
      </c>
      <c r="H113" s="70">
        <v>114.48684725029031</v>
      </c>
      <c r="I113" s="70">
        <v>78.248539239912873</v>
      </c>
      <c r="J113" s="70">
        <v>118.50661983710805</v>
      </c>
      <c r="K113" s="70">
        <v>100.57793743560646</v>
      </c>
      <c r="L113" s="70">
        <v>42.962535492421935</v>
      </c>
      <c r="M113" s="70">
        <v>42.789313111488674</v>
      </c>
      <c r="N113" s="70">
        <v>51.916545704072121</v>
      </c>
      <c r="O113" s="70">
        <v>65.515600428065341</v>
      </c>
      <c r="P113" s="70">
        <v>64.851690220258092</v>
      </c>
      <c r="Q113" s="70">
        <v>40.428467999435114</v>
      </c>
      <c r="R113" s="70">
        <v>43.951848159283443</v>
      </c>
      <c r="S113" s="70">
        <v>55.038782486462573</v>
      </c>
      <c r="T113" s="70">
        <v>59.390077755991712</v>
      </c>
      <c r="U113" s="70">
        <v>87.529800453099995</v>
      </c>
      <c r="V113" s="70">
        <v>104.54183378638453</v>
      </c>
      <c r="X113" s="193">
        <f>((0-('Appendix K'!$I$30))/(1+$Y$16)^0)</f>
        <v>-33594902.4440751</v>
      </c>
      <c r="Y113" s="193">
        <f>(((B113*'Appendix K'!$C$5*1000)-('Appendix K'!$E$31+'Appendix K'!$F$31+'Appendix K'!$H$31+'Appendix K'!$G$31))/((1+$Y$16)^1))</f>
        <v>34971064.972647354</v>
      </c>
      <c r="Z113" s="193">
        <f>+(((C113*'Appendix K'!$C$6*1000)-('Appendix K'!$E$32+'Appendix K'!$F$32+'Appendix K'!$H$32+'Appendix K'!$G$32))/((1+$Y$16)^2))</f>
        <v>16490747.961616831</v>
      </c>
      <c r="AA113" s="193">
        <f>(((D113*'Appendix K'!$C$7*1000)-('Appendix K'!$E$33+'Appendix K'!$F$33+'Appendix K'!$H$33+'Appendix K'!$G$33))/((1+$Y$16)^3))</f>
        <v>9309320.4251427408</v>
      </c>
      <c r="AB113" s="193">
        <f>(((E113*'Appendix K'!$C$8*1000)-('Appendix K'!$E$34+'Appendix K'!$F$34+'Appendix K'!$H$34+'Appendix K'!$G$34))/((1+$Y$16)^4))</f>
        <v>22960885.982491229</v>
      </c>
      <c r="AC113" s="193">
        <f>(((F113*'Appendix K'!$C$9*1000)-('Appendix K'!$E$35+'Appendix K'!$F$35+'Appendix K'!$H$35+'Appendix K'!$G$35))/((1+$Y$16)^AC$34))</f>
        <v>36924326.465086132</v>
      </c>
      <c r="AD113" s="193">
        <f>(((G113*'Appendix K'!$C$10*1000)-('Appendix K'!$E$36+'Appendix K'!$F$36+'Appendix K'!$H$36+'Appendix K'!$G$36))/((1+$Y$16)^AD$34))</f>
        <v>26316653.560190257</v>
      </c>
      <c r="AE113" s="193">
        <f>(((H113*'Appendix K'!$C$11*1000)-('Appendix K'!$E$37+'Appendix K'!$F$37+'Appendix K'!$H$37+'Appendix K'!$G$37))/((1+$Y$16)^AE$34))</f>
        <v>9198705.7123182397</v>
      </c>
      <c r="AF113" s="193">
        <f>(((I113*'Appendix K'!$C$12*1000)-('Appendix K'!$E$38+'Appendix K'!$F$38+'Appendix K'!$H$38+'Appendix K'!$G$38))/((1+$Y$16)^AF$34))</f>
        <v>3141409.9881071337</v>
      </c>
      <c r="AG113" s="193">
        <f>(((J113*'Appendix K'!$C$13*1000)-('Appendix K'!$E$39+'Appendix K'!$F$39+'Appendix K'!$H$39+'Appendix K'!$G$39))/((1+$Y$16)^AG$34))</f>
        <v>3638604.275407963</v>
      </c>
      <c r="AH113" s="193">
        <f>(((K113*'Appendix K'!$C$14*1000)-('Appendix K'!$E$40+'Appendix K'!$F$40+'Appendix K'!$H$40+'Appendix K'!$G$40))/((1+$Y$16)^AH$34))</f>
        <v>1757391.7831924486</v>
      </c>
      <c r="AI113" s="193">
        <f>(((L113*'Appendix K'!$C$15*1000)-('Appendix K'!$E$41+'Appendix K'!$F$41+'Appendix K'!$H$41+'Appendix K'!$G$41))/((1+$Y$16)^AI$34))</f>
        <v>-390782.57809425361</v>
      </c>
      <c r="AJ113" s="193">
        <f>(((M113*'Appendix K'!$C$16*1000)-('Appendix K'!$E$42+'Appendix K'!$F$42+'Appendix K'!$H$42+'Appendix K'!$G$42))/((1+$Y$16)^AJ$34))</f>
        <v>-523973.23724967689</v>
      </c>
      <c r="AK113" s="193">
        <f>(((N113*'Appendix K'!$C$17*1000)-('Appendix K'!$E$43+'Appendix K'!$F$43+'Appendix K'!$H$43))/((1+$Y$16)^AK$34))</f>
        <v>-206618.13157185656</v>
      </c>
      <c r="AL113" s="193">
        <f>(((O113*'Appendix K'!$C$18*1000)-('Appendix K'!$E$44+'Appendix K'!$F$44+'Appendix K'!$H$44+'Appendix K'!$G$44))/((1+$Y$16)^AL$34))</f>
        <v>-358013.43569162302</v>
      </c>
      <c r="AM113" s="193">
        <f>(((P113*'Appendix K'!$C$19*1000)-('Appendix K'!$E$45+'Appendix K'!$F$45+'Appendix K'!$H$45+'Appendix K'!$G$45))/((1+$Y$16)^AM$34))</f>
        <v>-425673.01918612025</v>
      </c>
      <c r="AN113" s="193">
        <f>(((Q113*'Appendix K'!$C$20*1000)-('Appendix K'!$E$46+'Appendix K'!$F$46+'Appendix K'!$H$46+'Appendix K'!$G$46))/((1+$Y$16)^AN$34))</f>
        <v>-623159.67585472809</v>
      </c>
      <c r="AO113" s="193">
        <f>(((R113*'Appendix K'!$C$21*1000)-('Appendix K'!$E$47+'Appendix K'!$F$47+'Appendix K'!$H$47+'Appendix K'!$G$47))/((1+$Y$16)^AO$34))</f>
        <v>-583238.64695768524</v>
      </c>
      <c r="AP113" s="193">
        <f>(((S113*'Appendix K'!$C$22*1000)-('Appendix K'!$E$48+'Appendix K'!$F$48+'Appendix K'!$H$48+'Appendix K'!$G$48))/((1+$Y$16)^AP$34))</f>
        <v>-500832.91179887683</v>
      </c>
      <c r="AQ113" s="193">
        <f>(((T113*'Appendix K'!$C$23*1000)-('Appendix K'!$E$49+'Appendix K'!$F$49+'Appendix K'!$H$49+'Appendix K'!$G$49))/((1+$Y$16)^AQ$34))</f>
        <v>-461048.0714246718</v>
      </c>
      <c r="AR113" s="193">
        <f>(((U113*'Appendix K'!$C$24*1000)-('Appendix K'!$E$50+'Appendix K'!$F$50+'Appendix K'!$H$50+'Appendix K'!$G$50))/((1+$Y$16)^AR$34))</f>
        <v>-347440.45936422521</v>
      </c>
      <c r="AS113" s="209">
        <f t="shared" si="18"/>
        <v>131114208.68212524</v>
      </c>
      <c r="AU113" s="199">
        <f t="shared" si="17"/>
        <v>5.2404863890702662E-9</v>
      </c>
    </row>
    <row r="114" spans="1:47" x14ac:dyDescent="0.35">
      <c r="A114">
        <v>80</v>
      </c>
      <c r="B114" s="70">
        <v>56</v>
      </c>
      <c r="C114" s="70">
        <v>37.917197824565648</v>
      </c>
      <c r="D114" s="70">
        <v>55.344571610922749</v>
      </c>
      <c r="E114" s="70">
        <v>54.571071450537609</v>
      </c>
      <c r="F114" s="70">
        <v>42.628531823972907</v>
      </c>
      <c r="G114" s="70">
        <v>41.141781105181742</v>
      </c>
      <c r="H114" s="70">
        <v>48.533808500242884</v>
      </c>
      <c r="I114" s="70">
        <v>53.678271835807983</v>
      </c>
      <c r="J114" s="70">
        <v>74.869136756268546</v>
      </c>
      <c r="K114" s="70">
        <v>72.182192904012012</v>
      </c>
      <c r="L114" s="70">
        <v>67.050594939197637</v>
      </c>
      <c r="M114" s="70">
        <v>85.732712719009072</v>
      </c>
      <c r="N114" s="70">
        <v>92.166790681319</v>
      </c>
      <c r="O114" s="70">
        <v>76.838049953630886</v>
      </c>
      <c r="P114" s="70">
        <v>72.866111143148032</v>
      </c>
      <c r="Q114" s="70">
        <v>45.857837998741502</v>
      </c>
      <c r="R114" s="70">
        <v>49.733689860483587</v>
      </c>
      <c r="S114" s="70">
        <v>47.30133977464012</v>
      </c>
      <c r="T114" s="70">
        <v>59.535261525838536</v>
      </c>
      <c r="U114" s="70">
        <v>55.64022470568986</v>
      </c>
      <c r="V114" s="70">
        <v>63.084867044587718</v>
      </c>
      <c r="X114" s="193">
        <f>((0-('Appendix K'!$I$30))/(1+$Y$16)^0)</f>
        <v>-33594902.4440751</v>
      </c>
      <c r="Y114" s="193">
        <f>(((B114*'Appendix K'!$C$5*1000)-('Appendix K'!$E$31+'Appendix K'!$F$31+'Appendix K'!$H$31+'Appendix K'!$G$31))/((1+$Y$16)^1))</f>
        <v>34971064.972647354</v>
      </c>
      <c r="Z114" s="193">
        <f>+(((C114*'Appendix K'!$C$6*1000)-('Appendix K'!$E$32+'Appendix K'!$F$32+'Appendix K'!$H$32+'Appendix K'!$G$32))/((1+$Y$16)^2))</f>
        <v>6091285.0031383047</v>
      </c>
      <c r="AA114" s="193">
        <f>(((D114*'Appendix K'!$C$7*1000)-('Appendix K'!$E$33+'Appendix K'!$F$33+'Appendix K'!$H$33+'Appendix K'!$G$33))/((1+$Y$16)^3))</f>
        <v>4084609.6817538925</v>
      </c>
      <c r="AB114" s="193">
        <f>(((E114*'Appendix K'!$C$8*1000)-('Appendix K'!$E$34+'Appendix K'!$F$34+'Appendix K'!$H$34+'Appendix K'!$G$34))/((1+$Y$16)^4))</f>
        <v>8668271.4230260607</v>
      </c>
      <c r="AC114" s="193">
        <f>(((F114*'Appendix K'!$C$9*1000)-('Appendix K'!$E$35+'Appendix K'!$F$35+'Appendix K'!$H$35+'Appendix K'!$G$35))/((1+$Y$16)^AC$34))</f>
        <v>8346368.3008456994</v>
      </c>
      <c r="AD114" s="193">
        <f>(((G114*'Appendix K'!$C$10*1000)-('Appendix K'!$E$36+'Appendix K'!$F$36+'Appendix K'!$H$36+'Appendix K'!$G$36))/((1+$Y$16)^AD$34))</f>
        <v>3945304.8993861834</v>
      </c>
      <c r="AE114" s="193">
        <f>(((H114*'Appendix K'!$C$11*1000)-('Appendix K'!$E$37+'Appendix K'!$F$37+'Appendix K'!$H$37+'Appendix K'!$G$37))/((1+$Y$16)^AE$34))</f>
        <v>2620706.0128278206</v>
      </c>
      <c r="AF114" s="193">
        <f>(((I114*'Appendix K'!$C$12*1000)-('Appendix K'!$E$38+'Appendix K'!$F$38+'Appendix K'!$H$38+'Appendix K'!$G$38))/((1+$Y$16)^AF$34))</f>
        <v>1528066.5973554302</v>
      </c>
      <c r="AG114" s="193">
        <f>(((J114*'Appendix K'!$C$13*1000)-('Appendix K'!$E$39+'Appendix K'!$F$39+'Appendix K'!$H$39+'Appendix K'!$G$39))/((1+$Y$16)^AG$34))</f>
        <v>1630453.8843444521</v>
      </c>
      <c r="AH114" s="193">
        <f>(((K114*'Appendix K'!$C$14*1000)-('Appendix K'!$E$40+'Appendix K'!$F$40+'Appendix K'!$H$40+'Appendix K'!$G$40))/((1+$Y$16)^AH$34))</f>
        <v>800269.86037731369</v>
      </c>
      <c r="AI114" s="193">
        <f>(((L114*'Appendix K'!$C$15*1000)-('Appendix K'!$E$41+'Appendix K'!$F$41+'Appendix K'!$H$41+'Appendix K'!$G$41))/((1+$Y$16)^AI$34))</f>
        <v>240369.62430331387</v>
      </c>
      <c r="AJ114" s="193">
        <f>(((M114*'Appendix K'!$C$16*1000)-('Appendix K'!$E$42+'Appendix K'!$F$42+'Appendix K'!$H$42+'Appendix K'!$G$42))/((1+$Y$16)^AJ$34))</f>
        <v>336692.66526510473</v>
      </c>
      <c r="AK114" s="193">
        <f>(((N114*'Appendix K'!$C$17*1000)-('Appendix K'!$E$43+'Appendix K'!$F$43+'Appendix K'!$H$43))/((1+$Y$16)^AK$34))</f>
        <v>411782.50510405854</v>
      </c>
      <c r="AL114" s="193">
        <f>(((O114*'Appendix K'!$C$18*1000)-('Appendix K'!$E$44+'Appendix K'!$F$44+'Appendix K'!$H$44+'Appendix K'!$G$44))/((1+$Y$16)^AL$34))</f>
        <v>-223805.10981024973</v>
      </c>
      <c r="AM114" s="193">
        <f>(((P114*'Appendix K'!$C$19*1000)-('Appendix K'!$E$45+'Appendix K'!$F$45+'Appendix K'!$H$45+'Appendix K'!$G$45))/((1+$Y$16)^AM$34))</f>
        <v>-351389.50118147564</v>
      </c>
      <c r="AN114" s="193">
        <f>(((Q114*'Appendix K'!$C$20*1000)-('Appendix K'!$E$46+'Appendix K'!$F$46+'Appendix K'!$H$46+'Appendix K'!$G$46))/((1+$Y$16)^AN$34))</f>
        <v>-583871.57695888286</v>
      </c>
      <c r="AO114" s="193">
        <f>(((R114*'Appendix K'!$C$21*1000)-('Appendix K'!$E$47+'Appendix K'!$F$47+'Appendix K'!$H$47+'Appendix K'!$G$47))/((1+$Y$16)^AO$34))</f>
        <v>-549067.3237254885</v>
      </c>
      <c r="AP114" s="193">
        <f>(((S114*'Appendix K'!$C$22*1000)-('Appendix K'!$E$48+'Appendix K'!$F$48+'Appendix K'!$H$48+'Appendix K'!$G$48))/((1+$Y$16)^AP$34))</f>
        <v>-537893.09081087029</v>
      </c>
      <c r="AQ114" s="193">
        <f>(((T114*'Appendix K'!$C$23*1000)-('Appendix K'!$E$49+'Appendix K'!$F$49+'Appendix K'!$H$49+'Appendix K'!$G$49))/((1+$Y$16)^AQ$34))</f>
        <v>-460479.85931748961</v>
      </c>
      <c r="AR114" s="193">
        <f>(((U114*'Appendix K'!$C$24*1000)-('Appendix K'!$E$50+'Appendix K'!$F$50+'Appendix K'!$H$50+'Appendix K'!$G$50))/((1+$Y$16)^AR$34))</f>
        <v>-450125.78678039863</v>
      </c>
      <c r="AS114" s="209">
        <f t="shared" si="18"/>
        <v>40080342.98629988</v>
      </c>
      <c r="AU114" s="199">
        <f t="shared" si="17"/>
        <v>4.9496920676169965E-9</v>
      </c>
    </row>
    <row r="115" spans="1:47" x14ac:dyDescent="0.35">
      <c r="A115">
        <v>81</v>
      </c>
      <c r="B115" s="70">
        <v>56</v>
      </c>
      <c r="C115" s="70">
        <v>39.251083574256953</v>
      </c>
      <c r="D115" s="70">
        <v>44.89554237196274</v>
      </c>
      <c r="E115" s="70">
        <v>59.41183830733123</v>
      </c>
      <c r="F115" s="70">
        <v>63.192717877718195</v>
      </c>
      <c r="G115" s="70">
        <v>79.077431181370059</v>
      </c>
      <c r="H115" s="70">
        <v>103.1358003795809</v>
      </c>
      <c r="I115" s="70">
        <v>131.52507646580867</v>
      </c>
      <c r="J115" s="70">
        <v>125.9357868078114</v>
      </c>
      <c r="K115" s="70">
        <v>143.28144192073924</v>
      </c>
      <c r="L115" s="70">
        <v>177.04838548436325</v>
      </c>
      <c r="M115" s="70">
        <v>295.23762257735166</v>
      </c>
      <c r="N115" s="70">
        <v>266.98377490284014</v>
      </c>
      <c r="O115" s="70">
        <v>364.11978222255226</v>
      </c>
      <c r="P115" s="70">
        <v>500</v>
      </c>
      <c r="Q115" s="70">
        <v>500</v>
      </c>
      <c r="R115" s="70">
        <v>500</v>
      </c>
      <c r="S115" s="70">
        <v>494.0240401391174</v>
      </c>
      <c r="T115" s="70">
        <v>500</v>
      </c>
      <c r="U115" s="70">
        <v>500</v>
      </c>
      <c r="V115" s="70">
        <v>500</v>
      </c>
      <c r="X115" s="193">
        <f>((0-('Appendix K'!$I$30))/(1+$Y$16)^0)</f>
        <v>-33594902.4440751</v>
      </c>
      <c r="Y115" s="193">
        <f>(((B115*'Appendix K'!$C$5*1000)-('Appendix K'!$E$31+'Appendix K'!$F$31+'Appendix K'!$H$31+'Appendix K'!$G$31))/((1+$Y$16)^1))</f>
        <v>34971064.972647354</v>
      </c>
      <c r="Z115" s="193">
        <f>+(((C115*'Appendix K'!$C$6*1000)-('Appendix K'!$E$32+'Appendix K'!$F$32+'Appendix K'!$H$32+'Appendix K'!$G$32))/((1+$Y$16)^2))</f>
        <v>6428247.3571238201</v>
      </c>
      <c r="AA115" s="193">
        <f>(((D115*'Appendix K'!$C$7*1000)-('Appendix K'!$E$33+'Appendix K'!$F$33+'Appendix K'!$H$33+'Appendix K'!$G$33))/((1+$Y$16)^3))</f>
        <v>2753665.9161715019</v>
      </c>
      <c r="AB115" s="193">
        <f>(((E115*'Appendix K'!$C$8*1000)-('Appendix K'!$E$34+'Appendix K'!$F$34+'Appendix K'!$H$34+'Appendix K'!$G$34))/((1+$Y$16)^4))</f>
        <v>9729323.2050797846</v>
      </c>
      <c r="AC115" s="193">
        <f>(((F115*'Appendix K'!$C$9*1000)-('Appendix K'!$E$35+'Appendix K'!$F$35+'Appendix K'!$H$35+'Appendix K'!$G$35))/((1+$Y$16)^AC$34))</f>
        <v>13812296.662364371</v>
      </c>
      <c r="AD115" s="193">
        <f>(((G115*'Appendix K'!$C$10*1000)-('Appendix K'!$E$36+'Appendix K'!$F$36+'Appendix K'!$H$36+'Appendix K'!$G$36))/((1+$Y$16)^AD$34))</f>
        <v>9902869.2906911131</v>
      </c>
      <c r="AE115" s="193">
        <f>(((H115*'Appendix K'!$C$11*1000)-('Appendix K'!$E$37+'Appendix K'!$F$37+'Appendix K'!$H$37+'Appendix K'!$G$37))/((1+$Y$16)^AE$34))</f>
        <v>8066579.2126219012</v>
      </c>
      <c r="AF115" s="193">
        <f>(((I115*'Appendix K'!$C$12*1000)-('Appendix K'!$E$38+'Appendix K'!$F$38+'Appendix K'!$H$38+'Appendix K'!$G$38))/((1+$Y$16)^AF$34))</f>
        <v>6639676.7265951345</v>
      </c>
      <c r="AG115" s="193">
        <f>(((J115*'Appendix K'!$C$13*1000)-('Appendix K'!$E$39+'Appendix K'!$F$39+'Appendix K'!$H$39+'Appendix K'!$G$39))/((1+$Y$16)^AG$34))</f>
        <v>3980486.6092230561</v>
      </c>
      <c r="AH115" s="193">
        <f>(((K115*'Appendix K'!$C$14*1000)-('Appendix K'!$E$40+'Appendix K'!$F$40+'Appendix K'!$H$40+'Appendix K'!$G$40))/((1+$Y$16)^AH$34))</f>
        <v>3196778.5997021687</v>
      </c>
      <c r="AI115" s="193">
        <f>(((L115*'Appendix K'!$C$15*1000)-('Appendix K'!$E$41+'Appendix K'!$F$41+'Appendix K'!$H$41+'Appendix K'!$G$41))/((1+$Y$16)^AI$34))</f>
        <v>3122517.4334636098</v>
      </c>
      <c r="AJ115" s="193">
        <f>(((M115*'Appendix K'!$C$16*1000)-('Appendix K'!$E$42+'Appendix K'!$F$42+'Appendix K'!$H$42+'Appendix K'!$G$42))/((1+$Y$16)^AJ$34))</f>
        <v>4535562.1998729603</v>
      </c>
      <c r="AK115" s="193">
        <f>(((N115*'Appendix K'!$C$17*1000)-('Appendix K'!$E$43+'Appendix K'!$F$43+'Appendix K'!$H$43))/((1+$Y$16)^AK$34))</f>
        <v>3097652.7254086556</v>
      </c>
      <c r="AL115" s="193">
        <f>(((O115*'Appendix K'!$C$18*1000)-('Appendix K'!$E$44+'Appendix K'!$F$44+'Appendix K'!$H$44+'Appendix K'!$G$44))/((1+$Y$16)^AL$34))</f>
        <v>3181429.796033768</v>
      </c>
      <c r="AM115" s="193">
        <f>(((P115*'Appendix K'!$C$19*1000)-('Appendix K'!$E$45+'Appendix K'!$F$45+'Appendix K'!$H$45+'Appendix K'!$G$45))/((1+$Y$16)^AM$34))</f>
        <v>3607599.9540230581</v>
      </c>
      <c r="AN115" s="193">
        <f>(((Q115*'Appendix K'!$C$20*1000)-('Appendix K'!$E$46+'Appendix K'!$F$46+'Appendix K'!$H$46+'Appendix K'!$G$46))/((1+$Y$16)^AN$34))</f>
        <v>2702399.606577659</v>
      </c>
      <c r="AO115" s="193">
        <f>(((R115*'Appendix K'!$C$21*1000)-('Appendix K'!$E$47+'Appendix K'!$F$47+'Appendix K'!$H$47+'Appendix K'!$G$47))/((1+$Y$16)^AO$34))</f>
        <v>2112056.3146391152</v>
      </c>
      <c r="AP115" s="193">
        <f>(((S115*'Appendix K'!$C$22*1000)-('Appendix K'!$E$48+'Appendix K'!$F$48+'Appendix K'!$H$48+'Appendix K'!$G$48))/((1+$Y$16)^AP$34))</f>
        <v>1601783.2674945015</v>
      </c>
      <c r="AQ115" s="193">
        <f>(((T115*'Appendix K'!$C$23*1000)-('Appendix K'!$E$49+'Appendix K'!$F$49+'Appendix K'!$H$49+'Appendix K'!$G$49))/((1+$Y$16)^AQ$34))</f>
        <v>1263386.3652054211</v>
      </c>
      <c r="AR115" s="193">
        <f>(((U115*'Appendix K'!$C$24*1000)-('Appendix K'!$E$50+'Appendix K'!$F$50+'Appendix K'!$H$50+'Appendix K'!$G$50))/((1+$Y$16)^AR$34))</f>
        <v>980725.14012097823</v>
      </c>
      <c r="AS115" s="209">
        <f t="shared" si="18"/>
        <v>92091198.910984844</v>
      </c>
      <c r="AU115" s="199">
        <f t="shared" si="17"/>
        <v>7.0078611990145841E-9</v>
      </c>
    </row>
    <row r="116" spans="1:47" x14ac:dyDescent="0.35">
      <c r="A116">
        <v>82</v>
      </c>
      <c r="B116" s="70">
        <v>56</v>
      </c>
      <c r="C116" s="70">
        <v>78.875285021018271</v>
      </c>
      <c r="D116" s="70">
        <v>113.59366446377871</v>
      </c>
      <c r="E116" s="70">
        <v>45.866560638089496</v>
      </c>
      <c r="F116" s="70">
        <v>42.879251133998068</v>
      </c>
      <c r="G116" s="70">
        <v>56.794877537241526</v>
      </c>
      <c r="H116" s="70">
        <v>44.607882117622793</v>
      </c>
      <c r="I116" s="70">
        <v>55.694844833834594</v>
      </c>
      <c r="J116" s="70">
        <v>77.721772947964354</v>
      </c>
      <c r="K116" s="70">
        <v>98.279212295784475</v>
      </c>
      <c r="L116" s="70">
        <v>112.73959258110486</v>
      </c>
      <c r="M116" s="70">
        <v>96.375159802994219</v>
      </c>
      <c r="N116" s="70">
        <v>109.08614048323851</v>
      </c>
      <c r="O116" s="70">
        <v>115.19447878548553</v>
      </c>
      <c r="P116" s="70">
        <v>158.45532573448565</v>
      </c>
      <c r="Q116" s="70">
        <v>33.666614101377263</v>
      </c>
      <c r="R116" s="70">
        <v>21.826466162505668</v>
      </c>
      <c r="S116" s="70">
        <v>21.45631045383443</v>
      </c>
      <c r="T116" s="70">
        <v>31.018395898171033</v>
      </c>
      <c r="U116" s="70">
        <v>24.984509492456045</v>
      </c>
      <c r="V116" s="70">
        <v>42.991190788404509</v>
      </c>
      <c r="X116" s="193">
        <f>((0-('Appendix K'!$I$30))/(1+$Y$16)^0)</f>
        <v>-33594902.4440751</v>
      </c>
      <c r="Y116" s="193">
        <f>(((B116*'Appendix K'!$C$5*1000)-('Appendix K'!$E$31+'Appendix K'!$F$31+'Appendix K'!$H$31+'Appendix K'!$G$31))/((1+$Y$16)^1))</f>
        <v>34971064.972647354</v>
      </c>
      <c r="Z116" s="193">
        <f>+(((C116*'Appendix K'!$C$6*1000)-('Appendix K'!$E$32+'Appendix K'!$F$32+'Appendix K'!$H$32+'Appendix K'!$G$32))/((1+$Y$16)^2))</f>
        <v>16437998.340209875</v>
      </c>
      <c r="AA116" s="193">
        <f>(((D116*'Appendix K'!$C$7*1000)-('Appendix K'!$E$33+'Appendix K'!$F$33+'Appendix K'!$H$33+'Appendix K'!$G$33))/((1+$Y$16)^3))</f>
        <v>11504080.44888274</v>
      </c>
      <c r="AB116" s="193">
        <f>(((E116*'Appendix K'!$C$8*1000)-('Appendix K'!$E$34+'Appendix K'!$F$34+'Appendix K'!$H$34+'Appendix K'!$G$34))/((1+$Y$16)^4))</f>
        <v>6760322.3350644903</v>
      </c>
      <c r="AC116" s="193">
        <f>(((F116*'Appendix K'!$C$9*1000)-('Appendix K'!$E$35+'Appendix K'!$F$35+'Appendix K'!$H$35+'Appendix K'!$G$35))/((1+$Y$16)^AC$34))</f>
        <v>8413009.0997504219</v>
      </c>
      <c r="AD116" s="193">
        <f>(((G116*'Appendix K'!$C$10*1000)-('Appendix K'!$E$36+'Appendix K'!$F$36+'Appendix K'!$H$36+'Appendix K'!$G$36))/((1+$Y$16)^AD$34))</f>
        <v>6403529.0165428333</v>
      </c>
      <c r="AE116" s="193">
        <f>(((H116*'Appendix K'!$C$11*1000)-('Appendix K'!$E$37+'Appendix K'!$F$37+'Appendix K'!$H$37+'Appendix K'!$G$37))/((1+$Y$16)^AE$34))</f>
        <v>2229143.424438701</v>
      </c>
      <c r="AF116" s="193">
        <f>(((I116*'Appendix K'!$C$12*1000)-('Appendix K'!$E$38+'Appendix K'!$F$38+'Appendix K'!$H$38+'Appendix K'!$G$38))/((1+$Y$16)^AF$34))</f>
        <v>1660479.6747072476</v>
      </c>
      <c r="AG116" s="193">
        <f>(((J116*'Appendix K'!$C$13*1000)-('Appendix K'!$E$39+'Appendix K'!$F$39+'Appendix K'!$H$39+'Appendix K'!$G$39))/((1+$Y$16)^AG$34))</f>
        <v>1761729.1568734301</v>
      </c>
      <c r="AH116" s="193">
        <f>(((K116*'Appendix K'!$C$14*1000)-('Appendix K'!$E$40+'Appendix K'!$F$40+'Appendix K'!$H$40+'Appendix K'!$G$40))/((1+$Y$16)^AH$34))</f>
        <v>1679909.7427619917</v>
      </c>
      <c r="AI116" s="193">
        <f>(((L116*'Appendix K'!$C$15*1000)-('Appendix K'!$E$41+'Appendix K'!$F$41+'Appendix K'!$H$41+'Appendix K'!$G$41))/((1+$Y$16)^AI$34))</f>
        <v>1437506.801365824</v>
      </c>
      <c r="AJ116" s="193">
        <f>(((M116*'Appendix K'!$C$16*1000)-('Appendix K'!$E$42+'Appendix K'!$F$42+'Appendix K'!$H$42+'Appendix K'!$G$42))/((1+$Y$16)^AJ$34))</f>
        <v>549987.17404218414</v>
      </c>
      <c r="AK116" s="193">
        <f>(((N116*'Appendix K'!$C$17*1000)-('Appendix K'!$E$43+'Appendix K'!$F$43+'Appendix K'!$H$43))/((1+$Y$16)^AK$34))</f>
        <v>671729.66059501655</v>
      </c>
      <c r="AL116" s="193">
        <f>(((O116*'Appendix K'!$C$18*1000)-('Appendix K'!$E$44+'Appendix K'!$F$44+'Appendix K'!$H$44+'Appendix K'!$G$44))/((1+$Y$16)^AL$34))</f>
        <v>230844.92759445429</v>
      </c>
      <c r="AM116" s="193">
        <f>(((P116*'Appendix K'!$C$19*1000)-('Appendix K'!$E$45+'Appendix K'!$F$45+'Appendix K'!$H$45+'Appendix K'!$G$45))/((1+$Y$16)^AM$34))</f>
        <v>441913.9731768968</v>
      </c>
      <c r="AN116" s="193">
        <f>(((Q116*'Appendix K'!$C$20*1000)-('Appendix K'!$E$46+'Appendix K'!$F$46+'Appendix K'!$H$46+'Appendix K'!$G$46))/((1+$Y$16)^AN$34))</f>
        <v>-672089.9172455509</v>
      </c>
      <c r="AO116" s="193">
        <f>(((R116*'Appendix K'!$C$21*1000)-('Appendix K'!$E$47+'Appendix K'!$F$47+'Appendix K'!$H$47+'Appendix K'!$G$47))/((1+$Y$16)^AO$34))</f>
        <v>-714002.0989717351</v>
      </c>
      <c r="AP116" s="193">
        <f>(((S116*'Appendix K'!$C$22*1000)-('Appendix K'!$E$48+'Appendix K'!$F$48+'Appendix K'!$H$48+'Appendix K'!$G$48))/((1+$Y$16)^AP$34))</f>
        <v>-661683.52763514256</v>
      </c>
      <c r="AQ116" s="193">
        <f>(((T116*'Appendix K'!$C$23*1000)-('Appendix K'!$E$49+'Appendix K'!$F$49+'Appendix K'!$H$49+'Appendix K'!$G$49))/((1+$Y$16)^AQ$34))</f>
        <v>-572087.57087934972</v>
      </c>
      <c r="AR116" s="193">
        <f>(((U116*'Appendix K'!$C$24*1000)-('Appendix K'!$E$50+'Appendix K'!$F$50+'Appendix K'!$H$50+'Appendix K'!$G$50))/((1+$Y$16)^AR$34))</f>
        <v>-548838.04870516038</v>
      </c>
      <c r="AS116" s="209">
        <f t="shared" si="18"/>
        <v>61558346.304578342</v>
      </c>
      <c r="AU116" s="199">
        <f t="shared" si="17"/>
        <v>6.3263266130889964E-9</v>
      </c>
    </row>
    <row r="117" spans="1:47" x14ac:dyDescent="0.35">
      <c r="A117">
        <v>83</v>
      </c>
      <c r="B117" s="70">
        <v>56</v>
      </c>
      <c r="C117" s="70">
        <v>65.339744645295667</v>
      </c>
      <c r="D117" s="70">
        <v>59.250751259714001</v>
      </c>
      <c r="E117" s="70">
        <v>69.565908455409996</v>
      </c>
      <c r="F117" s="70">
        <v>107.63070586489395</v>
      </c>
      <c r="G117" s="70">
        <v>149.39685766917913</v>
      </c>
      <c r="H117" s="70">
        <v>183.95610464649539</v>
      </c>
      <c r="I117" s="70">
        <v>210.22805117927135</v>
      </c>
      <c r="J117" s="70">
        <v>339.46991996701121</v>
      </c>
      <c r="K117" s="70">
        <v>210.09540320131441</v>
      </c>
      <c r="L117" s="70">
        <v>215.69763436013255</v>
      </c>
      <c r="M117" s="70">
        <v>226.39869796122534</v>
      </c>
      <c r="N117" s="70">
        <v>275.19407390656545</v>
      </c>
      <c r="O117" s="70">
        <v>370.27971238102555</v>
      </c>
      <c r="P117" s="70">
        <v>329.8303831042241</v>
      </c>
      <c r="Q117" s="70">
        <v>454.79508190526013</v>
      </c>
      <c r="R117" s="70">
        <v>341.81392011198216</v>
      </c>
      <c r="S117" s="70">
        <v>499.8544875458154</v>
      </c>
      <c r="T117" s="70">
        <v>472.74563139407883</v>
      </c>
      <c r="U117" s="70">
        <v>412.55937038192138</v>
      </c>
      <c r="V117" s="70">
        <v>471.50250544671638</v>
      </c>
      <c r="X117" s="193">
        <f>((0-('Appendix K'!$I$30))/(1+$Y$16)^0)</f>
        <v>-33594902.4440751</v>
      </c>
      <c r="Y117" s="193">
        <f>(((B117*'Appendix K'!$C$5*1000)-('Appendix K'!$E$31+'Appendix K'!$F$31+'Appendix K'!$H$31+'Appendix K'!$G$31))/((1+$Y$16)^1))</f>
        <v>34971064.972647354</v>
      </c>
      <c r="Z117" s="193">
        <f>+(((C117*'Appendix K'!$C$6*1000)-('Appendix K'!$E$32+'Appendix K'!$F$32+'Appendix K'!$H$32+'Appendix K'!$G$32))/((1+$Y$16)^2))</f>
        <v>13018689.341275731</v>
      </c>
      <c r="AA117" s="193">
        <f>(((D117*'Appendix K'!$C$7*1000)-('Appendix K'!$E$33+'Appendix K'!$F$33+'Appendix K'!$H$33+'Appendix K'!$G$33))/((1+$Y$16)^3))</f>
        <v>4582158.8159279069</v>
      </c>
      <c r="AB117" s="193">
        <f>(((E117*'Appendix K'!$C$8*1000)-('Appendix K'!$E$34+'Appendix K'!$F$34+'Appendix K'!$H$34+'Appendix K'!$G$34))/((1+$Y$16)^4))</f>
        <v>11955002.429973066</v>
      </c>
      <c r="AC117" s="193">
        <f>(((F117*'Appendix K'!$C$9*1000)-('Appendix K'!$E$35+'Appendix K'!$F$35+'Appendix K'!$H$35+'Appendix K'!$G$35))/((1+$Y$16)^AC$34))</f>
        <v>25623844.089192502</v>
      </c>
      <c r="AD117" s="193">
        <f>(((G117*'Appendix K'!$C$10*1000)-('Appendix K'!$E$36+'Appendix K'!$F$36+'Appendix K'!$H$36+'Appendix K'!$G$36))/((1+$Y$16)^AD$34))</f>
        <v>20946109.894697897</v>
      </c>
      <c r="AE117" s="193">
        <f>(((H117*'Appendix K'!$C$11*1000)-('Appendix K'!$E$37+'Appendix K'!$F$37+'Appendix K'!$H$37+'Appendix K'!$G$37))/((1+$Y$16)^AE$34))</f>
        <v>16127404.722047053</v>
      </c>
      <c r="AF117" s="193">
        <f>(((I117*'Appendix K'!$C$12*1000)-('Appendix K'!$E$38+'Appendix K'!$F$38+'Appendix K'!$H$38+'Appendix K'!$G$38))/((1+$Y$16)^AF$34))</f>
        <v>11807505.06147317</v>
      </c>
      <c r="AG117" s="193">
        <f>(((J117*'Appendix K'!$C$13*1000)-('Appendix K'!$E$39+'Appendix K'!$F$39+'Appendix K'!$H$39+'Appendix K'!$G$39))/((1+$Y$16)^AG$34))</f>
        <v>13807099.482717074</v>
      </c>
      <c r="AH117" s="193">
        <f>(((K117*'Appendix K'!$C$14*1000)-('Appendix K'!$E$40+'Appendix K'!$F$40+'Appendix K'!$H$40+'Appendix K'!$G$40))/((1+$Y$16)^AH$34))</f>
        <v>5448845.1732905908</v>
      </c>
      <c r="AI117" s="193">
        <f>(((L117*'Appendix K'!$C$15*1000)-('Appendix K'!$E$41+'Appendix K'!$F$41+'Appendix K'!$H$41+'Appendix K'!$G$41))/((1+$Y$16)^AI$34))</f>
        <v>4135200.0284585627</v>
      </c>
      <c r="AJ117" s="193">
        <f>(((M117*'Appendix K'!$C$16*1000)-('Appendix K'!$E$42+'Appendix K'!$F$42+'Appendix K'!$H$42+'Appendix K'!$G$42))/((1+$Y$16)^AJ$34))</f>
        <v>3155901.629811578</v>
      </c>
      <c r="AK117" s="193">
        <f>(((N117*'Appendix K'!$C$17*1000)-('Appendix K'!$E$43+'Appendix K'!$F$43+'Appendix K'!$H$43))/((1+$Y$16)^AK$34))</f>
        <v>3223794.9174393741</v>
      </c>
      <c r="AL117" s="193">
        <f>(((O117*'Appendix K'!$C$18*1000)-('Appendix K'!$E$44+'Appendix K'!$F$44+'Appendix K'!$H$44+'Appendix K'!$G$44))/((1+$Y$16)^AL$34))</f>
        <v>3254445.2607746976</v>
      </c>
      <c r="AM117" s="193">
        <f>(((P117*'Appendix K'!$C$19*1000)-('Appendix K'!$E$45+'Appendix K'!$F$45+'Appendix K'!$H$45+'Appendix K'!$G$45))/((1+$Y$16)^AM$34))</f>
        <v>2030343.4158223313</v>
      </c>
      <c r="AN117" s="193">
        <f>(((Q117*'Appendix K'!$C$20*1000)-('Appendix K'!$E$46+'Appendix K'!$F$46+'Appendix K'!$H$46+'Appendix K'!$G$46))/((1+$Y$16)^AN$34))</f>
        <v>2375287.0147094293</v>
      </c>
      <c r="AO117" s="193">
        <f>(((R117*'Appendix K'!$C$21*1000)-('Appendix K'!$E$47+'Appendix K'!$F$47+'Appendix K'!$H$47+'Appendix K'!$G$47))/((1+$Y$16)^AO$34))</f>
        <v>1177159.1060964582</v>
      </c>
      <c r="AP117" s="193">
        <f>(((S117*'Appendix K'!$C$22*1000)-('Appendix K'!$E$48+'Appendix K'!$F$48+'Appendix K'!$H$48+'Appendix K'!$G$48))/((1+$Y$16)^AP$34))</f>
        <v>1629709.4742090385</v>
      </c>
      <c r="AQ117" s="193">
        <f>(((T117*'Appendix K'!$C$23*1000)-('Appendix K'!$E$49+'Appendix K'!$F$49+'Appendix K'!$H$49+'Appendix K'!$G$49))/((1+$Y$16)^AQ$34))</f>
        <v>1156719.7437791496</v>
      </c>
      <c r="AR117" s="193">
        <f>(((U117*'Appendix K'!$C$24*1000)-('Appendix K'!$E$50+'Appendix K'!$F$50+'Appendix K'!$H$50+'Appendix K'!$G$50))/((1+$Y$16)^AR$34))</f>
        <v>699163.86276413058</v>
      </c>
      <c r="AS117" s="209">
        <f t="shared" si="18"/>
        <v>147530545.99303198</v>
      </c>
      <c r="AU117" s="199">
        <f t="shared" si="17"/>
        <v>4.0263690464749716E-9</v>
      </c>
    </row>
    <row r="118" spans="1:47" x14ac:dyDescent="0.35">
      <c r="A118">
        <v>84</v>
      </c>
      <c r="B118" s="70">
        <v>56</v>
      </c>
      <c r="C118" s="70">
        <v>71.308631322387711</v>
      </c>
      <c r="D118" s="70">
        <v>78.517931408970838</v>
      </c>
      <c r="E118" s="70">
        <v>71.611753028261731</v>
      </c>
      <c r="F118" s="70">
        <v>91.091437585515635</v>
      </c>
      <c r="G118" s="70">
        <v>24.889959952367661</v>
      </c>
      <c r="H118" s="70">
        <v>21.628463103045384</v>
      </c>
      <c r="I118" s="70">
        <v>23.345490166265698</v>
      </c>
      <c r="J118" s="70">
        <v>25.838635329539894</v>
      </c>
      <c r="K118" s="70">
        <v>22.334988790104944</v>
      </c>
      <c r="L118" s="70">
        <v>33.170315833332815</v>
      </c>
      <c r="M118" s="70">
        <v>35.357919647976516</v>
      </c>
      <c r="N118" s="70">
        <v>33.939063496775006</v>
      </c>
      <c r="O118" s="70">
        <v>21.069224255606795</v>
      </c>
      <c r="P118" s="70">
        <v>27.811276026573012</v>
      </c>
      <c r="Q118" s="70">
        <v>37.80784377295889</v>
      </c>
      <c r="R118" s="70">
        <v>34.118033771505772</v>
      </c>
      <c r="S118" s="70">
        <v>39.252890822181669</v>
      </c>
      <c r="T118" s="70">
        <v>35.259441537628312</v>
      </c>
      <c r="U118" s="70">
        <v>35.875103465537919</v>
      </c>
      <c r="V118" s="70">
        <v>33.290983513348181</v>
      </c>
      <c r="X118" s="193">
        <f>((0-('Appendix K'!$I$30))/(1+$Y$16)^0)</f>
        <v>-33594902.4440751</v>
      </c>
      <c r="Y118" s="193">
        <f>(((B118*'Appendix K'!$C$5*1000)-('Appendix K'!$E$31+'Appendix K'!$F$31+'Appendix K'!$H$31+'Appendix K'!$G$31))/((1+$Y$16)^1))</f>
        <v>34971064.972647354</v>
      </c>
      <c r="Z118" s="193">
        <f>+(((C118*'Appendix K'!$C$6*1000)-('Appendix K'!$E$32+'Appendix K'!$F$32+'Appendix K'!$H$32+'Appendix K'!$G$32))/((1+$Y$16)^2))</f>
        <v>14526532.202518674</v>
      </c>
      <c r="AA118" s="193">
        <f>(((D118*'Appendix K'!$C$7*1000)-('Appendix K'!$E$33+'Appendix K'!$F$33+'Appendix K'!$H$33+'Appendix K'!$G$33))/((1+$Y$16)^3))</f>
        <v>7036313.4281470301</v>
      </c>
      <c r="AB118" s="193">
        <f>(((E118*'Appendix K'!$C$8*1000)-('Appendix K'!$E$34+'Appendix K'!$F$34+'Appendix K'!$H$34+'Appendix K'!$G$34))/((1+$Y$16)^4))</f>
        <v>12403432.83243767</v>
      </c>
      <c r="AC118" s="193">
        <f>(((F118*'Appendix K'!$C$9*1000)-('Appendix K'!$E$35+'Appendix K'!$F$35+'Appendix K'!$H$35+'Appendix K'!$G$35))/((1+$Y$16)^AC$34))</f>
        <v>21227732.551845495</v>
      </c>
      <c r="AD118" s="193">
        <f>(((G118*'Appendix K'!$C$10*1000)-('Appendix K'!$E$36+'Appendix K'!$F$36+'Appendix K'!$H$36+'Appendix K'!$G$36))/((1+$Y$16)^AD$34))</f>
        <v>1393054.6862117748</v>
      </c>
      <c r="AE118" s="193">
        <f>(((H118*'Appendix K'!$C$11*1000)-('Appendix K'!$E$37+'Appendix K'!$F$37+'Appendix K'!$H$37+'Appendix K'!$G$37))/((1+$Y$16)^AE$34))</f>
        <v>-62769.340115243169</v>
      </c>
      <c r="AF118" s="193">
        <f>(((I118*'Appendix K'!$C$12*1000)-('Appendix K'!$E$38+'Appendix K'!$F$38+'Appendix K'!$H$38+'Appendix K'!$G$38))/((1+$Y$16)^AF$34))</f>
        <v>-463657.46591197466</v>
      </c>
      <c r="AG118" s="193">
        <f>(((J118*'Appendix K'!$C$13*1000)-('Appendix K'!$E$39+'Appendix K'!$F$39+'Appendix K'!$H$39+'Appendix K'!$G$39))/((1+$Y$16)^AG$34))</f>
        <v>-625877.45428304106</v>
      </c>
      <c r="AH118" s="193">
        <f>(((K118*'Appendix K'!$C$14*1000)-('Appendix K'!$E$40+'Appendix K'!$F$40+'Appendix K'!$H$40+'Appendix K'!$G$40))/((1+$Y$16)^AH$34))</f>
        <v>-879906.25880762271</v>
      </c>
      <c r="AI118" s="193">
        <f>(((L118*'Appendix K'!$C$15*1000)-('Appendix K'!$E$41+'Appendix K'!$F$41+'Appendix K'!$H$41+'Appendix K'!$G$41))/((1+$Y$16)^AI$34))</f>
        <v>-647357.0447029419</v>
      </c>
      <c r="AJ118" s="193">
        <f>(((M118*'Appendix K'!$C$16*1000)-('Appendix K'!$E$42+'Appendix K'!$F$42+'Appendix K'!$H$42+'Appendix K'!$G$42))/((1+$Y$16)^AJ$34))</f>
        <v>-672912.23650617863</v>
      </c>
      <c r="AK118" s="193">
        <f>(((N118*'Appendix K'!$C$17*1000)-('Appendix K'!$E$43+'Appendix K'!$F$43+'Appendix K'!$H$43))/((1+$Y$16)^AK$34))</f>
        <v>-482822.32484091568</v>
      </c>
      <c r="AL118" s="193">
        <f>(((O118*'Appendix K'!$C$18*1000)-('Appendix K'!$E$44+'Appendix K'!$F$44+'Appendix K'!$H$44+'Appendix K'!$G$44))/((1+$Y$16)^AL$34))</f>
        <v>-884849.41090445768</v>
      </c>
      <c r="AM118" s="193">
        <f>(((P118*'Appendix K'!$C$19*1000)-('Appendix K'!$E$45+'Appendix K'!$F$45+'Appendix K'!$H$45+'Appendix K'!$G$45))/((1+$Y$16)^AM$34))</f>
        <v>-768990.68382207432</v>
      </c>
      <c r="AN118" s="193">
        <f>(((Q118*'Appendix K'!$C$20*1000)-('Appendix K'!$E$46+'Appendix K'!$F$46+'Appendix K'!$H$46+'Appendix K'!$G$46))/((1+$Y$16)^AN$34))</f>
        <v>-642123.08114701777</v>
      </c>
      <c r="AO118" s="193">
        <f>(((R118*'Appendix K'!$C$21*1000)-('Appendix K'!$E$47+'Appendix K'!$F$47+'Appendix K'!$H$47+'Appendix K'!$G$47))/((1+$Y$16)^AO$34))</f>
        <v>-641357.57642966043</v>
      </c>
      <c r="AP118" s="193">
        <f>(((S118*'Appendix K'!$C$22*1000)-('Appendix K'!$E$48+'Appendix K'!$F$48+'Appendix K'!$H$48+'Appendix K'!$G$48))/((1+$Y$16)^AP$34))</f>
        <v>-576442.90242902294</v>
      </c>
      <c r="AQ118" s="193">
        <f>(((T118*'Appendix K'!$C$23*1000)-('Appendix K'!$E$49+'Appendix K'!$F$49+'Appendix K'!$H$49+'Appendix K'!$G$49))/((1+$Y$16)^AQ$34))</f>
        <v>-555489.2039820425</v>
      </c>
      <c r="AR118" s="193">
        <f>(((U118*'Appendix K'!$C$24*1000)-('Appendix K'!$E$50+'Appendix K'!$F$50+'Appendix K'!$H$50+'Appendix K'!$G$50))/((1+$Y$16)^AR$34))</f>
        <v>-513770.03096982447</v>
      </c>
      <c r="AS118" s="209">
        <f t="shared" si="18"/>
        <v>57963228.229732893</v>
      </c>
      <c r="AU118" s="199">
        <f t="shared" si="17"/>
        <v>6.1326385273994429E-9</v>
      </c>
    </row>
    <row r="119" spans="1:47" x14ac:dyDescent="0.35">
      <c r="A119">
        <v>85</v>
      </c>
      <c r="B119" s="70">
        <v>56</v>
      </c>
      <c r="C119" s="70">
        <v>79.915095878903628</v>
      </c>
      <c r="D119" s="70">
        <v>78.387450727817679</v>
      </c>
      <c r="E119" s="70">
        <v>95.440908980068343</v>
      </c>
      <c r="F119" s="70">
        <v>96.073023749496727</v>
      </c>
      <c r="G119" s="70">
        <v>130.12903573482225</v>
      </c>
      <c r="H119" s="70">
        <v>148.63650860885548</v>
      </c>
      <c r="I119" s="70">
        <v>106.19826727056103</v>
      </c>
      <c r="J119" s="70">
        <v>85.686334419690212</v>
      </c>
      <c r="K119" s="70">
        <v>70.743975110424856</v>
      </c>
      <c r="L119" s="70">
        <v>84.343544630140983</v>
      </c>
      <c r="M119" s="70">
        <v>53.408871444003857</v>
      </c>
      <c r="N119" s="70">
        <v>73.951175097622254</v>
      </c>
      <c r="O119" s="70">
        <v>95.311523973240355</v>
      </c>
      <c r="P119" s="70">
        <v>44.687842051687802</v>
      </c>
      <c r="Q119" s="70">
        <v>49.37316328663524</v>
      </c>
      <c r="R119" s="70">
        <v>73.211036844304573</v>
      </c>
      <c r="S119" s="70">
        <v>97.670297820313408</v>
      </c>
      <c r="T119" s="70">
        <v>126.93020530450187</v>
      </c>
      <c r="U119" s="70">
        <v>161.75252862917807</v>
      </c>
      <c r="V119" s="70">
        <v>131.1443104716742</v>
      </c>
      <c r="X119" s="193">
        <f>((0-('Appendix K'!$I$30))/(1+$Y$16)^0)</f>
        <v>-33594902.4440751</v>
      </c>
      <c r="Y119" s="193">
        <f>(((B119*'Appendix K'!$C$5*1000)-('Appendix K'!$E$31+'Appendix K'!$F$31+'Appendix K'!$H$31+'Appendix K'!$G$31))/((1+$Y$16)^1))</f>
        <v>34971064.972647354</v>
      </c>
      <c r="Z119" s="193">
        <f>+(((C119*'Appendix K'!$C$6*1000)-('Appendix K'!$E$32+'Appendix K'!$F$32+'Appendix K'!$H$32+'Appendix K'!$G$32))/((1+$Y$16)^2))</f>
        <v>16700672.346925847</v>
      </c>
      <c r="AA119" s="193">
        <f>(((D119*'Appendix K'!$C$7*1000)-('Appendix K'!$E$33+'Appendix K'!$F$33+'Appendix K'!$H$33+'Appendix K'!$G$33))/((1+$Y$16)^3))</f>
        <v>7019693.468039901</v>
      </c>
      <c r="AB119" s="193">
        <f>(((E119*'Appendix K'!$C$8*1000)-('Appendix K'!$E$34+'Appendix K'!$F$34+'Appendix K'!$H$34+'Appendix K'!$G$34))/((1+$Y$16)^4))</f>
        <v>17626565.682146505</v>
      </c>
      <c r="AC119" s="193">
        <f>(((F119*'Appendix K'!$C$9*1000)-('Appendix K'!$E$35+'Appendix K'!$F$35+'Appendix K'!$H$35+'Appendix K'!$G$35))/((1+$Y$16)^AC$34))</f>
        <v>22551830.331737641</v>
      </c>
      <c r="AD119" s="193">
        <f>(((G119*'Appendix K'!$C$10*1000)-('Appendix K'!$E$36+'Appendix K'!$F$36+'Appendix K'!$H$36+'Appendix K'!$G$36))/((1+$Y$16)^AD$34))</f>
        <v>17920215.001013704</v>
      </c>
      <c r="AE119" s="193">
        <f>(((H119*'Appendix K'!$C$11*1000)-('Appendix K'!$E$37+'Appendix K'!$F$37+'Appendix K'!$H$37+'Appendix K'!$G$37))/((1+$Y$16)^AE$34))</f>
        <v>12604711.961790401</v>
      </c>
      <c r="AF119" s="193">
        <f>(((I119*'Appendix K'!$C$12*1000)-('Appendix K'!$E$38+'Appendix K'!$F$38+'Appendix K'!$H$38+'Appendix K'!$G$38))/((1+$Y$16)^AF$34))</f>
        <v>4976656.9656805368</v>
      </c>
      <c r="AG119" s="193">
        <f>(((J119*'Appendix K'!$C$13*1000)-('Appendix K'!$E$39+'Appendix K'!$F$39+'Appendix K'!$H$39+'Appendix K'!$G$39))/((1+$Y$16)^AG$34))</f>
        <v>2128249.7741250321</v>
      </c>
      <c r="AH119" s="193">
        <f>(((K119*'Appendix K'!$C$14*1000)-('Appendix K'!$E$40+'Appendix K'!$F$40+'Appendix K'!$H$40+'Appendix K'!$G$40))/((1+$Y$16)^AH$34))</f>
        <v>751792.53383658954</v>
      </c>
      <c r="AI119" s="193">
        <f>(((L119*'Appendix K'!$C$15*1000)-('Appendix K'!$E$41+'Appendix K'!$F$41+'Appendix K'!$H$41+'Appendix K'!$G$41))/((1+$Y$16)^AI$34))</f>
        <v>693477.244180521</v>
      </c>
      <c r="AJ119" s="193">
        <f>(((M119*'Appendix K'!$C$16*1000)-('Appendix K'!$E$42+'Appendix K'!$F$42+'Appendix K'!$H$42+'Appendix K'!$G$42))/((1+$Y$16)^AJ$34))</f>
        <v>-311137.46178484999</v>
      </c>
      <c r="AK119" s="193">
        <f>(((N119*'Appendix K'!$C$17*1000)-('Appendix K'!$E$43+'Appendix K'!$F$43+'Appendix K'!$H$43))/((1+$Y$16)^AK$34))</f>
        <v>131919.65505756708</v>
      </c>
      <c r="AL119" s="193">
        <f>(((O119*'Appendix K'!$C$18*1000)-('Appendix K'!$E$44+'Appendix K'!$F$44+'Appendix K'!$H$44+'Appendix K'!$G$44))/((1+$Y$16)^AL$34))</f>
        <v>-4833.586396812937</v>
      </c>
      <c r="AM119" s="193">
        <f>(((P119*'Appendix K'!$C$19*1000)-('Appendix K'!$E$45+'Appendix K'!$F$45+'Appendix K'!$H$45+'Appendix K'!$G$45))/((1+$Y$16)^AM$34))</f>
        <v>-612566.31976070534</v>
      </c>
      <c r="AN119" s="193">
        <f>(((Q119*'Appendix K'!$C$20*1000)-('Appendix K'!$E$46+'Appendix K'!$F$46+'Appendix K'!$H$46+'Appendix K'!$G$46))/((1+$Y$16)^AN$34))</f>
        <v>-558433.92073367105</v>
      </c>
      <c r="AO119" s="193">
        <f>(((R119*'Appendix K'!$C$21*1000)-('Appendix K'!$E$47+'Appendix K'!$F$47+'Appendix K'!$H$47+'Appendix K'!$G$47))/((1+$Y$16)^AO$34))</f>
        <v>-410313.60927286709</v>
      </c>
      <c r="AP119" s="193">
        <f>(((S119*'Appendix K'!$C$22*1000)-('Appendix K'!$E$48+'Appendix K'!$F$48+'Appendix K'!$H$48+'Appendix K'!$G$48))/((1+$Y$16)^AP$34))</f>
        <v>-296639.918239002</v>
      </c>
      <c r="AQ119" s="193">
        <f>(((T119*'Appendix K'!$C$23*1000)-('Appendix K'!$E$49+'Appendix K'!$F$49+'Appendix K'!$H$49+'Appendix K'!$G$49))/((1+$Y$16)^AQ$34))</f>
        <v>-196713.30291589585</v>
      </c>
      <c r="AR119" s="193">
        <f>(((U119*'Appendix K'!$C$24*1000)-('Appendix K'!$E$50+'Appendix K'!$F$50+'Appendix K'!$H$50+'Appendix K'!$G$50))/((1+$Y$16)^AR$34))</f>
        <v>-108441.19500113033</v>
      </c>
      <c r="AS119" s="209">
        <f t="shared" si="18"/>
        <v>104481947.49310651</v>
      </c>
      <c r="AU119" s="199">
        <f t="shared" si="17"/>
        <v>6.7260255063080214E-9</v>
      </c>
    </row>
    <row r="120" spans="1:47" x14ac:dyDescent="0.35">
      <c r="A120">
        <v>86</v>
      </c>
      <c r="B120" s="70">
        <v>56</v>
      </c>
      <c r="C120" s="70">
        <v>56.41803150203441</v>
      </c>
      <c r="D120" s="70">
        <v>62.63848592456803</v>
      </c>
      <c r="E120" s="70">
        <v>103.97473939363537</v>
      </c>
      <c r="F120" s="70">
        <v>109.81548941772486</v>
      </c>
      <c r="G120" s="70">
        <v>173.15166697840664</v>
      </c>
      <c r="H120" s="70">
        <v>116.3441267707648</v>
      </c>
      <c r="I120" s="70">
        <v>131.80082624024871</v>
      </c>
      <c r="J120" s="70">
        <v>133.12203581254542</v>
      </c>
      <c r="K120" s="70">
        <v>116.33661905509234</v>
      </c>
      <c r="L120" s="70">
        <v>104.39045283923777</v>
      </c>
      <c r="M120" s="70">
        <v>114.82860887662113</v>
      </c>
      <c r="N120" s="70">
        <v>106.72599953332603</v>
      </c>
      <c r="O120" s="70">
        <v>125.042702750372</v>
      </c>
      <c r="P120" s="70">
        <v>89.88274136656571</v>
      </c>
      <c r="Q120" s="70">
        <v>128.06543304682722</v>
      </c>
      <c r="R120" s="70">
        <v>156.56017783108462</v>
      </c>
      <c r="S120" s="70">
        <v>147.58209973918915</v>
      </c>
      <c r="T120" s="70">
        <v>145.31877026756413</v>
      </c>
      <c r="U120" s="70">
        <v>140.92328966691937</v>
      </c>
      <c r="V120" s="70">
        <v>238.22060109263006</v>
      </c>
      <c r="X120" s="193">
        <f>((0-('Appendix K'!$I$30))/(1+$Y$16)^0)</f>
        <v>-33594902.4440751</v>
      </c>
      <c r="Y120" s="193">
        <f>(((B120*'Appendix K'!$C$5*1000)-('Appendix K'!$E$31+'Appendix K'!$F$31+'Appendix K'!$H$31+'Appendix K'!$G$31))/((1+$Y$16)^1))</f>
        <v>34971064.972647354</v>
      </c>
      <c r="Z120" s="193">
        <f>+(((C120*'Appendix K'!$C$6*1000)-('Appendix K'!$E$32+'Appendix K'!$F$32+'Appendix K'!$H$32+'Appendix K'!$G$32))/((1+$Y$16)^2))</f>
        <v>10764912.01212099</v>
      </c>
      <c r="AA120" s="193">
        <f>(((D120*'Appendix K'!$C$7*1000)-('Appendix K'!$E$33+'Appendix K'!$F$33+'Appendix K'!$H$33+'Appendix K'!$G$33))/((1+$Y$16)^3))</f>
        <v>5013671.0864480324</v>
      </c>
      <c r="AB120" s="193">
        <f>(((E120*'Appendix K'!$C$8*1000)-('Appendix K'!$E$34+'Appendix K'!$F$34+'Appendix K'!$H$34+'Appendix K'!$G$34))/((1+$Y$16)^4))</f>
        <v>19497103.189102009</v>
      </c>
      <c r="AC120" s="193">
        <f>(((F120*'Appendix K'!$C$9*1000)-('Appendix K'!$E$35+'Appendix K'!$F$35+'Appendix K'!$H$35+'Appendix K'!$G$35))/((1+$Y$16)^AC$34))</f>
        <v>26204556.126809139</v>
      </c>
      <c r="AD120" s="193">
        <f>(((G120*'Appendix K'!$C$10*1000)-('Appendix K'!$E$36+'Appendix K'!$F$36+'Appendix K'!$H$36+'Appendix K'!$G$36))/((1+$Y$16)^AD$34))</f>
        <v>24676659.016135611</v>
      </c>
      <c r="AE120" s="193">
        <f>(((H120*'Appendix K'!$C$11*1000)-('Appendix K'!$E$37+'Appendix K'!$F$37+'Appendix K'!$H$37+'Appendix K'!$G$37))/((1+$Y$16)^AE$34))</f>
        <v>9383946.3677769247</v>
      </c>
      <c r="AF120" s="193">
        <f>(((I120*'Appendix K'!$C$12*1000)-('Appendix K'!$E$38+'Appendix K'!$F$38+'Appendix K'!$H$38+'Appendix K'!$G$38))/((1+$Y$16)^AF$34))</f>
        <v>6657783.1260403348</v>
      </c>
      <c r="AG120" s="193">
        <f>(((J120*'Appendix K'!$C$13*1000)-('Appendix K'!$E$39+'Appendix K'!$F$39+'Appendix K'!$H$39+'Appendix K'!$G$39))/((1+$Y$16)^AG$34))</f>
        <v>4311190.1175441584</v>
      </c>
      <c r="AH120" s="193">
        <f>(((K120*'Appendix K'!$C$14*1000)-('Appendix K'!$E$40+'Appendix K'!$F$40+'Appendix K'!$H$40+'Appendix K'!$G$40))/((1+$Y$16)^AH$34))</f>
        <v>2288562.2068413794</v>
      </c>
      <c r="AI120" s="193">
        <f>(((L120*'Appendix K'!$C$15*1000)-('Appendix K'!$E$41+'Appendix K'!$F$41+'Appendix K'!$H$41+'Appendix K'!$G$41))/((1+$Y$16)^AI$34))</f>
        <v>1218743.7271610308</v>
      </c>
      <c r="AJ120" s="193">
        <f>(((M120*'Appendix K'!$C$16*1000)-('Appendix K'!$E$42+'Appendix K'!$F$42+'Appendix K'!$H$42+'Appendix K'!$G$42))/((1+$Y$16)^AJ$34))</f>
        <v>919828.74566014973</v>
      </c>
      <c r="AK120" s="193">
        <f>(((N120*'Appendix K'!$C$17*1000)-('Appendix K'!$E$43+'Appendix K'!$F$43+'Appendix K'!$H$43))/((1+$Y$16)^AK$34))</f>
        <v>635468.69704322121</v>
      </c>
      <c r="AL120" s="193">
        <f>(((O120*'Appendix K'!$C$18*1000)-('Appendix K'!$E$44+'Appendix K'!$F$44+'Appendix K'!$H$44+'Appendix K'!$G$44))/((1+$Y$16)^AL$34))</f>
        <v>347578.82411109324</v>
      </c>
      <c r="AM120" s="193">
        <f>(((P120*'Appendix K'!$C$19*1000)-('Appendix K'!$E$45+'Appendix K'!$F$45+'Appendix K'!$H$45+'Appendix K'!$G$45))/((1+$Y$16)^AM$34))</f>
        <v>-193666.91963233741</v>
      </c>
      <c r="AN120" s="193">
        <f>(((Q120*'Appendix K'!$C$20*1000)-('Appendix K'!$E$46+'Appendix K'!$F$46+'Appendix K'!$H$46+'Appendix K'!$G$46))/((1+$Y$16)^AN$34))</f>
        <v>11000.410887109683</v>
      </c>
      <c r="AO120" s="193">
        <f>(((R120*'Appendix K'!$C$21*1000)-('Appendix K'!$E$47+'Appendix K'!$F$47+'Appendix K'!$H$47+'Appendix K'!$G$47))/((1+$Y$16)^AO$34))</f>
        <v>82289.022375452783</v>
      </c>
      <c r="AP120" s="193">
        <f>(((S120*'Appendix K'!$C$22*1000)-('Appendix K'!$E$48+'Appendix K'!$F$48+'Appendix K'!$H$48+'Appendix K'!$G$48))/((1+$Y$16)^AP$34))</f>
        <v>-57576.395209825518</v>
      </c>
      <c r="AQ120" s="193">
        <f>(((T120*'Appendix K'!$C$23*1000)-('Appendix K'!$E$49+'Appendix K'!$F$49+'Appendix K'!$H$49+'Appendix K'!$G$49))/((1+$Y$16)^AQ$34))</f>
        <v>-124745.16724383231</v>
      </c>
      <c r="AR120" s="193">
        <f>(((U120*'Appendix K'!$C$24*1000)-('Appendix K'!$E$50+'Appendix K'!$F$50+'Appendix K'!$H$50+'Appendix K'!$G$50))/((1+$Y$16)^AR$34))</f>
        <v>-175511.9280711039</v>
      </c>
      <c r="AS120" s="209">
        <f t="shared" si="18"/>
        <v>113389455.20462888</v>
      </c>
      <c r="AU120" s="199">
        <f t="shared" si="17"/>
        <v>6.3409156308837145E-9</v>
      </c>
    </row>
    <row r="121" spans="1:47" x14ac:dyDescent="0.35">
      <c r="A121">
        <v>87</v>
      </c>
      <c r="B121" s="70">
        <v>56</v>
      </c>
      <c r="C121" s="70">
        <v>59.405010007239269</v>
      </c>
      <c r="D121" s="70">
        <v>27.812973761097233</v>
      </c>
      <c r="E121" s="70">
        <v>36.200540478828415</v>
      </c>
      <c r="F121" s="70">
        <v>29.300638359181676</v>
      </c>
      <c r="G121" s="70">
        <v>25.335699012020779</v>
      </c>
      <c r="H121" s="70">
        <v>33.50253644329765</v>
      </c>
      <c r="I121" s="70">
        <v>36.90564287410907</v>
      </c>
      <c r="J121" s="70">
        <v>25.036008890028796</v>
      </c>
      <c r="K121" s="70">
        <v>20.097719390866509</v>
      </c>
      <c r="L121" s="70">
        <v>18.032257537664847</v>
      </c>
      <c r="M121" s="70">
        <v>23.466176764681585</v>
      </c>
      <c r="N121" s="70">
        <v>17.119806798872791</v>
      </c>
      <c r="O121" s="70">
        <v>16.148061119088233</v>
      </c>
      <c r="P121" s="70">
        <v>13.064547568138767</v>
      </c>
      <c r="Q121" s="70">
        <v>14.753486067737679</v>
      </c>
      <c r="R121" s="70">
        <v>20.427880299602329</v>
      </c>
      <c r="S121" s="70">
        <v>21.450979774957059</v>
      </c>
      <c r="T121" s="70">
        <v>24.335488601130269</v>
      </c>
      <c r="U121" s="70">
        <v>23.069345186560046</v>
      </c>
      <c r="V121" s="70">
        <v>16.099493652543153</v>
      </c>
      <c r="X121" s="193">
        <f>((0-('Appendix K'!$I$30))/(1+$Y$16)^0)</f>
        <v>-33594902.4440751</v>
      </c>
      <c r="Y121" s="193">
        <f>(((B121*'Appendix K'!$C$5*1000)-('Appendix K'!$E$31+'Appendix K'!$F$31+'Appendix K'!$H$31+'Appendix K'!$G$31))/((1+$Y$16)^1))</f>
        <v>34971064.972647354</v>
      </c>
      <c r="Z121" s="193">
        <f>+(((C121*'Appendix K'!$C$6*1000)-('Appendix K'!$E$32+'Appendix K'!$F$32+'Appendix K'!$H$32+'Appendix K'!$G$32))/((1+$Y$16)^2))</f>
        <v>11519473.869199753</v>
      </c>
      <c r="AA121" s="193">
        <f>(((D121*'Appendix K'!$C$7*1000)-('Appendix K'!$E$33+'Appendix K'!$F$33+'Appendix K'!$H$33+'Appendix K'!$G$33))/((1+$Y$16)^3))</f>
        <v>577775.91980780417</v>
      </c>
      <c r="AB121" s="193">
        <f>(((E121*'Appendix K'!$C$8*1000)-('Appendix K'!$E$34+'Appendix K'!$F$34+'Appendix K'!$H$34+'Appendix K'!$G$34))/((1+$Y$16)^4))</f>
        <v>4641619.2000524122</v>
      </c>
      <c r="AC121" s="193">
        <f>(((F121*'Appendix K'!$C$9*1000)-('Appendix K'!$E$35+'Appendix K'!$F$35+'Appendix K'!$H$35+'Appendix K'!$G$35))/((1+$Y$16)^AC$34))</f>
        <v>4803835.1464525592</v>
      </c>
      <c r="AD121" s="193">
        <f>(((G121*'Appendix K'!$C$10*1000)-('Appendix K'!$E$36+'Appendix K'!$F$36+'Appendix K'!$H$36+'Appendix K'!$G$36))/((1+$Y$16)^AD$34))</f>
        <v>1463055.3094848685</v>
      </c>
      <c r="AE121" s="193">
        <f>(((H121*'Appendix K'!$C$11*1000)-('Appendix K'!$E$37+'Appendix K'!$F$37+'Appendix K'!$H$37+'Appendix K'!$G$37))/((1+$Y$16)^AE$34))</f>
        <v>1121522.579472017</v>
      </c>
      <c r="AF121" s="193">
        <f>(((I121*'Appendix K'!$C$12*1000)-('Appendix K'!$E$38+'Appendix K'!$F$38+'Appendix K'!$H$38+'Appendix K'!$G$38))/((1+$Y$16)^AF$34))</f>
        <v>426735.0719050109</v>
      </c>
      <c r="AG121" s="193">
        <f>(((J121*'Appendix K'!$C$13*1000)-('Appendix K'!$E$39+'Appendix K'!$F$39+'Appendix K'!$H$39+'Appendix K'!$G$39))/((1+$Y$16)^AG$34))</f>
        <v>-662813.46627521387</v>
      </c>
      <c r="AH121" s="193">
        <f>(((K121*'Appendix K'!$C$14*1000)-('Appendix K'!$E$40+'Appendix K'!$F$40+'Appendix K'!$H$40+'Appendix K'!$G$40))/((1+$Y$16)^AH$34))</f>
        <v>-955316.83967378014</v>
      </c>
      <c r="AI121" s="193">
        <f>(((L121*'Appendix K'!$C$15*1000)-('Appendix K'!$E$41+'Appendix K'!$F$41+'Appendix K'!$H$41+'Appendix K'!$G$41))/((1+$Y$16)^AI$34))</f>
        <v>-1044002.4803572658</v>
      </c>
      <c r="AJ121" s="193">
        <f>(((M121*'Appendix K'!$C$16*1000)-('Appendix K'!$E$42+'Appendix K'!$F$42+'Appendix K'!$H$42+'Appendix K'!$G$42))/((1+$Y$16)^AJ$34))</f>
        <v>-911244.96550913376</v>
      </c>
      <c r="AK121" s="193">
        <f>(((N121*'Appendix K'!$C$17*1000)-('Appendix K'!$E$43+'Appendix K'!$F$43+'Appendix K'!$H$43))/((1+$Y$16)^AK$34))</f>
        <v>-741231.66014503618</v>
      </c>
      <c r="AL121" s="193">
        <f>(((O121*'Appendix K'!$C$18*1000)-('Appendix K'!$E$44+'Appendix K'!$F$44+'Appendix K'!$H$44+'Appendix K'!$G$44))/((1+$Y$16)^AL$34))</f>
        <v>-943181.40562432772</v>
      </c>
      <c r="AM121" s="193">
        <f>(((P121*'Appendix K'!$C$19*1000)-('Appendix K'!$E$45+'Appendix K'!$F$45+'Appendix K'!$H$45+'Appendix K'!$G$45))/((1+$Y$16)^AM$34))</f>
        <v>-905674.15471677482</v>
      </c>
      <c r="AN121" s="193">
        <f>(((Q121*'Appendix K'!$C$20*1000)-('Appendix K'!$E$46+'Appendix K'!$F$46+'Appendix K'!$H$46+'Appendix K'!$G$46))/((1+$Y$16)^AN$34))</f>
        <v>-808949.41378204443</v>
      </c>
      <c r="AO121" s="193">
        <f>(((R121*'Appendix K'!$C$21*1000)-('Appendix K'!$E$47+'Appendix K'!$F$47+'Appendix K'!$H$47+'Appendix K'!$G$47))/((1+$Y$16)^AO$34))</f>
        <v>-722267.89593731624</v>
      </c>
      <c r="AP121" s="193">
        <f>(((S121*'Appendix K'!$C$22*1000)-('Appendix K'!$E$48+'Appendix K'!$F$48+'Appendix K'!$H$48+'Appendix K'!$G$48))/((1+$Y$16)^AP$34))</f>
        <v>-661709.06009086582</v>
      </c>
      <c r="AQ121" s="193">
        <f>(((T121*'Appendix K'!$C$23*1000)-('Appendix K'!$E$49+'Appendix K'!$F$49+'Appendix K'!$H$49+'Appendix K'!$G$49))/((1+$Y$16)^AQ$34))</f>
        <v>-598242.75917182199</v>
      </c>
      <c r="AR121" s="193">
        <f>(((U121*'Appendix K'!$C$24*1000)-('Appendix K'!$E$50+'Appendix K'!$F$50+'Appendix K'!$H$50+'Appendix K'!$G$50))/((1+$Y$16)^AR$34))</f>
        <v>-555004.93143086333</v>
      </c>
      <c r="AS121" s="209">
        <f t="shared" si="18"/>
        <v>25930179.624946684</v>
      </c>
      <c r="AU121" s="199">
        <f t="shared" si="17"/>
        <v>3.8938095143792897E-9</v>
      </c>
    </row>
    <row r="122" spans="1:47" x14ac:dyDescent="0.35">
      <c r="A122">
        <v>88</v>
      </c>
      <c r="B122" s="70">
        <v>56</v>
      </c>
      <c r="C122" s="70">
        <v>63.186711608610132</v>
      </c>
      <c r="D122" s="70">
        <v>112.17599820392738</v>
      </c>
      <c r="E122" s="70">
        <v>127.68328113070672</v>
      </c>
      <c r="F122" s="70">
        <v>109.89393936252711</v>
      </c>
      <c r="G122" s="70">
        <v>86.394849275004077</v>
      </c>
      <c r="H122" s="70">
        <v>53.076426380118733</v>
      </c>
      <c r="I122" s="70">
        <v>68.118603829612724</v>
      </c>
      <c r="J122" s="70">
        <v>60.339500190797715</v>
      </c>
      <c r="K122" s="70">
        <v>61.612848985477143</v>
      </c>
      <c r="L122" s="70">
        <v>87.636589181420959</v>
      </c>
      <c r="M122" s="70">
        <v>153.23207060461419</v>
      </c>
      <c r="N122" s="70">
        <v>112.13618408165689</v>
      </c>
      <c r="O122" s="70">
        <v>184.01992572563904</v>
      </c>
      <c r="P122" s="70">
        <v>234.39715828791728</v>
      </c>
      <c r="Q122" s="70">
        <v>178.08926949861097</v>
      </c>
      <c r="R122" s="70">
        <v>165.08424062688599</v>
      </c>
      <c r="S122" s="70">
        <v>217.67607452153106</v>
      </c>
      <c r="T122" s="70">
        <v>186.25052587701069</v>
      </c>
      <c r="U122" s="70">
        <v>176.81387185605485</v>
      </c>
      <c r="V122" s="70">
        <v>153.70748229527038</v>
      </c>
      <c r="X122" s="193">
        <f>((0-('Appendix K'!$I$30))/(1+$Y$16)^0)</f>
        <v>-33594902.4440751</v>
      </c>
      <c r="Y122" s="193">
        <f>(((B122*'Appendix K'!$C$5*1000)-('Appendix K'!$E$31+'Appendix K'!$F$31+'Appendix K'!$H$31+'Appendix K'!$G$31))/((1+$Y$16)^1))</f>
        <v>34971064.972647354</v>
      </c>
      <c r="Z122" s="193">
        <f>+(((C122*'Appendix K'!$C$6*1000)-('Appendix K'!$E$32+'Appendix K'!$F$32+'Appendix K'!$H$32+'Appendix K'!$G$32))/((1+$Y$16)^2))</f>
        <v>12474796.372617779</v>
      </c>
      <c r="AA122" s="193">
        <f>(((D122*'Appendix K'!$C$7*1000)-('Appendix K'!$E$33+'Appendix K'!$F$33+'Appendix K'!$H$33+'Appendix K'!$G$33))/((1+$Y$16)^3))</f>
        <v>11323505.389987275</v>
      </c>
      <c r="AB122" s="193">
        <f>(((E122*'Appendix K'!$C$8*1000)-('Appendix K'!$E$34+'Appendix K'!$F$34+'Appendix K'!$H$34+'Appendix K'!$G$34))/((1+$Y$16)^4))</f>
        <v>24693798.507057738</v>
      </c>
      <c r="AC122" s="193">
        <f>(((F122*'Appendix K'!$C$9*1000)-('Appendix K'!$E$35+'Appendix K'!$F$35+'Appendix K'!$H$35+'Appendix K'!$G$35))/((1+$Y$16)^AC$34))</f>
        <v>26225407.998949055</v>
      </c>
      <c r="AD122" s="193">
        <f>(((G122*'Appendix K'!$C$10*1000)-('Appendix K'!$E$36+'Appendix K'!$F$36+'Appendix K'!$H$36+'Appendix K'!$G$36))/((1+$Y$16)^AD$34))</f>
        <v>11052025.543012403</v>
      </c>
      <c r="AE122" s="193">
        <f>(((H122*'Appendix K'!$C$11*1000)-('Appendix K'!$E$37+'Appendix K'!$F$37+'Appendix K'!$H$37+'Appendix K'!$G$37))/((1+$Y$16)^AE$34))</f>
        <v>3073775.9488768503</v>
      </c>
      <c r="AF122" s="193">
        <f>(((I122*'Appendix K'!$C$12*1000)-('Appendix K'!$E$38+'Appendix K'!$F$38+'Appendix K'!$H$38+'Appendix K'!$G$38))/((1+$Y$16)^AF$34))</f>
        <v>2476253.8433181276</v>
      </c>
      <c r="AG122" s="193">
        <f>(((J122*'Appendix K'!$C$13*1000)-('Appendix K'!$E$39+'Appendix K'!$F$39+'Appendix K'!$H$39+'Appendix K'!$G$39))/((1+$Y$16)^AG$34))</f>
        <v>961815.51909069647</v>
      </c>
      <c r="AH122" s="193">
        <f>(((K122*'Appendix K'!$C$14*1000)-('Appendix K'!$E$40+'Appendix K'!$F$40+'Appendix K'!$H$40+'Appendix K'!$G$40))/((1+$Y$16)^AH$34))</f>
        <v>444013.98679221229</v>
      </c>
      <c r="AI122" s="193">
        <f>(((L122*'Appendix K'!$C$15*1000)-('Appendix K'!$E$41+'Appendix K'!$F$41+'Appendix K'!$H$41+'Appendix K'!$G$41))/((1+$Y$16)^AI$34))</f>
        <v>779761.16944756336</v>
      </c>
      <c r="AJ122" s="193">
        <f>(((M122*'Appendix K'!$C$16*1000)-('Appendix K'!$E$42+'Appendix K'!$F$42+'Appendix K'!$H$42+'Appendix K'!$G$42))/((1+$Y$16)^AJ$34))</f>
        <v>1689505.8171052975</v>
      </c>
      <c r="AK122" s="193">
        <f>(((N122*'Appendix K'!$C$17*1000)-('Appendix K'!$E$43+'Appendix K'!$F$43+'Appendix K'!$H$43))/((1+$Y$16)^AK$34))</f>
        <v>718590.21769764891</v>
      </c>
      <c r="AL122" s="193">
        <f>(((O122*'Appendix K'!$C$18*1000)-('Appendix K'!$E$44+'Appendix K'!$F$44+'Appendix K'!$H$44+'Appendix K'!$G$44))/((1+$Y$16)^AL$34))</f>
        <v>1046653.2022101821</v>
      </c>
      <c r="AM122" s="193">
        <f>(((P122*'Appendix K'!$C$19*1000)-('Appendix K'!$E$45+'Appendix K'!$F$45+'Appendix K'!$H$45+'Appendix K'!$G$45))/((1+$Y$16)^AM$34))</f>
        <v>1145798.4509283307</v>
      </c>
      <c r="AN122" s="193">
        <f>(((Q122*'Appendix K'!$C$20*1000)-('Appendix K'!$E$46+'Appendix K'!$F$46+'Appendix K'!$H$46+'Appendix K'!$G$46))/((1+$Y$16)^AN$34))</f>
        <v>372983.74116637651</v>
      </c>
      <c r="AO122" s="193">
        <f>(((R122*'Appendix K'!$C$21*1000)-('Appendix K'!$E$47+'Appendix K'!$F$47+'Appendix K'!$H$47+'Appendix K'!$G$47))/((1+$Y$16)^AO$34))</f>
        <v>132667.17523743949</v>
      </c>
      <c r="AP122" s="193">
        <f>(((S122*'Appendix K'!$C$22*1000)-('Appendix K'!$E$48+'Appendix K'!$F$48+'Appendix K'!$H$48+'Appendix K'!$G$48))/((1+$Y$16)^AP$34))</f>
        <v>278154.07154071977</v>
      </c>
      <c r="AQ122" s="193">
        <f>(((T122*'Appendix K'!$C$23*1000)-('Appendix K'!$E$49+'Appendix K'!$F$49+'Appendix K'!$H$49+'Appendix K'!$G$49))/((1+$Y$16)^AQ$34))</f>
        <v>35451.245413364653</v>
      </c>
      <c r="AR122" s="193">
        <f>(((U122*'Appendix K'!$C$24*1000)-('Appendix K'!$E$50+'Appendix K'!$F$50+'Appendix K'!$H$50+'Appendix K'!$G$50))/((1+$Y$16)^AR$34))</f>
        <v>-59943.247808941342</v>
      </c>
      <c r="AS122" s="209">
        <f t="shared" si="18"/>
        <v>100301120.72902131</v>
      </c>
      <c r="AU122" s="199">
        <f t="shared" si="17"/>
        <v>6.8562687075320502E-9</v>
      </c>
    </row>
    <row r="123" spans="1:47" x14ac:dyDescent="0.35">
      <c r="A123">
        <v>89</v>
      </c>
      <c r="B123" s="70">
        <v>56</v>
      </c>
      <c r="C123" s="70">
        <v>76.190677611844521</v>
      </c>
      <c r="D123" s="70">
        <v>67.99990530782938</v>
      </c>
      <c r="E123" s="70">
        <v>41.931068627986271</v>
      </c>
      <c r="F123" s="70">
        <v>24.858988312335704</v>
      </c>
      <c r="G123" s="70">
        <v>26.363792124786457</v>
      </c>
      <c r="H123" s="70">
        <v>25.018440965359112</v>
      </c>
      <c r="I123" s="70">
        <v>26.277282185721205</v>
      </c>
      <c r="J123" s="70">
        <v>23.570131799019446</v>
      </c>
      <c r="K123" s="70">
        <v>23.780465191117059</v>
      </c>
      <c r="L123" s="70">
        <v>26.639514457443425</v>
      </c>
      <c r="M123" s="70">
        <v>40.995273720820634</v>
      </c>
      <c r="N123" s="70">
        <v>38.180661441107446</v>
      </c>
      <c r="O123" s="70">
        <v>26.920789243224675</v>
      </c>
      <c r="P123" s="70">
        <v>7.143510406808371</v>
      </c>
      <c r="Q123" s="70">
        <v>4.5293653157522158</v>
      </c>
      <c r="R123" s="70">
        <v>5.4228434732766022</v>
      </c>
      <c r="S123" s="70">
        <v>7.713718443711544</v>
      </c>
      <c r="T123" s="70">
        <v>5.0565470371793753</v>
      </c>
      <c r="U123" s="70">
        <v>3.8581467431672971</v>
      </c>
      <c r="V123" s="70">
        <v>3.0102685287694064</v>
      </c>
      <c r="X123" s="193">
        <f>((0-('Appendix K'!$I$30))/(1+$Y$16)^0)</f>
        <v>-33594902.4440751</v>
      </c>
      <c r="Y123" s="193">
        <f>(((B123*'Appendix K'!$C$5*1000)-('Appendix K'!$E$31+'Appendix K'!$F$31+'Appendix K'!$H$31+'Appendix K'!$G$31))/((1+$Y$16)^1))</f>
        <v>34971064.972647354</v>
      </c>
      <c r="Z123" s="193">
        <f>+(((C123*'Appendix K'!$C$6*1000)-('Appendix K'!$E$32+'Appendix K'!$F$32+'Appendix K'!$H$32+'Appendix K'!$G$32))/((1+$Y$16)^2))</f>
        <v>15759820.593478946</v>
      </c>
      <c r="AA123" s="193">
        <f>(((D123*'Appendix K'!$C$7*1000)-('Appendix K'!$E$33+'Appendix K'!$F$33+'Appendix K'!$H$33+'Appendix K'!$G$33))/((1+$Y$16)^3))</f>
        <v>5696581.196051144</v>
      </c>
      <c r="AB123" s="193">
        <f>(((E123*'Appendix K'!$C$8*1000)-('Appendix K'!$E$34+'Appendix K'!$F$34+'Appendix K'!$H$34+'Appendix K'!$G$34))/((1+$Y$16)^4))</f>
        <v>5897698.5124117024</v>
      </c>
      <c r="AC123" s="193">
        <f>(((F123*'Appendix K'!$C$9*1000)-('Appendix K'!$E$35+'Appendix K'!$F$35+'Appendix K'!$H$35+'Appendix K'!$G$35))/((1+$Y$16)^AC$34))</f>
        <v>3623251.5386430733</v>
      </c>
      <c r="AD123" s="193">
        <f>(((G123*'Appendix K'!$C$10*1000)-('Appendix K'!$E$36+'Appendix K'!$F$36+'Appendix K'!$H$36+'Appendix K'!$G$36))/((1+$Y$16)^AD$34))</f>
        <v>1624511.1144403021</v>
      </c>
      <c r="AE123" s="193">
        <f>(((H123*'Appendix K'!$C$11*1000)-('Appendix K'!$E$37+'Appendix K'!$F$37+'Appendix K'!$H$37+'Appendix K'!$G$37))/((1+$Y$16)^AE$34))</f>
        <v>275339.01368009765</v>
      </c>
      <c r="AF123" s="193">
        <f>(((I123*'Appendix K'!$C$12*1000)-('Appendix K'!$E$38+'Appendix K'!$F$38+'Appendix K'!$H$38+'Appendix K'!$G$38))/((1+$Y$16)^AF$34))</f>
        <v>-271148.88634084229</v>
      </c>
      <c r="AG123" s="193">
        <f>(((J123*'Appendix K'!$C$13*1000)-('Appendix K'!$E$39+'Appendix K'!$F$39+'Appendix K'!$H$39+'Appendix K'!$G$39))/((1+$Y$16)^AG$34))</f>
        <v>-730271.56527024962</v>
      </c>
      <c r="AH123" s="193">
        <f>(((K123*'Appendix K'!$C$14*1000)-('Appendix K'!$E$40+'Appendix K'!$F$40+'Appendix K'!$H$40+'Appendix K'!$G$40))/((1+$Y$16)^AH$34))</f>
        <v>-831184.26982151705</v>
      </c>
      <c r="AI123" s="193">
        <f>(((L123*'Appendix K'!$C$15*1000)-('Appendix K'!$E$41+'Appendix K'!$F$41+'Appendix K'!$H$41+'Appendix K'!$G$41))/((1+$Y$16)^AI$34))</f>
        <v>-818476.25340970187</v>
      </c>
      <c r="AJ123" s="193">
        <f>(((M123*'Appendix K'!$C$16*1000)-('Appendix K'!$E$42+'Appendix K'!$F$42+'Appendix K'!$H$42+'Appendix K'!$G$42))/((1+$Y$16)^AJ$34))</f>
        <v>-559929.13607064437</v>
      </c>
      <c r="AK123" s="193">
        <f>(((N123*'Appendix K'!$C$17*1000)-('Appendix K'!$E$43+'Appendix K'!$F$43+'Appendix K'!$H$43))/((1+$Y$16)^AK$34))</f>
        <v>-417654.84894651559</v>
      </c>
      <c r="AL123" s="193">
        <f>(((O123*'Appendix K'!$C$18*1000)-('Appendix K'!$E$44+'Appendix K'!$F$44+'Appendix K'!$H$44+'Appendix K'!$G$44))/((1+$Y$16)^AL$34))</f>
        <v>-815489.08927078475</v>
      </c>
      <c r="AM123" s="193">
        <f>(((P123*'Appendix K'!$C$19*1000)-('Appendix K'!$E$45+'Appendix K'!$F$45+'Appendix K'!$H$45+'Appendix K'!$G$45))/((1+$Y$16)^AM$34))</f>
        <v>-960554.66009722534</v>
      </c>
      <c r="AN123" s="193">
        <f>(((Q123*'Appendix K'!$C$20*1000)-('Appendix K'!$E$46+'Appendix K'!$F$46+'Appendix K'!$H$46+'Appendix K'!$G$46))/((1+$Y$16)^AN$34))</f>
        <v>-882933.3690620095</v>
      </c>
      <c r="AO123" s="193">
        <f>(((R123*'Appendix K'!$C$21*1000)-('Appendix K'!$E$47+'Appendix K'!$F$47+'Appendix K'!$H$47+'Appendix K'!$G$47))/((1+$Y$16)^AO$34))</f>
        <v>-810949.32133797358</v>
      </c>
      <c r="AP123" s="193">
        <f>(((S123*'Appendix K'!$C$22*1000)-('Appendix K'!$E$48+'Appendix K'!$F$48+'Appendix K'!$H$48+'Appendix K'!$G$48))/((1+$Y$16)^AP$34))</f>
        <v>-727506.68639091018</v>
      </c>
      <c r="AQ123" s="193">
        <f>(((T123*'Appendix K'!$C$23*1000)-('Appendix K'!$E$49+'Appendix K'!$F$49+'Appendix K'!$H$49+'Appendix K'!$G$49))/((1+$Y$16)^AQ$34))</f>
        <v>-673695.60091750789</v>
      </c>
      <c r="AR123" s="193">
        <f>(((U123*'Appendix K'!$C$24*1000)-('Appendix K'!$E$50+'Appendix K'!$F$50+'Appendix K'!$H$50+'Appendix K'!$G$50))/((1+$Y$16)^AR$34))</f>
        <v>-616865.52869444015</v>
      </c>
      <c r="AS123" s="209">
        <f t="shared" si="18"/>
        <v>34253364.497277535</v>
      </c>
      <c r="AU123" s="199">
        <f t="shared" si="17"/>
        <v>4.5179096748621347E-9</v>
      </c>
    </row>
    <row r="124" spans="1:47" x14ac:dyDescent="0.35">
      <c r="A124">
        <v>90</v>
      </c>
      <c r="B124" s="70">
        <v>56</v>
      </c>
      <c r="C124" s="70">
        <v>60.636983745887612</v>
      </c>
      <c r="D124" s="70">
        <v>61.941999792820923</v>
      </c>
      <c r="E124" s="70">
        <v>87.763275053407483</v>
      </c>
      <c r="F124" s="70">
        <v>99.31824576515497</v>
      </c>
      <c r="G124" s="70">
        <v>78.122060918699333</v>
      </c>
      <c r="H124" s="70">
        <v>73.214597006359469</v>
      </c>
      <c r="I124" s="70">
        <v>96.902100812969621</v>
      </c>
      <c r="J124" s="70">
        <v>95.129411838588823</v>
      </c>
      <c r="K124" s="70">
        <v>101.26938615208219</v>
      </c>
      <c r="L124" s="70">
        <v>106.53182614613505</v>
      </c>
      <c r="M124" s="70">
        <v>56.663440805265019</v>
      </c>
      <c r="N124" s="70">
        <v>56.827598451130449</v>
      </c>
      <c r="O124" s="70">
        <v>92.331370399595627</v>
      </c>
      <c r="P124" s="70">
        <v>145.88344902079967</v>
      </c>
      <c r="Q124" s="70">
        <v>111.28178405671952</v>
      </c>
      <c r="R124" s="70">
        <v>91.457213666909666</v>
      </c>
      <c r="S124" s="70">
        <v>72.56191708209883</v>
      </c>
      <c r="T124" s="70">
        <v>67.497749951125357</v>
      </c>
      <c r="U124" s="70">
        <v>80.644886776910084</v>
      </c>
      <c r="V124" s="70">
        <v>91.10218561646461</v>
      </c>
      <c r="X124" s="193">
        <f>((0-('Appendix K'!$I$30))/(1+$Y$16)^0)</f>
        <v>-33594902.4440751</v>
      </c>
      <c r="Y124" s="193">
        <f>(((B124*'Appendix K'!$C$5*1000)-('Appendix K'!$E$31+'Appendix K'!$F$31+'Appendix K'!$H$31+'Appendix K'!$G$31))/((1+$Y$16)^1))</f>
        <v>34971064.972647354</v>
      </c>
      <c r="Z124" s="193">
        <f>+(((C124*'Appendix K'!$C$6*1000)-('Appendix K'!$E$32+'Appendix K'!$F$32+'Appendix K'!$H$32+'Appendix K'!$G$32))/((1+$Y$16)^2))</f>
        <v>11830691.506182047</v>
      </c>
      <c r="AA124" s="193">
        <f>(((D124*'Appendix K'!$C$7*1000)-('Appendix K'!$E$33+'Appendix K'!$F$33+'Appendix K'!$H$33+'Appendix K'!$G$33))/((1+$Y$16)^3))</f>
        <v>4924956.2543173051</v>
      </c>
      <c r="AB124" s="193">
        <f>(((E124*'Appendix K'!$C$8*1000)-('Appendix K'!$E$34+'Appendix K'!$F$34+'Appendix K'!$H$34+'Appendix K'!$G$34))/((1+$Y$16)^4))</f>
        <v>15943698.607396377</v>
      </c>
      <c r="AC124" s="193">
        <f>(((F124*'Appendix K'!$C$9*1000)-('Appendix K'!$E$35+'Appendix K'!$F$35+'Appendix K'!$H$35+'Appendix K'!$G$35))/((1+$Y$16)^AC$34))</f>
        <v>23414405.247586582</v>
      </c>
      <c r="AD124" s="193">
        <f>(((G124*'Appendix K'!$C$10*1000)-('Appendix K'!$E$36+'Appendix K'!$F$36+'Appendix K'!$H$36+'Appendix K'!$G$36))/((1+$Y$16)^AD$34))</f>
        <v>9752834.1694801208</v>
      </c>
      <c r="AE124" s="193">
        <f>(((H124*'Appendix K'!$C$11*1000)-('Appendix K'!$E$37+'Appendix K'!$F$37+'Appendix K'!$H$37+'Appendix K'!$G$37))/((1+$Y$16)^AE$34))</f>
        <v>5082309.3362426143</v>
      </c>
      <c r="AF124" s="193">
        <f>(((I124*'Appendix K'!$C$12*1000)-('Appendix K'!$E$38+'Appendix K'!$F$38+'Appendix K'!$H$38+'Appendix K'!$G$38))/((1+$Y$16)^AF$34))</f>
        <v>4366248.1139161848</v>
      </c>
      <c r="AG124" s="193">
        <f>(((J124*'Appendix K'!$C$13*1000)-('Appendix K'!$E$39+'Appendix K'!$F$39+'Appendix K'!$H$39+'Appendix K'!$G$39))/((1+$Y$16)^AG$34))</f>
        <v>2562810.1170411124</v>
      </c>
      <c r="AH124" s="193">
        <f>(((K124*'Appendix K'!$C$14*1000)-('Appendix K'!$E$40+'Appendix K'!$F$40+'Appendix K'!$H$40+'Appendix K'!$G$40))/((1+$Y$16)^AH$34))</f>
        <v>1780698.1178548466</v>
      </c>
      <c r="AI124" s="193">
        <f>(((L124*'Appendix K'!$C$15*1000)-('Appendix K'!$E$41+'Appendix K'!$F$41+'Appendix K'!$H$41+'Appendix K'!$G$41))/((1+$Y$16)^AI$34))</f>
        <v>1274851.7121894585</v>
      </c>
      <c r="AJ124" s="193">
        <f>(((M124*'Appendix K'!$C$16*1000)-('Appendix K'!$E$42+'Appendix K'!$F$42+'Appendix K'!$H$42+'Appendix K'!$G$42))/((1+$Y$16)^AJ$34))</f>
        <v>-245909.81557594897</v>
      </c>
      <c r="AK124" s="193">
        <f>(((N124*'Appendix K'!$C$17*1000)-('Appendix K'!$E$43+'Appendix K'!$F$43+'Appendix K'!$H$43))/((1+$Y$16)^AK$34))</f>
        <v>-131165.22073251492</v>
      </c>
      <c r="AL124" s="193">
        <f>(((O124*'Appendix K'!$C$18*1000)-('Appendix K'!$E$44+'Appendix K'!$F$44+'Appendix K'!$H$44+'Appendix K'!$G$44))/((1+$Y$16)^AL$34))</f>
        <v>-40158.223621748984</v>
      </c>
      <c r="AM124" s="193">
        <f>(((P124*'Appendix K'!$C$19*1000)-('Appendix K'!$E$45+'Appendix K'!$F$45+'Appendix K'!$H$45+'Appendix K'!$G$45))/((1+$Y$16)^AM$34))</f>
        <v>325388.61979222414</v>
      </c>
      <c r="AN124" s="193">
        <f>(((Q124*'Appendix K'!$C$20*1000)-('Appendix K'!$E$46+'Appendix K'!$F$46+'Appendix K'!$H$46+'Appendix K'!$G$46))/((1+$Y$16)^AN$34))</f>
        <v>-110449.7134257928</v>
      </c>
      <c r="AO124" s="193">
        <f>(((R124*'Appendix K'!$C$21*1000)-('Appendix K'!$E$47+'Appendix K'!$F$47+'Appendix K'!$H$47+'Appendix K'!$G$47))/((1+$Y$16)^AO$34))</f>
        <v>-302476.68841292144</v>
      </c>
      <c r="AP124" s="193">
        <f>(((S124*'Appendix K'!$C$22*1000)-('Appendix K'!$E$48+'Appendix K'!$F$48+'Appendix K'!$H$48+'Appendix K'!$G$48))/((1+$Y$16)^AP$34))</f>
        <v>-416902.01509921288</v>
      </c>
      <c r="AQ124" s="193">
        <f>(((T124*'Appendix K'!$C$23*1000)-('Appendix K'!$E$49+'Appendix K'!$F$49+'Appendix K'!$H$49+'Appendix K'!$G$49))/((1+$Y$16)^AQ$34))</f>
        <v>-429316.71807023231</v>
      </c>
      <c r="AR124" s="193">
        <f>(((U124*'Appendix K'!$C$24*1000)-('Appendix K'!$E$50+'Appendix K'!$F$50+'Appendix K'!$H$50+'Appendix K'!$G$50))/((1+$Y$16)^AR$34))</f>
        <v>-369610.07430897927</v>
      </c>
      <c r="AS124" s="209">
        <f t="shared" si="18"/>
        <v>82635054.330571115</v>
      </c>
      <c r="AU124" s="199">
        <f t="shared" si="17"/>
        <v>7.0026389296017234E-9</v>
      </c>
    </row>
    <row r="125" spans="1:47" x14ac:dyDescent="0.35">
      <c r="A125">
        <v>91</v>
      </c>
      <c r="B125" s="70">
        <v>56</v>
      </c>
      <c r="C125" s="70">
        <v>59.395924530160201</v>
      </c>
      <c r="D125" s="70">
        <v>98.414894219367156</v>
      </c>
      <c r="E125" s="70">
        <v>131.92195013624954</v>
      </c>
      <c r="F125" s="70">
        <v>124.72809653264976</v>
      </c>
      <c r="G125" s="70">
        <v>119.70503592888957</v>
      </c>
      <c r="H125" s="70">
        <v>81.632010635570737</v>
      </c>
      <c r="I125" s="70">
        <v>77.641598222683754</v>
      </c>
      <c r="J125" s="70">
        <v>79.278547389803791</v>
      </c>
      <c r="K125" s="70">
        <v>130.71644475723326</v>
      </c>
      <c r="L125" s="70">
        <v>148.92001976025691</v>
      </c>
      <c r="M125" s="70">
        <v>125.759424220599</v>
      </c>
      <c r="N125" s="70">
        <v>178.95368281841564</v>
      </c>
      <c r="O125" s="70">
        <v>140.80477792970231</v>
      </c>
      <c r="P125" s="70">
        <v>240.8366220806646</v>
      </c>
      <c r="Q125" s="70">
        <v>166.44946315912321</v>
      </c>
      <c r="R125" s="70">
        <v>183.83627702103152</v>
      </c>
      <c r="S125" s="70">
        <v>208.15847985610694</v>
      </c>
      <c r="T125" s="70">
        <v>265.99116213196885</v>
      </c>
      <c r="U125" s="70">
        <v>271.31953301444207</v>
      </c>
      <c r="V125" s="70">
        <v>249.39069674619796</v>
      </c>
      <c r="X125" s="193">
        <f>((0-('Appendix K'!$I$30))/(1+$Y$16)^0)</f>
        <v>-33594902.4440751</v>
      </c>
      <c r="Y125" s="193">
        <f>(((B125*'Appendix K'!$C$5*1000)-('Appendix K'!$E$31+'Appendix K'!$F$31+'Appendix K'!$H$31+'Appendix K'!$G$31))/((1+$Y$16)^1))</f>
        <v>34971064.972647354</v>
      </c>
      <c r="Z125" s="193">
        <f>+(((C125*'Appendix K'!$C$6*1000)-('Appendix K'!$E$32+'Appendix K'!$F$32+'Appendix K'!$H$32+'Appendix K'!$G$32))/((1+$Y$16)^2))</f>
        <v>11517178.72229954</v>
      </c>
      <c r="AA125" s="193">
        <f>(((D125*'Appendix K'!$C$7*1000)-('Appendix K'!$E$33+'Appendix K'!$F$33+'Appendix K'!$H$33+'Appendix K'!$G$33))/((1+$Y$16)^3))</f>
        <v>9570686.5264423657</v>
      </c>
      <c r="AB125" s="193">
        <f>(((E125*'Appendix K'!$C$8*1000)-('Appendix K'!$E$34+'Appendix K'!$F$34+'Appendix K'!$H$34+'Appendix K'!$G$34))/((1+$Y$16)^4))</f>
        <v>25622875.951792613</v>
      </c>
      <c r="AC125" s="193">
        <f>(((F125*'Appendix K'!$C$9*1000)-('Appendix K'!$E$35+'Appendix K'!$F$35+'Appendix K'!$H$35+'Appendix K'!$G$35))/((1+$Y$16)^AC$34))</f>
        <v>30168303.680960823</v>
      </c>
      <c r="AD125" s="193">
        <f>(((G125*'Appendix K'!$C$10*1000)-('Appendix K'!$E$36+'Appendix K'!$F$36+'Appendix K'!$H$36+'Appendix K'!$G$36))/((1+$Y$16)^AD$34))</f>
        <v>16283188.880884707</v>
      </c>
      <c r="AE125" s="193">
        <f>(((H125*'Appendix K'!$C$11*1000)-('Appendix K'!$E$37+'Appendix K'!$F$37+'Appendix K'!$H$37+'Appendix K'!$G$37))/((1+$Y$16)^AE$34))</f>
        <v>5921842.2125560446</v>
      </c>
      <c r="AF125" s="193">
        <f>(((I125*'Appendix K'!$C$12*1000)-('Appendix K'!$E$38+'Appendix K'!$F$38+'Appendix K'!$H$38+'Appendix K'!$G$38))/((1+$Y$16)^AF$34))</f>
        <v>3101556.7678463263</v>
      </c>
      <c r="AG125" s="193">
        <f>(((J125*'Appendix K'!$C$13*1000)-('Appendix K'!$E$39+'Appendix K'!$F$39+'Appendix K'!$H$39+'Appendix K'!$G$39))/((1+$Y$16)^AG$34))</f>
        <v>1833370.2549263611</v>
      </c>
      <c r="AH125" s="193">
        <f>(((K125*'Appendix K'!$C$14*1000)-('Appendix K'!$E$40+'Appendix K'!$F$40+'Appendix K'!$H$40+'Appendix K'!$G$40))/((1+$Y$16)^AH$34))</f>
        <v>2773256.1866194401</v>
      </c>
      <c r="AI125" s="193">
        <f>(((L125*'Appendix K'!$C$15*1000)-('Appendix K'!$E$41+'Appendix K'!$F$41+'Appendix K'!$H$41+'Appendix K'!$G$41))/((1+$Y$16)^AI$34))</f>
        <v>2385501.6511901934</v>
      </c>
      <c r="AJ125" s="193">
        <f>(((M125*'Appendix K'!$C$16*1000)-('Appendix K'!$E$42+'Appendix K'!$F$42+'Appendix K'!$H$42+'Appendix K'!$G$42))/((1+$Y$16)^AJ$34))</f>
        <v>1138902.6927446653</v>
      </c>
      <c r="AK125" s="193">
        <f>(((N125*'Appendix K'!$C$17*1000)-('Appendix K'!$E$43+'Appendix K'!$F$43+'Appendix K'!$H$43))/((1+$Y$16)^AK$34))</f>
        <v>1745167.416998215</v>
      </c>
      <c r="AL125" s="193">
        <f>(((O125*'Appendix K'!$C$18*1000)-('Appendix K'!$E$44+'Appendix K'!$F$44+'Appendix K'!$H$44+'Appendix K'!$G$44))/((1+$Y$16)^AL$34))</f>
        <v>534411.33923582779</v>
      </c>
      <c r="AM125" s="193">
        <f>(((P125*'Appendix K'!$C$19*1000)-('Appendix K'!$E$45+'Appendix K'!$F$45+'Appendix K'!$H$45+'Appendix K'!$G$45))/((1+$Y$16)^AM$34))</f>
        <v>1205484.1137093562</v>
      </c>
      <c r="AN125" s="193">
        <f>(((Q125*'Appendix K'!$C$20*1000)-('Appendix K'!$E$46+'Appendix K'!$F$46+'Appendix K'!$H$46+'Appendix K'!$G$46))/((1+$Y$16)^AN$34))</f>
        <v>288755.57792594458</v>
      </c>
      <c r="AO125" s="193">
        <f>(((R125*'Appendix K'!$C$21*1000)-('Appendix K'!$E$47+'Appendix K'!$F$47+'Appendix K'!$H$47+'Appendix K'!$G$47))/((1+$Y$16)^AO$34))</f>
        <v>243493.78205257509</v>
      </c>
      <c r="AP125" s="193">
        <f>(((S125*'Appendix K'!$C$22*1000)-('Appendix K'!$E$48+'Appendix K'!$F$48+'Appendix K'!$H$48+'Appendix K'!$G$48))/((1+$Y$16)^AP$34))</f>
        <v>232567.46428542238</v>
      </c>
      <c r="AQ125" s="193">
        <f>(((T125*'Appendix K'!$C$23*1000)-('Appendix K'!$E$49+'Appendix K'!$F$49+'Appendix K'!$H$49+'Appendix K'!$G$49))/((1+$Y$16)^AQ$34))</f>
        <v>347535.68158884579</v>
      </c>
      <c r="AR125" s="193">
        <f>(((U125*'Appendix K'!$C$24*1000)-('Appendix K'!$E$50+'Appendix K'!$F$50+'Appendix K'!$H$50+'Appendix K'!$G$50))/((1+$Y$16)^AR$34))</f>
        <v>244367.62906181969</v>
      </c>
      <c r="AS125" s="209">
        <f t="shared" si="18"/>
        <v>116534609.06169334</v>
      </c>
      <c r="AU125" s="199">
        <f t="shared" si="17"/>
        <v>6.1738310812730184E-9</v>
      </c>
    </row>
    <row r="126" spans="1:47" x14ac:dyDescent="0.35">
      <c r="A126">
        <v>92</v>
      </c>
      <c r="B126" s="70">
        <v>56</v>
      </c>
      <c r="C126" s="70">
        <v>33.810670360546418</v>
      </c>
      <c r="D126" s="70">
        <v>35.460182623284588</v>
      </c>
      <c r="E126" s="70">
        <v>50.148944379634415</v>
      </c>
      <c r="F126" s="70">
        <v>40.156097464181251</v>
      </c>
      <c r="G126" s="70">
        <v>58.32442624392209</v>
      </c>
      <c r="H126" s="70">
        <v>55.357289376695832</v>
      </c>
      <c r="I126" s="70">
        <v>60.03760810310613</v>
      </c>
      <c r="J126" s="70">
        <v>66.81333239118122</v>
      </c>
      <c r="K126" s="70">
        <v>78.383089114294279</v>
      </c>
      <c r="L126" s="70">
        <v>137.35615364294438</v>
      </c>
      <c r="M126" s="70">
        <v>167.69062333702587</v>
      </c>
      <c r="N126" s="70">
        <v>221.54119932519188</v>
      </c>
      <c r="O126" s="70">
        <v>296.83696699800265</v>
      </c>
      <c r="P126" s="70">
        <v>249.5991841670685</v>
      </c>
      <c r="Q126" s="70">
        <v>215.45296149474922</v>
      </c>
      <c r="R126" s="70">
        <v>197.86267928457818</v>
      </c>
      <c r="S126" s="70">
        <v>170.27314077906914</v>
      </c>
      <c r="T126" s="70">
        <v>264.37479692671502</v>
      </c>
      <c r="U126" s="70">
        <v>221.98620402921301</v>
      </c>
      <c r="V126" s="70">
        <v>204.68007274392451</v>
      </c>
      <c r="X126" s="193">
        <f>((0-('Appendix K'!$I$30))/(1+$Y$16)^0)</f>
        <v>-33594902.4440751</v>
      </c>
      <c r="Y126" s="193">
        <f>(((B126*'Appendix K'!$C$5*1000)-('Appendix K'!$E$31+'Appendix K'!$F$31+'Appendix K'!$H$31+'Appendix K'!$G$31))/((1+$Y$16)^1))</f>
        <v>34971064.972647354</v>
      </c>
      <c r="Z126" s="193">
        <f>+(((C126*'Appendix K'!$C$6*1000)-('Appendix K'!$E$32+'Appendix K'!$F$32+'Appendix K'!$H$32+'Appendix K'!$G$32))/((1+$Y$16)^2))</f>
        <v>5053905.9312782679</v>
      </c>
      <c r="AA126" s="193">
        <f>(((D126*'Appendix K'!$C$7*1000)-('Appendix K'!$E$33+'Appendix K'!$F$33+'Appendix K'!$H$33+'Appendix K'!$G$33))/((1+$Y$16)^3))</f>
        <v>1551838.1725274331</v>
      </c>
      <c r="AB126" s="193">
        <f>(((E126*'Appendix K'!$C$8*1000)-('Appendix K'!$E$34+'Appendix K'!$F$34+'Appendix K'!$H$34+'Appendix K'!$G$34))/((1+$Y$16)^4))</f>
        <v>7698981.6497611348</v>
      </c>
      <c r="AC126" s="193">
        <f>(((F126*'Appendix K'!$C$9*1000)-('Appendix K'!$E$35+'Appendix K'!$F$35+'Appendix K'!$H$35+'Appendix K'!$G$35))/((1+$Y$16)^AC$34))</f>
        <v>7689199.1304317228</v>
      </c>
      <c r="AD126" s="193">
        <f>(((G126*'Appendix K'!$C$10*1000)-('Appendix K'!$E$36+'Appendix K'!$F$36+'Appendix K'!$H$36+'Appendix K'!$G$36))/((1+$Y$16)^AD$34))</f>
        <v>6643735.3894766225</v>
      </c>
      <c r="AE126" s="193">
        <f>(((H126*'Appendix K'!$C$11*1000)-('Appendix K'!$E$37+'Appendix K'!$F$37+'Appendix K'!$H$37+'Appendix K'!$G$37))/((1+$Y$16)^AE$34))</f>
        <v>3301263.8158563254</v>
      </c>
      <c r="AF126" s="193">
        <f>(((I126*'Appendix K'!$C$12*1000)-('Appendix K'!$E$38+'Appendix K'!$F$38+'Appendix K'!$H$38+'Appendix K'!$G$38))/((1+$Y$16)^AF$34))</f>
        <v>1945636.0510236055</v>
      </c>
      <c r="AG126" s="193">
        <f>(((J126*'Appendix K'!$C$13*1000)-('Appendix K'!$E$39+'Appendix K'!$F$39+'Appendix K'!$H$39+'Appendix K'!$G$39))/((1+$Y$16)^AG$34))</f>
        <v>1259734.3665365055</v>
      </c>
      <c r="AH126" s="193">
        <f>(((K126*'Appendix K'!$C$14*1000)-('Appendix K'!$E$40+'Appendix K'!$F$40+'Appendix K'!$H$40+'Appendix K'!$G$40))/((1+$Y$16)^AH$34))</f>
        <v>1009280.5344013338</v>
      </c>
      <c r="AI126" s="193">
        <f>(((L126*'Appendix K'!$C$15*1000)-('Appendix K'!$E$41+'Appendix K'!$F$41+'Appendix K'!$H$41+'Appendix K'!$G$41))/((1+$Y$16)^AI$34))</f>
        <v>2082506.7343809295</v>
      </c>
      <c r="AJ126" s="193">
        <f>(((M126*'Appendix K'!$C$16*1000)-('Appendix K'!$E$42+'Appendix K'!$F$42+'Appendix K'!$H$42+'Appendix K'!$G$42))/((1+$Y$16)^AJ$34))</f>
        <v>1979282.2076619368</v>
      </c>
      <c r="AK126" s="193">
        <f>(((N126*'Appendix K'!$C$17*1000)-('Appendix K'!$E$43+'Appendix K'!$F$43+'Appendix K'!$H$43))/((1+$Y$16)^AK$34))</f>
        <v>2399477.6537961294</v>
      </c>
      <c r="AL126" s="193">
        <f>(((O126*'Appendix K'!$C$18*1000)-('Appendix K'!$E$44+'Appendix K'!$F$44+'Appendix K'!$H$44+'Appendix K'!$G$44))/((1+$Y$16)^AL$34))</f>
        <v>2383906.7890657554</v>
      </c>
      <c r="AM126" s="193">
        <f>(((P126*'Appendix K'!$C$19*1000)-('Appendix K'!$E$45+'Appendix K'!$F$45+'Appendix K'!$H$45+'Appendix K'!$G$45))/((1+$Y$16)^AM$34))</f>
        <v>1286701.9515013704</v>
      </c>
      <c r="AN126" s="193">
        <f>(((Q126*'Appendix K'!$C$20*1000)-('Appendix K'!$E$46+'Appendix K'!$F$46+'Appendix K'!$H$46+'Appendix K'!$G$46))/((1+$Y$16)^AN$34))</f>
        <v>643355.52029465686</v>
      </c>
      <c r="AO126" s="193">
        <f>(((R126*'Appendix K'!$C$21*1000)-('Appendix K'!$E$47+'Appendix K'!$F$47+'Appendix K'!$H$47+'Appendix K'!$G$47))/((1+$Y$16)^AO$34))</f>
        <v>326391.36906762235</v>
      </c>
      <c r="AP126" s="193">
        <f>(((S126*'Appendix K'!$C$22*1000)-('Appendix K'!$E$48+'Appendix K'!$F$48+'Appendix K'!$H$48+'Appendix K'!$G$48))/((1+$Y$16)^AP$34))</f>
        <v>51107.322941849772</v>
      </c>
      <c r="AQ126" s="193">
        <f>(((T126*'Appendix K'!$C$23*1000)-('Appendix K'!$E$49+'Appendix K'!$F$49+'Appendix K'!$H$49+'Appendix K'!$G$49))/((1+$Y$16)^AQ$34))</f>
        <v>341209.64197558723</v>
      </c>
      <c r="AR126" s="193">
        <f>(((U126*'Appendix K'!$C$24*1000)-('Appendix K'!$E$50+'Appendix K'!$F$50+'Appendix K'!$H$50+'Appendix K'!$G$50))/((1+$Y$16)^AR$34))</f>
        <v>85512.927465814457</v>
      </c>
      <c r="AS126" s="209">
        <f t="shared" si="18"/>
        <v>49109189.688016854</v>
      </c>
      <c r="AU126" s="199">
        <f t="shared" si="17"/>
        <v>5.5841557955592997E-9</v>
      </c>
    </row>
    <row r="127" spans="1:47" x14ac:dyDescent="0.35">
      <c r="A127">
        <v>93</v>
      </c>
      <c r="B127" s="70">
        <v>56</v>
      </c>
      <c r="C127" s="70">
        <v>63.822556603077011</v>
      </c>
      <c r="D127" s="70">
        <v>55.222488727947045</v>
      </c>
      <c r="E127" s="70">
        <v>54.819900628507142</v>
      </c>
      <c r="F127" s="70">
        <v>44.741357518568776</v>
      </c>
      <c r="G127" s="70">
        <v>43.299011885192975</v>
      </c>
      <c r="H127" s="70">
        <v>81.702026152678741</v>
      </c>
      <c r="I127" s="70">
        <v>66.610966138216895</v>
      </c>
      <c r="J127" s="70">
        <v>97.307993746956797</v>
      </c>
      <c r="K127" s="70">
        <v>107.68639089212689</v>
      </c>
      <c r="L127" s="70">
        <v>84.708483150158244</v>
      </c>
      <c r="M127" s="70">
        <v>79.047786251462526</v>
      </c>
      <c r="N127" s="70">
        <v>72.217201111896628</v>
      </c>
      <c r="O127" s="70">
        <v>68.885749089967987</v>
      </c>
      <c r="P127" s="70">
        <v>63.744738051115831</v>
      </c>
      <c r="Q127" s="70">
        <v>91.075519232638953</v>
      </c>
      <c r="R127" s="70">
        <v>126.04527343499059</v>
      </c>
      <c r="S127" s="70">
        <v>222.23217839562579</v>
      </c>
      <c r="T127" s="70">
        <v>233.37588997448213</v>
      </c>
      <c r="U127" s="70">
        <v>284.00127793621482</v>
      </c>
      <c r="V127" s="70">
        <v>280.03727531501448</v>
      </c>
      <c r="X127" s="193">
        <f>((0-('Appendix K'!$I$30))/(1+$Y$16)^0)</f>
        <v>-33594902.4440751</v>
      </c>
      <c r="Y127" s="193">
        <f>(((B127*'Appendix K'!$C$5*1000)-('Appendix K'!$E$31+'Appendix K'!$F$31+'Appendix K'!$H$31+'Appendix K'!$G$31))/((1+$Y$16)^1))</f>
        <v>34971064.972647354</v>
      </c>
      <c r="Z127" s="193">
        <f>+(((C127*'Appendix K'!$C$6*1000)-('Appendix K'!$E$32+'Appendix K'!$F$32+'Appendix K'!$H$32+'Appendix K'!$G$32))/((1+$Y$16)^2))</f>
        <v>12635421.69315595</v>
      </c>
      <c r="AA127" s="193">
        <f>(((D127*'Appendix K'!$C$7*1000)-('Appendix K'!$E$33+'Appendix K'!$F$33+'Appendix K'!$H$33+'Appendix K'!$G$33))/((1+$Y$16)^3))</f>
        <v>4069059.3901177077</v>
      </c>
      <c r="AB127" s="193">
        <f>(((E127*'Appendix K'!$C$8*1000)-('Appendix K'!$E$34+'Appendix K'!$F$34+'Appendix K'!$H$34+'Appendix K'!$G$34))/((1+$Y$16)^4))</f>
        <v>8722812.5010250974</v>
      </c>
      <c r="AC127" s="193">
        <f>(((F127*'Appendix K'!$C$9*1000)-('Appendix K'!$E$35+'Appendix K'!$F$35+'Appendix K'!$H$35+'Appendix K'!$G$35))/((1+$Y$16)^AC$34))</f>
        <v>8907954.0527375769</v>
      </c>
      <c r="AD127" s="193">
        <f>(((G127*'Appendix K'!$C$10*1000)-('Appendix K'!$E$36+'Appendix K'!$F$36+'Appendix K'!$H$36+'Appendix K'!$G$36))/((1+$Y$16)^AD$34))</f>
        <v>4284084.9454117762</v>
      </c>
      <c r="AE127" s="193">
        <f>(((H127*'Appendix K'!$C$11*1000)-('Appendix K'!$E$37+'Appendix K'!$F$37+'Appendix K'!$H$37+'Appendix K'!$G$37))/((1+$Y$16)^AE$34))</f>
        <v>5928825.3942141561</v>
      </c>
      <c r="AF127" s="193">
        <f>(((I127*'Appendix K'!$C$12*1000)-('Appendix K'!$E$38+'Appendix K'!$F$38+'Appendix K'!$H$38+'Appendix K'!$G$38))/((1+$Y$16)^AF$34))</f>
        <v>2377258.6934055439</v>
      </c>
      <c r="AG127" s="193">
        <f>(((J127*'Appendix K'!$C$13*1000)-('Appendix K'!$E$39+'Appendix K'!$F$39+'Appendix K'!$H$39+'Appendix K'!$G$39))/((1+$Y$16)^AG$34))</f>
        <v>2663066.1309626396</v>
      </c>
      <c r="AH127" s="193">
        <f>(((K127*'Appendix K'!$C$14*1000)-('Appendix K'!$E$40+'Appendix K'!$F$40+'Appendix K'!$H$40+'Appendix K'!$G$40))/((1+$Y$16)^AH$34))</f>
        <v>1996993.0598195381</v>
      </c>
      <c r="AI127" s="193">
        <f>(((L127*'Appendix K'!$C$15*1000)-('Appendix K'!$E$41+'Appendix K'!$F$41+'Appendix K'!$H$41+'Appendix K'!$G$41))/((1+$Y$16)^AI$34))</f>
        <v>703039.31584335223</v>
      </c>
      <c r="AJ127" s="193">
        <f>(((M127*'Appendix K'!$C$16*1000)-('Appendix K'!$E$42+'Appendix K'!$F$42+'Appendix K'!$H$42+'Appendix K'!$G$42))/((1+$Y$16)^AJ$34))</f>
        <v>202714.25824517393</v>
      </c>
      <c r="AK127" s="193">
        <f>(((N127*'Appendix K'!$C$17*1000)-('Appendix K'!$E$43+'Appendix K'!$F$43+'Appendix K'!$H$43))/((1+$Y$16)^AK$34))</f>
        <v>105279.05653802115</v>
      </c>
      <c r="AL127" s="193">
        <f>(((O127*'Appendix K'!$C$18*1000)-('Appendix K'!$E$44+'Appendix K'!$F$44+'Appendix K'!$H$44+'Appendix K'!$G$44))/((1+$Y$16)^AL$34))</f>
        <v>-318066.0719286821</v>
      </c>
      <c r="AM127" s="193">
        <f>(((P127*'Appendix K'!$C$19*1000)-('Appendix K'!$E$45+'Appendix K'!$F$45+'Appendix K'!$H$45+'Appendix K'!$G$45))/((1+$Y$16)^AM$34))</f>
        <v>-435933.06194877427</v>
      </c>
      <c r="AN127" s="193">
        <f>(((Q127*'Appendix K'!$C$20*1000)-('Appendix K'!$E$46+'Appendix K'!$F$46+'Appendix K'!$H$46+'Appendix K'!$G$46))/((1+$Y$16)^AN$34))</f>
        <v>-256666.62824750014</v>
      </c>
      <c r="AO127" s="193">
        <f>(((R127*'Appendix K'!$C$21*1000)-('Appendix K'!$E$47+'Appendix K'!$F$47+'Appendix K'!$H$47+'Appendix K'!$G$47))/((1+$Y$16)^AO$34))</f>
        <v>-98057.433893328358</v>
      </c>
      <c r="AP127" s="193">
        <f>(((S127*'Appendix K'!$C$22*1000)-('Appendix K'!$E$48+'Appendix K'!$F$48+'Appendix K'!$H$48+'Appendix K'!$G$48))/((1+$Y$16)^AP$34))</f>
        <v>299976.53038919601</v>
      </c>
      <c r="AQ127" s="193">
        <f>(((T127*'Appendix K'!$C$23*1000)-('Appendix K'!$E$49+'Appendix K'!$F$49+'Appendix K'!$H$49+'Appendix K'!$G$49))/((1+$Y$16)^AQ$34))</f>
        <v>219887.85608825338</v>
      </c>
      <c r="AR127" s="193">
        <f>(((U127*'Appendix K'!$C$24*1000)-('Appendix K'!$E$50+'Appendix K'!$F$50+'Appendix K'!$H$50+'Appendix K'!$G$50))/((1+$Y$16)^AR$34))</f>
        <v>285203.2030379452</v>
      </c>
      <c r="AS127" s="209">
        <f t="shared" si="18"/>
        <v>54777738.609564148</v>
      </c>
      <c r="AU127" s="199">
        <f t="shared" si="17"/>
        <v>5.9460082239897723E-9</v>
      </c>
    </row>
    <row r="128" spans="1:47" x14ac:dyDescent="0.35">
      <c r="A128">
        <v>94</v>
      </c>
      <c r="B128" s="70">
        <v>56</v>
      </c>
      <c r="C128" s="70">
        <v>58.976771650727017</v>
      </c>
      <c r="D128" s="70">
        <v>71.552050433343879</v>
      </c>
      <c r="E128" s="70">
        <v>81.40079249523842</v>
      </c>
      <c r="F128" s="70">
        <v>86.489357417579441</v>
      </c>
      <c r="G128" s="70">
        <v>125.96444240720325</v>
      </c>
      <c r="H128" s="70">
        <v>80.114091573612171</v>
      </c>
      <c r="I128" s="70">
        <v>94.696962255390659</v>
      </c>
      <c r="J128" s="70">
        <v>169.3064593137612</v>
      </c>
      <c r="K128" s="70">
        <v>123.71917446045235</v>
      </c>
      <c r="L128" s="70">
        <v>92.164672678474105</v>
      </c>
      <c r="M128" s="70">
        <v>91.710639446547361</v>
      </c>
      <c r="N128" s="70">
        <v>147.50033026087277</v>
      </c>
      <c r="O128" s="70">
        <v>220.81867296732295</v>
      </c>
      <c r="P128" s="70">
        <v>258.72644869943235</v>
      </c>
      <c r="Q128" s="70">
        <v>427.6358298547915</v>
      </c>
      <c r="R128" s="70">
        <v>500</v>
      </c>
      <c r="S128" s="70">
        <v>420.35545003406639</v>
      </c>
      <c r="T128" s="70">
        <v>500</v>
      </c>
      <c r="U128" s="70">
        <v>438.77204125496667</v>
      </c>
      <c r="V128" s="70">
        <v>452.76682702376593</v>
      </c>
      <c r="X128" s="193">
        <f>((0-('Appendix K'!$I$30))/(1+$Y$16)^0)</f>
        <v>-33594902.4440751</v>
      </c>
      <c r="Y128" s="193">
        <f>(((B128*'Appendix K'!$C$5*1000)-('Appendix K'!$E$31+'Appendix K'!$F$31+'Appendix K'!$H$31+'Appendix K'!$G$31))/((1+$Y$16)^1))</f>
        <v>34971064.972647354</v>
      </c>
      <c r="Z128" s="193">
        <f>+(((C128*'Appendix K'!$C$6*1000)-('Appendix K'!$E$32+'Appendix K'!$F$32+'Appendix K'!$H$32+'Appendix K'!$G$32))/((1+$Y$16)^2))</f>
        <v>11411293.536131008</v>
      </c>
      <c r="AA128" s="193">
        <f>(((D128*'Appendix K'!$C$7*1000)-('Appendix K'!$E$33+'Appendix K'!$F$33+'Appendix K'!$H$33+'Appendix K'!$G$33))/((1+$Y$16)^3))</f>
        <v>6149035.2280122917</v>
      </c>
      <c r="AB128" s="193">
        <f>(((E128*'Appendix K'!$C$8*1000)-('Appendix K'!$E$34+'Appendix K'!$F$34+'Appendix K'!$H$34+'Appendix K'!$G$34))/((1+$Y$16)^4))</f>
        <v>14549100.673567638</v>
      </c>
      <c r="AC128" s="193">
        <f>(((F128*'Appendix K'!$C$9*1000)-('Appendix K'!$E$35+'Appendix K'!$F$35+'Appendix K'!$H$35+'Appendix K'!$G$35))/((1+$Y$16)^AC$34))</f>
        <v>20004506.869770724</v>
      </c>
      <c r="AD128" s="193">
        <f>(((G128*'Appendix K'!$C$10*1000)-('Appendix K'!$E$36+'Appendix K'!$F$36+'Appendix K'!$H$36+'Appendix K'!$G$36))/((1+$Y$16)^AD$34))</f>
        <v>17266190.808385924</v>
      </c>
      <c r="AE128" s="193">
        <f>(((H128*'Appendix K'!$C$11*1000)-('Appendix K'!$E$37+'Appendix K'!$F$37+'Appendix K'!$H$37+'Appendix K'!$G$37))/((1+$Y$16)^AE$34))</f>
        <v>5770448.5645505972</v>
      </c>
      <c r="AF128" s="193">
        <f>(((I128*'Appendix K'!$C$12*1000)-('Appendix K'!$E$38+'Appendix K'!$F$38+'Appendix K'!$H$38+'Appendix K'!$G$38))/((1+$Y$16)^AF$34))</f>
        <v>4221453.3642681837</v>
      </c>
      <c r="AG128" s="193">
        <f>(((J128*'Appendix K'!$C$13*1000)-('Appendix K'!$E$39+'Appendix K'!$F$39+'Appendix K'!$H$39+'Appendix K'!$G$39))/((1+$Y$16)^AG$34))</f>
        <v>5976358.6624339456</v>
      </c>
      <c r="AH128" s="193">
        <f>(((K128*'Appendix K'!$C$14*1000)-('Appendix K'!$E$40+'Appendix K'!$F$40+'Appendix K'!$H$40+'Appendix K'!$G$40))/((1+$Y$16)^AH$34))</f>
        <v>2537402.5081409453</v>
      </c>
      <c r="AI128" s="193">
        <f>(((L128*'Appendix K'!$C$15*1000)-('Appendix K'!$E$41+'Appendix K'!$F$41+'Appendix K'!$H$41+'Appendix K'!$G$41))/((1+$Y$16)^AI$34))</f>
        <v>898405.42462801596</v>
      </c>
      <c r="AJ128" s="193">
        <f>(((M128*'Appendix K'!$C$16*1000)-('Appendix K'!$E$42+'Appendix K'!$F$42+'Appendix K'!$H$42+'Appendix K'!$G$42))/((1+$Y$16)^AJ$34))</f>
        <v>456501.47754234623</v>
      </c>
      <c r="AK128" s="193">
        <f>(((N128*'Appendix K'!$C$17*1000)-('Appendix K'!$E$43+'Appendix K'!$F$43+'Appendix K'!$H$43))/((1+$Y$16)^AK$34))</f>
        <v>1261921.3334483658</v>
      </c>
      <c r="AL128" s="193">
        <f>(((O128*'Appendix K'!$C$18*1000)-('Appendix K'!$E$44+'Appendix K'!$F$44+'Appendix K'!$H$44+'Appendix K'!$G$44))/((1+$Y$16)^AL$34))</f>
        <v>1482839.5813754727</v>
      </c>
      <c r="AM128" s="193">
        <f>(((P128*'Appendix K'!$C$19*1000)-('Appendix K'!$E$45+'Appendix K'!$F$45+'Appendix K'!$H$45+'Appendix K'!$G$45))/((1+$Y$16)^AM$34))</f>
        <v>1371300.1184489734</v>
      </c>
      <c r="AN128" s="193">
        <f>(((Q128*'Appendix K'!$C$20*1000)-('Appendix K'!$E$46+'Appendix K'!$F$46+'Appendix K'!$H$46+'Appendix K'!$G$46))/((1+$Y$16)^AN$34))</f>
        <v>2178756.7762780245</v>
      </c>
      <c r="AO128" s="193">
        <f>(((R128*'Appendix K'!$C$21*1000)-('Appendix K'!$E$47+'Appendix K'!$F$47+'Appendix K'!$H$47+'Appendix K'!$G$47))/((1+$Y$16)^AO$34))</f>
        <v>2112056.3146391152</v>
      </c>
      <c r="AP128" s="193">
        <f>(((S128*'Appendix K'!$C$22*1000)-('Appendix K'!$E$48+'Appendix K'!$F$48+'Appendix K'!$H$48+'Appendix K'!$G$48))/((1+$Y$16)^AP$34))</f>
        <v>1248931.3965936939</v>
      </c>
      <c r="AQ128" s="193">
        <f>(((T128*'Appendix K'!$C$23*1000)-('Appendix K'!$E$49+'Appendix K'!$F$49+'Appendix K'!$H$49+'Appendix K'!$G$49))/((1+$Y$16)^AQ$34))</f>
        <v>1263386.3652054211</v>
      </c>
      <c r="AR128" s="193">
        <f>(((U128*'Appendix K'!$C$24*1000)-('Appendix K'!$E$50+'Appendix K'!$F$50+'Appendix K'!$H$50+'Appendix K'!$G$50))/((1+$Y$16)^AR$34))</f>
        <v>783569.39742445445</v>
      </c>
      <c r="AS128" s="209">
        <f t="shared" si="18"/>
        <v>102319620.9294174</v>
      </c>
      <c r="AU128" s="199">
        <f t="shared" si="17"/>
        <v>6.7976799933478959E-9</v>
      </c>
    </row>
    <row r="129" spans="1:47" x14ac:dyDescent="0.35">
      <c r="A129">
        <v>95</v>
      </c>
      <c r="B129" s="70">
        <v>56</v>
      </c>
      <c r="C129" s="70">
        <v>39.887883398033864</v>
      </c>
      <c r="D129" s="70">
        <v>64.173998779048134</v>
      </c>
      <c r="E129" s="70">
        <v>51.206630561725866</v>
      </c>
      <c r="F129" s="70">
        <v>61.605994230677389</v>
      </c>
      <c r="G129" s="70">
        <v>47.583991607609832</v>
      </c>
      <c r="H129" s="70">
        <v>56.960910718694663</v>
      </c>
      <c r="I129" s="70">
        <v>40.50449839227587</v>
      </c>
      <c r="J129" s="70">
        <v>41.294205814982732</v>
      </c>
      <c r="K129" s="70">
        <v>56.197192249973213</v>
      </c>
      <c r="L129" s="70">
        <v>54.888474065848705</v>
      </c>
      <c r="M129" s="70">
        <v>78.281702145800892</v>
      </c>
      <c r="N129" s="70">
        <v>103.8377615103291</v>
      </c>
      <c r="O129" s="70">
        <v>129.40156216192167</v>
      </c>
      <c r="P129" s="70">
        <v>149.89206599466095</v>
      </c>
      <c r="Q129" s="70">
        <v>142.61201318084733</v>
      </c>
      <c r="R129" s="70">
        <v>206.46016101921563</v>
      </c>
      <c r="S129" s="70">
        <v>233.0725346489381</v>
      </c>
      <c r="T129" s="70">
        <v>294.50833852697588</v>
      </c>
      <c r="U129" s="70">
        <v>301.06500647893165</v>
      </c>
      <c r="V129" s="70">
        <v>350.38151582509602</v>
      </c>
      <c r="X129" s="193">
        <f>((0-('Appendix K'!$I$30))/(1+$Y$16)^0)</f>
        <v>-33594902.4440751</v>
      </c>
      <c r="Y129" s="193">
        <f>(((B129*'Appendix K'!$C$5*1000)-('Appendix K'!$E$31+'Appendix K'!$F$31+'Appendix K'!$H$31+'Appendix K'!$G$31))/((1+$Y$16)^1))</f>
        <v>34971064.972647354</v>
      </c>
      <c r="Z129" s="193">
        <f>+(((C129*'Appendix K'!$C$6*1000)-('Appendix K'!$E$32+'Appendix K'!$F$32+'Appendix K'!$H$32+'Appendix K'!$G$32))/((1+$Y$16)^2))</f>
        <v>6589113.8838762715</v>
      </c>
      <c r="AA129" s="193">
        <f>(((D129*'Appendix K'!$C$7*1000)-('Appendix K'!$E$33+'Appendix K'!$F$33+'Appendix K'!$H$33+'Appendix K'!$G$33))/((1+$Y$16)^3))</f>
        <v>5209256.8402922172</v>
      </c>
      <c r="AB129" s="193">
        <f>(((E129*'Appendix K'!$C$8*1000)-('Appendix K'!$E$34+'Appendix K'!$F$34+'Appendix K'!$H$34+'Appendix K'!$G$34))/((1+$Y$16)^4))</f>
        <v>7930816.7786904983</v>
      </c>
      <c r="AC129" s="193">
        <f>(((F129*'Appendix K'!$C$9*1000)-('Appendix K'!$E$35+'Appendix K'!$F$35+'Appendix K'!$H$35+'Appendix K'!$G$35))/((1+$Y$16)^AC$34))</f>
        <v>13390548.00858417</v>
      </c>
      <c r="AD129" s="193">
        <f>(((G129*'Appendix K'!$C$10*1000)-('Appendix K'!$E$36+'Appendix K'!$F$36+'Appendix K'!$H$36+'Appendix K'!$G$36))/((1+$Y$16)^AD$34))</f>
        <v>4957015.093187416</v>
      </c>
      <c r="AE129" s="193">
        <f>(((H129*'Appendix K'!$C$11*1000)-('Appendix K'!$E$37+'Appendix K'!$F$37+'Appendix K'!$H$37+'Appendix K'!$G$37))/((1+$Y$16)^AE$34))</f>
        <v>3461205.2060588673</v>
      </c>
      <c r="AF129" s="193">
        <f>(((I129*'Appendix K'!$C$12*1000)-('Appendix K'!$E$38+'Appendix K'!$F$38+'Appendix K'!$H$38+'Appendix K'!$G$38))/((1+$Y$16)^AF$34))</f>
        <v>663044.65979067946</v>
      </c>
      <c r="AG129" s="193">
        <f>(((J129*'Appendix K'!$C$13*1000)-('Appendix K'!$E$39+'Appendix K'!$F$39+'Appendix K'!$H$39+'Appendix K'!$G$39))/((1+$Y$16)^AG$34))</f>
        <v>85371.401590582187</v>
      </c>
      <c r="AH129" s="193">
        <f>(((K129*'Appendix K'!$C$14*1000)-('Appendix K'!$E$40+'Appendix K'!$F$40+'Appendix K'!$H$40+'Appendix K'!$G$40))/((1+$Y$16)^AH$34))</f>
        <v>261471.00813479722</v>
      </c>
      <c r="AI129" s="193">
        <f>(((L129*'Appendix K'!$C$15*1000)-('Appendix K'!$E$41+'Appendix K'!$F$41+'Appendix K'!$H$41+'Appendix K'!$G$41))/((1+$Y$16)^AI$34))</f>
        <v>-78300.685855983626</v>
      </c>
      <c r="AJ129" s="193">
        <f>(((M129*'Appendix K'!$C$16*1000)-('Appendix K'!$E$42+'Appendix K'!$F$42+'Appendix K'!$H$42+'Appendix K'!$G$42))/((1+$Y$16)^AJ$34))</f>
        <v>187360.5025055836</v>
      </c>
      <c r="AK129" s="193">
        <f>(((N129*'Appendix K'!$C$17*1000)-('Appendix K'!$E$43+'Appendix K'!$F$43+'Appendix K'!$H$43))/((1+$Y$16)^AK$34))</f>
        <v>591094.10421024484</v>
      </c>
      <c r="AL129" s="193">
        <f>(((O129*'Appendix K'!$C$18*1000)-('Appendix K'!$E$44+'Appendix K'!$F$44+'Appendix K'!$H$44+'Appendix K'!$G$44))/((1+$Y$16)^AL$34))</f>
        <v>399245.66731984046</v>
      </c>
      <c r="AM129" s="193">
        <f>(((P129*'Appendix K'!$C$19*1000)-('Appendix K'!$E$45+'Appendix K'!$F$45+'Appendix K'!$H$45+'Appendix K'!$G$45))/((1+$Y$16)^AM$34))</f>
        <v>362543.41538089566</v>
      </c>
      <c r="AN129" s="193">
        <f>(((Q129*'Appendix K'!$C$20*1000)-('Appendix K'!$E$46+'Appendix K'!$F$46+'Appendix K'!$H$46+'Appendix K'!$G$46))/((1+$Y$16)^AN$34))</f>
        <v>116262.61975751838</v>
      </c>
      <c r="AO129" s="193">
        <f>(((R129*'Appendix K'!$C$21*1000)-('Appendix K'!$E$47+'Appendix K'!$F$47+'Appendix K'!$H$47+'Appendix K'!$G$47))/((1+$Y$16)^AO$34))</f>
        <v>377203.43596945761</v>
      </c>
      <c r="AP129" s="193">
        <f>(((S129*'Appendix K'!$C$22*1000)-('Appendix K'!$E$48+'Appendix K'!$F$48+'Appendix K'!$H$48+'Appendix K'!$G$48))/((1+$Y$16)^AP$34))</f>
        <v>351898.79440643894</v>
      </c>
      <c r="AQ129" s="193">
        <f>(((T129*'Appendix K'!$C$23*1000)-('Appendix K'!$E$49+'Appendix K'!$F$49+'Appendix K'!$H$49+'Appendix K'!$G$49))/((1+$Y$16)^AQ$34))</f>
        <v>459144.60941451433</v>
      </c>
      <c r="AR129" s="193">
        <f>(((U129*'Appendix K'!$C$24*1000)-('Appendix K'!$E$50+'Appendix K'!$F$50+'Appendix K'!$H$50+'Appendix K'!$G$50))/((1+$Y$16)^AR$34))</f>
        <v>340148.8870516902</v>
      </c>
      <c r="AS129" s="209">
        <f t="shared" si="18"/>
        <v>47108907.444793932</v>
      </c>
      <c r="AU129" s="199">
        <f t="shared" si="17"/>
        <v>5.4488032093644677E-9</v>
      </c>
    </row>
    <row r="130" spans="1:47" x14ac:dyDescent="0.35">
      <c r="A130">
        <v>96</v>
      </c>
      <c r="B130" s="70">
        <v>56</v>
      </c>
      <c r="C130" s="70">
        <v>71.705599552544172</v>
      </c>
      <c r="D130" s="70">
        <v>51.256175408676967</v>
      </c>
      <c r="E130" s="70">
        <v>64.311356848248693</v>
      </c>
      <c r="F130" s="70">
        <v>77.543438735800052</v>
      </c>
      <c r="G130" s="70">
        <v>43.724282943496675</v>
      </c>
      <c r="H130" s="70">
        <v>44.710279246951153</v>
      </c>
      <c r="I130" s="70">
        <v>52.969618808386656</v>
      </c>
      <c r="J130" s="70">
        <v>36.698023592475671</v>
      </c>
      <c r="K130" s="70">
        <v>30.084682244065739</v>
      </c>
      <c r="L130" s="70">
        <v>30.025534209811898</v>
      </c>
      <c r="M130" s="70">
        <v>31.085697654007443</v>
      </c>
      <c r="N130" s="70">
        <v>24.668404976076843</v>
      </c>
      <c r="O130" s="70">
        <v>31.190145562134258</v>
      </c>
      <c r="P130" s="70">
        <v>33.169736092492606</v>
      </c>
      <c r="Q130" s="70">
        <v>54.643966484093959</v>
      </c>
      <c r="R130" s="70">
        <v>72.848395951658318</v>
      </c>
      <c r="S130" s="70">
        <v>61.634219398067884</v>
      </c>
      <c r="T130" s="70">
        <v>35.353198283602161</v>
      </c>
      <c r="U130" s="70">
        <v>27.804793097856152</v>
      </c>
      <c r="V130" s="70">
        <v>17.413590509041157</v>
      </c>
      <c r="X130" s="193">
        <f>((0-('Appendix K'!$I$30))/(1+$Y$16)^0)</f>
        <v>-33594902.4440751</v>
      </c>
      <c r="Y130" s="193">
        <f>(((B130*'Appendix K'!$C$5*1000)-('Appendix K'!$E$31+'Appendix K'!$F$31+'Appendix K'!$H$31+'Appendix K'!$G$31))/((1+$Y$16)^1))</f>
        <v>34971064.972647354</v>
      </c>
      <c r="Z130" s="193">
        <f>+(((C130*'Appendix K'!$C$6*1000)-('Appendix K'!$E$32+'Appendix K'!$F$32+'Appendix K'!$H$32+'Appendix K'!$G$32))/((1+$Y$16)^2))</f>
        <v>14626813.166853094</v>
      </c>
      <c r="AA130" s="193">
        <f>(((D130*'Appendix K'!$C$7*1000)-('Appendix K'!$E$33+'Appendix K'!$F$33+'Appendix K'!$H$33+'Appendix K'!$G$33))/((1+$Y$16)^3))</f>
        <v>3563850.7373420065</v>
      </c>
      <c r="AB130" s="193">
        <f>(((E130*'Appendix K'!$C$8*1000)-('Appendix K'!$E$34+'Appendix K'!$F$34+'Appendix K'!$H$34+'Appendix K'!$G$34))/((1+$Y$16)^4))</f>
        <v>10803252.818473553</v>
      </c>
      <c r="AC130" s="193">
        <f>(((F130*'Appendix K'!$C$9*1000)-('Appendix K'!$E$35+'Appendix K'!$F$35+'Appendix K'!$H$35+'Appendix K'!$G$35))/((1+$Y$16)^AC$34))</f>
        <v>17626695.731766935</v>
      </c>
      <c r="AD130" s="193">
        <f>(((G130*'Appendix K'!$C$10*1000)-('Appendix K'!$E$36+'Appendix K'!$F$36+'Appendix K'!$H$36+'Appendix K'!$G$36))/((1+$Y$16)^AD$34))</f>
        <v>4350871.1928733159</v>
      </c>
      <c r="AE130" s="193">
        <f>(((H130*'Appendix K'!$C$11*1000)-('Appendix K'!$E$37+'Appendix K'!$F$37+'Appendix K'!$H$37+'Appendix K'!$G$37))/((1+$Y$16)^AE$34))</f>
        <v>2239356.2713175756</v>
      </c>
      <c r="AF130" s="193">
        <f>(((I130*'Appendix K'!$C$12*1000)-('Appendix K'!$E$38+'Appendix K'!$F$38+'Appendix K'!$H$38+'Appendix K'!$G$38))/((1+$Y$16)^AF$34))</f>
        <v>1481534.7196463835</v>
      </c>
      <c r="AG130" s="193">
        <f>(((J130*'Appendix K'!$C$13*1000)-('Appendix K'!$E$39+'Appendix K'!$F$39+'Appendix K'!$H$39+'Appendix K'!$G$39))/((1+$Y$16)^AG$34))</f>
        <v>-126139.99814867924</v>
      </c>
      <c r="AH130" s="193">
        <f>(((K130*'Appendix K'!$C$14*1000)-('Appendix K'!$E$40+'Appendix K'!$F$40+'Appendix K'!$H$40+'Appendix K'!$G$40))/((1+$Y$16)^AH$34))</f>
        <v>-618691.00904969277</v>
      </c>
      <c r="AI130" s="193">
        <f>(((L130*'Appendix K'!$C$15*1000)-('Appendix K'!$E$41+'Appendix K'!$F$41+'Appendix K'!$H$41+'Appendix K'!$G$41))/((1+$Y$16)^AI$34))</f>
        <v>-729756.20400966227</v>
      </c>
      <c r="AJ130" s="193">
        <f>(((M130*'Appendix K'!$C$16*1000)-('Appendix K'!$E$42+'Appendix K'!$F$42+'Appendix K'!$H$42+'Appendix K'!$G$42))/((1+$Y$16)^AJ$34))</f>
        <v>-758535.54140956991</v>
      </c>
      <c r="AK130" s="193">
        <f>(((N130*'Appendix K'!$C$17*1000)-('Appendix K'!$E$43+'Appendix K'!$F$43+'Appendix K'!$H$43))/((1+$Y$16)^AK$34))</f>
        <v>-625255.77176392323</v>
      </c>
      <c r="AL130" s="193">
        <f>(((O130*'Appendix K'!$C$18*1000)-('Appendix K'!$E$44+'Appendix K'!$F$44+'Appendix K'!$H$44+'Appendix K'!$G$44))/((1+$Y$16)^AL$34))</f>
        <v>-764883.15255557559</v>
      </c>
      <c r="AM130" s="193">
        <f>(((P130*'Appendix K'!$C$19*1000)-('Appendix K'!$E$45+'Appendix K'!$F$45+'Appendix K'!$H$45+'Appendix K'!$G$45))/((1+$Y$16)^AM$34))</f>
        <v>-719324.55465146224</v>
      </c>
      <c r="AN130" s="193">
        <f>(((Q130*'Appendix K'!$C$20*1000)-('Appendix K'!$E$46+'Appendix K'!$F$46+'Appendix K'!$H$46+'Appendix K'!$G$46))/((1+$Y$16)^AN$34))</f>
        <v>-520293.24560768955</v>
      </c>
      <c r="AO130" s="193">
        <f>(((R130*'Appendix K'!$C$21*1000)-('Appendix K'!$E$47+'Appendix K'!$F$47+'Appendix K'!$H$47+'Appendix K'!$G$47))/((1+$Y$16)^AO$34))</f>
        <v>-412456.8570129869</v>
      </c>
      <c r="AP130" s="193">
        <f>(((S130*'Appendix K'!$C$22*1000)-('Appendix K'!$E$48+'Appendix K'!$F$48+'Appendix K'!$H$48+'Appendix K'!$G$48))/((1+$Y$16)^AP$34))</f>
        <v>-469242.62005649932</v>
      </c>
      <c r="AQ130" s="193">
        <f>(((T130*'Appendix K'!$C$23*1000)-('Appendix K'!$E$49+'Appendix K'!$F$49+'Appendix K'!$H$49+'Appendix K'!$G$49))/((1+$Y$16)^AQ$34))</f>
        <v>-555122.26408064342</v>
      </c>
      <c r="AR130" s="193">
        <f>(((U130*'Appendix K'!$C$24*1000)-('Appendix K'!$E$50+'Appendix K'!$F$50+'Appendix K'!$H$50+'Appendix K'!$G$50))/((1+$Y$16)^AR$34))</f>
        <v>-539756.65647464455</v>
      </c>
      <c r="AS130" s="209">
        <f t="shared" si="18"/>
        <v>56068537.166845106</v>
      </c>
      <c r="AU130" s="199">
        <f t="shared" si="17"/>
        <v>6.0232251470344179E-9</v>
      </c>
    </row>
    <row r="131" spans="1:47" x14ac:dyDescent="0.35">
      <c r="A131">
        <v>97</v>
      </c>
      <c r="B131" s="70">
        <v>56</v>
      </c>
      <c r="C131" s="70">
        <v>69.412658931450224</v>
      </c>
      <c r="D131" s="70">
        <v>114.11621939813405</v>
      </c>
      <c r="E131" s="70">
        <v>100.82518321862838</v>
      </c>
      <c r="F131" s="70">
        <v>124.06222849533498</v>
      </c>
      <c r="G131" s="70">
        <v>100.14445725519218</v>
      </c>
      <c r="H131" s="70">
        <v>87.982510985545574</v>
      </c>
      <c r="I131" s="70">
        <v>113.74160077576204</v>
      </c>
      <c r="J131" s="70">
        <v>160.76857956520928</v>
      </c>
      <c r="K131" s="70">
        <v>71.74759483758875</v>
      </c>
      <c r="L131" s="70">
        <v>71.257074823274749</v>
      </c>
      <c r="M131" s="70">
        <v>117.98996825815102</v>
      </c>
      <c r="N131" s="70">
        <v>188.14173150911046</v>
      </c>
      <c r="O131" s="70">
        <v>292.31024766184021</v>
      </c>
      <c r="P131" s="70">
        <v>448.76460915148823</v>
      </c>
      <c r="Q131" s="70">
        <v>500</v>
      </c>
      <c r="R131" s="70">
        <v>357.40500152652089</v>
      </c>
      <c r="S131" s="70">
        <v>457.11131723648595</v>
      </c>
      <c r="T131" s="70">
        <v>500</v>
      </c>
      <c r="U131" s="70">
        <v>500</v>
      </c>
      <c r="V131" s="70">
        <v>500</v>
      </c>
      <c r="X131" s="193">
        <f>((0-('Appendix K'!$I$30))/(1+$Y$16)^0)</f>
        <v>-33594902.4440751</v>
      </c>
      <c r="Y131" s="193">
        <f>(((B131*'Appendix K'!$C$5*1000)-('Appendix K'!$E$31+'Appendix K'!$F$31+'Appendix K'!$H$31+'Appendix K'!$G$31))/((1+$Y$16)^1))</f>
        <v>34971064.972647354</v>
      </c>
      <c r="Z131" s="193">
        <f>+(((C131*'Appendix K'!$C$6*1000)-('Appendix K'!$E$32+'Appendix K'!$F$32+'Appendix K'!$H$32+'Appendix K'!$G$32))/((1+$Y$16)^2))</f>
        <v>14047577.149516797</v>
      </c>
      <c r="AA131" s="193">
        <f>(((D131*'Appendix K'!$C$7*1000)-('Appendix K'!$E$33+'Appendix K'!$F$33+'Appendix K'!$H$33+'Appendix K'!$G$33))/((1+$Y$16)^3))</f>
        <v>11570640.816946534</v>
      </c>
      <c r="AB131" s="193">
        <f>(((E131*'Appendix K'!$C$8*1000)-('Appendix K'!$E$34+'Appendix K'!$F$34+'Appendix K'!$H$34+'Appendix K'!$G$34))/((1+$Y$16)^4))</f>
        <v>18806749.306952223</v>
      </c>
      <c r="AC131" s="193">
        <f>(((F131*'Appendix K'!$C$9*1000)-('Appendix K'!$E$35+'Appendix K'!$F$35+'Appendix K'!$H$35+'Appendix K'!$G$35))/((1+$Y$16)^AC$34))</f>
        <v>29991317.002243001</v>
      </c>
      <c r="AD131" s="193">
        <f>(((G131*'Appendix K'!$C$10*1000)-('Appendix K'!$E$36+'Appendix K'!$F$36+'Appendix K'!$H$36+'Appendix K'!$G$36))/((1+$Y$16)^AD$34))</f>
        <v>13211318.312021445</v>
      </c>
      <c r="AE131" s="193">
        <f>(((H131*'Appendix K'!$C$11*1000)-('Appendix K'!$E$37+'Appendix K'!$F$37+'Appendix K'!$H$37+'Appendix K'!$G$37))/((1+$Y$16)^AE$34))</f>
        <v>6555226.0593877891</v>
      </c>
      <c r="AF131" s="193">
        <f>(((I131*'Appendix K'!$C$12*1000)-('Appendix K'!$E$38+'Appendix K'!$F$38+'Appendix K'!$H$38+'Appendix K'!$G$38))/((1+$Y$16)^AF$34))</f>
        <v>5471970.551596933</v>
      </c>
      <c r="AG131" s="193">
        <f>(((J131*'Appendix K'!$C$13*1000)-('Appendix K'!$E$39+'Appendix K'!$F$39+'Appendix K'!$H$39+'Appendix K'!$G$39))/((1+$Y$16)^AG$34))</f>
        <v>5583454.5500646411</v>
      </c>
      <c r="AH131" s="193">
        <f>(((K131*'Appendix K'!$C$14*1000)-('Appendix K'!$E$40+'Appendix K'!$F$40+'Appendix K'!$H$40+'Appendix K'!$G$40))/((1+$Y$16)^AH$34))</f>
        <v>785621.06902324443</v>
      </c>
      <c r="AI131" s="193">
        <f>(((L131*'Appendix K'!$C$15*1000)-('Appendix K'!$E$41+'Appendix K'!$F$41+'Appendix K'!$H$41+'Appendix K'!$G$41))/((1+$Y$16)^AI$34))</f>
        <v>350587.26342208881</v>
      </c>
      <c r="AJ131" s="193">
        <f>(((M131*'Appendix K'!$C$16*1000)-('Appendix K'!$E$42+'Appendix K'!$F$42+'Appendix K'!$H$42+'Appendix K'!$G$42))/((1+$Y$16)^AJ$34))</f>
        <v>983188.28985425923</v>
      </c>
      <c r="AK131" s="193">
        <f>(((N131*'Appendix K'!$C$17*1000)-('Appendix K'!$E$43+'Appendix K'!$F$43+'Appendix K'!$H$43))/((1+$Y$16)^AK$34))</f>
        <v>1886331.6549636463</v>
      </c>
      <c r="AL131" s="193">
        <f>(((O131*'Appendix K'!$C$18*1000)-('Appendix K'!$E$44+'Appendix K'!$F$44+'Appendix K'!$H$44+'Appendix K'!$G$44))/((1+$Y$16)^AL$34))</f>
        <v>2330250.2527774335</v>
      </c>
      <c r="AM131" s="193">
        <f>(((P131*'Appendix K'!$C$19*1000)-('Appendix K'!$E$45+'Appendix K'!$F$45+'Appendix K'!$H$45+'Appendix K'!$G$45))/((1+$Y$16)^AM$34))</f>
        <v>3132712.8579759449</v>
      </c>
      <c r="AN131" s="193">
        <f>(((Q131*'Appendix K'!$C$20*1000)-('Appendix K'!$E$46+'Appendix K'!$F$46+'Appendix K'!$H$46+'Appendix K'!$G$46))/((1+$Y$16)^AN$34))</f>
        <v>2702399.606577659</v>
      </c>
      <c r="AO131" s="193">
        <f>(((R131*'Appendix K'!$C$21*1000)-('Appendix K'!$E$47+'Appendix K'!$F$47+'Appendix K'!$H$47+'Appendix K'!$G$47))/((1+$Y$16)^AO$34))</f>
        <v>1269304.1197596844</v>
      </c>
      <c r="AP131" s="193">
        <f>(((S131*'Appendix K'!$C$22*1000)-('Appendix K'!$E$48+'Appendix K'!$F$48+'Appendix K'!$H$48+'Appendix K'!$G$48))/((1+$Y$16)^AP$34))</f>
        <v>1424981.6846535187</v>
      </c>
      <c r="AQ131" s="193">
        <f>(((T131*'Appendix K'!$C$23*1000)-('Appendix K'!$E$49+'Appendix K'!$F$49+'Appendix K'!$H$49+'Appendix K'!$G$49))/((1+$Y$16)^AQ$34))</f>
        <v>1263386.3652054211</v>
      </c>
      <c r="AR131" s="193">
        <f>(((U131*'Appendix K'!$C$24*1000)-('Appendix K'!$E$50+'Appendix K'!$F$50+'Appendix K'!$H$50+'Appendix K'!$G$50))/((1+$Y$16)^AR$34))</f>
        <v>980725.14012097823</v>
      </c>
      <c r="AS131" s="209">
        <f t="shared" si="18"/>
        <v>123723904.5816355</v>
      </c>
      <c r="AU131" s="199">
        <f t="shared" si="17"/>
        <v>5.7416418360771443E-9</v>
      </c>
    </row>
    <row r="132" spans="1:47" x14ac:dyDescent="0.35">
      <c r="A132">
        <v>98</v>
      </c>
      <c r="B132" s="70">
        <v>56</v>
      </c>
      <c r="C132" s="70">
        <v>46.394607524018106</v>
      </c>
      <c r="D132" s="70">
        <v>78.421689589704556</v>
      </c>
      <c r="E132" s="70">
        <v>85.919803616095663</v>
      </c>
      <c r="F132" s="70">
        <v>108.02039457883306</v>
      </c>
      <c r="G132" s="70">
        <v>6.6611974454955742</v>
      </c>
      <c r="H132" s="70">
        <v>8.1076919758321768</v>
      </c>
      <c r="I132" s="70">
        <v>12.129125976224238</v>
      </c>
      <c r="J132" s="70">
        <v>8.0052454832283466</v>
      </c>
      <c r="K132" s="70">
        <v>5.4497978434797076</v>
      </c>
      <c r="L132" s="70">
        <v>6.7838864792752185</v>
      </c>
      <c r="M132" s="70">
        <v>11.04030458184663</v>
      </c>
      <c r="N132" s="70">
        <v>17.113183611250005</v>
      </c>
      <c r="O132" s="70">
        <v>13.29226919483494</v>
      </c>
      <c r="P132" s="70">
        <v>12.170635585839829</v>
      </c>
      <c r="Q132" s="70">
        <v>11.919336845969811</v>
      </c>
      <c r="R132" s="70">
        <v>6.1002762085008833</v>
      </c>
      <c r="S132" s="70">
        <v>6.7032710092668726</v>
      </c>
      <c r="T132" s="70">
        <v>6.5517153536295822</v>
      </c>
      <c r="U132" s="70">
        <v>7.1011870844568561</v>
      </c>
      <c r="V132" s="70">
        <v>9.2725472367201007</v>
      </c>
      <c r="X132" s="193">
        <f>((0-('Appendix K'!$I$30))/(1+$Y$16)^0)</f>
        <v>-33594902.4440751</v>
      </c>
      <c r="Y132" s="193">
        <f>(((B132*'Appendix K'!$C$5*1000)-('Appendix K'!$E$31+'Appendix K'!$F$31+'Appendix K'!$H$31+'Appendix K'!$G$31))/((1+$Y$16)^1))</f>
        <v>34971064.972647354</v>
      </c>
      <c r="Z132" s="193">
        <f>+(((C132*'Appendix K'!$C$6*1000)-('Appendix K'!$E$32+'Appendix K'!$F$32+'Appendix K'!$H$32+'Appendix K'!$G$32))/((1+$Y$16)^2))</f>
        <v>8232823.6834100103</v>
      </c>
      <c r="AA132" s="193">
        <f>(((D132*'Appendix K'!$C$7*1000)-('Appendix K'!$E$33+'Appendix K'!$F$33+'Appendix K'!$H$33+'Appendix K'!$G$33))/((1+$Y$16)^3))</f>
        <v>7024054.6387024401</v>
      </c>
      <c r="AB132" s="193">
        <f>(((E132*'Appendix K'!$C$8*1000)-('Appendix K'!$E$34+'Appendix K'!$F$34+'Appendix K'!$H$34+'Appendix K'!$G$34))/((1+$Y$16)^4))</f>
        <v>15539626.543694377</v>
      </c>
      <c r="AC132" s="193">
        <f>(((F132*'Appendix K'!$C$9*1000)-('Appendix K'!$E$35+'Appendix K'!$F$35+'Appendix K'!$H$35+'Appendix K'!$G$35))/((1+$Y$16)^AC$34))</f>
        <v>25727422.737436425</v>
      </c>
      <c r="AD132" s="193">
        <f>(((G132*'Appendix K'!$C$10*1000)-('Appendix K'!$E$36+'Appendix K'!$F$36+'Appendix K'!$H$36+'Appendix K'!$G$36))/((1+$Y$16)^AD$34))</f>
        <v>-1469662.2091199232</v>
      </c>
      <c r="AE132" s="193">
        <f>(((H132*'Appendix K'!$C$11*1000)-('Appendix K'!$E$37+'Appendix K'!$F$37+'Appendix K'!$H$37+'Appendix K'!$G$37))/((1+$Y$16)^AE$34))</f>
        <v>-1411298.9923842717</v>
      </c>
      <c r="AF132" s="193">
        <f>(((I132*'Appendix K'!$C$12*1000)-('Appendix K'!$E$38+'Appendix K'!$F$38+'Appendix K'!$H$38+'Appendix K'!$G$38))/((1+$Y$16)^AF$34))</f>
        <v>-1200151.1611838562</v>
      </c>
      <c r="AG132" s="193">
        <f>(((J132*'Appendix K'!$C$13*1000)-('Appendix K'!$E$39+'Appendix K'!$F$39+'Appendix K'!$H$39+'Appendix K'!$G$39))/((1+$Y$16)^AG$34))</f>
        <v>-1446551.0189686059</v>
      </c>
      <c r="AH132" s="193">
        <f>(((K132*'Appendix K'!$C$14*1000)-('Appendix K'!$E$40+'Appendix K'!$F$40+'Appendix K'!$H$40+'Appendix K'!$G$40))/((1+$Y$16)^AH$34))</f>
        <v>-1449047.3992328353</v>
      </c>
      <c r="AI132" s="193">
        <f>(((L132*'Appendix K'!$C$15*1000)-('Appendix K'!$E$41+'Appendix K'!$F$41+'Appendix K'!$H$41+'Appendix K'!$G$41))/((1+$Y$16)^AI$34))</f>
        <v>-1338730.8366440965</v>
      </c>
      <c r="AJ132" s="193">
        <f>(((M132*'Appendix K'!$C$16*1000)-('Appendix K'!$E$42+'Appendix K'!$F$42+'Appendix K'!$H$42+'Appendix K'!$G$42))/((1+$Y$16)^AJ$34))</f>
        <v>-1160282.6428824943</v>
      </c>
      <c r="AK132" s="193">
        <f>(((N132*'Appendix K'!$C$17*1000)-('Appendix K'!$E$43+'Appendix K'!$F$43+'Appendix K'!$H$43))/((1+$Y$16)^AK$34))</f>
        <v>-741333.41812054836</v>
      </c>
      <c r="AL132" s="193">
        <f>(((O132*'Appendix K'!$C$18*1000)-('Appendix K'!$E$44+'Appendix K'!$F$44+'Appendix K'!$H$44+'Appendix K'!$G$44))/((1+$Y$16)^AL$34))</f>
        <v>-977031.94762534718</v>
      </c>
      <c r="AM132" s="193">
        <f>(((P132*'Appendix K'!$C$19*1000)-('Appendix K'!$E$45+'Appendix K'!$F$45+'Appendix K'!$H$45+'Appendix K'!$G$45))/((1+$Y$16)^AM$34))</f>
        <v>-913959.58512660244</v>
      </c>
      <c r="AN132" s="193">
        <f>(((Q132*'Appendix K'!$C$20*1000)-('Appendix K'!$E$46+'Appendix K'!$F$46+'Appendix K'!$H$46+'Appendix K'!$G$46))/((1+$Y$16)^AN$34))</f>
        <v>-829457.93225188961</v>
      </c>
      <c r="AO132" s="193">
        <f>(((R132*'Appendix K'!$C$21*1000)-('Appendix K'!$E$47+'Appendix K'!$F$47+'Appendix K'!$H$47+'Appendix K'!$G$47))/((1+$Y$16)^AO$34))</f>
        <v>-806945.61903000227</v>
      </c>
      <c r="AP132" s="193">
        <f>(((S132*'Appendix K'!$C$22*1000)-('Appendix K'!$E$48+'Appendix K'!$F$48+'Appendix K'!$H$48+'Appendix K'!$G$48))/((1+$Y$16)^AP$34))</f>
        <v>-732346.44601142558</v>
      </c>
      <c r="AQ132" s="193">
        <f>(((T132*'Appendix K'!$C$23*1000)-('Appendix K'!$E$49+'Appendix K'!$F$49+'Appendix K'!$H$49+'Appendix K'!$G$49))/((1+$Y$16)^AQ$34))</f>
        <v>-667843.89489982743</v>
      </c>
      <c r="AR132" s="193">
        <f>(((U132*'Appendix K'!$C$24*1000)-('Appendix K'!$E$50+'Appendix K'!$F$50+'Appendix K'!$H$50+'Appendix K'!$G$50))/((1+$Y$16)^AR$34))</f>
        <v>-606422.84792919911</v>
      </c>
      <c r="AS132" s="209">
        <f t="shared" si="18"/>
        <v>57900090.131815501</v>
      </c>
      <c r="AU132" s="199">
        <f t="shared" si="17"/>
        <v>6.1290706887851754E-9</v>
      </c>
    </row>
    <row r="133" spans="1:47" x14ac:dyDescent="0.35">
      <c r="A133">
        <v>99</v>
      </c>
      <c r="B133" s="70">
        <v>56</v>
      </c>
      <c r="C133" s="70">
        <v>68.079124565018304</v>
      </c>
      <c r="D133" s="70">
        <v>106.41095816355663</v>
      </c>
      <c r="E133" s="70">
        <v>118.99331745773357</v>
      </c>
      <c r="F133" s="70">
        <v>203.86279644579045</v>
      </c>
      <c r="G133" s="70">
        <v>170.98474974310687</v>
      </c>
      <c r="H133" s="70">
        <v>127.92502695861668</v>
      </c>
      <c r="I133" s="70">
        <v>161.1741333725758</v>
      </c>
      <c r="J133" s="70">
        <v>183.5865237309103</v>
      </c>
      <c r="K133" s="70">
        <v>107.66043924178774</v>
      </c>
      <c r="L133" s="70">
        <v>138.22470470505962</v>
      </c>
      <c r="M133" s="70">
        <v>164.39257004547238</v>
      </c>
      <c r="N133" s="70">
        <v>151.06098922843415</v>
      </c>
      <c r="O133" s="70">
        <v>167.93481163166703</v>
      </c>
      <c r="P133" s="70">
        <v>156.36450601137761</v>
      </c>
      <c r="Q133" s="70">
        <v>152.58868990872543</v>
      </c>
      <c r="R133" s="70">
        <v>188.17706573875978</v>
      </c>
      <c r="S133" s="70">
        <v>191.92536516236274</v>
      </c>
      <c r="T133" s="70">
        <v>234.85749546386666</v>
      </c>
      <c r="U133" s="70">
        <v>254.213488384481</v>
      </c>
      <c r="V133" s="70">
        <v>214.40898950123565</v>
      </c>
      <c r="X133" s="193">
        <f>((0-('Appendix K'!$I$30))/(1+$Y$16)^0)</f>
        <v>-33594902.4440751</v>
      </c>
      <c r="Y133" s="193">
        <f>(((B133*'Appendix K'!$C$5*1000)-('Appendix K'!$E$31+'Appendix K'!$F$31+'Appendix K'!$H$31+'Appendix K'!$G$31))/((1+$Y$16)^1))</f>
        <v>34971064.972647354</v>
      </c>
      <c r="Z133" s="193">
        <f>+(((C133*'Appendix K'!$C$6*1000)-('Appendix K'!$E$32+'Appendix K'!$F$32+'Appendix K'!$H$32+'Appendix K'!$G$32))/((1+$Y$16)^2))</f>
        <v>13710703.560952356</v>
      </c>
      <c r="AA133" s="193">
        <f>(((D133*'Appendix K'!$C$7*1000)-('Appendix K'!$E$33+'Appendix K'!$F$33+'Appendix K'!$H$33+'Appendix K'!$G$33))/((1+$Y$16)^3))</f>
        <v>10589184.150703616</v>
      </c>
      <c r="AB133" s="193">
        <f>(((E133*'Appendix K'!$C$8*1000)-('Appendix K'!$E$34+'Appendix K'!$F$34+'Appendix K'!$H$34+'Appendix K'!$G$34))/((1+$Y$16)^4))</f>
        <v>22789038.018902831</v>
      </c>
      <c r="AC133" s="193">
        <f>(((F133*'Appendix K'!$C$9*1000)-('Appendix K'!$E$35+'Appendix K'!$F$35+'Appendix K'!$H$35+'Appendix K'!$G$35))/((1+$Y$16)^AC$34))</f>
        <v>51202182.654095627</v>
      </c>
      <c r="AD133" s="193">
        <f>(((G133*'Appendix K'!$C$10*1000)-('Appendix K'!$E$36+'Appendix K'!$F$36+'Appendix K'!$H$36+'Appendix K'!$G$36))/((1+$Y$16)^AD$34))</f>
        <v>24336357.770895317</v>
      </c>
      <c r="AE133" s="193">
        <f>(((H133*'Appendix K'!$C$11*1000)-('Appendix K'!$E$37+'Appendix K'!$F$37+'Appendix K'!$H$37+'Appendix K'!$G$37))/((1+$Y$16)^AE$34))</f>
        <v>10538997.892305253</v>
      </c>
      <c r="AF133" s="193">
        <f>(((I133*'Appendix K'!$C$12*1000)-('Appendix K'!$E$38+'Appendix K'!$F$38+'Appendix K'!$H$38+'Appendix K'!$G$38))/((1+$Y$16)^AF$34))</f>
        <v>8586505.7625120319</v>
      </c>
      <c r="AG133" s="193">
        <f>(((J133*'Appendix K'!$C$13*1000)-('Appendix K'!$E$39+'Appendix K'!$F$39+'Appendix K'!$H$39+'Appendix K'!$G$39))/((1+$Y$16)^AG$34))</f>
        <v>6633511.9838247821</v>
      </c>
      <c r="AH133" s="193">
        <f>(((K133*'Appendix K'!$C$14*1000)-('Appendix K'!$E$40+'Appendix K'!$F$40+'Appendix K'!$H$40+'Appendix K'!$G$40))/((1+$Y$16)^AH$34))</f>
        <v>1996118.3198230155</v>
      </c>
      <c r="AI133" s="193">
        <f>(((L133*'Appendix K'!$C$15*1000)-('Appendix K'!$E$41+'Appendix K'!$F$41+'Appendix K'!$H$41+'Appendix K'!$G$41))/((1+$Y$16)^AI$34))</f>
        <v>2105264.3964067996</v>
      </c>
      <c r="AJ133" s="193">
        <f>(((M133*'Appendix K'!$C$16*1000)-('Appendix K'!$E$42+'Appendix K'!$F$42+'Appendix K'!$H$42+'Appendix K'!$G$42))/((1+$Y$16)^AJ$34))</f>
        <v>1913183.0623064388</v>
      </c>
      <c r="AK133" s="193">
        <f>(((N133*'Appendix K'!$C$17*1000)-('Appendix K'!$E$43+'Appendix K'!$F$43+'Appendix K'!$H$43))/((1+$Y$16)^AK$34))</f>
        <v>1316626.9327253511</v>
      </c>
      <c r="AL133" s="193">
        <f>(((O133*'Appendix K'!$C$18*1000)-('Appendix K'!$E$44+'Appendix K'!$F$44+'Appendix K'!$H$44+'Appendix K'!$G$44))/((1+$Y$16)^AL$34))</f>
        <v>855991.61177531187</v>
      </c>
      <c r="AM133" s="193">
        <f>(((P133*'Appendix K'!$C$19*1000)-('Appendix K'!$E$45+'Appendix K'!$F$45+'Appendix K'!$H$45+'Appendix K'!$G$45))/((1+$Y$16)^AM$34))</f>
        <v>422534.7259374148</v>
      </c>
      <c r="AN133" s="193">
        <f>(((Q133*'Appendix K'!$C$20*1000)-('Appendix K'!$E$46+'Appendix K'!$F$46+'Appendix K'!$H$46+'Appendix K'!$G$46))/((1+$Y$16)^AN$34))</f>
        <v>188456.0164106891</v>
      </c>
      <c r="AO133" s="193">
        <f>(((R133*'Appendix K'!$C$21*1000)-('Appendix K'!$E$47+'Appendix K'!$F$47+'Appendix K'!$H$47+'Appendix K'!$G$47))/((1+$Y$16)^AO$34))</f>
        <v>269148.3229448612</v>
      </c>
      <c r="AP133" s="193">
        <f>(((S133*'Appendix K'!$C$22*1000)-('Appendix K'!$E$48+'Appendix K'!$F$48+'Appendix K'!$H$48+'Appendix K'!$G$48))/((1+$Y$16)^AP$34))</f>
        <v>154815.40086100888</v>
      </c>
      <c r="AQ133" s="193">
        <f>(((T133*'Appendix K'!$C$23*1000)-('Appendix K'!$E$49+'Appendix K'!$F$49+'Appendix K'!$H$49+'Appendix K'!$G$49))/((1+$Y$16)^AQ$34))</f>
        <v>225686.48067297152</v>
      </c>
      <c r="AR133" s="193">
        <f>(((U133*'Appendix K'!$C$24*1000)-('Appendix K'!$E$50+'Appendix K'!$F$50+'Appendix K'!$H$50+'Appendix K'!$G$50))/((1+$Y$16)^AR$34))</f>
        <v>189285.6860614997</v>
      </c>
      <c r="AS133" s="209">
        <f t="shared" si="18"/>
        <v>159399755.27868938</v>
      </c>
      <c r="AU133" s="199">
        <f t="shared" si="17"/>
        <v>3.1588100698688421E-9</v>
      </c>
    </row>
    <row r="134" spans="1:47" x14ac:dyDescent="0.35">
      <c r="A134">
        <v>100</v>
      </c>
      <c r="B134" s="70">
        <v>56</v>
      </c>
      <c r="C134" s="70">
        <v>55.519652857797844</v>
      </c>
      <c r="D134" s="70">
        <v>81.548028585105172</v>
      </c>
      <c r="E134" s="70">
        <v>89.062190241826414</v>
      </c>
      <c r="F134" s="70">
        <v>89.708823545642659</v>
      </c>
      <c r="G134" s="70">
        <v>112.29644767571517</v>
      </c>
      <c r="H134" s="70">
        <v>174.24087002843942</v>
      </c>
      <c r="I134" s="70">
        <v>254.78336500587358</v>
      </c>
      <c r="J134" s="70">
        <v>256.30173497731141</v>
      </c>
      <c r="K134" s="70">
        <v>337.4538284109114</v>
      </c>
      <c r="L134" s="70">
        <v>341.23784656902188</v>
      </c>
      <c r="M134" s="70">
        <v>332.13470643971772</v>
      </c>
      <c r="N134" s="70">
        <v>483.94608429339053</v>
      </c>
      <c r="O134" s="70">
        <v>500</v>
      </c>
      <c r="P134" s="70">
        <v>252.64267350831881</v>
      </c>
      <c r="Q134" s="70">
        <v>340.65625426252291</v>
      </c>
      <c r="R134" s="70">
        <v>446.83256325506517</v>
      </c>
      <c r="S134" s="70">
        <v>316.79971572244597</v>
      </c>
      <c r="T134" s="70">
        <v>416.35554386596499</v>
      </c>
      <c r="U134" s="70">
        <v>282.85440502636015</v>
      </c>
      <c r="V134" s="70">
        <v>278.37416949623912</v>
      </c>
      <c r="X134" s="193">
        <f>((0-('Appendix K'!$I$30))/(1+$Y$16)^0)</f>
        <v>-33594902.4440751</v>
      </c>
      <c r="Y134" s="193">
        <f>(((B134*'Appendix K'!$C$5*1000)-('Appendix K'!$E$31+'Appendix K'!$F$31+'Appendix K'!$H$31+'Appendix K'!$G$31))/((1+$Y$16)^1))</f>
        <v>34971064.972647354</v>
      </c>
      <c r="Z134" s="193">
        <f>+(((C134*'Appendix K'!$C$6*1000)-('Appendix K'!$E$32+'Appendix K'!$F$32+'Appendix K'!$H$32+'Appendix K'!$G$32))/((1+$Y$16)^2))</f>
        <v>10537966.201505406</v>
      </c>
      <c r="AA134" s="193">
        <f>(((D134*'Appendix K'!$C$7*1000)-('Appendix K'!$E$33+'Appendix K'!$F$33+'Appendix K'!$H$33+'Appendix K'!$G$33))/((1+$Y$16)^3))</f>
        <v>7422271.6691908827</v>
      </c>
      <c r="AB134" s="193">
        <f>(((E134*'Appendix K'!$C$8*1000)-('Appendix K'!$E$34+'Appendix K'!$F$34+'Appendix K'!$H$34+'Appendix K'!$G$34))/((1+$Y$16)^4))</f>
        <v>16228408.926273713</v>
      </c>
      <c r="AC134" s="193">
        <f>(((F134*'Appendix K'!$C$9*1000)-('Appendix K'!$E$35+'Appendix K'!$F$35+'Appendix K'!$H$35+'Appendix K'!$G$35))/((1+$Y$16)^AC$34))</f>
        <v>20860235.911140904</v>
      </c>
      <c r="AD134" s="193">
        <f>(((G134*'Appendix K'!$C$10*1000)-('Appendix K'!$E$36+'Appendix K'!$F$36+'Appendix K'!$H$36+'Appendix K'!$G$36))/((1+$Y$16)^AD$34))</f>
        <v>15119714.906448819</v>
      </c>
      <c r="AE134" s="193">
        <f>(((H134*'Appendix K'!$C$11*1000)-('Appendix K'!$E$37+'Appendix K'!$F$37+'Appendix K'!$H$37+'Appendix K'!$G$37))/((1+$Y$16)^AE$34))</f>
        <v>15158430.257652033</v>
      </c>
      <c r="AF134" s="193">
        <f>(((I134*'Appendix K'!$C$12*1000)-('Appendix K'!$E$38+'Appendix K'!$F$38+'Appendix K'!$H$38+'Appendix K'!$G$38))/((1+$Y$16)^AF$34))</f>
        <v>14733115.1048139</v>
      </c>
      <c r="AG134" s="193">
        <f>(((J134*'Appendix K'!$C$13*1000)-('Appendix K'!$E$39+'Appendix K'!$F$39+'Appendix K'!$H$39+'Appendix K'!$G$39))/((1+$Y$16)^AG$34))</f>
        <v>9979788.3863894045</v>
      </c>
      <c r="AH134" s="193">
        <f>(((K134*'Appendix K'!$C$14*1000)-('Appendix K'!$E$40+'Appendix K'!$F$40+'Appendix K'!$H$40+'Appendix K'!$G$40))/((1+$Y$16)^AH$34))</f>
        <v>9741655.340239659</v>
      </c>
      <c r="AI134" s="193">
        <f>(((L134*'Appendix K'!$C$15*1000)-('Appendix K'!$E$41+'Appendix K'!$F$41+'Appendix K'!$H$41+'Appendix K'!$G$41))/((1+$Y$16)^AI$34))</f>
        <v>7424588.3496794486</v>
      </c>
      <c r="AJ134" s="193">
        <f>(((M134*'Appendix K'!$C$16*1000)-('Appendix K'!$E$42+'Appendix K'!$F$42+'Appendix K'!$H$42+'Appendix K'!$G$42))/((1+$Y$16)^AJ$34))</f>
        <v>5275048.6465166882</v>
      </c>
      <c r="AK134" s="193">
        <f>(((N134*'Appendix K'!$C$17*1000)-('Appendix K'!$E$43+'Appendix K'!$F$43+'Appendix K'!$H$43))/((1+$Y$16)^AK$34))</f>
        <v>6431039.4001391614</v>
      </c>
      <c r="AL134" s="193">
        <f>(((O134*'Appendix K'!$C$18*1000)-('Appendix K'!$E$44+'Appendix K'!$F$44+'Appendix K'!$H$44+'Appendix K'!$G$44))/((1+$Y$16)^AL$34))</f>
        <v>4792058.0003928225</v>
      </c>
      <c r="AM134" s="193">
        <f>(((P134*'Appendix K'!$C$19*1000)-('Appendix K'!$E$45+'Appendix K'!$F$45+'Appendix K'!$H$45+'Appendix K'!$G$45))/((1+$Y$16)^AM$34))</f>
        <v>1314911.2379180598</v>
      </c>
      <c r="AN134" s="193">
        <f>(((Q134*'Appendix K'!$C$20*1000)-('Appendix K'!$E$46+'Appendix K'!$F$46+'Appendix K'!$H$46+'Appendix K'!$G$46))/((1+$Y$16)^AN$34))</f>
        <v>1549353.7022152415</v>
      </c>
      <c r="AO134" s="193">
        <f>(((R134*'Appendix K'!$C$21*1000)-('Appendix K'!$E$47+'Appendix K'!$F$47+'Appendix K'!$H$47+'Appendix K'!$G$47))/((1+$Y$16)^AO$34))</f>
        <v>1797830.8895359989</v>
      </c>
      <c r="AP134" s="193">
        <f>(((S134*'Appendix K'!$C$22*1000)-('Appendix K'!$E$48+'Appendix K'!$F$48+'Appendix K'!$H$48+'Appendix K'!$G$48))/((1+$Y$16)^AP$34))</f>
        <v>752928.49301895977</v>
      </c>
      <c r="AQ134" s="193">
        <f>(((T134*'Appendix K'!$C$23*1000)-('Appendix K'!$E$49+'Appendix K'!$F$49+'Appendix K'!$H$49+'Appendix K'!$G$49))/((1+$Y$16)^AQ$34))</f>
        <v>936023.37742675305</v>
      </c>
      <c r="AR134" s="193">
        <f>(((U134*'Appendix K'!$C$24*1000)-('Appendix K'!$E$50+'Appendix K'!$F$50+'Appendix K'!$H$50+'Appendix K'!$G$50))/((1+$Y$16)^AR$34))</f>
        <v>281510.24013414339</v>
      </c>
      <c r="AS134" s="209">
        <f t="shared" si="18"/>
        <v>151713041.56920421</v>
      </c>
      <c r="AU134" s="199">
        <f t="shared" si="17"/>
        <v>3.7148700460488031E-9</v>
      </c>
    </row>
    <row r="135" spans="1:47" x14ac:dyDescent="0.35">
      <c r="A135">
        <v>101</v>
      </c>
      <c r="B135" s="70">
        <v>56</v>
      </c>
      <c r="C135" s="70">
        <v>55.552234068537999</v>
      </c>
      <c r="D135" s="70">
        <v>29.956455709261483</v>
      </c>
      <c r="E135" s="70">
        <v>48.558915483265864</v>
      </c>
      <c r="F135" s="70">
        <v>65.106435428662422</v>
      </c>
      <c r="G135" s="70">
        <v>73.925495565961029</v>
      </c>
      <c r="H135" s="70">
        <v>88.370286324155757</v>
      </c>
      <c r="I135" s="70">
        <v>108.30021002954217</v>
      </c>
      <c r="J135" s="70">
        <v>129.08049224373846</v>
      </c>
      <c r="K135" s="70">
        <v>186.98027016927358</v>
      </c>
      <c r="L135" s="70">
        <v>188.64408571916576</v>
      </c>
      <c r="M135" s="70">
        <v>165.05919462237244</v>
      </c>
      <c r="N135" s="70">
        <v>140.12407509754109</v>
      </c>
      <c r="O135" s="70">
        <v>106.36571191921432</v>
      </c>
      <c r="P135" s="70">
        <v>71.83795636010052</v>
      </c>
      <c r="Q135" s="70">
        <v>101.38954874222532</v>
      </c>
      <c r="R135" s="70">
        <v>96.217718098897308</v>
      </c>
      <c r="S135" s="70">
        <v>110.6018905424763</v>
      </c>
      <c r="T135" s="70">
        <v>121.57790633970227</v>
      </c>
      <c r="U135" s="70">
        <v>115.72520048226102</v>
      </c>
      <c r="V135" s="70">
        <v>84.80398896446178</v>
      </c>
      <c r="X135" s="193">
        <f>((0-('Appendix K'!$I$30))/(1+$Y$16)^0)</f>
        <v>-33594902.4440751</v>
      </c>
      <c r="Y135" s="193">
        <f>(((B135*'Appendix K'!$C$5*1000)-('Appendix K'!$E$31+'Appendix K'!$F$31+'Appendix K'!$H$31+'Appendix K'!$G$31))/((1+$Y$16)^1))</f>
        <v>34971064.972647354</v>
      </c>
      <c r="Z135" s="193">
        <f>+(((C135*'Appendix K'!$C$6*1000)-('Appendix K'!$E$32+'Appendix K'!$F$32+'Appendix K'!$H$32+'Appendix K'!$G$32))/((1+$Y$16)^2))</f>
        <v>10546196.77257886</v>
      </c>
      <c r="AA135" s="193">
        <f>(((D135*'Appendix K'!$C$7*1000)-('Appendix K'!$E$33+'Appendix K'!$F$33+'Appendix K'!$H$33+'Appendix K'!$G$33))/((1+$Y$16)^3))</f>
        <v>850801.65935789712</v>
      </c>
      <c r="AB135" s="193">
        <f>(((E135*'Appendix K'!$C$8*1000)-('Appendix K'!$E$34+'Appendix K'!$F$34+'Appendix K'!$H$34+'Appendix K'!$G$34))/((1+$Y$16)^4))</f>
        <v>7350461.8709907401</v>
      </c>
      <c r="AC135" s="193">
        <f>(((F135*'Appendix K'!$C$9*1000)-('Appendix K'!$E$35+'Appendix K'!$F$35+'Appendix K'!$H$35+'Appendix K'!$G$35))/((1+$Y$16)^AC$34))</f>
        <v>14320959.782329533</v>
      </c>
      <c r="AD135" s="193">
        <f>(((G135*'Appendix K'!$C$10*1000)-('Appendix K'!$E$36+'Appendix K'!$F$36+'Appendix K'!$H$36+'Appendix K'!$G$36))/((1+$Y$16)^AD$34))</f>
        <v>9093788.9636896253</v>
      </c>
      <c r="AE135" s="193">
        <f>(((H135*'Appendix K'!$C$11*1000)-('Appendix K'!$E$37+'Appendix K'!$F$37+'Appendix K'!$H$37+'Appendix K'!$G$37))/((1+$Y$16)^AE$34))</f>
        <v>6593901.8521820325</v>
      </c>
      <c r="AF135" s="193">
        <f>(((I135*'Appendix K'!$C$12*1000)-('Appendix K'!$E$38+'Appendix K'!$F$38+'Appendix K'!$H$38+'Appendix K'!$G$38))/((1+$Y$16)^AF$34))</f>
        <v>5114675.6287323711</v>
      </c>
      <c r="AG135" s="193">
        <f>(((J135*'Appendix K'!$C$13*1000)-('Appendix K'!$E$39+'Appendix K'!$F$39+'Appendix K'!$H$39+'Appendix K'!$G$39))/((1+$Y$16)^AG$34))</f>
        <v>4125202.596605686</v>
      </c>
      <c r="AH135" s="193">
        <f>(((K135*'Appendix K'!$C$14*1000)-('Appendix K'!$E$40+'Appendix K'!$F$40+'Appendix K'!$H$40+'Appendix K'!$G$40))/((1+$Y$16)^AH$34))</f>
        <v>4669714.3232740201</v>
      </c>
      <c r="AI135" s="193">
        <f>(((L135*'Appendix K'!$C$15*1000)-('Appendix K'!$E$41+'Appendix K'!$F$41+'Appendix K'!$H$41+'Appendix K'!$G$41))/((1+$Y$16)^AI$34))</f>
        <v>3426346.4636812028</v>
      </c>
      <c r="AJ135" s="193">
        <f>(((M135*'Appendix K'!$C$16*1000)-('Appendix K'!$E$42+'Appendix K'!$F$42+'Appendix K'!$H$42+'Appendix K'!$G$42))/((1+$Y$16)^AJ$34))</f>
        <v>1926543.4634009008</v>
      </c>
      <c r="AK135" s="193">
        <f>(((N135*'Appendix K'!$C$17*1000)-('Appendix K'!$E$43+'Appendix K'!$F$43+'Appendix K'!$H$43))/((1+$Y$16)^AK$34))</f>
        <v>1148593.3054607874</v>
      </c>
      <c r="AL135" s="193">
        <f>(((O135*'Appendix K'!$C$18*1000)-('Appendix K'!$E$44+'Appendix K'!$F$44+'Appendix K'!$H$44+'Appendix K'!$G$44))/((1+$Y$16)^AL$34))</f>
        <v>126194.95604512104</v>
      </c>
      <c r="AM135" s="193">
        <f>(((P135*'Appendix K'!$C$19*1000)-('Appendix K'!$E$45+'Appendix K'!$F$45+'Appendix K'!$H$45+'Appendix K'!$G$45))/((1+$Y$16)^AM$34))</f>
        <v>-360919.19210648525</v>
      </c>
      <c r="AN135" s="193">
        <f>(((Q135*'Appendix K'!$C$20*1000)-('Appendix K'!$E$46+'Appendix K'!$F$46+'Appendix K'!$H$46+'Appendix K'!$G$46))/((1+$Y$16)^AN$34))</f>
        <v>-182032.07369714489</v>
      </c>
      <c r="AO135" s="193">
        <f>(((R135*'Appendix K'!$C$21*1000)-('Appendix K'!$E$47+'Appendix K'!$F$47+'Appendix K'!$H$47+'Appendix K'!$G$47))/((1+$Y$16)^AO$34))</f>
        <v>-274341.58127915335</v>
      </c>
      <c r="AP135" s="193">
        <f>(((S135*'Appendix K'!$C$22*1000)-('Appendix K'!$E$48+'Appendix K'!$F$48+'Appendix K'!$H$48+'Appendix K'!$G$48))/((1+$Y$16)^AP$34))</f>
        <v>-234701.21845886888</v>
      </c>
      <c r="AQ135" s="193">
        <f>(((T135*'Appendix K'!$C$23*1000)-('Appendix K'!$E$49+'Appendix K'!$F$49+'Appendix K'!$H$49+'Appendix K'!$G$49))/((1+$Y$16)^AQ$34))</f>
        <v>-217660.8308404455</v>
      </c>
      <c r="AR135" s="193">
        <f>(((U135*'Appendix K'!$C$24*1000)-('Appendix K'!$E$50+'Appendix K'!$F$50+'Appendix K'!$H$50+'Appendix K'!$G$50))/((1+$Y$16)^AR$34))</f>
        <v>-256650.48126740099</v>
      </c>
      <c r="AS135" s="209">
        <f t="shared" si="18"/>
        <v>70669544.166901022</v>
      </c>
      <c r="AU135" s="199">
        <f t="shared" si="17"/>
        <v>6.723110820022048E-9</v>
      </c>
    </row>
    <row r="136" spans="1:47" x14ac:dyDescent="0.35">
      <c r="A136">
        <v>102</v>
      </c>
      <c r="B136" s="70">
        <v>56</v>
      </c>
      <c r="C136" s="70">
        <v>56.519213473958487</v>
      </c>
      <c r="D136" s="70">
        <v>92.630031008716486</v>
      </c>
      <c r="E136" s="70">
        <v>105.89287829162987</v>
      </c>
      <c r="F136" s="70">
        <v>81.068309309909495</v>
      </c>
      <c r="G136" s="70">
        <v>94.39159631578282</v>
      </c>
      <c r="H136" s="70">
        <v>132.25674149870906</v>
      </c>
      <c r="I136" s="70">
        <v>164.80449627192496</v>
      </c>
      <c r="J136" s="70">
        <v>219.12012276253625</v>
      </c>
      <c r="K136" s="70">
        <v>230.90187984383036</v>
      </c>
      <c r="L136" s="70">
        <v>238.57511144239882</v>
      </c>
      <c r="M136" s="70">
        <v>246.25932146696448</v>
      </c>
      <c r="N136" s="70">
        <v>322.04367334381766</v>
      </c>
      <c r="O136" s="70">
        <v>241.91759329900947</v>
      </c>
      <c r="P136" s="70">
        <v>266.18535279748619</v>
      </c>
      <c r="Q136" s="70">
        <v>351.46333745535912</v>
      </c>
      <c r="R136" s="70">
        <v>359.4789498650203</v>
      </c>
      <c r="S136" s="70">
        <v>500</v>
      </c>
      <c r="T136" s="70">
        <v>500</v>
      </c>
      <c r="U136" s="70">
        <v>371.28822036206429</v>
      </c>
      <c r="V136" s="70">
        <v>222.07461206647429</v>
      </c>
      <c r="X136" s="193">
        <f>((0-('Appendix K'!$I$30))/(1+$Y$16)^0)</f>
        <v>-33594902.4440751</v>
      </c>
      <c r="Y136" s="193">
        <f>(((B136*'Appendix K'!$C$5*1000)-('Appendix K'!$E$31+'Appendix K'!$F$31+'Appendix K'!$H$31+'Appendix K'!$G$31))/((1+$Y$16)^1))</f>
        <v>34971064.972647354</v>
      </c>
      <c r="Z136" s="193">
        <f>+(((C136*'Appendix K'!$C$6*1000)-('Appendix K'!$E$32+'Appendix K'!$F$32+'Appendix K'!$H$32+'Appendix K'!$G$32))/((1+$Y$16)^2))</f>
        <v>10790472.308756834</v>
      </c>
      <c r="AA136" s="193">
        <f>(((D136*'Appendix K'!$C$7*1000)-('Appendix K'!$E$33+'Appendix K'!$F$33+'Appendix K'!$H$33+'Appendix K'!$G$33))/((1+$Y$16)^3))</f>
        <v>8833840.3133745622</v>
      </c>
      <c r="AB136" s="193">
        <f>(((E136*'Appendix K'!$C$8*1000)-('Appendix K'!$E$34+'Appendix K'!$F$34+'Appendix K'!$H$34+'Appendix K'!$G$34))/((1+$Y$16)^4))</f>
        <v>19917541.676670838</v>
      </c>
      <c r="AC136" s="193">
        <f>(((F136*'Appendix K'!$C$9*1000)-('Appendix K'!$E$35+'Appendix K'!$F$35+'Appendix K'!$H$35+'Appendix K'!$G$35))/((1+$Y$16)^AC$34))</f>
        <v>18563600.795325164</v>
      </c>
      <c r="AD136" s="193">
        <f>(((G136*'Appendix K'!$C$10*1000)-('Appendix K'!$E$36+'Appendix K'!$F$36+'Appendix K'!$H$36+'Appendix K'!$G$36))/((1+$Y$16)^AD$34))</f>
        <v>12307866.297572723</v>
      </c>
      <c r="AE136" s="193">
        <f>(((H136*'Appendix K'!$C$11*1000)-('Appendix K'!$E$37+'Appendix K'!$F$37+'Appendix K'!$H$37+'Appendix K'!$G$37))/((1+$Y$16)^AE$34))</f>
        <v>10971032.829330584</v>
      </c>
      <c r="AF136" s="193">
        <f>(((I136*'Appendix K'!$C$12*1000)-('Appendix K'!$E$38+'Appendix K'!$F$38+'Appendix K'!$H$38+'Appendix K'!$G$38))/((1+$Y$16)^AF$34))</f>
        <v>8824884.201515777</v>
      </c>
      <c r="AG136" s="193">
        <f>(((J136*'Appendix K'!$C$13*1000)-('Appendix K'!$E$39+'Appendix K'!$F$39+'Appendix K'!$H$39+'Appendix K'!$G$39))/((1+$Y$16)^AG$34))</f>
        <v>8268730.2813389488</v>
      </c>
      <c r="AH136" s="193">
        <f>(((K136*'Appendix K'!$C$14*1000)-('Appendix K'!$E$40+'Appendix K'!$F$40+'Appendix K'!$H$40+'Appendix K'!$G$40))/((1+$Y$16)^AH$34))</f>
        <v>6150159.2349428711</v>
      </c>
      <c r="AI136" s="193">
        <f>(((L136*'Appendix K'!$C$15*1000)-('Appendix K'!$E$41+'Appendix K'!$F$41+'Appendix K'!$H$41+'Appendix K'!$G$41))/((1+$Y$16)^AI$34))</f>
        <v>4734632.7091058586</v>
      </c>
      <c r="AJ136" s="193">
        <f>(((M136*'Appendix K'!$C$16*1000)-('Appendix K'!$E$42+'Appendix K'!$F$42+'Appendix K'!$H$42+'Appendix K'!$G$42))/((1+$Y$16)^AJ$34))</f>
        <v>3553945.6042127064</v>
      </c>
      <c r="AK136" s="193">
        <f>(((N136*'Appendix K'!$C$17*1000)-('Appendix K'!$E$43+'Appendix K'!$F$43+'Appendix K'!$H$43))/((1+$Y$16)^AK$34))</f>
        <v>3943587.3593583214</v>
      </c>
      <c r="AL136" s="193">
        <f>(((O136*'Appendix K'!$C$18*1000)-('Appendix K'!$E$44+'Appendix K'!$F$44+'Appendix K'!$H$44+'Appendix K'!$G$44))/((1+$Y$16)^AL$34))</f>
        <v>1732931.292469118</v>
      </c>
      <c r="AM136" s="193">
        <f>(((P136*'Appendix K'!$C$19*1000)-('Appendix K'!$E$45+'Appendix K'!$F$45+'Appendix K'!$H$45+'Appendix K'!$G$45))/((1+$Y$16)^AM$34))</f>
        <v>1440434.6999981168</v>
      </c>
      <c r="AN136" s="193">
        <f>(((Q136*'Appendix K'!$C$20*1000)-('Appendix K'!$E$46+'Appendix K'!$F$46+'Appendix K'!$H$46+'Appendix K'!$G$46))/((1+$Y$16)^AN$34))</f>
        <v>1627556.100156442</v>
      </c>
      <c r="AO136" s="193">
        <f>(((R136*'Appendix K'!$C$21*1000)-('Appendix K'!$E$47+'Appendix K'!$F$47+'Appendix K'!$H$47+'Appendix K'!$G$47))/((1+$Y$16)^AO$34))</f>
        <v>1281561.3835701116</v>
      </c>
      <c r="AP136" s="193">
        <f>(((S136*'Appendix K'!$C$22*1000)-('Appendix K'!$E$48+'Appendix K'!$F$48+'Appendix K'!$H$48+'Appendix K'!$G$48))/((1+$Y$16)^AP$34))</f>
        <v>1630406.4380253027</v>
      </c>
      <c r="AQ136" s="193">
        <f>(((T136*'Appendix K'!$C$23*1000)-('Appendix K'!$E$49+'Appendix K'!$F$49+'Appendix K'!$H$49+'Appendix K'!$G$49))/((1+$Y$16)^AQ$34))</f>
        <v>1263386.3652054211</v>
      </c>
      <c r="AR136" s="193">
        <f>(((U136*'Appendix K'!$C$24*1000)-('Appendix K'!$E$50+'Appendix K'!$F$50+'Appendix K'!$H$50+'Appendix K'!$G$50))/((1+$Y$16)^AR$34))</f>
        <v>566269.60332967539</v>
      </c>
      <c r="AS136" s="209">
        <f t="shared" si="18"/>
        <v>127779002.02283159</v>
      </c>
      <c r="AU136" s="199">
        <f t="shared" si="17"/>
        <v>5.472475746293993E-9</v>
      </c>
    </row>
    <row r="137" spans="1:47" x14ac:dyDescent="0.35">
      <c r="A137">
        <v>103</v>
      </c>
      <c r="B137" s="70">
        <v>56</v>
      </c>
      <c r="C137" s="70">
        <v>57.231833869709547</v>
      </c>
      <c r="D137" s="70">
        <v>71.308804044331254</v>
      </c>
      <c r="E137" s="70">
        <v>54.65606240897197</v>
      </c>
      <c r="F137" s="70">
        <v>32.550241153057229</v>
      </c>
      <c r="G137" s="70">
        <v>32.634301261782049</v>
      </c>
      <c r="H137" s="70">
        <v>38.613098006241842</v>
      </c>
      <c r="I137" s="70">
        <v>39.600488505867766</v>
      </c>
      <c r="J137" s="70">
        <v>33.582599201127366</v>
      </c>
      <c r="K137" s="70">
        <v>33.607018813911864</v>
      </c>
      <c r="L137" s="70">
        <v>36.531317892481553</v>
      </c>
      <c r="M137" s="70">
        <v>57.123270330832781</v>
      </c>
      <c r="N137" s="70">
        <v>80.364883972587748</v>
      </c>
      <c r="O137" s="70">
        <v>81.06341119743027</v>
      </c>
      <c r="P137" s="70">
        <v>99.889871566979252</v>
      </c>
      <c r="Q137" s="70">
        <v>100.64351123005341</v>
      </c>
      <c r="R137" s="70">
        <v>122.40203275384337</v>
      </c>
      <c r="S137" s="70">
        <v>24.615620069105802</v>
      </c>
      <c r="T137" s="70">
        <v>26.74887664293739</v>
      </c>
      <c r="U137" s="70">
        <v>35.315918307911971</v>
      </c>
      <c r="V137" s="70">
        <v>28.654506974827015</v>
      </c>
      <c r="X137" s="193">
        <f>((0-('Appendix K'!$I$30))/(1+$Y$16)^0)</f>
        <v>-33594902.4440751</v>
      </c>
      <c r="Y137" s="193">
        <f>(((B137*'Appendix K'!$C$5*1000)-('Appendix K'!$E$31+'Appendix K'!$F$31+'Appendix K'!$H$31+'Appendix K'!$G$31))/((1+$Y$16)^1))</f>
        <v>34971064.972647354</v>
      </c>
      <c r="Z137" s="193">
        <f>+(((C137*'Appendix K'!$C$6*1000)-('Appendix K'!$E$32+'Appendix K'!$F$32+'Appendix K'!$H$32+'Appendix K'!$G$32))/((1+$Y$16)^2))</f>
        <v>10970492.408758607</v>
      </c>
      <c r="AA137" s="193">
        <f>(((D137*'Appendix K'!$C$7*1000)-('Appendix K'!$E$33+'Appendix K'!$F$33+'Appendix K'!$H$33+'Appendix K'!$G$33))/((1+$Y$16)^3))</f>
        <v>6118051.7502601519</v>
      </c>
      <c r="AB137" s="193">
        <f>(((E137*'Appendix K'!$C$8*1000)-('Appendix K'!$E$34+'Appendix K'!$F$34+'Appendix K'!$H$34+'Appendix K'!$G$34))/((1+$Y$16)^4))</f>
        <v>8686900.6630975325</v>
      </c>
      <c r="AC137" s="193">
        <f>(((F137*'Appendix K'!$C$9*1000)-('Appendix K'!$E$35+'Appendix K'!$F$35+'Appendix K'!$H$35+'Appendix K'!$G$35))/((1+$Y$16)^AC$34))</f>
        <v>5667574.4662725991</v>
      </c>
      <c r="AD137" s="193">
        <f>(((G137*'Appendix K'!$C$10*1000)-('Appendix K'!$E$36+'Appendix K'!$F$36+'Appendix K'!$H$36+'Appendix K'!$G$36))/((1+$Y$16)^AD$34))</f>
        <v>2609256.6473332676</v>
      </c>
      <c r="AE137" s="193">
        <f>(((H137*'Appendix K'!$C$11*1000)-('Appendix K'!$E$37+'Appendix K'!$F$37+'Appendix K'!$H$37+'Appendix K'!$G$37))/((1+$Y$16)^AE$34))</f>
        <v>1631237.871782942</v>
      </c>
      <c r="AF137" s="193">
        <f>(((I137*'Appendix K'!$C$12*1000)-('Appendix K'!$E$38+'Appendix K'!$F$38+'Appendix K'!$H$38+'Appendix K'!$G$38))/((1+$Y$16)^AF$34))</f>
        <v>603685.17658183817</v>
      </c>
      <c r="AG137" s="193">
        <f>(((J137*'Appendix K'!$C$13*1000)-('Appendix K'!$E$39+'Appendix K'!$F$39+'Appendix K'!$H$39+'Appendix K'!$G$39))/((1+$Y$16)^AG$34))</f>
        <v>-269508.50311550015</v>
      </c>
      <c r="AH137" s="193">
        <f>(((K137*'Appendix K'!$C$14*1000)-('Appendix K'!$E$40+'Appendix K'!$F$40+'Appendix K'!$H$40+'Appendix K'!$G$40))/((1+$Y$16)^AH$34))</f>
        <v>-499965.27721399051</v>
      </c>
      <c r="AI137" s="193">
        <f>(((L137*'Appendix K'!$C$15*1000)-('Appendix K'!$E$41+'Appendix K'!$F$41+'Appendix K'!$H$41+'Appendix K'!$G$41))/((1+$Y$16)^AI$34))</f>
        <v>-559292.50564857514</v>
      </c>
      <c r="AJ137" s="193">
        <f>(((M137*'Appendix K'!$C$16*1000)-('Appendix K'!$E$42+'Appendix K'!$F$42+'Appendix K'!$H$42+'Appendix K'!$G$42))/((1+$Y$16)^AJ$34))</f>
        <v>-236693.97339198703</v>
      </c>
      <c r="AK137" s="193">
        <f>(((N137*'Appendix K'!$C$17*1000)-('Appendix K'!$E$43+'Appendix K'!$F$43+'Appendix K'!$H$43))/((1+$Y$16)^AK$34))</f>
        <v>230459.22056765805</v>
      </c>
      <c r="AL137" s="193">
        <f>(((O137*'Appendix K'!$C$18*1000)-('Appendix K'!$E$44+'Appendix K'!$F$44+'Appendix K'!$H$44+'Appendix K'!$G$44))/((1+$Y$16)^AL$34))</f>
        <v>-173720.65966596623</v>
      </c>
      <c r="AM137" s="193">
        <f>(((P137*'Appendix K'!$C$19*1000)-('Appendix K'!$E$45+'Appendix K'!$F$45+'Appendix K'!$H$45+'Appendix K'!$G$45))/((1+$Y$16)^AM$34))</f>
        <v>-100913.51379435323</v>
      </c>
      <c r="AN137" s="193">
        <f>(((Q137*'Appendix K'!$C$20*1000)-('Appendix K'!$E$46+'Appendix K'!$F$46+'Appendix K'!$H$46+'Appendix K'!$G$46))/((1+$Y$16)^AN$34))</f>
        <v>-187430.56294395705</v>
      </c>
      <c r="AO137" s="193">
        <f>(((R137*'Appendix K'!$C$21*1000)-('Appendix K'!$E$47+'Appendix K'!$F$47+'Appendix K'!$H$47+'Appendix K'!$G$47))/((1+$Y$16)^AO$34))</f>
        <v>-119589.38882428546</v>
      </c>
      <c r="AP137" s="193">
        <f>(((S137*'Appendix K'!$C$22*1000)-('Appendix K'!$E$48+'Appendix K'!$F$48+'Appendix K'!$H$48+'Appendix K'!$G$48))/((1+$Y$16)^AP$34))</f>
        <v>-646551.32126450667</v>
      </c>
      <c r="AQ137" s="193">
        <f>(((T137*'Appendix K'!$C$23*1000)-('Appendix K'!$E$49+'Appendix K'!$F$49+'Appendix K'!$H$49+'Appendix K'!$G$49))/((1+$Y$16)^AQ$34))</f>
        <v>-588797.37621937296</v>
      </c>
      <c r="AR137" s="193">
        <f>(((U137*'Appendix K'!$C$24*1000)-('Appendix K'!$E$50+'Appendix K'!$F$50+'Appendix K'!$H$50+'Appendix K'!$G$50))/((1+$Y$16)^AR$34))</f>
        <v>-515570.62284510984</v>
      </c>
      <c r="AS137" s="209">
        <f t="shared" si="18"/>
        <v>37893820.733226858</v>
      </c>
      <c r="AU137" s="199">
        <f t="shared" si="17"/>
        <v>4.7889473289152577E-9</v>
      </c>
    </row>
    <row r="138" spans="1:47" x14ac:dyDescent="0.35">
      <c r="A138">
        <v>104</v>
      </c>
      <c r="B138" s="70">
        <v>56</v>
      </c>
      <c r="C138" s="70">
        <v>29.279167565036825</v>
      </c>
      <c r="D138" s="70">
        <v>35.679930689887996</v>
      </c>
      <c r="E138" s="70">
        <v>46.018410569322704</v>
      </c>
      <c r="F138" s="70">
        <v>47.665179026559294</v>
      </c>
      <c r="G138" s="70">
        <v>45.183578859903768</v>
      </c>
      <c r="H138" s="70">
        <v>37.89401428455394</v>
      </c>
      <c r="I138" s="70">
        <v>53.533893984026086</v>
      </c>
      <c r="J138" s="70">
        <v>75.637041889032488</v>
      </c>
      <c r="K138" s="70">
        <v>71.740091583746306</v>
      </c>
      <c r="L138" s="70">
        <v>91.068036269415529</v>
      </c>
      <c r="M138" s="70">
        <v>129.73236553546576</v>
      </c>
      <c r="N138" s="70">
        <v>204.90753964447481</v>
      </c>
      <c r="O138" s="70">
        <v>205.52858233449152</v>
      </c>
      <c r="P138" s="70">
        <v>246.91825835749154</v>
      </c>
      <c r="Q138" s="70">
        <v>234.22444585493517</v>
      </c>
      <c r="R138" s="70">
        <v>178.2308826910637</v>
      </c>
      <c r="S138" s="70">
        <v>240.41248732493577</v>
      </c>
      <c r="T138" s="70">
        <v>281.36176921779941</v>
      </c>
      <c r="U138" s="70">
        <v>235.99979409836425</v>
      </c>
      <c r="V138" s="70">
        <v>249.12336317101324</v>
      </c>
      <c r="X138" s="193">
        <f>((0-('Appendix K'!$I$30))/(1+$Y$16)^0)</f>
        <v>-33594902.4440751</v>
      </c>
      <c r="Y138" s="193">
        <f>(((B138*'Appendix K'!$C$5*1000)-('Appendix K'!$E$31+'Appendix K'!$F$31+'Appendix K'!$H$31+'Appendix K'!$G$31))/((1+$Y$16)^1))</f>
        <v>34971064.972647354</v>
      </c>
      <c r="Z138" s="193">
        <f>+(((C138*'Appendix K'!$C$6*1000)-('Appendix K'!$E$32+'Appendix K'!$F$32+'Appendix K'!$H$32+'Appendix K'!$G$32))/((1+$Y$16)^2))</f>
        <v>3909170.8222779385</v>
      </c>
      <c r="AA138" s="193">
        <f>(((D138*'Appendix K'!$C$7*1000)-('Appendix K'!$E$33+'Appendix K'!$F$33+'Appendix K'!$H$33+'Appendix K'!$G$33))/((1+$Y$16)^3))</f>
        <v>1579828.5544620613</v>
      </c>
      <c r="AB138" s="193">
        <f>(((E138*'Appendix K'!$C$8*1000)-('Appendix K'!$E$34+'Appendix K'!$F$34+'Appendix K'!$H$34+'Appendix K'!$G$34))/((1+$Y$16)^4))</f>
        <v>6793606.4499384807</v>
      </c>
      <c r="AC138" s="193">
        <f>(((F138*'Appendix K'!$C$9*1000)-('Appendix K'!$E$35+'Appendix K'!$F$35+'Appendix K'!$H$35+'Appendix K'!$G$35))/((1+$Y$16)^AC$34))</f>
        <v>9685101.218337791</v>
      </c>
      <c r="AD138" s="193">
        <f>(((G138*'Appendix K'!$C$10*1000)-('Appendix K'!$E$36+'Appendix K'!$F$36+'Appendix K'!$H$36+'Appendix K'!$G$36))/((1+$Y$16)^AD$34))</f>
        <v>4580044.7900175126</v>
      </c>
      <c r="AE138" s="193">
        <f>(((H138*'Appendix K'!$C$11*1000)-('Appendix K'!$E$37+'Appendix K'!$F$37+'Appendix K'!$H$37+'Appendix K'!$G$37))/((1+$Y$16)^AE$34))</f>
        <v>1559518.1664468769</v>
      </c>
      <c r="AF138" s="193">
        <f>(((I138*'Appendix K'!$C$12*1000)-('Appendix K'!$E$38+'Appendix K'!$F$38+'Appendix K'!$H$38+'Appendix K'!$G$38))/((1+$Y$16)^AF$34))</f>
        <v>1518586.3971967483</v>
      </c>
      <c r="AG138" s="193">
        <f>(((J138*'Appendix K'!$C$13*1000)-('Appendix K'!$E$39+'Appendix K'!$F$39+'Appendix K'!$H$39+'Appendix K'!$G$39))/((1+$Y$16)^AG$34))</f>
        <v>1665792.0588629704</v>
      </c>
      <c r="AH138" s="193">
        <f>(((K138*'Appendix K'!$C$14*1000)-('Appendix K'!$E$40+'Appendix K'!$F$40+'Appendix K'!$H$40+'Appendix K'!$G$40))/((1+$Y$16)^AH$34))</f>
        <v>785368.16039684589</v>
      </c>
      <c r="AI138" s="193">
        <f>(((L138*'Appendix K'!$C$15*1000)-('Appendix K'!$E$41+'Appendix K'!$F$41+'Appendix K'!$H$41+'Appendix K'!$G$41))/((1+$Y$16)^AI$34))</f>
        <v>869671.49999054067</v>
      </c>
      <c r="AJ138" s="193">
        <f>(((M138*'Appendix K'!$C$16*1000)-('Appendix K'!$E$42+'Appendix K'!$F$42+'Appendix K'!$H$42+'Appendix K'!$G$42))/((1+$Y$16)^AJ$34))</f>
        <v>1218527.854088418</v>
      </c>
      <c r="AK138" s="193">
        <f>(((N138*'Appendix K'!$C$17*1000)-('Appendix K'!$E$43+'Appendix K'!$F$43+'Appendix K'!$H$43))/((1+$Y$16)^AK$34))</f>
        <v>2143919.8120334097</v>
      </c>
      <c r="AL138" s="193">
        <f>(((O138*'Appendix K'!$C$18*1000)-('Appendix K'!$E$44+'Appendix K'!$F$44+'Appendix K'!$H$44+'Appendix K'!$G$44))/((1+$Y$16)^AL$34))</f>
        <v>1301601.6379628456</v>
      </c>
      <c r="AM138" s="193">
        <f>(((P138*'Appendix K'!$C$19*1000)-('Appendix K'!$E$45+'Appendix K'!$F$45+'Appendix K'!$H$45+'Appendix K'!$G$45))/((1+$Y$16)^AM$34))</f>
        <v>1261853.1692174205</v>
      </c>
      <c r="AN138" s="193">
        <f>(((Q138*'Appendix K'!$C$20*1000)-('Appendix K'!$E$46+'Appendix K'!$F$46+'Appendix K'!$H$46+'Appendix K'!$G$46))/((1+$Y$16)^AN$34))</f>
        <v>779190.05248881818</v>
      </c>
      <c r="AO138" s="193">
        <f>(((R138*'Appendix K'!$C$21*1000)-('Appendix K'!$E$47+'Appendix K'!$F$47+'Appendix K'!$H$47+'Appendix K'!$G$47))/((1+$Y$16)^AO$34))</f>
        <v>210365.28227827401</v>
      </c>
      <c r="AP138" s="193">
        <f>(((S138*'Appendix K'!$C$22*1000)-('Appendix K'!$E$48+'Appendix K'!$F$48+'Appendix K'!$H$48+'Appendix K'!$G$48))/((1+$Y$16)^AP$34))</f>
        <v>387055.10770571581</v>
      </c>
      <c r="AQ138" s="193">
        <f>(((T138*'Appendix K'!$C$23*1000)-('Appendix K'!$E$49+'Appendix K'!$F$49+'Appendix K'!$H$49+'Appendix K'!$G$49))/((1+$Y$16)^AQ$34))</f>
        <v>407692.30274645571</v>
      </c>
      <c r="AR138" s="193">
        <f>(((U138*'Appendix K'!$C$24*1000)-('Appendix K'!$E$50+'Appendix K'!$F$50+'Appendix K'!$H$50+'Appendix K'!$G$50))/((1+$Y$16)^AR$34))</f>
        <v>130637.08013327954</v>
      </c>
      <c r="AS138" s="209">
        <f t="shared" si="18"/>
        <v>42163692.945154659</v>
      </c>
      <c r="AU138" s="199">
        <f t="shared" si="17"/>
        <v>5.1008198324046583E-9</v>
      </c>
    </row>
    <row r="139" spans="1:47" x14ac:dyDescent="0.35">
      <c r="A139">
        <v>105</v>
      </c>
      <c r="B139" s="70">
        <v>56</v>
      </c>
      <c r="C139" s="70">
        <v>70.096349405470747</v>
      </c>
      <c r="D139" s="70">
        <v>68.774498649011548</v>
      </c>
      <c r="E139" s="70">
        <v>89.751559378969688</v>
      </c>
      <c r="F139" s="70">
        <v>109.81745569992201</v>
      </c>
      <c r="G139" s="70">
        <v>101.4852377747317</v>
      </c>
      <c r="H139" s="70">
        <v>150.14605090436532</v>
      </c>
      <c r="I139" s="70">
        <v>96.562469153897567</v>
      </c>
      <c r="J139" s="70">
        <v>54.468142269427616</v>
      </c>
      <c r="K139" s="70">
        <v>37.626862895938018</v>
      </c>
      <c r="L139" s="70">
        <v>12.607176502824093</v>
      </c>
      <c r="M139" s="70">
        <v>4.8281330873511612</v>
      </c>
      <c r="N139" s="70">
        <v>5.8906343929921405</v>
      </c>
      <c r="O139" s="70">
        <v>4.8792515259152438</v>
      </c>
      <c r="P139" s="70">
        <v>6.1131560551236586</v>
      </c>
      <c r="Q139" s="70">
        <v>8.5432564887158335</v>
      </c>
      <c r="R139" s="70">
        <v>8.8981328640637827</v>
      </c>
      <c r="S139" s="70">
        <v>9.4301985224095084</v>
      </c>
      <c r="T139" s="70">
        <v>10.111052382760622</v>
      </c>
      <c r="U139" s="70">
        <v>10.319432319489879</v>
      </c>
      <c r="V139" s="70">
        <v>11.279854219714771</v>
      </c>
      <c r="X139" s="193">
        <f>((0-('Appendix K'!$I$30))/(1+$Y$16)^0)</f>
        <v>-33594902.4440751</v>
      </c>
      <c r="Y139" s="193">
        <f>(((B139*'Appendix K'!$C$5*1000)-('Appendix K'!$E$31+'Appendix K'!$F$31+'Appendix K'!$H$31+'Appendix K'!$G$31))/((1+$Y$16)^1))</f>
        <v>34971064.972647354</v>
      </c>
      <c r="Z139" s="193">
        <f>+(((C139*'Appendix K'!$C$6*1000)-('Appendix K'!$E$32+'Appendix K'!$F$32+'Appendix K'!$H$32+'Appendix K'!$G$32))/((1+$Y$16)^2))</f>
        <v>14220289.056497397</v>
      </c>
      <c r="AA139" s="193">
        <f>(((D139*'Appendix K'!$C$7*1000)-('Appendix K'!$E$33+'Appendix K'!$F$33+'Appendix K'!$H$33+'Appendix K'!$G$33))/((1+$Y$16)^3))</f>
        <v>5795244.9240139369</v>
      </c>
      <c r="AB139" s="193">
        <f>(((E139*'Appendix K'!$C$8*1000)-('Appendix K'!$E$34+'Appendix K'!$F$34+'Appendix K'!$H$34+'Appendix K'!$G$34))/((1+$Y$16)^4))</f>
        <v>16379512.330568464</v>
      </c>
      <c r="AC139" s="193">
        <f>(((F139*'Appendix K'!$C$9*1000)-('Appendix K'!$E$35+'Appendix K'!$F$35+'Appendix K'!$H$35+'Appendix K'!$G$35))/((1+$Y$16)^AC$34))</f>
        <v>26205078.761529516</v>
      </c>
      <c r="AD139" s="193">
        <f>(((G139*'Appendix K'!$C$10*1000)-('Appendix K'!$E$36+'Appendix K'!$F$36+'Appendix K'!$H$36+'Appendix K'!$G$36))/((1+$Y$16)^AD$34))</f>
        <v>13421879.782926034</v>
      </c>
      <c r="AE139" s="193">
        <f>(((H139*'Appendix K'!$C$11*1000)-('Appendix K'!$E$37+'Appendix K'!$F$37+'Appendix K'!$H$37+'Appendix K'!$G$37))/((1+$Y$16)^AE$34))</f>
        <v>12755270.130972935</v>
      </c>
      <c r="AF139" s="193">
        <f>(((I139*'Appendix K'!$C$12*1000)-('Appendix K'!$E$38+'Appendix K'!$F$38+'Appendix K'!$H$38+'Appendix K'!$G$38))/((1+$Y$16)^AF$34))</f>
        <v>4343947.0748822177</v>
      </c>
      <c r="AG139" s="193">
        <f>(((J139*'Appendix K'!$C$13*1000)-('Appendix K'!$E$39+'Appendix K'!$F$39+'Appendix K'!$H$39+'Appendix K'!$G$39))/((1+$Y$16)^AG$34))</f>
        <v>691621.89486102003</v>
      </c>
      <c r="AH139" s="193">
        <f>(((K139*'Appendix K'!$C$14*1000)-('Appendix K'!$E$40+'Appendix K'!$F$40+'Appendix K'!$H$40+'Appendix K'!$G$40))/((1+$Y$16)^AH$34))</f>
        <v>-364470.295107604</v>
      </c>
      <c r="AI139" s="193">
        <f>(((L139*'Appendix K'!$C$15*1000)-('Appendix K'!$E$41+'Appendix K'!$F$41+'Appendix K'!$H$41+'Appendix K'!$G$41))/((1+$Y$16)^AI$34))</f>
        <v>-1186149.7484213747</v>
      </c>
      <c r="AJ139" s="193">
        <f>(((M139*'Appendix K'!$C$16*1000)-('Appendix K'!$E$42+'Appendix K'!$F$42+'Appendix K'!$H$42+'Appendix K'!$G$42))/((1+$Y$16)^AJ$34))</f>
        <v>-1284786.157619372</v>
      </c>
      <c r="AK139" s="193">
        <f>(((N139*'Appendix K'!$C$17*1000)-('Appendix K'!$E$43+'Appendix K'!$F$43+'Appendix K'!$H$43))/((1+$Y$16)^AK$34))</f>
        <v>-913755.51357911259</v>
      </c>
      <c r="AL139" s="193">
        <f>(((O139*'Appendix K'!$C$18*1000)-('Appendix K'!$E$44+'Appendix K'!$F$44+'Appendix K'!$H$44+'Appendix K'!$G$44))/((1+$Y$16)^AL$34))</f>
        <v>-1076753.9216033879</v>
      </c>
      <c r="AM139" s="193">
        <f>(((P139*'Appendix K'!$C$19*1000)-('Appendix K'!$E$45+'Appendix K'!$F$45+'Appendix K'!$H$45+'Appendix K'!$G$45))/((1+$Y$16)^AM$34))</f>
        <v>-970104.7382339919</v>
      </c>
      <c r="AN139" s="193">
        <f>(((Q139*'Appendix K'!$C$20*1000)-('Appendix K'!$E$46+'Appendix K'!$F$46+'Appendix K'!$H$46+'Appendix K'!$G$46))/((1+$Y$16)^AN$34))</f>
        <v>-853887.98195803596</v>
      </c>
      <c r="AO139" s="193">
        <f>(((R139*'Appendix K'!$C$21*1000)-('Appendix K'!$E$47+'Appendix K'!$F$47+'Appendix K'!$H$47+'Appendix K'!$G$47))/((1+$Y$16)^AO$34))</f>
        <v>-790409.97708830971</v>
      </c>
      <c r="AP139" s="193">
        <f>(((S139*'Appendix K'!$C$22*1000)-('Appendix K'!$E$48+'Appendix K'!$F$48+'Appendix K'!$H$48+'Appendix K'!$G$48))/((1+$Y$16)^AP$34))</f>
        <v>-719285.22855835408</v>
      </c>
      <c r="AQ139" s="193">
        <f>(((T139*'Appendix K'!$C$23*1000)-('Appendix K'!$E$49+'Appendix K'!$F$49+'Appendix K'!$H$49+'Appendix K'!$G$49))/((1+$Y$16)^AQ$34))</f>
        <v>-653913.56098145724</v>
      </c>
      <c r="AR139" s="193">
        <f>(((U139*'Appendix K'!$C$24*1000)-('Appendix K'!$E$50+'Appendix K'!$F$50+'Appendix K'!$H$50+'Appendix K'!$G$50))/((1+$Y$16)^AR$34))</f>
        <v>-596060.00810083468</v>
      </c>
      <c r="AS139" s="209">
        <f t="shared" si="18"/>
        <v>95189006.484823793</v>
      </c>
      <c r="AU139" s="199">
        <f t="shared" si="17"/>
        <v>6.9673802457884282E-9</v>
      </c>
    </row>
    <row r="140" spans="1:47" x14ac:dyDescent="0.35">
      <c r="A140">
        <v>106</v>
      </c>
      <c r="B140" s="70">
        <v>56</v>
      </c>
      <c r="C140" s="70">
        <v>70.820833041957016</v>
      </c>
      <c r="D140" s="70">
        <v>46.669231545680262</v>
      </c>
      <c r="E140" s="70">
        <v>43.398734806577885</v>
      </c>
      <c r="F140" s="70">
        <v>41.322492881813496</v>
      </c>
      <c r="G140" s="70">
        <v>37.29865178617262</v>
      </c>
      <c r="H140" s="70">
        <v>33.722088192306373</v>
      </c>
      <c r="I140" s="70">
        <v>37.216625979621156</v>
      </c>
      <c r="J140" s="70">
        <v>11.041422145438865</v>
      </c>
      <c r="K140" s="70">
        <v>6.8583362485604331</v>
      </c>
      <c r="L140" s="70">
        <v>8.2423870856576222</v>
      </c>
      <c r="M140" s="70">
        <v>9.1307231813642193</v>
      </c>
      <c r="N140" s="70">
        <v>5.7785672022054566</v>
      </c>
      <c r="O140" s="70">
        <v>6.9044864186043178</v>
      </c>
      <c r="P140" s="70">
        <v>10.699142683672608</v>
      </c>
      <c r="Q140" s="70">
        <v>12.30594544975478</v>
      </c>
      <c r="R140" s="70">
        <v>10.211406329044589</v>
      </c>
      <c r="S140" s="70">
        <v>7.6106480812477084</v>
      </c>
      <c r="T140" s="70">
        <v>8.551734813485826</v>
      </c>
      <c r="U140" s="70">
        <v>12.43421725264888</v>
      </c>
      <c r="V140" s="70">
        <v>8.3468398073473384</v>
      </c>
      <c r="X140" s="193">
        <f>((0-('Appendix K'!$I$30))/(1+$Y$16)^0)</f>
        <v>-33594902.4440751</v>
      </c>
      <c r="Y140" s="193">
        <f>(((B140*'Appendix K'!$C$5*1000)-('Appendix K'!$E$31+'Appendix K'!$F$31+'Appendix K'!$H$31+'Appendix K'!$G$31))/((1+$Y$16)^1))</f>
        <v>34971064.972647354</v>
      </c>
      <c r="Z140" s="193">
        <f>+(((C140*'Appendix K'!$C$6*1000)-('Appendix K'!$E$32+'Appendix K'!$F$32+'Appendix K'!$H$32+'Appendix K'!$G$32))/((1+$Y$16)^2))</f>
        <v>14403306.014007365</v>
      </c>
      <c r="AA140" s="193">
        <f>(((D140*'Appendix K'!$C$7*1000)-('Appendix K'!$E$33+'Appendix K'!$F$33+'Appendix K'!$H$33+'Appendix K'!$G$33))/((1+$Y$16)^3))</f>
        <v>2979589.3482773611</v>
      </c>
      <c r="AB140" s="193">
        <f>(((E140*'Appendix K'!$C$8*1000)-('Appendix K'!$E$34+'Appendix K'!$F$34+'Appendix K'!$H$34+'Appendix K'!$G$34))/((1+$Y$16)^4))</f>
        <v>6219397.5035682609</v>
      </c>
      <c r="AC140" s="193">
        <f>(((F140*'Appendix K'!$C$9*1000)-('Appendix K'!$E$35+'Appendix K'!$F$35+'Appendix K'!$H$35+'Appendix K'!$G$35))/((1+$Y$16)^AC$34))</f>
        <v>7999225.2008688943</v>
      </c>
      <c r="AD140" s="193">
        <f>(((G140*'Appendix K'!$C$10*1000)-('Appendix K'!$E$36+'Appendix K'!$F$36+'Appendix K'!$H$36+'Appendix K'!$G$36))/((1+$Y$16)^AD$34))</f>
        <v>3341764.684940774</v>
      </c>
      <c r="AE140" s="193">
        <f>(((H140*'Appendix K'!$C$11*1000)-('Appendix K'!$E$37+'Appendix K'!$F$37+'Appendix K'!$H$37+'Appendix K'!$G$37))/((1+$Y$16)^AE$34))</f>
        <v>1143420.1503250494</v>
      </c>
      <c r="AF140" s="193">
        <f>(((I140*'Appendix K'!$C$12*1000)-('Appendix K'!$E$38+'Appendix K'!$F$38+'Appendix K'!$H$38+'Appendix K'!$G$38))/((1+$Y$16)^AF$34))</f>
        <v>447154.97738107189</v>
      </c>
      <c r="AG140" s="193">
        <f>(((J140*'Appendix K'!$C$13*1000)-('Appendix K'!$E$39+'Appendix K'!$F$39+'Appendix K'!$H$39+'Appendix K'!$G$39))/((1+$Y$16)^AG$34))</f>
        <v>-1306829.409904652</v>
      </c>
      <c r="AH140" s="193">
        <f>(((K140*'Appendix K'!$C$14*1000)-('Appendix K'!$E$40+'Appendix K'!$F$40+'Appendix K'!$H$40+'Appendix K'!$G$40))/((1+$Y$16)^AH$34))</f>
        <v>-1401570.4617949098</v>
      </c>
      <c r="AI140" s="193">
        <f>(((L140*'Appendix K'!$C$15*1000)-('Appendix K'!$E$41+'Appendix K'!$F$41+'Appendix K'!$H$41+'Appendix K'!$G$41))/((1+$Y$16)^AI$34))</f>
        <v>-1300515.3933473697</v>
      </c>
      <c r="AJ140" s="193">
        <f>(((M140*'Appendix K'!$C$16*1000)-('Appendix K'!$E$42+'Appendix K'!$F$42+'Appendix K'!$H$42+'Appendix K'!$G$42))/((1+$Y$16)^AJ$34))</f>
        <v>-1198554.2192945261</v>
      </c>
      <c r="AK140" s="193">
        <f>(((N140*'Appendix K'!$C$17*1000)-('Appendix K'!$E$43+'Appendix K'!$F$43+'Appendix K'!$H$43))/((1+$Y$16)^AK$34))</f>
        <v>-915477.30240728345</v>
      </c>
      <c r="AL140" s="193">
        <f>(((O140*'Appendix K'!$C$18*1000)-('Appendix K'!$E$44+'Appendix K'!$F$44+'Appendix K'!$H$44+'Appendix K'!$G$44))/((1+$Y$16)^AL$34))</f>
        <v>-1052748.2164906713</v>
      </c>
      <c r="AM140" s="193">
        <f>(((P140*'Appendix K'!$C$19*1000)-('Appendix K'!$E$45+'Appendix K'!$F$45+'Appendix K'!$H$45+'Appendix K'!$G$45))/((1+$Y$16)^AM$34))</f>
        <v>-927598.45817102329</v>
      </c>
      <c r="AN140" s="193">
        <f>(((Q140*'Appendix K'!$C$20*1000)-('Appendix K'!$E$46+'Appendix K'!$F$46+'Appendix K'!$H$46+'Appendix K'!$G$46))/((1+$Y$16)^AN$34))</f>
        <v>-826660.34854301927</v>
      </c>
      <c r="AO140" s="193">
        <f>(((R140*'Appendix K'!$C$21*1000)-('Appendix K'!$E$47+'Appendix K'!$F$47+'Appendix K'!$H$47+'Appendix K'!$G$47))/((1+$Y$16)^AO$34))</f>
        <v>-782648.38581976783</v>
      </c>
      <c r="AP140" s="193">
        <f>(((S140*'Appendix K'!$C$22*1000)-('Appendix K'!$E$48+'Appendix K'!$F$48+'Appendix K'!$H$48+'Appendix K'!$G$48))/((1+$Y$16)^AP$34))</f>
        <v>-728000.36449955776</v>
      </c>
      <c r="AQ140" s="193">
        <f>(((T140*'Appendix K'!$C$23*1000)-('Appendix K'!$E$49+'Appendix K'!$F$49+'Appendix K'!$H$49+'Appendix K'!$G$49))/((1+$Y$16)^AQ$34))</f>
        <v>-660016.33075206319</v>
      </c>
      <c r="AR140" s="193">
        <f>(((U140*'Appendix K'!$C$24*1000)-('Appendix K'!$E$50+'Appendix K'!$F$50+'Appendix K'!$H$50+'Appendix K'!$G$50))/((1+$Y$16)^AR$34))</f>
        <v>-589250.34136220277</v>
      </c>
      <c r="AS140" s="209">
        <f t="shared" si="18"/>
        <v>37910020.407941021</v>
      </c>
      <c r="AU140" s="199">
        <f t="shared" si="17"/>
        <v>4.7901450047018444E-9</v>
      </c>
    </row>
    <row r="141" spans="1:47" x14ac:dyDescent="0.35">
      <c r="A141">
        <v>107</v>
      </c>
      <c r="B141" s="70">
        <v>56</v>
      </c>
      <c r="C141" s="70">
        <v>76.461249430305969</v>
      </c>
      <c r="D141" s="70">
        <v>129.67605533126232</v>
      </c>
      <c r="E141" s="70">
        <v>129.41577285977064</v>
      </c>
      <c r="F141" s="70">
        <v>178.20418590824076</v>
      </c>
      <c r="G141" s="70">
        <v>93.491000736177213</v>
      </c>
      <c r="H141" s="70">
        <v>59.083554583116253</v>
      </c>
      <c r="I141" s="70">
        <v>48.884818434393544</v>
      </c>
      <c r="J141" s="70">
        <v>78.517068875714472</v>
      </c>
      <c r="K141" s="70">
        <v>77.866046276015055</v>
      </c>
      <c r="L141" s="70">
        <v>64.70093396298968</v>
      </c>
      <c r="M141" s="70">
        <v>38.813254217379473</v>
      </c>
      <c r="N141" s="70">
        <v>22.496297360335639</v>
      </c>
      <c r="O141" s="70">
        <v>41.846807714448943</v>
      </c>
      <c r="P141" s="70">
        <v>47.39458109765431</v>
      </c>
      <c r="Q141" s="70">
        <v>62.76163567138061</v>
      </c>
      <c r="R141" s="70">
        <v>63.20275884499317</v>
      </c>
      <c r="S141" s="70">
        <v>96.213064595674339</v>
      </c>
      <c r="T141" s="70">
        <v>120.80742127056952</v>
      </c>
      <c r="U141" s="70">
        <v>121.35655812019023</v>
      </c>
      <c r="V141" s="70">
        <v>44.81582054959037</v>
      </c>
      <c r="X141" s="193">
        <f>((0-('Appendix K'!$I$30))/(1+$Y$16)^0)</f>
        <v>-33594902.4440751</v>
      </c>
      <c r="Y141" s="193">
        <f>(((B141*'Appendix K'!$C$5*1000)-('Appendix K'!$E$31+'Appendix K'!$F$31+'Appendix K'!$H$31+'Appendix K'!$G$31))/((1+$Y$16)^1))</f>
        <v>34971064.972647354</v>
      </c>
      <c r="Z141" s="193">
        <f>+(((C141*'Appendix K'!$C$6*1000)-('Appendix K'!$E$32+'Appendix K'!$F$32+'Appendix K'!$H$32+'Appendix K'!$G$32))/((1+$Y$16)^2))</f>
        <v>15828171.662445694</v>
      </c>
      <c r="AA141" s="193">
        <f>(((D141*'Appendix K'!$C$7*1000)-('Appendix K'!$E$33+'Appendix K'!$F$33+'Appendix K'!$H$33+'Appendix K'!$G$33))/((1+$Y$16)^3))</f>
        <v>13552572.932847394</v>
      </c>
      <c r="AB141" s="193">
        <f>(((E141*'Appendix K'!$C$8*1000)-('Appendix K'!$E$34+'Appendix K'!$F$34+'Appendix K'!$H$34+'Appendix K'!$G$34))/((1+$Y$16)^4))</f>
        <v>25073544.834633242</v>
      </c>
      <c r="AC141" s="193">
        <f>(((F141*'Appendix K'!$C$9*1000)-('Appendix K'!$E$35+'Appendix K'!$F$35+'Appendix K'!$H$35+'Appendix K'!$G$35))/((1+$Y$16)^AC$34))</f>
        <v>44382164.264463723</v>
      </c>
      <c r="AD141" s="193">
        <f>(((G141*'Appendix K'!$C$10*1000)-('Appendix K'!$E$36+'Appendix K'!$F$36+'Appendix K'!$H$36+'Appendix K'!$G$36))/((1+$Y$16)^AD$34))</f>
        <v>12166433.209033329</v>
      </c>
      <c r="AE141" s="193">
        <f>(((H141*'Appendix K'!$C$11*1000)-('Appendix K'!$E$37+'Appendix K'!$F$37+'Appendix K'!$H$37+'Appendix K'!$G$37))/((1+$Y$16)^AE$34))</f>
        <v>3672912.6719605862</v>
      </c>
      <c r="AF141" s="193">
        <f>(((I141*'Appendix K'!$C$12*1000)-('Appendix K'!$E$38+'Appendix K'!$F$38+'Appendix K'!$H$38+'Appendix K'!$G$38))/((1+$Y$16)^AF$34))</f>
        <v>1213316.8131200233</v>
      </c>
      <c r="AG141" s="193">
        <f>(((J141*'Appendix K'!$C$13*1000)-('Appendix K'!$E$39+'Appendix K'!$F$39+'Appendix K'!$H$39+'Appendix K'!$G$39))/((1+$Y$16)^AG$34))</f>
        <v>1798327.8265392305</v>
      </c>
      <c r="AH141" s="193">
        <f>(((K141*'Appendix K'!$C$14*1000)-('Appendix K'!$E$40+'Appendix K'!$F$40+'Appendix K'!$H$40+'Appendix K'!$G$40))/((1+$Y$16)^AH$34))</f>
        <v>991852.81613879651</v>
      </c>
      <c r="AI141" s="193">
        <f>(((L141*'Appendix K'!$C$15*1000)-('Appendix K'!$E$41+'Appendix K'!$F$41+'Appendix K'!$H$41+'Appendix K'!$G$41))/((1+$Y$16)^AI$34))</f>
        <v>178804.11283909436</v>
      </c>
      <c r="AJ141" s="193">
        <f>(((M141*'Appendix K'!$C$16*1000)-('Appendix K'!$E$42+'Appendix K'!$F$42+'Appendix K'!$H$42+'Appendix K'!$G$42))/((1+$Y$16)^AJ$34))</f>
        <v>-603660.88070189999</v>
      </c>
      <c r="AK141" s="193">
        <f>(((N141*'Appendix K'!$C$17*1000)-('Appendix K'!$E$43+'Appendix K'!$F$43+'Appendix K'!$H$43))/((1+$Y$16)^AK$34))</f>
        <v>-658627.81044995564</v>
      </c>
      <c r="AL141" s="193">
        <f>(((O141*'Appendix K'!$C$18*1000)-('Appendix K'!$E$44+'Appendix K'!$F$44+'Appendix K'!$H$44+'Appendix K'!$G$44))/((1+$Y$16)^AL$34))</f>
        <v>-638566.60031869495</v>
      </c>
      <c r="AM141" s="193">
        <f>(((P141*'Appendix K'!$C$19*1000)-('Appendix K'!$E$45+'Appendix K'!$F$45+'Appendix K'!$H$45+'Appendix K'!$G$45))/((1+$Y$16)^AM$34))</f>
        <v>-587478.28151196986</v>
      </c>
      <c r="AN141" s="193">
        <f>(((Q141*'Appendix K'!$C$20*1000)-('Appendix K'!$E$46+'Appendix K'!$F$46+'Appendix K'!$H$46+'Appendix K'!$G$46))/((1+$Y$16)^AN$34))</f>
        <v>-461552.03072002903</v>
      </c>
      <c r="AO141" s="193">
        <f>(((R141*'Appendix K'!$C$21*1000)-('Appendix K'!$E$47+'Appendix K'!$F$47+'Appendix K'!$H$47+'Appendix K'!$G$47))/((1+$Y$16)^AO$34))</f>
        <v>-469463.6379637536</v>
      </c>
      <c r="AP141" s="193">
        <f>(((S141*'Appendix K'!$C$22*1000)-('Appendix K'!$E$48+'Appendix K'!$F$48+'Appendix K'!$H$48+'Appendix K'!$G$48))/((1+$Y$16)^AP$34))</f>
        <v>-303619.65640040138</v>
      </c>
      <c r="AQ141" s="193">
        <f>(((T141*'Appendix K'!$C$23*1000)-('Appendix K'!$E$49+'Appendix K'!$F$49+'Appendix K'!$H$49+'Appendix K'!$G$49))/((1+$Y$16)^AQ$34))</f>
        <v>-220676.31215179467</v>
      </c>
      <c r="AR141" s="193">
        <f>(((U141*'Appendix K'!$C$24*1000)-('Appendix K'!$E$50+'Appendix K'!$F$50+'Appendix K'!$H$50+'Appendix K'!$G$50))/((1+$Y$16)^AR$34))</f>
        <v>-238517.35188905572</v>
      </c>
      <c r="AS141" s="209">
        <f t="shared" si="18"/>
        <v>120234263.67259338</v>
      </c>
      <c r="AU141" s="199">
        <f t="shared" si="17"/>
        <v>5.9594408578756318E-9</v>
      </c>
    </row>
    <row r="142" spans="1:47" x14ac:dyDescent="0.35">
      <c r="A142">
        <v>108</v>
      </c>
      <c r="B142" s="70">
        <v>56</v>
      </c>
      <c r="C142" s="70">
        <v>68.321511651955177</v>
      </c>
      <c r="D142" s="70">
        <v>73.698533196906425</v>
      </c>
      <c r="E142" s="70">
        <v>85.736597813964778</v>
      </c>
      <c r="F142" s="70">
        <v>115.56395387130044</v>
      </c>
      <c r="G142" s="70">
        <v>57.067711244837632</v>
      </c>
      <c r="H142" s="70">
        <v>55.434284272522106</v>
      </c>
      <c r="I142" s="70">
        <v>50.477515896988109</v>
      </c>
      <c r="J142" s="70">
        <v>45.342285101926493</v>
      </c>
      <c r="K142" s="70">
        <v>46.89233851788606</v>
      </c>
      <c r="L142" s="70">
        <v>52.803055905240413</v>
      </c>
      <c r="M142" s="70">
        <v>63.069431192573226</v>
      </c>
      <c r="N142" s="70">
        <v>86.414781256643352</v>
      </c>
      <c r="O142" s="70">
        <v>90.568508244911229</v>
      </c>
      <c r="P142" s="70">
        <v>73.860741071176378</v>
      </c>
      <c r="Q142" s="70">
        <v>74.770798610970914</v>
      </c>
      <c r="R142" s="70">
        <v>60.796579937791847</v>
      </c>
      <c r="S142" s="70">
        <v>62.030842106501026</v>
      </c>
      <c r="T142" s="70">
        <v>84.212191713205996</v>
      </c>
      <c r="U142" s="70">
        <v>126.4971045131457</v>
      </c>
      <c r="V142" s="70">
        <v>139.37334500508766</v>
      </c>
      <c r="X142" s="193">
        <f>((0-('Appendix K'!$I$30))/(1+$Y$16)^0)</f>
        <v>-33594902.4440751</v>
      </c>
      <c r="Y142" s="193">
        <f>(((B142*'Appendix K'!$C$5*1000)-('Appendix K'!$E$31+'Appendix K'!$F$31+'Appendix K'!$H$31+'Appendix K'!$G$31))/((1+$Y$16)^1))</f>
        <v>34971064.972647354</v>
      </c>
      <c r="Z142" s="193">
        <f>+(((C142*'Appendix K'!$C$6*1000)-('Appendix K'!$E$32+'Appendix K'!$F$32+'Appendix K'!$H$32+'Appendix K'!$G$32))/((1+$Y$16)^2))</f>
        <v>13771934.684689034</v>
      </c>
      <c r="AA142" s="193">
        <f>(((D142*'Appendix K'!$C$7*1000)-('Appendix K'!$E$33+'Appendix K'!$F$33+'Appendix K'!$H$33+'Appendix K'!$G$33))/((1+$Y$16)^3))</f>
        <v>6422443.1960407151</v>
      </c>
      <c r="AB142" s="193">
        <f>(((E142*'Appendix K'!$C$8*1000)-('Appendix K'!$E$34+'Appendix K'!$F$34+'Appendix K'!$H$34+'Appendix K'!$G$34))/((1+$Y$16)^4))</f>
        <v>15499469.508954985</v>
      </c>
      <c r="AC142" s="193">
        <f>(((F142*'Appendix K'!$C$9*1000)-('Appendix K'!$E$35+'Appendix K'!$F$35+'Appendix K'!$H$35+'Appendix K'!$G$35))/((1+$Y$16)^AC$34))</f>
        <v>27732488.951860487</v>
      </c>
      <c r="AD142" s="193">
        <f>(((G142*'Appendix K'!$C$10*1000)-('Appendix K'!$E$36+'Appendix K'!$F$36+'Appendix K'!$H$36+'Appendix K'!$G$36))/((1+$Y$16)^AD$34))</f>
        <v>6446375.9000905734</v>
      </c>
      <c r="AE142" s="193">
        <f>(((H142*'Appendix K'!$C$11*1000)-('Appendix K'!$E$37+'Appendix K'!$F$37+'Appendix K'!$H$37+'Appendix K'!$G$37))/((1+$Y$16)^AE$34))</f>
        <v>3308943.1041985499</v>
      </c>
      <c r="AF142" s="193">
        <f>(((I142*'Appendix K'!$C$12*1000)-('Appendix K'!$E$38+'Appendix K'!$F$38+'Appendix K'!$H$38+'Appendix K'!$G$38))/((1+$Y$16)^AF$34))</f>
        <v>1317897.1940529009</v>
      </c>
      <c r="AG142" s="193">
        <f>(((J142*'Appendix K'!$C$13*1000)-('Appendix K'!$E$39+'Appendix K'!$F$39+'Appendix K'!$H$39+'Appendix K'!$G$39))/((1+$Y$16)^AG$34))</f>
        <v>271659.68930123607</v>
      </c>
      <c r="AH142" s="193">
        <f>(((K142*'Appendix K'!$C$14*1000)-('Appendix K'!$E$40+'Appendix K'!$F$40+'Appendix K'!$H$40+'Appendix K'!$G$40))/((1+$Y$16)^AH$34))</f>
        <v>-52163.293147908909</v>
      </c>
      <c r="AI142" s="193">
        <f>(((L142*'Appendix K'!$C$15*1000)-('Appendix K'!$E$41+'Appendix K'!$F$41+'Appendix K'!$H$41+'Appendix K'!$G$41))/((1+$Y$16)^AI$34))</f>
        <v>-132942.54141500365</v>
      </c>
      <c r="AJ142" s="193">
        <f>(((M142*'Appendix K'!$C$16*1000)-('Appendix K'!$E$42+'Appendix K'!$F$42+'Appendix K'!$H$42+'Appendix K'!$G$42))/((1+$Y$16)^AJ$34))</f>
        <v>-117521.80837150544</v>
      </c>
      <c r="AK142" s="193">
        <f>(((N142*'Appendix K'!$C$17*1000)-('Appendix K'!$E$43+'Appendix K'!$F$43+'Appendix K'!$H$43))/((1+$Y$16)^AK$34))</f>
        <v>323409.22209929541</v>
      </c>
      <c r="AL142" s="193">
        <f>(((O142*'Appendix K'!$C$18*1000)-('Appendix K'!$E$44+'Appendix K'!$F$44+'Appendix K'!$H$44+'Appendix K'!$G$44))/((1+$Y$16)^AL$34))</f>
        <v>-61053.947467160033</v>
      </c>
      <c r="AM142" s="193">
        <f>(((P142*'Appendix K'!$C$19*1000)-('Appendix K'!$E$45+'Appendix K'!$F$45+'Appendix K'!$H$45+'Appendix K'!$G$45))/((1+$Y$16)^AM$34))</f>
        <v>-342170.54314601346</v>
      </c>
      <c r="AN142" s="193">
        <f>(((Q142*'Appendix K'!$C$20*1000)-('Appendix K'!$E$46+'Appendix K'!$F$46+'Appendix K'!$H$46+'Appendix K'!$G$46))/((1+$Y$16)^AN$34))</f>
        <v>-374651.12301117548</v>
      </c>
      <c r="AO142" s="193">
        <f>(((R142*'Appendix K'!$C$21*1000)-('Appendix K'!$E$47+'Appendix K'!$F$47+'Appendix K'!$H$47+'Appendix K'!$G$47))/((1+$Y$16)^AO$34))</f>
        <v>-483684.42114005587</v>
      </c>
      <c r="AP142" s="193">
        <f>(((S142*'Appendix K'!$C$22*1000)-('Appendix K'!$E$48+'Appendix K'!$F$48+'Appendix K'!$H$48+'Appendix K'!$G$48))/((1+$Y$16)^AP$34))</f>
        <v>-467342.90859856573</v>
      </c>
      <c r="AQ142" s="193">
        <f>(((T142*'Appendix K'!$C$23*1000)-('Appendix K'!$E$49+'Appendix K'!$F$49+'Appendix K'!$H$49+'Appendix K'!$G$49))/((1+$Y$16)^AQ$34))</f>
        <v>-363900.6720202798</v>
      </c>
      <c r="AR142" s="193">
        <f>(((U142*'Appendix K'!$C$24*1000)-('Appendix K'!$E$50+'Appendix K'!$F$50+'Appendix K'!$H$50+'Appendix K'!$G$50))/((1+$Y$16)^AR$34))</f>
        <v>-221964.64847149665</v>
      </c>
      <c r="AS142" s="209">
        <f t="shared" si="18"/>
        <v>76470783.979860008</v>
      </c>
      <c r="AU142" s="199">
        <f t="shared" si="17"/>
        <v>6.8953875287805518E-9</v>
      </c>
    </row>
    <row r="143" spans="1:47" x14ac:dyDescent="0.35">
      <c r="A143">
        <v>109</v>
      </c>
      <c r="B143" s="70">
        <v>56</v>
      </c>
      <c r="C143" s="70">
        <v>98.113324797984234</v>
      </c>
      <c r="D143" s="70">
        <v>121.78686778485704</v>
      </c>
      <c r="E143" s="70">
        <v>92.963223653198838</v>
      </c>
      <c r="F143" s="70">
        <v>77.293037742421774</v>
      </c>
      <c r="G143" s="70">
        <v>47.612050413885953</v>
      </c>
      <c r="H143" s="70">
        <v>64.106165879625621</v>
      </c>
      <c r="I143" s="70">
        <v>94.660327916956192</v>
      </c>
      <c r="J143" s="70">
        <v>138.62818775235135</v>
      </c>
      <c r="K143" s="70">
        <v>142.01531789498245</v>
      </c>
      <c r="L143" s="70">
        <v>77.375806770285877</v>
      </c>
      <c r="M143" s="70">
        <v>53.853507405208063</v>
      </c>
      <c r="N143" s="70">
        <v>46.873607048607624</v>
      </c>
      <c r="O143" s="70">
        <v>62.643044971545869</v>
      </c>
      <c r="P143" s="70">
        <v>81.865582083292082</v>
      </c>
      <c r="Q143" s="70">
        <v>71.482228478428368</v>
      </c>
      <c r="R143" s="70">
        <v>110.08289785695214</v>
      </c>
      <c r="S143" s="70">
        <v>180.00495126577783</v>
      </c>
      <c r="T143" s="70">
        <v>125.15753134429494</v>
      </c>
      <c r="U143" s="70">
        <v>164.84643127967607</v>
      </c>
      <c r="V143" s="70">
        <v>170.46219361160215</v>
      </c>
      <c r="X143" s="193">
        <f>((0-('Appendix K'!$I$30))/(1+$Y$16)^0)</f>
        <v>-33594902.4440751</v>
      </c>
      <c r="Y143" s="193">
        <f>(((B143*'Appendix K'!$C$5*1000)-('Appendix K'!$E$31+'Appendix K'!$F$31+'Appendix K'!$H$31+'Appendix K'!$G$31))/((1+$Y$16)^1))</f>
        <v>34971064.972647354</v>
      </c>
      <c r="Z143" s="193">
        <f>+(((C143*'Appendix K'!$C$6*1000)-('Appendix K'!$E$32+'Appendix K'!$F$32+'Appendix K'!$H$32+'Appendix K'!$G$32))/((1+$Y$16)^2))</f>
        <v>21297856.218452953</v>
      </c>
      <c r="AA143" s="193">
        <f>(((D143*'Appendix K'!$C$7*1000)-('Appendix K'!$E$33+'Appendix K'!$F$33+'Appendix K'!$H$33+'Appendix K'!$G$33))/((1+$Y$16)^3))</f>
        <v>12547688.676112035</v>
      </c>
      <c r="AB143" s="193">
        <f>(((E143*'Appendix K'!$C$8*1000)-('Appendix K'!$E$34+'Appendix K'!$F$34+'Appendix K'!$H$34+'Appendix K'!$G$34))/((1+$Y$16)^4))</f>
        <v>17083479.739522818</v>
      </c>
      <c r="AC143" s="193">
        <f>(((F143*'Appendix K'!$C$9*1000)-('Appendix K'!$E$35+'Appendix K'!$F$35+'Appendix K'!$H$35+'Appendix K'!$G$35))/((1+$Y$16)^AC$34))</f>
        <v>17560139.540927112</v>
      </c>
      <c r="AD143" s="193">
        <f>(((G143*'Appendix K'!$C$10*1000)-('Appendix K'!$E$36+'Appendix K'!$F$36+'Appendix K'!$H$36+'Appendix K'!$G$36))/((1+$Y$16)^AD$34))</f>
        <v>4961421.5589998486</v>
      </c>
      <c r="AE143" s="193">
        <f>(((H143*'Appendix K'!$C$11*1000)-('Appendix K'!$E$37+'Appendix K'!$F$37+'Appendix K'!$H$37+'Appendix K'!$G$37))/((1+$Y$16)^AE$34))</f>
        <v>4173856.0132417651</v>
      </c>
      <c r="AF143" s="193">
        <f>(((I143*'Appendix K'!$C$12*1000)-('Appendix K'!$E$38+'Appendix K'!$F$38+'Appendix K'!$H$38+'Appendix K'!$G$38))/((1+$Y$16)^AF$34))</f>
        <v>4219047.8646936081</v>
      </c>
      <c r="AG143" s="193">
        <f>(((J143*'Appendix K'!$C$13*1000)-('Appendix K'!$E$39+'Appendix K'!$F$39+'Appendix K'!$H$39+'Appendix K'!$G$39))/((1+$Y$16)^AG$34))</f>
        <v>4564577.3523370717</v>
      </c>
      <c r="AH143" s="193">
        <f>(((K143*'Appendix K'!$C$14*1000)-('Appendix K'!$E$40+'Appendix K'!$F$40+'Appendix K'!$H$40+'Appendix K'!$G$40))/((1+$Y$16)^AH$34))</f>
        <v>3154101.9563513868</v>
      </c>
      <c r="AI143" s="193">
        <f>(((L143*'Appendix K'!$C$15*1000)-('Appendix K'!$E$41+'Appendix K'!$F$41+'Appendix K'!$H$41+'Appendix K'!$G$41))/((1+$Y$16)^AI$34))</f>
        <v>510909.48251862783</v>
      </c>
      <c r="AJ143" s="193">
        <f>(((M143*'Appendix K'!$C$16*1000)-('Appendix K'!$E$42+'Appendix K'!$F$42+'Appendix K'!$H$42+'Appendix K'!$G$42))/((1+$Y$16)^AJ$34))</f>
        <v>-302226.12699678319</v>
      </c>
      <c r="AK143" s="193">
        <f>(((N143*'Appendix K'!$C$17*1000)-('Appendix K'!$E$43+'Appendix K'!$F$43+'Appendix K'!$H$43))/((1+$Y$16)^AK$34))</f>
        <v>-284097.3239847158</v>
      </c>
      <c r="AL143" s="193">
        <f>(((O143*'Appendix K'!$C$18*1000)-('Appendix K'!$E$44+'Appendix K'!$F$44+'Appendix K'!$H$44+'Appendix K'!$G$44))/((1+$Y$16)^AL$34))</f>
        <v>-392062.68077329855</v>
      </c>
      <c r="AM143" s="193">
        <f>(((P143*'Appendix K'!$C$19*1000)-('Appendix K'!$E$45+'Appendix K'!$F$45+'Appendix K'!$H$45+'Appendix K'!$G$45))/((1+$Y$16)^AM$34))</f>
        <v>-267975.81876492908</v>
      </c>
      <c r="AN143" s="193">
        <f>(((Q143*'Appendix K'!$C$20*1000)-('Appendix K'!$E$46+'Appendix K'!$F$46+'Appendix K'!$H$46+'Appendix K'!$G$46))/((1+$Y$16)^AN$34))</f>
        <v>-398447.92975113983</v>
      </c>
      <c r="AO143" s="193">
        <f>(((R143*'Appendix K'!$C$21*1000)-('Appendix K'!$E$47+'Appendix K'!$F$47+'Appendix K'!$H$47+'Appendix K'!$G$47))/((1+$Y$16)^AO$34))</f>
        <v>-192396.83708343175</v>
      </c>
      <c r="AP143" s="193">
        <f>(((S143*'Appendix K'!$C$22*1000)-('Appendix K'!$E$48+'Appendix K'!$F$48+'Appendix K'!$H$48+'Appendix K'!$G$48))/((1+$Y$16)^AP$34))</f>
        <v>97719.963859648837</v>
      </c>
      <c r="AQ143" s="193">
        <f>(((T143*'Appendix K'!$C$23*1000)-('Appendix K'!$E$49+'Appendix K'!$F$49+'Appendix K'!$H$49+'Appendix K'!$G$49))/((1+$Y$16)^AQ$34))</f>
        <v>-203651.09497997331</v>
      </c>
      <c r="AR143" s="193">
        <f>(((U143*'Appendix K'!$C$24*1000)-('Appendix K'!$E$50+'Appendix K'!$F$50+'Appendix K'!$H$50+'Appendix K'!$G$50))/((1+$Y$16)^AR$34))</f>
        <v>-98478.741778905984</v>
      </c>
      <c r="AS143" s="209">
        <f t="shared" si="18"/>
        <v>91546960.895589143</v>
      </c>
      <c r="AU143" s="199">
        <f t="shared" si="17"/>
        <v>7.0128390259832663E-9</v>
      </c>
    </row>
    <row r="144" spans="1:47" x14ac:dyDescent="0.35">
      <c r="A144">
        <v>110</v>
      </c>
      <c r="B144" s="70">
        <v>56</v>
      </c>
      <c r="C144" s="70">
        <v>67.798250508620839</v>
      </c>
      <c r="D144" s="70">
        <v>70.258611124384743</v>
      </c>
      <c r="E144" s="70">
        <v>75.651149141091494</v>
      </c>
      <c r="F144" s="70">
        <v>116.78132379860457</v>
      </c>
      <c r="G144" s="70">
        <v>187.14289025589252</v>
      </c>
      <c r="H144" s="70">
        <v>197.96979883905058</v>
      </c>
      <c r="I144" s="70">
        <v>96.807970973375717</v>
      </c>
      <c r="J144" s="70">
        <v>81.482093344612991</v>
      </c>
      <c r="K144" s="70">
        <v>93.906257339552809</v>
      </c>
      <c r="L144" s="70">
        <v>80.388750214850177</v>
      </c>
      <c r="M144" s="70">
        <v>77.095512635942157</v>
      </c>
      <c r="N144" s="70">
        <v>96.460735377507717</v>
      </c>
      <c r="O144" s="70">
        <v>115.04623420235393</v>
      </c>
      <c r="P144" s="70">
        <v>176.18202580454596</v>
      </c>
      <c r="Q144" s="70">
        <v>213.14343212367243</v>
      </c>
      <c r="R144" s="70">
        <v>245.17040072598277</v>
      </c>
      <c r="S144" s="70">
        <v>300.47173495814343</v>
      </c>
      <c r="T144" s="70">
        <v>327.01803368258322</v>
      </c>
      <c r="U144" s="70">
        <v>302.03046007582657</v>
      </c>
      <c r="V144" s="70">
        <v>382.44410380870528</v>
      </c>
      <c r="X144" s="193">
        <f>((0-('Appendix K'!$I$30))/(1+$Y$16)^0)</f>
        <v>-33594902.4440751</v>
      </c>
      <c r="Y144" s="193">
        <f>(((B144*'Appendix K'!$C$5*1000)-('Appendix K'!$E$31+'Appendix K'!$F$31+'Appendix K'!$H$31+'Appendix K'!$G$31))/((1+$Y$16)^1))</f>
        <v>34971064.972647354</v>
      </c>
      <c r="Z144" s="193">
        <f>+(((C144*'Appendix K'!$C$6*1000)-('Appendix K'!$E$32+'Appendix K'!$F$32+'Appendix K'!$H$32+'Appendix K'!$G$32))/((1+$Y$16)^2))</f>
        <v>13639749.970482515</v>
      </c>
      <c r="AA144" s="193">
        <f>(((D144*'Appendix K'!$C$7*1000)-('Appendix K'!$E$33+'Appendix K'!$F$33+'Appendix K'!$H$33+'Appendix K'!$G$33))/((1+$Y$16)^3))</f>
        <v>5984283.5611302033</v>
      </c>
      <c r="AB144" s="193">
        <f>(((E144*'Appendix K'!$C$8*1000)-('Appendix K'!$E$34+'Appendix K'!$F$34+'Appendix K'!$H$34+'Appendix K'!$G$34))/((1+$Y$16)^4))</f>
        <v>13288831.483257601</v>
      </c>
      <c r="AC144" s="193">
        <f>(((F144*'Appendix K'!$C$9*1000)-('Appendix K'!$E$35+'Appendix K'!$F$35+'Appendix K'!$H$35+'Appendix K'!$G$35))/((1+$Y$16)^AC$34))</f>
        <v>28056063.966924105</v>
      </c>
      <c r="AD144" s="193">
        <f>(((G144*'Appendix K'!$C$10*1000)-('Appendix K'!$E$36+'Appendix K'!$F$36+'Appendix K'!$H$36+'Appendix K'!$G$36))/((1+$Y$16)^AD$34))</f>
        <v>26873896.006179083</v>
      </c>
      <c r="AE144" s="193">
        <f>(((H144*'Appendix K'!$C$11*1000)-('Appendix K'!$E$37+'Appendix K'!$F$37+'Appendix K'!$H$37+'Appendix K'!$G$37))/((1+$Y$16)^AE$34))</f>
        <v>17525097.352052104</v>
      </c>
      <c r="AF144" s="193">
        <f>(((I144*'Appendix K'!$C$12*1000)-('Appendix K'!$E$38+'Appendix K'!$F$38+'Appendix K'!$H$38+'Appendix K'!$G$38))/((1+$Y$16)^AF$34))</f>
        <v>4360067.3201916525</v>
      </c>
      <c r="AG144" s="193">
        <f>(((J144*'Appendix K'!$C$13*1000)-('Appendix K'!$E$39+'Appendix K'!$F$39+'Appendix K'!$H$39+'Appendix K'!$G$39))/((1+$Y$16)^AG$34))</f>
        <v>1934775.0876175361</v>
      </c>
      <c r="AH144" s="193">
        <f>(((K144*'Appendix K'!$C$14*1000)-('Appendix K'!$E$40+'Appendix K'!$F$40+'Appendix K'!$H$40+'Appendix K'!$G$40))/((1+$Y$16)^AH$34))</f>
        <v>1532512.619526308</v>
      </c>
      <c r="AI144" s="193">
        <f>(((L144*'Appendix K'!$C$15*1000)-('Appendix K'!$E$41+'Appendix K'!$F$41+'Appendix K'!$H$41+'Appendix K'!$G$41))/((1+$Y$16)^AI$34))</f>
        <v>589854.23499808123</v>
      </c>
      <c r="AJ144" s="193">
        <f>(((M144*'Appendix K'!$C$16*1000)-('Appendix K'!$E$42+'Appendix K'!$F$42+'Appendix K'!$H$42+'Appendix K'!$G$42))/((1+$Y$16)^AJ$34))</f>
        <v>163587.05013835739</v>
      </c>
      <c r="AK144" s="193">
        <f>(((N144*'Appendix K'!$C$17*1000)-('Appendix K'!$E$43+'Appendix K'!$F$43+'Appendix K'!$H$43))/((1+$Y$16)^AK$34))</f>
        <v>477754.23112647975</v>
      </c>
      <c r="AL144" s="193">
        <f>(((O144*'Appendix K'!$C$18*1000)-('Appendix K'!$E$44+'Appendix K'!$F$44+'Appendix K'!$H$44+'Appendix K'!$G$44))/((1+$Y$16)^AL$34))</f>
        <v>229087.74092931164</v>
      </c>
      <c r="AM144" s="193">
        <f>(((P144*'Appendix K'!$C$19*1000)-('Appendix K'!$E$45+'Appendix K'!$F$45+'Appendix K'!$H$45+'Appendix K'!$G$45))/((1+$Y$16)^AM$34))</f>
        <v>606218.0016883458</v>
      </c>
      <c r="AN144" s="193">
        <f>(((Q144*'Appendix K'!$C$20*1000)-('Appendix K'!$E$46+'Appendix K'!$F$46+'Appendix K'!$H$46+'Appendix K'!$G$46))/((1+$Y$16)^AN$34))</f>
        <v>626643.26484967594</v>
      </c>
      <c r="AO144" s="193">
        <f>(((R144*'Appendix K'!$C$21*1000)-('Appendix K'!$E$47+'Appendix K'!$F$47+'Appendix K'!$H$47+'Appendix K'!$G$47))/((1+$Y$16)^AO$34))</f>
        <v>605985.22934529174</v>
      </c>
      <c r="AP144" s="193">
        <f>(((S144*'Appendix K'!$C$22*1000)-('Appendix K'!$E$48+'Appendix K'!$F$48+'Appendix K'!$H$48+'Appendix K'!$G$48))/((1+$Y$16)^AP$34))</f>
        <v>674722.04774152371</v>
      </c>
      <c r="AQ144" s="193">
        <f>(((T144*'Appendix K'!$C$23*1000)-('Appendix K'!$E$49+'Appendix K'!$F$49+'Appendix K'!$H$49+'Appendix K'!$G$49))/((1+$Y$16)^AQ$34))</f>
        <v>586379.23355815641</v>
      </c>
      <c r="AR144" s="193">
        <f>(((U144*'Appendix K'!$C$24*1000)-('Appendix K'!$E$50+'Appendix K'!$F$50+'Appendix K'!$H$50+'Appendix K'!$G$50))/((1+$Y$16)^AR$34))</f>
        <v>343257.67468459957</v>
      </c>
      <c r="AS144" s="209">
        <f t="shared" si="18"/>
        <v>119474928.60499313</v>
      </c>
      <c r="AU144" s="199">
        <f t="shared" si="17"/>
        <v>6.0049085469302174E-9</v>
      </c>
    </row>
    <row r="145" spans="1:47" x14ac:dyDescent="0.35">
      <c r="A145">
        <v>111</v>
      </c>
      <c r="B145" s="70">
        <v>56</v>
      </c>
      <c r="C145" s="70">
        <v>75.696818228593003</v>
      </c>
      <c r="D145" s="70">
        <v>77.569937440197236</v>
      </c>
      <c r="E145" s="70">
        <v>80.447592941960082</v>
      </c>
      <c r="F145" s="70">
        <v>98.933191346394892</v>
      </c>
      <c r="G145" s="70">
        <v>182.92130578753176</v>
      </c>
      <c r="H145" s="70">
        <v>236.05593035173342</v>
      </c>
      <c r="I145" s="70">
        <v>318.13355532692009</v>
      </c>
      <c r="J145" s="70">
        <v>344.73547965405913</v>
      </c>
      <c r="K145" s="70">
        <v>176.87388726925113</v>
      </c>
      <c r="L145" s="70">
        <v>205.03780719333153</v>
      </c>
      <c r="M145" s="70">
        <v>271.51792929870419</v>
      </c>
      <c r="N145" s="70">
        <v>218.00002867474919</v>
      </c>
      <c r="O145" s="70">
        <v>249.03991407945995</v>
      </c>
      <c r="P145" s="70">
        <v>283.96143158572971</v>
      </c>
      <c r="Q145" s="70">
        <v>332.10731411870853</v>
      </c>
      <c r="R145" s="70">
        <v>464.28001856471792</v>
      </c>
      <c r="S145" s="70">
        <v>500</v>
      </c>
      <c r="T145" s="70">
        <v>500</v>
      </c>
      <c r="U145" s="70">
        <v>500</v>
      </c>
      <c r="V145" s="70">
        <v>325.96192970777747</v>
      </c>
      <c r="X145" s="193">
        <f>((0-('Appendix K'!$I$30))/(1+$Y$16)^0)</f>
        <v>-33594902.4440751</v>
      </c>
      <c r="Y145" s="193">
        <f>(((B145*'Appendix K'!$C$5*1000)-('Appendix K'!$E$31+'Appendix K'!$F$31+'Appendix K'!$H$31+'Appendix K'!$G$31))/((1+$Y$16)^1))</f>
        <v>34971064.972647354</v>
      </c>
      <c r="Z145" s="193">
        <f>+(((C145*'Appendix K'!$C$6*1000)-('Appendix K'!$E$32+'Appendix K'!$F$32+'Appendix K'!$H$32+'Appendix K'!$G$32))/((1+$Y$16)^2))</f>
        <v>15635063.266731298</v>
      </c>
      <c r="AA145" s="193">
        <f>(((D145*'Appendix K'!$C$7*1000)-('Appendix K'!$E$33+'Appendix K'!$F$33+'Appendix K'!$H$33+'Appendix K'!$G$33))/((1+$Y$16)^3))</f>
        <v>6915562.8173778979</v>
      </c>
      <c r="AB145" s="193">
        <f>(((E145*'Appendix K'!$C$8*1000)-('Appendix K'!$E$34+'Appendix K'!$F$34+'Appendix K'!$H$34+'Appendix K'!$G$34))/((1+$Y$16)^4))</f>
        <v>14340168.057191085</v>
      </c>
      <c r="AC145" s="193">
        <f>(((F145*'Appendix K'!$C$9*1000)-('Appendix K'!$E$35+'Appendix K'!$F$35+'Appendix K'!$H$35+'Appendix K'!$G$35))/((1+$Y$16)^AC$34))</f>
        <v>23312058.387724094</v>
      </c>
      <c r="AD145" s="193">
        <f>(((G145*'Appendix K'!$C$10*1000)-('Appendix K'!$E$36+'Appendix K'!$F$36+'Appendix K'!$H$36+'Appendix K'!$G$36))/((1+$Y$16)^AD$34))</f>
        <v>26210921.699607797</v>
      </c>
      <c r="AE145" s="193">
        <f>(((H145*'Appendix K'!$C$11*1000)-('Appendix K'!$E$37+'Appendix K'!$F$37+'Appendix K'!$H$37+'Appendix K'!$G$37))/((1+$Y$16)^AE$34))</f>
        <v>21323717.800681546</v>
      </c>
      <c r="AF145" s="193">
        <f>(((I145*'Appendix K'!$C$12*1000)-('Appendix K'!$E$38+'Appendix K'!$F$38+'Appendix K'!$H$38+'Appendix K'!$G$38))/((1+$Y$16)^AF$34))</f>
        <v>18892842.354678821</v>
      </c>
      <c r="AG145" s="193">
        <f>(((J145*'Appendix K'!$C$13*1000)-('Appendix K'!$E$39+'Appendix K'!$F$39+'Appendix K'!$H$39+'Appendix K'!$G$39))/((1+$Y$16)^AG$34))</f>
        <v>14049414.918855429</v>
      </c>
      <c r="AH145" s="193">
        <f>(((K145*'Appendix K'!$C$14*1000)-('Appendix K'!$E$40+'Appendix K'!$F$40+'Appendix K'!$H$40+'Appendix K'!$G$40))/((1+$Y$16)^AH$34))</f>
        <v>4329063.2576464647</v>
      </c>
      <c r="AI145" s="193">
        <f>(((L145*'Appendix K'!$C$15*1000)-('Appendix K'!$E$41+'Appendix K'!$F$41+'Appendix K'!$H$41+'Appendix K'!$G$41))/((1+$Y$16)^AI$34))</f>
        <v>3855892.6227138275</v>
      </c>
      <c r="AJ145" s="193">
        <f>(((M145*'Appendix K'!$C$16*1000)-('Appendix K'!$E$42+'Appendix K'!$F$42+'Appendix K'!$H$42+'Appendix K'!$G$42))/((1+$Y$16)^AJ$34))</f>
        <v>4060175.2624245854</v>
      </c>
      <c r="AK145" s="193">
        <f>(((N145*'Appendix K'!$C$17*1000)-('Appendix K'!$E$43+'Appendix K'!$F$43+'Appendix K'!$H$43))/((1+$Y$16)^AK$34))</f>
        <v>2345071.4710250744</v>
      </c>
      <c r="AL145" s="193">
        <f>(((O145*'Appendix K'!$C$18*1000)-('Appendix K'!$E$44+'Appendix K'!$F$44+'Appendix K'!$H$44+'Appendix K'!$G$44))/((1+$Y$16)^AL$34))</f>
        <v>1817354.2564378288</v>
      </c>
      <c r="AM145" s="193">
        <f>(((P145*'Appendix K'!$C$19*1000)-('Appendix K'!$E$45+'Appendix K'!$F$45+'Appendix K'!$H$45+'Appendix K'!$G$45))/((1+$Y$16)^AM$34))</f>
        <v>1605196.4066046528</v>
      </c>
      <c r="AN145" s="193">
        <f>(((Q145*'Appendix K'!$C$20*1000)-('Appendix K'!$E$46+'Appendix K'!$F$46+'Appendix K'!$H$46+'Appendix K'!$G$46))/((1+$Y$16)^AN$34))</f>
        <v>1487491.7171474067</v>
      </c>
      <c r="AO145" s="193">
        <f>(((R145*'Appendix K'!$C$21*1000)-('Appendix K'!$E$47+'Appendix K'!$F$47+'Appendix K'!$H$47+'Appendix K'!$G$47))/((1+$Y$16)^AO$34))</f>
        <v>1900947.2780116117</v>
      </c>
      <c r="AP145" s="193">
        <f>(((S145*'Appendix K'!$C$22*1000)-('Appendix K'!$E$48+'Appendix K'!$F$48+'Appendix K'!$H$48+'Appendix K'!$G$48))/((1+$Y$16)^AP$34))</f>
        <v>1630406.4380253027</v>
      </c>
      <c r="AQ145" s="193">
        <f>(((T145*'Appendix K'!$C$23*1000)-('Appendix K'!$E$49+'Appendix K'!$F$49+'Appendix K'!$H$49+'Appendix K'!$G$49))/((1+$Y$16)^AQ$34))</f>
        <v>1263386.3652054211</v>
      </c>
      <c r="AR145" s="193">
        <f>(((U145*'Appendix K'!$C$24*1000)-('Appendix K'!$E$50+'Appendix K'!$F$50+'Appendix K'!$H$50+'Appendix K'!$G$50))/((1+$Y$16)^AR$34))</f>
        <v>980725.14012097823</v>
      </c>
      <c r="AS145" s="209">
        <f t="shared" si="18"/>
        <v>167331622.04678336</v>
      </c>
      <c r="AU145" s="199">
        <f t="shared" si="17"/>
        <v>2.6212285561018343E-9</v>
      </c>
    </row>
    <row r="146" spans="1:47" x14ac:dyDescent="0.35">
      <c r="A146">
        <v>112</v>
      </c>
      <c r="B146" s="70">
        <v>56</v>
      </c>
      <c r="C146" s="70">
        <v>31.698208218685075</v>
      </c>
      <c r="D146" s="70">
        <v>35.584486211289935</v>
      </c>
      <c r="E146" s="70">
        <v>33.066220849067712</v>
      </c>
      <c r="F146" s="70">
        <v>41.531888805564307</v>
      </c>
      <c r="G146" s="70">
        <v>42.927523517860436</v>
      </c>
      <c r="H146" s="70">
        <v>51.610572640863133</v>
      </c>
      <c r="I146" s="70">
        <v>71.882260497898812</v>
      </c>
      <c r="J146" s="70">
        <v>109.69196393758587</v>
      </c>
      <c r="K146" s="70">
        <v>93.396050961041666</v>
      </c>
      <c r="L146" s="70">
        <v>141.43990273872441</v>
      </c>
      <c r="M146" s="70">
        <v>145.95904698014726</v>
      </c>
      <c r="N146" s="70">
        <v>121.43857285727907</v>
      </c>
      <c r="O146" s="70">
        <v>141.10331490012783</v>
      </c>
      <c r="P146" s="70">
        <v>150.41450005673312</v>
      </c>
      <c r="Q146" s="70">
        <v>120.0357619893695</v>
      </c>
      <c r="R146" s="70">
        <v>122.98992254186464</v>
      </c>
      <c r="S146" s="70">
        <v>115.81044766604236</v>
      </c>
      <c r="T146" s="70">
        <v>134.77042405584584</v>
      </c>
      <c r="U146" s="70">
        <v>160.14564682554675</v>
      </c>
      <c r="V146" s="70">
        <v>154.76142545910409</v>
      </c>
      <c r="X146" s="193">
        <f>((0-('Appendix K'!$I$30))/(1+$Y$16)^0)</f>
        <v>-33594902.4440751</v>
      </c>
      <c r="Y146" s="193">
        <f>(((B146*'Appendix K'!$C$5*1000)-('Appendix K'!$E$31+'Appendix K'!$F$31+'Appendix K'!$H$31+'Appendix K'!$G$31))/((1+$Y$16)^1))</f>
        <v>34971064.972647354</v>
      </c>
      <c r="Z146" s="193">
        <f>+(((C146*'Appendix K'!$C$6*1000)-('Appendix K'!$E$32+'Appendix K'!$F$32+'Appendix K'!$H$32+'Appendix K'!$G$32))/((1+$Y$16)^2))</f>
        <v>4520261.8645419534</v>
      </c>
      <c r="AA146" s="193">
        <f>(((D146*'Appendix K'!$C$7*1000)-('Appendix K'!$E$33+'Appendix K'!$F$33+'Appendix K'!$H$33+'Appendix K'!$G$33))/((1+$Y$16)^3))</f>
        <v>1567671.3261833135</v>
      </c>
      <c r="AB146" s="193">
        <f>(((E146*'Appendix K'!$C$8*1000)-('Appendix K'!$E$34+'Appendix K'!$F$34+'Appendix K'!$H$34+'Appendix K'!$G$34))/((1+$Y$16)^4))</f>
        <v>3954605.029143468</v>
      </c>
      <c r="AC146" s="193">
        <f>(((F146*'Appendix K'!$C$9*1000)-('Appendix K'!$E$35+'Appendix K'!$F$35+'Appendix K'!$H$35+'Appendix K'!$G$35))/((1+$Y$16)^AC$34))</f>
        <v>8054882.3085912541</v>
      </c>
      <c r="AD146" s="193">
        <f>(((G146*'Appendix K'!$C$10*1000)-('Appendix K'!$E$36+'Appendix K'!$F$36+'Appendix K'!$H$36+'Appendix K'!$G$36))/((1+$Y$16)^AD$34))</f>
        <v>4225744.94426353</v>
      </c>
      <c r="AE146" s="193">
        <f>(((H146*'Appendix K'!$C$11*1000)-('Appendix K'!$E$37+'Appendix K'!$F$37+'Appendix K'!$H$37+'Appendix K'!$G$37))/((1+$Y$16)^AE$34))</f>
        <v>2927575.1727024037</v>
      </c>
      <c r="AF146" s="193">
        <f>(((I146*'Appendix K'!$C$12*1000)-('Appendix K'!$E$38+'Appendix K'!$F$38+'Appendix K'!$H$38+'Appendix K'!$G$38))/((1+$Y$16)^AF$34))</f>
        <v>2723384.6746994536</v>
      </c>
      <c r="AG146" s="193">
        <f>(((J146*'Appendix K'!$C$13*1000)-('Appendix K'!$E$39+'Appendix K'!$F$39+'Appendix K'!$H$39+'Appendix K'!$G$39))/((1+$Y$16)^AG$34))</f>
        <v>3232963.2200124459</v>
      </c>
      <c r="AH146" s="193">
        <f>(((K146*'Appendix K'!$C$14*1000)-('Appendix K'!$E$40+'Appendix K'!$F$40+'Appendix K'!$H$40+'Appendix K'!$G$40))/((1+$Y$16)^AH$34))</f>
        <v>1515315.3345778612</v>
      </c>
      <c r="AI146" s="193">
        <f>(((L146*'Appendix K'!$C$15*1000)-('Appendix K'!$E$41+'Appendix K'!$F$41+'Appendix K'!$H$41+'Appendix K'!$G$41))/((1+$Y$16)^AI$34))</f>
        <v>2189508.597338622</v>
      </c>
      <c r="AJ146" s="193">
        <f>(((M146*'Appendix K'!$C$16*1000)-('Appendix K'!$E$42+'Appendix K'!$F$42+'Appendix K'!$H$42+'Appendix K'!$G$42))/((1+$Y$16)^AJ$34))</f>
        <v>1543740.8450962594</v>
      </c>
      <c r="AK146" s="193">
        <f>(((N146*'Appendix K'!$C$17*1000)-('Appendix K'!$E$43+'Appendix K'!$F$43+'Appendix K'!$H$43))/((1+$Y$16)^AK$34))</f>
        <v>861511.16500377201</v>
      </c>
      <c r="AL146" s="193">
        <f>(((O146*'Appendix K'!$C$18*1000)-('Appendix K'!$E$44+'Appendix K'!$F$44+'Appendix K'!$H$44+'Appendix K'!$G$44))/((1+$Y$16)^AL$34))</f>
        <v>537949.98579141952</v>
      </c>
      <c r="AM146" s="193">
        <f>(((P146*'Appendix K'!$C$19*1000)-('Appendix K'!$E$45+'Appendix K'!$F$45+'Appendix K'!$H$45+'Appendix K'!$G$45))/((1+$Y$16)^AM$34))</f>
        <v>367385.71658139018</v>
      </c>
      <c r="AN146" s="193">
        <f>(((Q146*'Appendix K'!$C$20*1000)-('Appendix K'!$E$46+'Appendix K'!$F$46+'Appendix K'!$H$46+'Appendix K'!$G$46))/((1+$Y$16)^AN$34))</f>
        <v>-47104.030447116398</v>
      </c>
      <c r="AO146" s="193">
        <f>(((R146*'Appendix K'!$C$21*1000)-('Appendix K'!$E$47+'Appendix K'!$F$47+'Appendix K'!$H$47+'Appendix K'!$G$47))/((1+$Y$16)^AO$34))</f>
        <v>-116114.89522699229</v>
      </c>
      <c r="AP146" s="193">
        <f>(((S146*'Appendix K'!$C$22*1000)-('Appendix K'!$E$48+'Appendix K'!$F$48+'Appendix K'!$H$48+'Appendix K'!$G$48))/((1+$Y$16)^AP$34))</f>
        <v>-209753.69166185462</v>
      </c>
      <c r="AQ146" s="193">
        <f>(((T146*'Appendix K'!$C$23*1000)-('Appendix K'!$E$49+'Appendix K'!$F$49+'Appendix K'!$H$49+'Appendix K'!$G$49))/((1+$Y$16)^AQ$34))</f>
        <v>-166028.69387061149</v>
      </c>
      <c r="AR146" s="193">
        <f>(((U146*'Appendix K'!$C$24*1000)-('Appendix K'!$E$50+'Appendix K'!$F$50+'Appendix K'!$H$50+'Appendix K'!$G$50))/((1+$Y$16)^AR$34))</f>
        <v>-113615.39943181715</v>
      </c>
      <c r="AS146" s="209">
        <f t="shared" si="18"/>
        <v>39598662.713099398</v>
      </c>
      <c r="AU146" s="199">
        <f t="shared" si="17"/>
        <v>4.9144500939456258E-9</v>
      </c>
    </row>
    <row r="147" spans="1:47" x14ac:dyDescent="0.35">
      <c r="A147">
        <v>113</v>
      </c>
      <c r="B147" s="70">
        <v>56</v>
      </c>
      <c r="C147" s="70">
        <v>44.489629744949028</v>
      </c>
      <c r="D147" s="70">
        <v>27.542330449294123</v>
      </c>
      <c r="E147" s="70">
        <v>33.154285140039505</v>
      </c>
      <c r="F147" s="70">
        <v>39.285343139142554</v>
      </c>
      <c r="G147" s="70">
        <v>33.966087304464587</v>
      </c>
      <c r="H147" s="70">
        <v>30.993046783676562</v>
      </c>
      <c r="I147" s="70">
        <v>32.292927311014765</v>
      </c>
      <c r="J147" s="70">
        <v>24.012990154291277</v>
      </c>
      <c r="K147" s="70">
        <v>23.284589093745591</v>
      </c>
      <c r="L147" s="70">
        <v>21.637173232037551</v>
      </c>
      <c r="M147" s="70">
        <v>23.013736246200494</v>
      </c>
      <c r="N147" s="70">
        <v>20.013737514705454</v>
      </c>
      <c r="O147" s="70">
        <v>24.68080432839858</v>
      </c>
      <c r="P147" s="70">
        <v>28.490332169634982</v>
      </c>
      <c r="Q147" s="70">
        <v>30.337687208783752</v>
      </c>
      <c r="R147" s="70">
        <v>55.077266384857495</v>
      </c>
      <c r="S147" s="70">
        <v>30.776919145613054</v>
      </c>
      <c r="T147" s="70">
        <v>36.317719633683396</v>
      </c>
      <c r="U147" s="70">
        <v>48.847301164804797</v>
      </c>
      <c r="V147" s="70">
        <v>58.954810324313584</v>
      </c>
      <c r="X147" s="193">
        <f>((0-('Appendix K'!$I$30))/(1+$Y$16)^0)</f>
        <v>-33594902.4440751</v>
      </c>
      <c r="Y147" s="193">
        <f>(((B147*'Appendix K'!$C$5*1000)-('Appendix K'!$E$31+'Appendix K'!$F$31+'Appendix K'!$H$31+'Appendix K'!$G$31))/((1+$Y$16)^1))</f>
        <v>34971064.972647354</v>
      </c>
      <c r="Z147" s="193">
        <f>+(((C147*'Appendix K'!$C$6*1000)-('Appendix K'!$E$32+'Appendix K'!$F$32+'Appendix K'!$H$32+'Appendix K'!$G$32))/((1+$Y$16)^2))</f>
        <v>7751593.715345826</v>
      </c>
      <c r="AA147" s="193">
        <f>(((D147*'Appendix K'!$C$7*1000)-('Appendix K'!$E$33+'Appendix K'!$F$33+'Appendix K'!$H$33+'Appendix K'!$G$33))/((1+$Y$16)^3))</f>
        <v>543302.76251221087</v>
      </c>
      <c r="AB147" s="193">
        <f>(((E147*'Appendix K'!$C$8*1000)-('Appendix K'!$E$34+'Appendix K'!$F$34+'Appendix K'!$H$34+'Appendix K'!$G$34))/((1+$Y$16)^4))</f>
        <v>3973907.9155734945</v>
      </c>
      <c r="AC147" s="193">
        <f>(((F147*'Appendix K'!$C$9*1000)-('Appendix K'!$E$35+'Appendix K'!$F$35+'Appendix K'!$H$35+'Appendix K'!$G$35))/((1+$Y$16)^AC$34))</f>
        <v>7457753.9981660955</v>
      </c>
      <c r="AD147" s="193">
        <f>(((G147*'Appendix K'!$C$10*1000)-('Appendix K'!$E$36+'Appendix K'!$F$36+'Appendix K'!$H$36+'Appendix K'!$G$36))/((1+$Y$16)^AD$34))</f>
        <v>2818405.5900504137</v>
      </c>
      <c r="AE147" s="193">
        <f>(((H147*'Appendix K'!$C$11*1000)-('Appendix K'!$E$37+'Appendix K'!$F$37+'Appendix K'!$H$37+'Appendix K'!$G$37))/((1+$Y$16)^AE$34))</f>
        <v>871232.0312317363</v>
      </c>
      <c r="AF147" s="193">
        <f>(((I147*'Appendix K'!$C$12*1000)-('Appendix K'!$E$38+'Appendix K'!$F$38+'Appendix K'!$H$38+'Appendix K'!$G$38))/((1+$Y$16)^AF$34))</f>
        <v>123852.97279149383</v>
      </c>
      <c r="AG147" s="193">
        <f>(((J147*'Appendix K'!$C$13*1000)-('Appendix K'!$E$39+'Appendix K'!$F$39+'Appendix K'!$H$39+'Appendix K'!$G$39))/((1+$Y$16)^AG$34))</f>
        <v>-709891.69648456888</v>
      </c>
      <c r="AH147" s="193">
        <f>(((K147*'Appendix K'!$C$14*1000)-('Appendix K'!$E$40+'Appendix K'!$F$40+'Appendix K'!$H$40+'Appendix K'!$G$40))/((1+$Y$16)^AH$34))</f>
        <v>-847898.53076530609</v>
      </c>
      <c r="AI147" s="193">
        <f>(((L147*'Appendix K'!$C$15*1000)-('Appendix K'!$E$41+'Appendix K'!$F$41+'Appendix K'!$H$41+'Appendix K'!$G$41))/((1+$Y$16)^AI$34))</f>
        <v>-949546.94793929672</v>
      </c>
      <c r="AJ147" s="193">
        <f>(((M147*'Appendix K'!$C$16*1000)-('Appendix K'!$E$42+'Appendix K'!$F$42+'Appendix K'!$H$42+'Appendix K'!$G$42))/((1+$Y$16)^AJ$34))</f>
        <v>-920312.71819596563</v>
      </c>
      <c r="AK147" s="193">
        <f>(((N147*'Appendix K'!$C$17*1000)-('Appendix K'!$E$43+'Appendix K'!$F$43+'Appendix K'!$H$43))/((1+$Y$16)^AK$34))</f>
        <v>-696769.60536304524</v>
      </c>
      <c r="AL147" s="193">
        <f>(((O147*'Appendix K'!$C$18*1000)-('Appendix K'!$E$44+'Appendix K'!$F$44+'Appendix K'!$H$44+'Appendix K'!$G$44))/((1+$Y$16)^AL$34))</f>
        <v>-842040.28958654182</v>
      </c>
      <c r="AM147" s="193">
        <f>(((P147*'Appendix K'!$C$19*1000)-('Appendix K'!$E$45+'Appendix K'!$F$45+'Appendix K'!$H$45+'Appendix K'!$G$45))/((1+$Y$16)^AM$34))</f>
        <v>-762696.69456013781</v>
      </c>
      <c r="AN147" s="193">
        <f>(((Q147*'Appendix K'!$C$20*1000)-('Appendix K'!$E$46+'Appendix K'!$F$46+'Appendix K'!$H$46+'Appendix K'!$G$46))/((1+$Y$16)^AN$34))</f>
        <v>-696178.75425425742</v>
      </c>
      <c r="AO147" s="193">
        <f>(((R147*'Appendix K'!$C$21*1000)-('Appendix K'!$E$47+'Appendix K'!$F$47+'Appendix K'!$H$47+'Appendix K'!$G$47))/((1+$Y$16)^AO$34))</f>
        <v>-517486.19610788935</v>
      </c>
      <c r="AP147" s="193">
        <f>(((S147*'Appendix K'!$C$22*1000)-('Appendix K'!$E$48+'Appendix K'!$F$48+'Appendix K'!$H$48+'Appendix K'!$G$48))/((1+$Y$16)^AP$34))</f>
        <v>-617040.4279078556</v>
      </c>
      <c r="AQ147" s="193">
        <f>(((T147*'Appendix K'!$C$23*1000)-('Appendix K'!$E$49+'Appendix K'!$F$49+'Appendix K'!$H$49+'Appendix K'!$G$49))/((1+$Y$16)^AQ$34))</f>
        <v>-551347.37444022368</v>
      </c>
      <c r="AR147" s="193">
        <f>(((U147*'Appendix K'!$C$24*1000)-('Appendix K'!$E$50+'Appendix K'!$F$50+'Appendix K'!$H$50+'Appendix K'!$G$50))/((1+$Y$16)^AR$34))</f>
        <v>-471999.19091201248</v>
      </c>
      <c r="AS147" s="209">
        <f t="shared" si="18"/>
        <v>24916211.514243528</v>
      </c>
      <c r="AU147" s="199">
        <f t="shared" si="17"/>
        <v>3.8183086979132779E-9</v>
      </c>
    </row>
    <row r="148" spans="1:47" x14ac:dyDescent="0.35">
      <c r="A148">
        <v>114</v>
      </c>
      <c r="B148" s="70">
        <v>56</v>
      </c>
      <c r="C148" s="70">
        <v>55.435271192647861</v>
      </c>
      <c r="D148" s="70">
        <v>73.952286695478591</v>
      </c>
      <c r="E148" s="70">
        <v>100.20970997323455</v>
      </c>
      <c r="F148" s="70">
        <v>127.96501942866524</v>
      </c>
      <c r="G148" s="70">
        <v>145.0849726690553</v>
      </c>
      <c r="H148" s="70">
        <v>116.02369933786935</v>
      </c>
      <c r="I148" s="70">
        <v>113.65290188713419</v>
      </c>
      <c r="J148" s="70">
        <v>144.77836367241304</v>
      </c>
      <c r="K148" s="70">
        <v>138.04297316789228</v>
      </c>
      <c r="L148" s="70">
        <v>116.21298493195435</v>
      </c>
      <c r="M148" s="70">
        <v>152.21539411027885</v>
      </c>
      <c r="N148" s="70">
        <v>154.57544274749034</v>
      </c>
      <c r="O148" s="70">
        <v>193.32002411415522</v>
      </c>
      <c r="P148" s="70">
        <v>183.40579948789645</v>
      </c>
      <c r="Q148" s="70">
        <v>159.30747591543164</v>
      </c>
      <c r="R148" s="70">
        <v>179.2584207691998</v>
      </c>
      <c r="S148" s="70">
        <v>219.3524462298075</v>
      </c>
      <c r="T148" s="70">
        <v>276.28430688565226</v>
      </c>
      <c r="U148" s="70">
        <v>337.54894882913811</v>
      </c>
      <c r="V148" s="70">
        <v>405.34285634814631</v>
      </c>
      <c r="X148" s="193">
        <f>((0-('Appendix K'!$I$30))/(1+$Y$16)^0)</f>
        <v>-33594902.4440751</v>
      </c>
      <c r="Y148" s="193">
        <f>(((B148*'Appendix K'!$C$5*1000)-('Appendix K'!$E$31+'Appendix K'!$F$31+'Appendix K'!$H$31+'Appendix K'!$G$31))/((1+$Y$16)^1))</f>
        <v>34971064.972647354</v>
      </c>
      <c r="Z148" s="193">
        <f>+(((C148*'Appendix K'!$C$6*1000)-('Appendix K'!$E$32+'Appendix K'!$F$32+'Appendix K'!$H$32+'Appendix K'!$G$32))/((1+$Y$16)^2))</f>
        <v>10516649.94969843</v>
      </c>
      <c r="AA148" s="193">
        <f>(((D148*'Appendix K'!$C$7*1000)-('Appendix K'!$E$33+'Appendix K'!$F$33+'Appendix K'!$H$33+'Appendix K'!$G$33))/((1+$Y$16)^3))</f>
        <v>6454765.0155318584</v>
      </c>
      <c r="AB148" s="193">
        <f>(((E148*'Appendix K'!$C$8*1000)-('Appendix K'!$E$34+'Appendix K'!$F$34+'Appendix K'!$H$34+'Appendix K'!$G$34))/((1+$Y$16)^4))</f>
        <v>18671843.205677174</v>
      </c>
      <c r="AC148" s="193">
        <f>(((F148*'Appendix K'!$C$9*1000)-('Appendix K'!$E$35+'Appendix K'!$F$35+'Appendix K'!$H$35+'Appendix K'!$G$35))/((1+$Y$16)^AC$34))</f>
        <v>31028672.703840669</v>
      </c>
      <c r="AD148" s="193">
        <f>(((G148*'Appendix K'!$C$10*1000)-('Appendix K'!$E$36+'Appendix K'!$F$36+'Appendix K'!$H$36+'Appendix K'!$G$36))/((1+$Y$16)^AD$34))</f>
        <v>20268954.435794514</v>
      </c>
      <c r="AE148" s="193">
        <f>(((H148*'Appendix K'!$C$11*1000)-('Appendix K'!$E$37+'Appendix K'!$F$37+'Appendix K'!$H$37+'Appendix K'!$G$37))/((1+$Y$16)^AE$34))</f>
        <v>9351987.6954057701</v>
      </c>
      <c r="AF148" s="193">
        <f>(((I148*'Appendix K'!$C$12*1000)-('Appendix K'!$E$38+'Appendix K'!$F$38+'Appendix K'!$H$38+'Appendix K'!$G$38))/((1+$Y$16)^AF$34))</f>
        <v>5466146.3672939632</v>
      </c>
      <c r="AG148" s="193">
        <f>(((J148*'Appendix K'!$C$13*1000)-('Appendix K'!$E$39+'Appendix K'!$F$39+'Appendix K'!$H$39+'Appendix K'!$G$39))/((1+$Y$16)^AG$34))</f>
        <v>4847601.8832455492</v>
      </c>
      <c r="AH148" s="193">
        <f>(((K148*'Appendix K'!$C$14*1000)-('Appendix K'!$E$40+'Appendix K'!$F$40+'Appendix K'!$H$40+'Appendix K'!$G$40))/((1+$Y$16)^AH$34))</f>
        <v>3020208.0125230495</v>
      </c>
      <c r="AI148" s="193">
        <f>(((L148*'Appendix K'!$C$15*1000)-('Appendix K'!$E$41+'Appendix K'!$F$41+'Appendix K'!$H$41+'Appendix K'!$G$41))/((1+$Y$16)^AI$34))</f>
        <v>1528516.1762336264</v>
      </c>
      <c r="AJ148" s="193">
        <f>(((M148*'Appendix K'!$C$16*1000)-('Appendix K'!$E$42+'Appendix K'!$F$42+'Appendix K'!$H$42+'Appendix K'!$G$42))/((1+$Y$16)^AJ$34))</f>
        <v>1669129.7220462225</v>
      </c>
      <c r="AK148" s="193">
        <f>(((N148*'Appendix K'!$C$17*1000)-('Appendix K'!$E$43+'Appendix K'!$F$43+'Appendix K'!$H$43))/((1+$Y$16)^AK$34))</f>
        <v>1370622.6362292883</v>
      </c>
      <c r="AL148" s="193">
        <f>(((O148*'Appendix K'!$C$18*1000)-('Appendix K'!$E$44+'Appendix K'!$F$44+'Appendix K'!$H$44+'Appendix K'!$G$44))/((1+$Y$16)^AL$34))</f>
        <v>1156890.0049829872</v>
      </c>
      <c r="AM148" s="193">
        <f>(((P148*'Appendix K'!$C$19*1000)-('Appendix K'!$E$45+'Appendix K'!$F$45+'Appendix K'!$H$45+'Appendix K'!$G$45))/((1+$Y$16)^AM$34))</f>
        <v>673173.22248739842</v>
      </c>
      <c r="AN148" s="193">
        <f>(((Q148*'Appendix K'!$C$20*1000)-('Appendix K'!$E$46+'Appendix K'!$F$46+'Appendix K'!$H$46+'Appendix K'!$G$46))/((1+$Y$16)^AN$34))</f>
        <v>237074.60919865838</v>
      </c>
      <c r="AO148" s="193">
        <f>(((R148*'Appendix K'!$C$21*1000)-('Appendix K'!$E$47+'Appendix K'!$F$47+'Appendix K'!$H$47+'Appendix K'!$G$47))/((1+$Y$16)^AO$34))</f>
        <v>216438.14584250664</v>
      </c>
      <c r="AP148" s="193">
        <f>(((S148*'Appendix K'!$C$22*1000)-('Appendix K'!$E$48+'Appendix K'!$F$48+'Appendix K'!$H$48+'Appendix K'!$G$48))/((1+$Y$16)^AP$34))</f>
        <v>286183.42153570446</v>
      </c>
      <c r="AQ148" s="193">
        <f>(((T148*'Appendix K'!$C$23*1000)-('Appendix K'!$E$49+'Appendix K'!$F$49+'Appendix K'!$H$49+'Appendix K'!$G$49))/((1+$Y$16)^AQ$34))</f>
        <v>387820.41504212533</v>
      </c>
      <c r="AR148" s="193">
        <f>(((U148*'Appendix K'!$C$24*1000)-('Appendix K'!$E$50+'Appendix K'!$F$50+'Appendix K'!$H$50+'Appendix K'!$G$50))/((1+$Y$16)^AR$34))</f>
        <v>457628.20365777571</v>
      </c>
      <c r="AS148" s="209">
        <f t="shared" si="18"/>
        <v>118986468.3548395</v>
      </c>
      <c r="AU148" s="199">
        <f t="shared" si="17"/>
        <v>6.0337689406222257E-9</v>
      </c>
    </row>
    <row r="149" spans="1:47" x14ac:dyDescent="0.35">
      <c r="A149">
        <v>115</v>
      </c>
      <c r="B149" s="70">
        <v>56</v>
      </c>
      <c r="C149" s="70">
        <v>66.669151143823427</v>
      </c>
      <c r="D149" s="70">
        <v>76.500969154005261</v>
      </c>
      <c r="E149" s="70">
        <v>98.638115933763345</v>
      </c>
      <c r="F149" s="70">
        <v>114.08110247524202</v>
      </c>
      <c r="G149" s="70">
        <v>133.21610052612823</v>
      </c>
      <c r="H149" s="70">
        <v>110.87901823258505</v>
      </c>
      <c r="I149" s="70">
        <v>93.946570452562199</v>
      </c>
      <c r="J149" s="70">
        <v>111.06898559950193</v>
      </c>
      <c r="K149" s="70">
        <v>110.27670084540246</v>
      </c>
      <c r="L149" s="70">
        <v>99.023459868089788</v>
      </c>
      <c r="M149" s="70">
        <v>115.59403108707411</v>
      </c>
      <c r="N149" s="70">
        <v>48.532407197973512</v>
      </c>
      <c r="O149" s="70">
        <v>49.086747306573479</v>
      </c>
      <c r="P149" s="70">
        <v>42.885460647091513</v>
      </c>
      <c r="Q149" s="70">
        <v>75.734569309028871</v>
      </c>
      <c r="R149" s="70">
        <v>81.695752721136799</v>
      </c>
      <c r="S149" s="70">
        <v>72.754769741171643</v>
      </c>
      <c r="T149" s="70">
        <v>108.55948205549353</v>
      </c>
      <c r="U149" s="70">
        <v>101.88479242619282</v>
      </c>
      <c r="V149" s="70">
        <v>98.247954004599848</v>
      </c>
      <c r="X149" s="193">
        <f>((0-('Appendix K'!$I$30))/(1+$Y$16)^0)</f>
        <v>-33594902.4440751</v>
      </c>
      <c r="Y149" s="193">
        <f>(((B149*'Appendix K'!$C$5*1000)-('Appendix K'!$E$31+'Appendix K'!$F$31+'Appendix K'!$H$31+'Appendix K'!$G$31))/((1+$Y$16)^1))</f>
        <v>34971064.972647354</v>
      </c>
      <c r="Z149" s="193">
        <f>+(((C149*'Appendix K'!$C$6*1000)-('Appendix K'!$E$32+'Appendix K'!$F$32+'Appendix K'!$H$32+'Appendix K'!$G$32))/((1+$Y$16)^2))</f>
        <v>13354520.159808148</v>
      </c>
      <c r="AA149" s="193">
        <f>(((D149*'Appendix K'!$C$7*1000)-('Appendix K'!$E$33+'Appendix K'!$F$33+'Appendix K'!$H$33+'Appendix K'!$G$33))/((1+$Y$16)^3))</f>
        <v>6779403.1183689488</v>
      </c>
      <c r="AB149" s="193">
        <f>(((E149*'Appendix K'!$C$8*1000)-('Appendix K'!$E$34+'Appendix K'!$F$34+'Appendix K'!$H$34+'Appendix K'!$G$34))/((1+$Y$16)^4))</f>
        <v>18327364.178783804</v>
      </c>
      <c r="AC149" s="193">
        <f>(((F149*'Appendix K'!$C$9*1000)-('Appendix K'!$E$35+'Appendix K'!$F$35+'Appendix K'!$H$35+'Appendix K'!$G$35))/((1+$Y$16)^AC$34))</f>
        <v>27338349.379282698</v>
      </c>
      <c r="AD149" s="193">
        <f>(((G149*'Appendix K'!$C$10*1000)-('Appendix K'!$E$36+'Appendix K'!$F$36+'Appendix K'!$H$36+'Appendix K'!$G$36))/((1+$Y$16)^AD$34))</f>
        <v>18405019.854427297</v>
      </c>
      <c r="AE149" s="193">
        <f>(((H149*'Appendix K'!$C$11*1000)-('Appendix K'!$E$37+'Appendix K'!$F$37+'Appendix K'!$H$37+'Appendix K'!$G$37))/((1+$Y$16)^AE$34))</f>
        <v>8838869.400844859</v>
      </c>
      <c r="AF149" s="193">
        <f>(((I149*'Appendix K'!$C$12*1000)-('Appendix K'!$E$38+'Appendix K'!$F$38+'Appendix K'!$H$38+'Appendix K'!$G$38))/((1+$Y$16)^AF$34))</f>
        <v>4172180.8172642686</v>
      </c>
      <c r="AG149" s="193">
        <f>(((J149*'Appendix K'!$C$13*1000)-('Appendix K'!$E$39+'Appendix K'!$F$39+'Appendix K'!$H$39+'Appendix K'!$G$39))/((1+$Y$16)^AG$34))</f>
        <v>3296332.2870082892</v>
      </c>
      <c r="AH149" s="193">
        <f>(((K149*'Appendix K'!$C$14*1000)-('Appendix K'!$E$40+'Appendix K'!$F$40+'Appendix K'!$H$40+'Appendix K'!$G$40))/((1+$Y$16)^AH$34))</f>
        <v>2084303.411566356</v>
      </c>
      <c r="AI149" s="193">
        <f>(((L149*'Appendix K'!$C$15*1000)-('Appendix K'!$E$41+'Appendix K'!$F$41+'Appendix K'!$H$41+'Appendix K'!$G$41))/((1+$Y$16)^AI$34))</f>
        <v>1078118.4749908841</v>
      </c>
      <c r="AJ149" s="193">
        <f>(((M149*'Appendix K'!$C$16*1000)-('Appendix K'!$E$42+'Appendix K'!$F$42+'Appendix K'!$H$42+'Appendix K'!$G$42))/((1+$Y$16)^AJ$34))</f>
        <v>935169.23578401515</v>
      </c>
      <c r="AK149" s="193">
        <f>(((N149*'Appendix K'!$C$17*1000)-('Appendix K'!$E$43+'Appendix K'!$F$43+'Appendix K'!$H$43))/((1+$Y$16)^AK$34))</f>
        <v>-258611.68857887303</v>
      </c>
      <c r="AL149" s="193">
        <f>(((O149*'Appendix K'!$C$18*1000)-('Appendix K'!$E$44+'Appendix K'!$F$44+'Appendix K'!$H$44+'Appendix K'!$G$44))/((1+$Y$16)^AL$34))</f>
        <v>-552749.46596562548</v>
      </c>
      <c r="AM149" s="193">
        <f>(((P149*'Appendix K'!$C$19*1000)-('Appendix K'!$E$45+'Appendix K'!$F$45+'Appendix K'!$H$45+'Appendix K'!$G$45))/((1+$Y$16)^AM$34))</f>
        <v>-629272.10958728788</v>
      </c>
      <c r="AN149" s="193">
        <f>(((Q149*'Appendix K'!$C$20*1000)-('Appendix K'!$E$46+'Appendix K'!$F$46+'Appendix K'!$H$46+'Appendix K'!$G$46))/((1+$Y$16)^AN$34))</f>
        <v>-367677.06920694851</v>
      </c>
      <c r="AO149" s="193">
        <f>(((R149*'Appendix K'!$C$21*1000)-('Appendix K'!$E$47+'Appendix K'!$F$47+'Appendix K'!$H$47+'Appendix K'!$G$47))/((1+$Y$16)^AO$34))</f>
        <v>-360168.00104903721</v>
      </c>
      <c r="AP149" s="193">
        <f>(((S149*'Appendix K'!$C$22*1000)-('Appendix K'!$E$48+'Appendix K'!$F$48+'Appendix K'!$H$48+'Appendix K'!$G$48))/((1+$Y$16)^AP$34))</f>
        <v>-415978.30498795642</v>
      </c>
      <c r="AQ149" s="193">
        <f>(((T149*'Appendix K'!$C$23*1000)-('Appendix K'!$E$49+'Appendix K'!$F$49+'Appendix K'!$H$49+'Appendix K'!$G$49))/((1+$Y$16)^AQ$34))</f>
        <v>-268611.61068674811</v>
      </c>
      <c r="AR149" s="193">
        <f>(((U149*'Appendix K'!$C$24*1000)-('Appendix K'!$E$50+'Appendix K'!$F$50+'Appendix K'!$H$50+'Appendix K'!$G$50))/((1+$Y$16)^AR$34))</f>
        <v>-301216.98300037644</v>
      </c>
      <c r="AS149" s="209">
        <f t="shared" si="18"/>
        <v>105985792.8467018</v>
      </c>
      <c r="AU149" s="199">
        <f t="shared" si="17"/>
        <v>6.6709250922870875E-9</v>
      </c>
    </row>
    <row r="150" spans="1:47" x14ac:dyDescent="0.35">
      <c r="A150">
        <v>116</v>
      </c>
      <c r="B150" s="70">
        <v>56</v>
      </c>
      <c r="C150" s="70">
        <v>29.718485547511481</v>
      </c>
      <c r="D150" s="70">
        <v>30.282384814875261</v>
      </c>
      <c r="E150" s="70">
        <v>37.35017441084883</v>
      </c>
      <c r="F150" s="70">
        <v>21.557440362077561</v>
      </c>
      <c r="G150" s="70">
        <v>24.492015845107428</v>
      </c>
      <c r="H150" s="70">
        <v>21.638070089096914</v>
      </c>
      <c r="I150" s="70">
        <v>13.748842183462418</v>
      </c>
      <c r="J150" s="70">
        <v>18.190106078476582</v>
      </c>
      <c r="K150" s="70">
        <v>26.410323854510189</v>
      </c>
      <c r="L150" s="70">
        <v>47.395122091174287</v>
      </c>
      <c r="M150" s="70">
        <v>33.525837672798907</v>
      </c>
      <c r="N150" s="70">
        <v>39.766908484803224</v>
      </c>
      <c r="O150" s="70">
        <v>23.173039541962201</v>
      </c>
      <c r="P150" s="70">
        <v>24.395980070086061</v>
      </c>
      <c r="Q150" s="70">
        <v>20.790918985434466</v>
      </c>
      <c r="R150" s="70">
        <v>14.371544743872676</v>
      </c>
      <c r="S150" s="70">
        <v>11.286570637015302</v>
      </c>
      <c r="T150" s="70">
        <v>7.9810622590081959</v>
      </c>
      <c r="U150" s="70">
        <v>5.1825376464828565</v>
      </c>
      <c r="V150" s="70">
        <v>5.6956503933509746</v>
      </c>
      <c r="X150" s="193">
        <f>((0-('Appendix K'!$I$30))/(1+$Y$16)^0)</f>
        <v>-33594902.4440751</v>
      </c>
      <c r="Y150" s="193">
        <f>(((B150*'Appendix K'!$C$5*1000)-('Appendix K'!$E$31+'Appendix K'!$F$31+'Appendix K'!$H$31+'Appendix K'!$G$31))/((1+$Y$16)^1))</f>
        <v>34971064.972647354</v>
      </c>
      <c r="Z150" s="193">
        <f>+(((C150*'Appendix K'!$C$6*1000)-('Appendix K'!$E$32+'Appendix K'!$F$32+'Appendix K'!$H$32+'Appendix K'!$G$32))/((1+$Y$16)^2))</f>
        <v>4020150.0583610036</v>
      </c>
      <c r="AA150" s="193">
        <f>(((D150*'Appendix K'!$C$7*1000)-('Appendix K'!$E$33+'Appendix K'!$F$33+'Appendix K'!$H$33+'Appendix K'!$G$33))/((1+$Y$16)^3))</f>
        <v>892316.83758336003</v>
      </c>
      <c r="AB150" s="193">
        <f>(((E150*'Appendix K'!$C$8*1000)-('Appendix K'!$E$34+'Appendix K'!$F$34+'Appendix K'!$H$34+'Appendix K'!$G$34))/((1+$Y$16)^4))</f>
        <v>4893608.4340655664</v>
      </c>
      <c r="AC150" s="193">
        <f>(((F150*'Appendix K'!$C$9*1000)-('Appendix K'!$E$35+'Appendix K'!$F$35+'Appendix K'!$H$35+'Appendix K'!$G$35))/((1+$Y$16)^AC$34))</f>
        <v>2745705.2778250738</v>
      </c>
      <c r="AD150" s="193">
        <f>(((G150*'Appendix K'!$C$10*1000)-('Appendix K'!$E$36+'Appendix K'!$F$36+'Appendix K'!$H$36+'Appendix K'!$G$36))/((1+$Y$16)^AD$34))</f>
        <v>1330559.9711249943</v>
      </c>
      <c r="AE150" s="193">
        <f>(((H150*'Appendix K'!$C$11*1000)-('Appendix K'!$E$37+'Appendix K'!$F$37+'Appendix K'!$H$37+'Appendix K'!$G$37))/((1+$Y$16)^AE$34))</f>
        <v>-61811.162106198666</v>
      </c>
      <c r="AF150" s="193">
        <f>(((I150*'Appendix K'!$C$12*1000)-('Appendix K'!$E$38+'Appendix K'!$F$38+'Appendix K'!$H$38+'Appendix K'!$G$38))/((1+$Y$16)^AF$34))</f>
        <v>-1093796.6639021311</v>
      </c>
      <c r="AG150" s="193">
        <f>(((J150*'Appendix K'!$C$13*1000)-('Appendix K'!$E$39+'Appendix K'!$F$39+'Appendix K'!$H$39+'Appendix K'!$G$39))/((1+$Y$16)^AG$34))</f>
        <v>-977854.60608462035</v>
      </c>
      <c r="AH150" s="193">
        <f>(((K150*'Appendix K'!$C$14*1000)-('Appendix K'!$E$40+'Appendix K'!$F$40+'Appendix K'!$H$40+'Appendix K'!$G$40))/((1+$Y$16)^AH$34))</f>
        <v>-742540.86841895012</v>
      </c>
      <c r="AI150" s="193">
        <f>(((L150*'Appendix K'!$C$15*1000)-('Appendix K'!$E$41+'Appendix K'!$F$41+'Appendix K'!$H$41+'Appendix K'!$G$41))/((1+$Y$16)^AI$34))</f>
        <v>-274640.52022935706</v>
      </c>
      <c r="AJ150" s="193">
        <f>(((M150*'Appendix K'!$C$16*1000)-('Appendix K'!$E$42+'Appendix K'!$F$42+'Appendix K'!$H$42+'Appendix K'!$G$42))/((1+$Y$16)^AJ$34))</f>
        <v>-709630.57974538428</v>
      </c>
      <c r="AK150" s="193">
        <f>(((N150*'Appendix K'!$C$17*1000)-('Appendix K'!$E$43+'Appendix K'!$F$43+'Appendix K'!$H$43))/((1+$Y$16)^AK$34))</f>
        <v>-393283.91201678338</v>
      </c>
      <c r="AL150" s="193">
        <f>(((O150*'Appendix K'!$C$18*1000)-('Appendix K'!$E$44+'Appendix K'!$F$44+'Appendix K'!$H$44+'Appendix K'!$G$44))/((1+$Y$16)^AL$34))</f>
        <v>-859912.26926316612</v>
      </c>
      <c r="AM150" s="193">
        <f>(((P150*'Appendix K'!$C$19*1000)-('Appendix K'!$E$45+'Appendix K'!$F$45+'Appendix K'!$H$45+'Appendix K'!$G$45))/((1+$Y$16)^AM$34))</f>
        <v>-800646.14603398496</v>
      </c>
      <c r="AN150" s="193">
        <f>(((Q150*'Appendix K'!$C$20*1000)-('Appendix K'!$E$46+'Appendix K'!$F$46+'Appendix K'!$H$46+'Appendix K'!$G$46))/((1+$Y$16)^AN$34))</f>
        <v>-765261.23972542176</v>
      </c>
      <c r="AO150" s="193">
        <f>(((R150*'Appendix K'!$C$21*1000)-('Appendix K'!$E$47+'Appendix K'!$F$47+'Appendix K'!$H$47+'Appendix K'!$G$47))/((1+$Y$16)^AO$34))</f>
        <v>-758061.50817587436</v>
      </c>
      <c r="AP150" s="193">
        <f>(((S150*'Appendix K'!$C$22*1000)-('Appendix K'!$E$48+'Appendix K'!$F$48+'Appendix K'!$H$48+'Appendix K'!$G$48))/((1+$Y$16)^AP$34))</f>
        <v>-710393.72713566246</v>
      </c>
      <c r="AQ150" s="193">
        <f>(((T150*'Appendix K'!$C$23*1000)-('Appendix K'!$E$49+'Appendix K'!$F$49+'Appendix K'!$H$49+'Appendix K'!$G$49))/((1+$Y$16)^AQ$34))</f>
        <v>-662249.79703436792</v>
      </c>
      <c r="AR150" s="193">
        <f>(((U150*'Appendix K'!$C$24*1000)-('Appendix K'!$E$50+'Appendix K'!$F$50+'Appendix K'!$H$50+'Appendix K'!$G$50))/((1+$Y$16)^AR$34))</f>
        <v>-612600.95287784259</v>
      </c>
      <c r="AS150" s="209">
        <f t="shared" si="18"/>
        <v>15258503.107532248</v>
      </c>
      <c r="AU150" s="199">
        <f t="shared" si="17"/>
        <v>3.1183699458328471E-9</v>
      </c>
    </row>
    <row r="151" spans="1:47" x14ac:dyDescent="0.35">
      <c r="A151">
        <v>117</v>
      </c>
      <c r="B151" s="70">
        <v>56</v>
      </c>
      <c r="C151" s="70">
        <v>57.90365067547031</v>
      </c>
      <c r="D151" s="70">
        <v>68.355948401528309</v>
      </c>
      <c r="E151" s="70">
        <v>96.53173512151632</v>
      </c>
      <c r="F151" s="70">
        <v>65.686008366583252</v>
      </c>
      <c r="G151" s="70">
        <v>79.458759089370503</v>
      </c>
      <c r="H151" s="70">
        <v>47.924211673449875</v>
      </c>
      <c r="I151" s="70">
        <v>59.034897554417697</v>
      </c>
      <c r="J151" s="70">
        <v>80.339227505091344</v>
      </c>
      <c r="K151" s="70">
        <v>86.315543109734477</v>
      </c>
      <c r="L151" s="70">
        <v>112.48675230461157</v>
      </c>
      <c r="M151" s="70">
        <v>84.164319029473518</v>
      </c>
      <c r="N151" s="70">
        <v>90.263705612045641</v>
      </c>
      <c r="O151" s="70">
        <v>84.218961181055164</v>
      </c>
      <c r="P151" s="70">
        <v>61.085570874823453</v>
      </c>
      <c r="Q151" s="70">
        <v>48.0170839296784</v>
      </c>
      <c r="R151" s="70">
        <v>34.246763924595484</v>
      </c>
      <c r="S151" s="70">
        <v>49.16693667905389</v>
      </c>
      <c r="T151" s="70">
        <v>41.300882116024908</v>
      </c>
      <c r="U151" s="70">
        <v>56.128354004118037</v>
      </c>
      <c r="V151" s="70">
        <v>67.088283475909989</v>
      </c>
      <c r="X151" s="193">
        <f>((0-('Appendix K'!$I$30))/(1+$Y$16)^0)</f>
        <v>-33594902.4440751</v>
      </c>
      <c r="Y151" s="193">
        <f>(((B151*'Appendix K'!$C$5*1000)-('Appendix K'!$E$31+'Appendix K'!$F$31+'Appendix K'!$H$31+'Appendix K'!$G$31))/((1+$Y$16)^1))</f>
        <v>34971064.972647354</v>
      </c>
      <c r="Z151" s="193">
        <f>+(((C151*'Appendix K'!$C$6*1000)-('Appendix K'!$E$32+'Appendix K'!$F$32+'Appendix K'!$H$32+'Appendix K'!$G$32))/((1+$Y$16)^2))</f>
        <v>11140204.824059965</v>
      </c>
      <c r="AA151" s="193">
        <f>(((D151*'Appendix K'!$C$7*1000)-('Appendix K'!$E$33+'Appendix K'!$F$33+'Appendix K'!$H$33+'Appendix K'!$G$33))/((1+$Y$16)^3))</f>
        <v>5741932.1396651566</v>
      </c>
      <c r="AB151" s="193">
        <f>(((E151*'Appendix K'!$C$8*1000)-('Appendix K'!$E$34+'Appendix K'!$F$34+'Appendix K'!$H$34+'Appendix K'!$G$34))/((1+$Y$16)^4))</f>
        <v>17865664.786799688</v>
      </c>
      <c r="AC151" s="193">
        <f>(((F151*'Appendix K'!$C$9*1000)-('Appendix K'!$E$35+'Appendix K'!$F$35+'Appendix K'!$H$35+'Appendix K'!$G$35))/((1+$Y$16)^AC$34))</f>
        <v>14475009.359136062</v>
      </c>
      <c r="AD151" s="193">
        <f>(((G151*'Appendix K'!$C$10*1000)-('Appendix K'!$E$36+'Appendix K'!$F$36+'Appendix K'!$H$36+'Appendix K'!$G$36))/((1+$Y$16)^AD$34))</f>
        <v>9962754.5321869534</v>
      </c>
      <c r="AE151" s="193">
        <f>(((H151*'Appendix K'!$C$11*1000)-('Appendix K'!$E$37+'Appendix K'!$F$37+'Appendix K'!$H$37+'Appendix K'!$G$37))/((1+$Y$16)^AE$34))</f>
        <v>2559906.2707772423</v>
      </c>
      <c r="AF151" s="193">
        <f>(((I151*'Appendix K'!$C$12*1000)-('Appendix K'!$E$38+'Appendix K'!$F$38+'Appendix K'!$H$38+'Appendix K'!$G$38))/((1+$Y$16)^AF$34))</f>
        <v>1879795.6427790774</v>
      </c>
      <c r="AG151" s="193">
        <f>(((J151*'Appendix K'!$C$13*1000)-('Appendix K'!$E$39+'Appendix K'!$F$39+'Appendix K'!$H$39+'Appendix K'!$G$39))/((1+$Y$16)^AG$34))</f>
        <v>1882181.6216214132</v>
      </c>
      <c r="AH151" s="193">
        <f>(((K151*'Appendix K'!$C$14*1000)-('Appendix K'!$E$40+'Appendix K'!$F$40+'Appendix K'!$H$40+'Appendix K'!$G$40))/((1+$Y$16)^AH$34))</f>
        <v>1276656.0072406086</v>
      </c>
      <c r="AI151" s="193">
        <f>(((L151*'Appendix K'!$C$15*1000)-('Appendix K'!$E$41+'Appendix K'!$F$41+'Appendix K'!$H$41+'Appendix K'!$G$41))/((1+$Y$16)^AI$34))</f>
        <v>1430881.9133080645</v>
      </c>
      <c r="AJ151" s="193">
        <f>(((M151*'Appendix K'!$C$16*1000)-('Appendix K'!$E$42+'Appendix K'!$F$42+'Appendix K'!$H$42+'Appendix K'!$G$42))/((1+$Y$16)^AJ$34))</f>
        <v>305259.12757038034</v>
      </c>
      <c r="AK151" s="193">
        <f>(((N151*'Appendix K'!$C$17*1000)-('Appendix K'!$E$43+'Appendix K'!$F$43+'Appendix K'!$H$43))/((1+$Y$16)^AK$34))</f>
        <v>382543.70123709197</v>
      </c>
      <c r="AL151" s="193">
        <f>(((O151*'Appendix K'!$C$18*1000)-('Appendix K'!$E$44+'Appendix K'!$F$44+'Appendix K'!$H$44+'Appendix K'!$G$44))/((1+$Y$16)^AL$34))</f>
        <v>-136316.997182769</v>
      </c>
      <c r="AM151" s="193">
        <f>(((P151*'Appendix K'!$C$19*1000)-('Appendix K'!$E$45+'Appendix K'!$F$45+'Appendix K'!$H$45+'Appendix K'!$G$45))/((1+$Y$16)^AM$34))</f>
        <v>-460580.16929664311</v>
      </c>
      <c r="AN151" s="193">
        <f>(((Q151*'Appendix K'!$C$20*1000)-('Appendix K'!$E$46+'Appendix K'!$F$46+'Appendix K'!$H$46+'Appendix K'!$G$46))/((1+$Y$16)^AN$34))</f>
        <v>-568246.80508186261</v>
      </c>
      <c r="AO151" s="193">
        <f>(((R151*'Appendix K'!$C$21*1000)-('Appendix K'!$E$47+'Appendix K'!$F$47+'Appendix K'!$H$47+'Appendix K'!$G$47))/((1+$Y$16)^AO$34))</f>
        <v>-640596.76700278779</v>
      </c>
      <c r="AP151" s="193">
        <f>(((S151*'Appendix K'!$C$22*1000)-('Appendix K'!$E$48+'Appendix K'!$F$48+'Appendix K'!$H$48+'Appendix K'!$G$48))/((1+$Y$16)^AP$34))</f>
        <v>-528957.40523401252</v>
      </c>
      <c r="AQ151" s="193">
        <f>(((T151*'Appendix K'!$C$23*1000)-('Appendix K'!$E$49+'Appendix K'!$F$49+'Appendix K'!$H$49+'Appendix K'!$G$49))/((1+$Y$16)^AQ$34))</f>
        <v>-531844.55220665189</v>
      </c>
      <c r="AR151" s="193">
        <f>(((U151*'Appendix K'!$C$24*1000)-('Appendix K'!$E$50+'Appendix K'!$F$50+'Appendix K'!$H$50+'Appendix K'!$G$50))/((1+$Y$16)^AR$34))</f>
        <v>-448553.99676263402</v>
      </c>
      <c r="AS151" s="209">
        <f t="shared" si="18"/>
        <v>70278952.454953969</v>
      </c>
      <c r="AU151" s="199">
        <f t="shared" si="17"/>
        <v>6.7091479897419627E-9</v>
      </c>
    </row>
    <row r="152" spans="1:47" x14ac:dyDescent="0.35">
      <c r="A152">
        <v>118</v>
      </c>
      <c r="B152" s="70">
        <v>56</v>
      </c>
      <c r="C152" s="70">
        <v>64.236742749593873</v>
      </c>
      <c r="D152" s="70">
        <v>113.04389818664586</v>
      </c>
      <c r="E152" s="70">
        <v>75.689646976157732</v>
      </c>
      <c r="F152" s="70">
        <v>89.192078725941982</v>
      </c>
      <c r="G152" s="70">
        <v>146.95690807510721</v>
      </c>
      <c r="H152" s="70">
        <v>229.2561413612035</v>
      </c>
      <c r="I152" s="70">
        <v>256.94468206056706</v>
      </c>
      <c r="J152" s="70">
        <v>271.81714329737548</v>
      </c>
      <c r="K152" s="70">
        <v>285.63329366434868</v>
      </c>
      <c r="L152" s="70">
        <v>305.7509343406179</v>
      </c>
      <c r="M152" s="70">
        <v>342.68823341218553</v>
      </c>
      <c r="N152" s="70">
        <v>148.90993674600787</v>
      </c>
      <c r="O152" s="70">
        <v>229.98700050349004</v>
      </c>
      <c r="P152" s="70">
        <v>296.1013523854084</v>
      </c>
      <c r="Q152" s="70">
        <v>335.23688388938098</v>
      </c>
      <c r="R152" s="70">
        <v>183.79185477027085</v>
      </c>
      <c r="S152" s="70">
        <v>163.17790908030457</v>
      </c>
      <c r="T152" s="70">
        <v>82.827250655019199</v>
      </c>
      <c r="U152" s="70">
        <v>52.925313712545815</v>
      </c>
      <c r="V152" s="70">
        <v>62.371966445892824</v>
      </c>
      <c r="X152" s="193">
        <f>((0-('Appendix K'!$I$30))/(1+$Y$16)^0)</f>
        <v>-33594902.4440751</v>
      </c>
      <c r="Y152" s="193">
        <f>(((B152*'Appendix K'!$C$5*1000)-('Appendix K'!$E$31+'Appendix K'!$F$31+'Appendix K'!$H$31+'Appendix K'!$G$31))/((1+$Y$16)^1))</f>
        <v>34971064.972647354</v>
      </c>
      <c r="Z152" s="193">
        <f>+(((C152*'Appendix K'!$C$6*1000)-('Appendix K'!$E$32+'Appendix K'!$F$32+'Appendix K'!$H$32+'Appendix K'!$G$32))/((1+$Y$16)^2))</f>
        <v>12740052.19764317</v>
      </c>
      <c r="AA152" s="193">
        <f>(((D152*'Appendix K'!$C$7*1000)-('Appendix K'!$E$33+'Appendix K'!$F$33+'Appendix K'!$H$33+'Appendix K'!$G$33))/((1+$Y$16)^3))</f>
        <v>11434054.039505955</v>
      </c>
      <c r="AB152" s="193">
        <f>(((E152*'Appendix K'!$C$8*1000)-('Appendix K'!$E$34+'Appendix K'!$F$34+'Appendix K'!$H$34+'Appendix K'!$G$34))/((1+$Y$16)^4))</f>
        <v>13297269.856290361</v>
      </c>
      <c r="AC152" s="193">
        <f>(((F152*'Appendix K'!$C$9*1000)-('Appendix K'!$E$35+'Appendix K'!$F$35+'Appendix K'!$H$35+'Appendix K'!$G$35))/((1+$Y$16)^AC$34))</f>
        <v>20722885.949499439</v>
      </c>
      <c r="AD152" s="193">
        <f>(((G152*'Appendix K'!$C$10*1000)-('Appendix K'!$E$36+'Appendix K'!$F$36+'Appendix K'!$H$36+'Appendix K'!$G$36))/((1+$Y$16)^AD$34))</f>
        <v>20562930.568944208</v>
      </c>
      <c r="AE152" s="193">
        <f>(((H152*'Appendix K'!$C$11*1000)-('Appendix K'!$E$37+'Appendix K'!$F$37+'Appendix K'!$H$37+'Appendix K'!$G$37))/((1+$Y$16)^AE$34))</f>
        <v>20645522.970177669</v>
      </c>
      <c r="AF152" s="193">
        <f>(((I152*'Appendix K'!$C$12*1000)-('Appendix K'!$E$38+'Appendix K'!$F$38+'Appendix K'!$H$38+'Appendix K'!$G$38))/((1+$Y$16)^AF$34))</f>
        <v>14875032.428225942</v>
      </c>
      <c r="AG152" s="193">
        <f>(((J152*'Appendix K'!$C$13*1000)-('Appendix K'!$E$39+'Appendix K'!$F$39+'Appendix K'!$H$39+'Appendix K'!$G$39))/((1+$Y$16)^AG$34))</f>
        <v>10693790.915539106</v>
      </c>
      <c r="AH152" s="193">
        <f>(((K152*'Appendix K'!$C$14*1000)-('Appendix K'!$E$40+'Appendix K'!$F$40+'Appendix K'!$H$40+'Appendix K'!$G$40))/((1+$Y$16)^AH$34))</f>
        <v>7994965.0992863737</v>
      </c>
      <c r="AI152" s="193">
        <f>(((L152*'Appendix K'!$C$15*1000)-('Appendix K'!$E$41+'Appendix K'!$F$41+'Appendix K'!$H$41+'Appendix K'!$G$41))/((1+$Y$16)^AI$34))</f>
        <v>6494764.8884439962</v>
      </c>
      <c r="AJ152" s="193">
        <f>(((M152*'Appendix K'!$C$16*1000)-('Appendix K'!$E$42+'Appendix K'!$F$42+'Appendix K'!$H$42+'Appendix K'!$G$42))/((1+$Y$16)^AJ$34))</f>
        <v>5486561.0302470718</v>
      </c>
      <c r="AK152" s="193">
        <f>(((N152*'Appendix K'!$C$17*1000)-('Appendix K'!$E$43+'Appendix K'!$F$43+'Appendix K'!$H$43))/((1+$Y$16)^AK$34))</f>
        <v>1283578.382948631</v>
      </c>
      <c r="AL152" s="193">
        <f>(((O152*'Appendix K'!$C$18*1000)-('Appendix K'!$E$44+'Appendix K'!$F$44+'Appendix K'!$H$44+'Appendix K'!$G$44))/((1+$Y$16)^AL$34))</f>
        <v>1591514.465461531</v>
      </c>
      <c r="AM152" s="193">
        <f>(((P152*'Appendix K'!$C$19*1000)-('Appendix K'!$E$45+'Appendix K'!$F$45+'Appendix K'!$H$45+'Appendix K'!$G$45))/((1+$Y$16)^AM$34))</f>
        <v>1717718.0764763057</v>
      </c>
      <c r="AN152" s="193">
        <f>(((Q152*'Appendix K'!$C$20*1000)-('Appendix K'!$E$46+'Appendix K'!$F$46+'Appendix K'!$H$46+'Appendix K'!$G$46))/((1+$Y$16)^AN$34))</f>
        <v>1510137.9627831499</v>
      </c>
      <c r="AO152" s="193">
        <f>(((R152*'Appendix K'!$C$21*1000)-('Appendix K'!$E$47+'Appendix K'!$F$47+'Appendix K'!$H$47+'Appendix K'!$G$47))/((1+$Y$16)^AO$34))</f>
        <v>243231.24164280746</v>
      </c>
      <c r="AP152" s="193">
        <f>(((S152*'Appendix K'!$C$22*1000)-('Appendix K'!$E$48+'Appendix K'!$F$48+'Appendix K'!$H$48+'Appendix K'!$G$48))/((1+$Y$16)^AP$34))</f>
        <v>17123.154440542534</v>
      </c>
      <c r="AQ152" s="193">
        <f>(((T152*'Appendix K'!$C$23*1000)-('Appendix K'!$E$49+'Appendix K'!$F$49+'Appendix K'!$H$49+'Appendix K'!$G$49))/((1+$Y$16)^AQ$34))</f>
        <v>-369320.97676801914</v>
      </c>
      <c r="AR152" s="193">
        <f>(((U152*'Appendix K'!$C$24*1000)-('Appendix K'!$E$50+'Appendix K'!$F$50+'Appendix K'!$H$50+'Appendix K'!$G$50))/((1+$Y$16)^AR$34))</f>
        <v>-458867.87624702958</v>
      </c>
      <c r="AS152" s="209">
        <f t="shared" si="18"/>
        <v>152687295.75612852</v>
      </c>
      <c r="AU152" s="199">
        <f t="shared" si="17"/>
        <v>3.6429996725205495E-9</v>
      </c>
    </row>
    <row r="153" spans="1:47" x14ac:dyDescent="0.35">
      <c r="A153">
        <v>119</v>
      </c>
      <c r="B153" s="70">
        <v>56</v>
      </c>
      <c r="C153" s="70">
        <v>50.820856051163773</v>
      </c>
      <c r="D153" s="70">
        <v>47.030438197787475</v>
      </c>
      <c r="E153" s="70">
        <v>48.150369526457162</v>
      </c>
      <c r="F153" s="70">
        <v>46.883507170358662</v>
      </c>
      <c r="G153" s="70">
        <v>36.717628313275966</v>
      </c>
      <c r="H153" s="70">
        <v>48.453852485493343</v>
      </c>
      <c r="I153" s="70">
        <v>40.312555354816709</v>
      </c>
      <c r="J153" s="70">
        <v>49.244032251141178</v>
      </c>
      <c r="K153" s="70">
        <v>44.4557674881585</v>
      </c>
      <c r="L153" s="70">
        <v>51.479700535648547</v>
      </c>
      <c r="M153" s="70">
        <v>58.132048336532279</v>
      </c>
      <c r="N153" s="70">
        <v>71.21682772033887</v>
      </c>
      <c r="O153" s="70">
        <v>82.160827355649388</v>
      </c>
      <c r="P153" s="70">
        <v>99.029037174312919</v>
      </c>
      <c r="Q153" s="70">
        <v>142.70099049969966</v>
      </c>
      <c r="R153" s="70">
        <v>149.82244111498571</v>
      </c>
      <c r="S153" s="70">
        <v>222.69672746520399</v>
      </c>
      <c r="T153" s="70">
        <v>234.58415652386688</v>
      </c>
      <c r="U153" s="70">
        <v>371.04732165033602</v>
      </c>
      <c r="V153" s="70">
        <v>409.63128478678061</v>
      </c>
      <c r="X153" s="193">
        <f>((0-('Appendix K'!$I$30))/(1+$Y$16)^0)</f>
        <v>-33594902.4440751</v>
      </c>
      <c r="Y153" s="193">
        <f>(((B153*'Appendix K'!$C$5*1000)-('Appendix K'!$E$31+'Appendix K'!$F$31+'Appendix K'!$H$31+'Appendix K'!$G$31))/((1+$Y$16)^1))</f>
        <v>34971064.972647354</v>
      </c>
      <c r="Z153" s="193">
        <f>+(((C153*'Appendix K'!$C$6*1000)-('Appendix K'!$E$32+'Appendix K'!$F$32+'Appendix K'!$H$32+'Appendix K'!$G$32))/((1+$Y$16)^2))</f>
        <v>9350969.7640448008</v>
      </c>
      <c r="AA153" s="193">
        <f>(((D153*'Appendix K'!$C$7*1000)-('Appendix K'!$E$33+'Appendix K'!$F$33+'Appendix K'!$H$33+'Appendix K'!$G$33))/((1+$Y$16)^3))</f>
        <v>3025597.9994845456</v>
      </c>
      <c r="AB153" s="193">
        <f>(((E153*'Appendix K'!$C$8*1000)-('Appendix K'!$E$34+'Appendix K'!$F$34+'Appendix K'!$H$34+'Appendix K'!$G$34))/((1+$Y$16)^4))</f>
        <v>7260912.3371365434</v>
      </c>
      <c r="AC153" s="193">
        <f>(((F153*'Appendix K'!$C$9*1000)-('Appendix K'!$E$35+'Appendix K'!$F$35+'Appendix K'!$H$35+'Appendix K'!$G$35))/((1+$Y$16)^AC$34))</f>
        <v>9477334.066404745</v>
      </c>
      <c r="AD153" s="193">
        <f>(((G153*'Appendix K'!$C$10*1000)-('Appendix K'!$E$36+'Appendix K'!$F$36+'Appendix K'!$H$36+'Appendix K'!$G$36))/((1+$Y$16)^AD$34))</f>
        <v>3250518.4628333496</v>
      </c>
      <c r="AE153" s="193">
        <f>(((H153*'Appendix K'!$C$11*1000)-('Appendix K'!$E$37+'Appendix K'!$F$37+'Appendix K'!$H$37+'Appendix K'!$G$37))/((1+$Y$16)^AE$34))</f>
        <v>2612731.3895054874</v>
      </c>
      <c r="AF153" s="193">
        <f>(((I153*'Appendix K'!$C$12*1000)-('Appendix K'!$E$38+'Appendix K'!$F$38+'Appendix K'!$H$38+'Appendix K'!$G$38))/((1+$Y$16)^AF$34))</f>
        <v>650441.21409786621</v>
      </c>
      <c r="AG153" s="193">
        <f>(((J153*'Appendix K'!$C$13*1000)-('Appendix K'!$E$39+'Appendix K'!$F$39+'Appendix K'!$H$39+'Appendix K'!$G$39))/((1+$Y$16)^AG$34))</f>
        <v>451213.92823411257</v>
      </c>
      <c r="AH153" s="193">
        <f>(((K153*'Appendix K'!$C$14*1000)-('Appendix K'!$E$40+'Appendix K'!$F$40+'Appendix K'!$H$40+'Appendix K'!$G$40))/((1+$Y$16)^AH$34))</f>
        <v>-134291.63975469334</v>
      </c>
      <c r="AI153" s="193">
        <f>(((L153*'Appendix K'!$C$15*1000)-('Appendix K'!$E$41+'Appendix K'!$F$41+'Appendix K'!$H$41+'Appendix K'!$G$41))/((1+$Y$16)^AI$34))</f>
        <v>-167616.92678498631</v>
      </c>
      <c r="AJ153" s="193">
        <f>(((M153*'Appendix K'!$C$16*1000)-('Appendix K'!$E$42+'Appendix K'!$F$42+'Appendix K'!$H$42+'Appendix K'!$G$42))/((1+$Y$16)^AJ$34))</f>
        <v>-216476.17879147819</v>
      </c>
      <c r="AK153" s="193">
        <f>(((N153*'Appendix K'!$C$17*1000)-('Appendix K'!$E$43+'Appendix K'!$F$43+'Appendix K'!$H$43))/((1+$Y$16)^AK$34))</f>
        <v>89909.422325790452</v>
      </c>
      <c r="AL153" s="193">
        <f>(((O153*'Appendix K'!$C$18*1000)-('Appendix K'!$E$44+'Appendix K'!$F$44+'Appendix K'!$H$44+'Appendix K'!$G$44))/((1+$Y$16)^AL$34))</f>
        <v>-160712.66302555738</v>
      </c>
      <c r="AM153" s="193">
        <f>(((P153*'Appendix K'!$C$19*1000)-('Appendix K'!$E$45+'Appendix K'!$F$45+'Appendix K'!$H$45+'Appendix K'!$G$45))/((1+$Y$16)^AM$34))</f>
        <v>-108892.35689754126</v>
      </c>
      <c r="AN153" s="193">
        <f>(((Q153*'Appendix K'!$C$20*1000)-('Appendix K'!$E$46+'Appendix K'!$F$46+'Appendix K'!$H$46+'Appendix K'!$G$46))/((1+$Y$16)^AN$34))</f>
        <v>116906.47893510299</v>
      </c>
      <c r="AO153" s="193">
        <f>(((R153*'Appendix K'!$C$21*1000)-('Appendix K'!$E$47+'Appendix K'!$F$47+'Appendix K'!$H$47+'Appendix K'!$G$47))/((1+$Y$16)^AO$34))</f>
        <v>42468.253997884836</v>
      </c>
      <c r="AP153" s="193">
        <f>(((S153*'Appendix K'!$C$22*1000)-('Appendix K'!$E$48+'Appendix K'!$F$48+'Appendix K'!$H$48+'Appendix K'!$G$48))/((1+$Y$16)^AP$34))</f>
        <v>302201.59005291644</v>
      </c>
      <c r="AQ153" s="193">
        <f>(((T153*'Appendix K'!$C$23*1000)-('Appendix K'!$E$49+'Appendix K'!$F$49+'Appendix K'!$H$49+'Appendix K'!$G$49))/((1+$Y$16)^AQ$34))</f>
        <v>224616.70203837569</v>
      </c>
      <c r="AR153" s="193">
        <f>(((U153*'Appendix K'!$C$24*1000)-('Appendix K'!$E$50+'Appendix K'!$F$50+'Appendix K'!$H$50+'Appendix K'!$G$50))/((1+$Y$16)^AR$34))</f>
        <v>565493.90272820345</v>
      </c>
      <c r="AS153" s="209">
        <f t="shared" si="18"/>
        <v>38797478.040392004</v>
      </c>
      <c r="AU153" s="199">
        <f t="shared" si="17"/>
        <v>4.8556117599061058E-9</v>
      </c>
    </row>
    <row r="154" spans="1:47" x14ac:dyDescent="0.35">
      <c r="A154">
        <v>120</v>
      </c>
      <c r="B154" s="70">
        <v>56</v>
      </c>
      <c r="C154" s="70">
        <v>56.278274941213745</v>
      </c>
      <c r="D154" s="70">
        <v>70.800006649023032</v>
      </c>
      <c r="E154" s="70">
        <v>121.38442841302006</v>
      </c>
      <c r="F154" s="70">
        <v>112.94257450738937</v>
      </c>
      <c r="G154" s="70">
        <v>152.8767590879184</v>
      </c>
      <c r="H154" s="70">
        <v>187.51233412678147</v>
      </c>
      <c r="I154" s="70">
        <v>311.84651420501029</v>
      </c>
      <c r="J154" s="70">
        <v>195.60070044591362</v>
      </c>
      <c r="K154" s="70">
        <v>222.40401325511527</v>
      </c>
      <c r="L154" s="70">
        <v>228.3262226760057</v>
      </c>
      <c r="M154" s="70">
        <v>275.0729721499348</v>
      </c>
      <c r="N154" s="70">
        <v>370.68483569866891</v>
      </c>
      <c r="O154" s="70">
        <v>262.84706409226641</v>
      </c>
      <c r="P154" s="70">
        <v>345.55986600878805</v>
      </c>
      <c r="Q154" s="70">
        <v>309.92442923677078</v>
      </c>
      <c r="R154" s="70">
        <v>417.77068587488611</v>
      </c>
      <c r="S154" s="70">
        <v>500</v>
      </c>
      <c r="T154" s="70">
        <v>466.48751093409908</v>
      </c>
      <c r="U154" s="70">
        <v>498.20214635804291</v>
      </c>
      <c r="V154" s="70">
        <v>500</v>
      </c>
      <c r="X154" s="193">
        <f>((0-('Appendix K'!$I$30))/(1+$Y$16)^0)</f>
        <v>-33594902.4440751</v>
      </c>
      <c r="Y154" s="193">
        <f>(((B154*'Appendix K'!$C$5*1000)-('Appendix K'!$E$31+'Appendix K'!$F$31+'Appendix K'!$H$31+'Appendix K'!$G$31))/((1+$Y$16)^1))</f>
        <v>34971064.972647354</v>
      </c>
      <c r="Z154" s="193">
        <f>+(((C154*'Appendix K'!$C$6*1000)-('Appendix K'!$E$32+'Appendix K'!$F$32+'Appendix K'!$H$32+'Appendix K'!$G$32))/((1+$Y$16)^2))</f>
        <v>10729607.114583889</v>
      </c>
      <c r="AA154" s="193">
        <f>(((D154*'Appendix K'!$C$7*1000)-('Appendix K'!$E$33+'Appendix K'!$F$33+'Appendix K'!$H$33+'Appendix K'!$G$33))/((1+$Y$16)^3))</f>
        <v>6053243.7469764482</v>
      </c>
      <c r="AB154" s="193">
        <f>(((E154*'Appendix K'!$C$8*1000)-('Appendix K'!$E$34+'Appendix K'!$F$34+'Appendix K'!$H$34+'Appendix K'!$G$34))/((1+$Y$16)^4))</f>
        <v>23313147.651787613</v>
      </c>
      <c r="AC154" s="193">
        <f>(((F154*'Appendix K'!$C$9*1000)-('Appendix K'!$E$35+'Appendix K'!$F$35+'Appendix K'!$H$35+'Appendix K'!$G$35))/((1+$Y$16)^AC$34))</f>
        <v>27035730.433237195</v>
      </c>
      <c r="AD154" s="193">
        <f>(((G154*'Appendix K'!$C$10*1000)-('Appendix K'!$E$36+'Appendix K'!$F$36+'Appendix K'!$H$36+'Appendix K'!$G$36))/((1+$Y$16)^AD$34))</f>
        <v>21492607.364383955</v>
      </c>
      <c r="AE154" s="193">
        <f>(((H154*'Appendix K'!$C$11*1000)-('Appendix K'!$E$37+'Appendix K'!$F$37+'Appendix K'!$H$37+'Appendix K'!$G$37))/((1+$Y$16)^AE$34))</f>
        <v>16482094.618009185</v>
      </c>
      <c r="AF154" s="193">
        <f>(((I154*'Appendix K'!$C$12*1000)-('Appendix K'!$E$38+'Appendix K'!$F$38+'Appendix K'!$H$38+'Appendix K'!$G$38))/((1+$Y$16)^AF$34))</f>
        <v>18480019.975719985</v>
      </c>
      <c r="AG154" s="193">
        <f>(((J154*'Appendix K'!$C$13*1000)-('Appendix K'!$E$39+'Appendix K'!$F$39+'Appendix K'!$H$39+'Appendix K'!$G$39))/((1+$Y$16)^AG$34))</f>
        <v>7186391.5718579767</v>
      </c>
      <c r="AH154" s="193">
        <f>(((K154*'Appendix K'!$C$14*1000)-('Appendix K'!$E$40+'Appendix K'!$F$40+'Appendix K'!$H$40+'Appendix K'!$G$40))/((1+$Y$16)^AH$34))</f>
        <v>5863725.6674001105</v>
      </c>
      <c r="AI154" s="193">
        <f>(((L154*'Appendix K'!$C$15*1000)-('Appendix K'!$E$41+'Appendix K'!$F$41+'Appendix K'!$H$41+'Appendix K'!$G$41))/((1+$Y$16)^AI$34))</f>
        <v>4466092.657910388</v>
      </c>
      <c r="AJ154" s="193">
        <f>(((M154*'Appendix K'!$C$16*1000)-('Appendix K'!$E$42+'Appendix K'!$F$42+'Appendix K'!$H$42+'Appendix K'!$G$42))/((1+$Y$16)^AJ$34))</f>
        <v>4131424.9583498538</v>
      </c>
      <c r="AK154" s="193">
        <f>(((N154*'Appendix K'!$C$17*1000)-('Appendix K'!$E$43+'Appendix K'!$F$43+'Appendix K'!$H$43))/((1+$Y$16)^AK$34))</f>
        <v>4690905.1902410993</v>
      </c>
      <c r="AL154" s="193">
        <f>(((O154*'Appendix K'!$C$18*1000)-('Appendix K'!$E$44+'Appendix K'!$F$44+'Appendix K'!$H$44+'Appendix K'!$G$44))/((1+$Y$16)^AL$34))</f>
        <v>1981014.4683228703</v>
      </c>
      <c r="AM154" s="193">
        <f>(((P154*'Appendix K'!$C$19*1000)-('Appendix K'!$E$45+'Appendix K'!$F$45+'Appendix K'!$H$45+'Appendix K'!$G$45))/((1+$Y$16)^AM$34))</f>
        <v>2176135.774095872</v>
      </c>
      <c r="AN154" s="193">
        <f>(((Q154*'Appendix K'!$C$20*1000)-('Appendix K'!$E$46+'Appendix K'!$F$46+'Appendix K'!$H$46+'Appendix K'!$G$46))/((1+$Y$16)^AN$34))</f>
        <v>1326971.5508761711</v>
      </c>
      <c r="AO154" s="193">
        <f>(((R154*'Appendix K'!$C$21*1000)-('Appendix K'!$E$47+'Appendix K'!$F$47+'Appendix K'!$H$47+'Appendix K'!$G$47))/((1+$Y$16)^AO$34))</f>
        <v>1626071.9834617584</v>
      </c>
      <c r="AP154" s="193">
        <f>(((S154*'Appendix K'!$C$22*1000)-('Appendix K'!$E$48+'Appendix K'!$F$48+'Appendix K'!$H$48+'Appendix K'!$G$48))/((1+$Y$16)^AP$34))</f>
        <v>1630406.4380253027</v>
      </c>
      <c r="AQ154" s="193">
        <f>(((T154*'Appendix K'!$C$23*1000)-('Appendix K'!$E$49+'Appendix K'!$F$49+'Appendix K'!$H$49+'Appendix K'!$G$49))/((1+$Y$16)^AQ$34))</f>
        <v>1132227.0624187146</v>
      </c>
      <c r="AR154" s="193">
        <f>(((U154*'Appendix K'!$C$24*1000)-('Appendix K'!$E$50+'Appendix K'!$F$50+'Appendix K'!$H$50+'Appendix K'!$G$50))/((1+$Y$16)^AR$34))</f>
        <v>974936.00102006982</v>
      </c>
      <c r="AS154" s="209">
        <f t="shared" si="18"/>
        <v>162148916.75725073</v>
      </c>
      <c r="AU154" s="199">
        <f t="shared" si="17"/>
        <v>2.9675861863349776E-9</v>
      </c>
    </row>
    <row r="155" spans="1:47" x14ac:dyDescent="0.35">
      <c r="A155">
        <v>121</v>
      </c>
      <c r="B155" s="70">
        <v>56</v>
      </c>
      <c r="C155" s="70">
        <v>83.395184985188919</v>
      </c>
      <c r="D155" s="70">
        <v>119.93234135086897</v>
      </c>
      <c r="E155" s="70">
        <v>123.77899364315475</v>
      </c>
      <c r="F155" s="70">
        <v>166.3675287561866</v>
      </c>
      <c r="G155" s="70">
        <v>213.33208417076548</v>
      </c>
      <c r="H155" s="70">
        <v>203.08459153448726</v>
      </c>
      <c r="I155" s="70">
        <v>191.56736736714544</v>
      </c>
      <c r="J155" s="70">
        <v>235.25760961404251</v>
      </c>
      <c r="K155" s="70">
        <v>239.47056115923792</v>
      </c>
      <c r="L155" s="70">
        <v>89.113779044504668</v>
      </c>
      <c r="M155" s="70">
        <v>82.784024482188428</v>
      </c>
      <c r="N155" s="70">
        <v>103.48842056272051</v>
      </c>
      <c r="O155" s="70">
        <v>123.9586436242795</v>
      </c>
      <c r="P155" s="70">
        <v>154.25198171880155</v>
      </c>
      <c r="Q155" s="70">
        <v>167.21515031836807</v>
      </c>
      <c r="R155" s="70">
        <v>97.431093534094302</v>
      </c>
      <c r="S155" s="70">
        <v>120.928571798744</v>
      </c>
      <c r="T155" s="70">
        <v>111.48619462688596</v>
      </c>
      <c r="U155" s="70">
        <v>113.92336748125288</v>
      </c>
      <c r="V155" s="70">
        <v>127.60047516670426</v>
      </c>
      <c r="X155" s="193">
        <f>((0-('Appendix K'!$I$30))/(1+$Y$16)^0)</f>
        <v>-33594902.4440751</v>
      </c>
      <c r="Y155" s="193">
        <f>(((B155*'Appendix K'!$C$5*1000)-('Appendix K'!$E$31+'Appendix K'!$F$31+'Appendix K'!$H$31+'Appendix K'!$G$31))/((1+$Y$16)^1))</f>
        <v>34971064.972647354</v>
      </c>
      <c r="Z155" s="193">
        <f>+(((C155*'Appendix K'!$C$6*1000)-('Appendix K'!$E$32+'Appendix K'!$F$32+'Appendix K'!$H$32+'Appendix K'!$G$32))/((1+$Y$16)^2))</f>
        <v>17579802.375569325</v>
      </c>
      <c r="AA155" s="193">
        <f>(((D155*'Appendix K'!$C$7*1000)-('Appendix K'!$E$33+'Appendix K'!$F$33+'Appendix K'!$H$33+'Appendix K'!$G$33))/((1+$Y$16)^3))</f>
        <v>12311468.608297408</v>
      </c>
      <c r="AB155" s="193">
        <f>(((E155*'Appendix K'!$C$8*1000)-('Appendix K'!$E$34+'Appendix K'!$F$34+'Appendix K'!$H$34+'Appendix K'!$G$34))/((1+$Y$16)^4))</f>
        <v>23838014.430098269</v>
      </c>
      <c r="AC155" s="193">
        <f>(((F155*'Appendix K'!$C$9*1000)-('Appendix K'!$E$35+'Appendix K'!$F$35+'Appendix K'!$H$35+'Appendix K'!$G$35))/((1+$Y$16)^AC$34))</f>
        <v>41235999.380334869</v>
      </c>
      <c r="AD155" s="193">
        <f>(((G155*'Appendix K'!$C$10*1000)-('Appendix K'!$E$36+'Appendix K'!$F$36+'Appendix K'!$H$36+'Appendix K'!$G$36))/((1+$Y$16)^AD$34))</f>
        <v>30986750.505597845</v>
      </c>
      <c r="AE155" s="193">
        <f>(((H155*'Appendix K'!$C$11*1000)-('Appendix K'!$E$37+'Appendix K'!$F$37+'Appendix K'!$H$37+'Appendix K'!$G$37))/((1+$Y$16)^AE$34))</f>
        <v>18035234.647485122</v>
      </c>
      <c r="AF155" s="193">
        <f>(((I155*'Appendix K'!$C$12*1000)-('Appendix K'!$E$38+'Appendix K'!$F$38+'Appendix K'!$H$38+'Appendix K'!$G$38))/((1+$Y$16)^AF$34))</f>
        <v>10582199.272160884</v>
      </c>
      <c r="AG155" s="193">
        <f>(((J155*'Appendix K'!$C$13*1000)-('Appendix K'!$E$39+'Appendix K'!$F$39+'Appendix K'!$H$39+'Appendix K'!$G$39))/((1+$Y$16)^AG$34))</f>
        <v>9011360.2004752271</v>
      </c>
      <c r="AH155" s="193">
        <f>(((K155*'Appendix K'!$C$14*1000)-('Appendix K'!$E$40+'Appendix K'!$F$40+'Appendix K'!$H$40+'Appendix K'!$G$40))/((1+$Y$16)^AH$34))</f>
        <v>6438979.7209656239</v>
      </c>
      <c r="AI155" s="193">
        <f>(((L155*'Appendix K'!$C$15*1000)-('Appendix K'!$E$41+'Appendix K'!$F$41+'Appendix K'!$H$41+'Appendix K'!$G$41))/((1+$Y$16)^AI$34))</f>
        <v>818466.30621894554</v>
      </c>
      <c r="AJ155" s="193">
        <f>(((M155*'Appendix K'!$C$16*1000)-('Appendix K'!$E$42+'Appendix K'!$F$42+'Appendix K'!$H$42+'Appendix K'!$G$42))/((1+$Y$16)^AJ$34))</f>
        <v>277595.44786330586</v>
      </c>
      <c r="AK155" s="193">
        <f>(((N155*'Appendix K'!$C$17*1000)-('Appendix K'!$E$43+'Appendix K'!$F$43+'Appendix K'!$H$43))/((1+$Y$16)^AK$34))</f>
        <v>585726.86571169028</v>
      </c>
      <c r="AL155" s="193">
        <f>(((O155*'Appendix K'!$C$18*1000)-('Appendix K'!$E$44+'Appendix K'!$F$44+'Appendix K'!$H$44+'Appendix K'!$G$44))/((1+$Y$16)^AL$34))</f>
        <v>334729.15230281616</v>
      </c>
      <c r="AM155" s="193">
        <f>(((P155*'Appendix K'!$C$19*1000)-('Appendix K'!$E$45+'Appendix K'!$F$45+'Appendix K'!$H$45+'Appendix K'!$G$45))/((1+$Y$16)^AM$34))</f>
        <v>402954.30486486701</v>
      </c>
      <c r="AN155" s="193">
        <f>(((Q155*'Appendix K'!$C$20*1000)-('Appendix K'!$E$46+'Appendix K'!$F$46+'Appendix K'!$H$46+'Appendix K'!$G$46))/((1+$Y$16)^AN$34))</f>
        <v>294296.25628080615</v>
      </c>
      <c r="AO155" s="193">
        <f>(((R155*'Appendix K'!$C$21*1000)-('Appendix K'!$E$47+'Appendix K'!$F$47+'Appendix K'!$H$47+'Appendix K'!$G$47))/((1+$Y$16)^AO$34))</f>
        <v>-267170.39840337221</v>
      </c>
      <c r="AP155" s="193">
        <f>(((S155*'Appendix K'!$C$22*1000)-('Appendix K'!$E$48+'Appendix K'!$F$48+'Appendix K'!$H$48+'Appendix K'!$G$48))/((1+$Y$16)^AP$34))</f>
        <v>-185239.31351031022</v>
      </c>
      <c r="AQ155" s="193">
        <f>(((T155*'Appendix K'!$C$23*1000)-('Appendix K'!$E$49+'Appendix K'!$F$49+'Appendix K'!$H$49+'Appendix K'!$G$49))/((1+$Y$16)^AQ$34))</f>
        <v>-257157.20693995204</v>
      </c>
      <c r="AR155" s="193">
        <f>(((U155*'Appendix K'!$C$24*1000)-('Appendix K'!$E$50+'Appendix K'!$F$50+'Appendix K'!$H$50+'Appendix K'!$G$50))/((1+$Y$16)^AR$34))</f>
        <v>-262452.43401595118</v>
      </c>
      <c r="AS155" s="209">
        <f t="shared" si="18"/>
        <v>174109740.00279921</v>
      </c>
      <c r="AU155" s="199">
        <f t="shared" si="17"/>
        <v>2.2006379761584364E-9</v>
      </c>
    </row>
    <row r="156" spans="1:47" x14ac:dyDescent="0.35">
      <c r="A156">
        <v>122</v>
      </c>
      <c r="B156" s="70">
        <v>56</v>
      </c>
      <c r="C156" s="70">
        <v>68.827693596943689</v>
      </c>
      <c r="D156" s="70">
        <v>57.988774811157739</v>
      </c>
      <c r="E156" s="70">
        <v>54.580725481248216</v>
      </c>
      <c r="F156" s="70">
        <v>67.934745163041683</v>
      </c>
      <c r="G156" s="70">
        <v>84.579080378699089</v>
      </c>
      <c r="H156" s="70">
        <v>56.635106748537318</v>
      </c>
      <c r="I156" s="70">
        <v>41.228619684791482</v>
      </c>
      <c r="J156" s="70">
        <v>53.71993453962196</v>
      </c>
      <c r="K156" s="70">
        <v>50.818254746714288</v>
      </c>
      <c r="L156" s="70">
        <v>49.176640518931478</v>
      </c>
      <c r="M156" s="70">
        <v>74.617081884972663</v>
      </c>
      <c r="N156" s="70">
        <v>84.785435813329229</v>
      </c>
      <c r="O156" s="70">
        <v>159.55591485257423</v>
      </c>
      <c r="P156" s="70">
        <v>241.36937197026208</v>
      </c>
      <c r="Q156" s="70">
        <v>433.74554848823482</v>
      </c>
      <c r="R156" s="70">
        <v>410.39660735503384</v>
      </c>
      <c r="S156" s="70">
        <v>379.43531419501346</v>
      </c>
      <c r="T156" s="70">
        <v>500</v>
      </c>
      <c r="U156" s="70">
        <v>500</v>
      </c>
      <c r="V156" s="70">
        <v>99.99369769144414</v>
      </c>
      <c r="X156" s="193">
        <f>((0-('Appendix K'!$I$30))/(1+$Y$16)^0)</f>
        <v>-33594902.4440751</v>
      </c>
      <c r="Y156" s="193">
        <f>(((B156*'Appendix K'!$C$5*1000)-('Appendix K'!$E$31+'Appendix K'!$F$31+'Appendix K'!$H$31+'Appendix K'!$G$31))/((1+$Y$16)^1))</f>
        <v>34971064.972647354</v>
      </c>
      <c r="Z156" s="193">
        <f>+(((C156*'Appendix K'!$C$6*1000)-('Appendix K'!$E$32+'Appendix K'!$F$32+'Appendix K'!$H$32+'Appendix K'!$G$32))/((1+$Y$16)^2))</f>
        <v>13899804.901285747</v>
      </c>
      <c r="AA156" s="193">
        <f>(((D156*'Appendix K'!$C$7*1000)-('Appendix K'!$E$33+'Appendix K'!$F$33+'Appendix K'!$H$33+'Appendix K'!$G$33))/((1+$Y$16)^3))</f>
        <v>4421414.7268736651</v>
      </c>
      <c r="AB156" s="193">
        <f>(((E156*'Appendix K'!$C$8*1000)-('Appendix K'!$E$34+'Appendix K'!$F$34+'Appendix K'!$H$34+'Appendix K'!$G$34))/((1+$Y$16)^4))</f>
        <v>8670387.4981836826</v>
      </c>
      <c r="AC156" s="193">
        <f>(((F156*'Appendix K'!$C$9*1000)-('Appendix K'!$E$35+'Appendix K'!$F$35+'Appendix K'!$H$35+'Appendix K'!$G$35))/((1+$Y$16)^AC$34))</f>
        <v>15072720.068484275</v>
      </c>
      <c r="AD156" s="193">
        <f>(((G156*'Appendix K'!$C$10*1000)-('Appendix K'!$E$36+'Appendix K'!$F$36+'Appendix K'!$H$36+'Appendix K'!$G$36))/((1+$Y$16)^AD$34))</f>
        <v>10766870.020496244</v>
      </c>
      <c r="AE156" s="193">
        <f>(((H156*'Appendix K'!$C$11*1000)-('Appendix K'!$E$37+'Appendix K'!$F$37+'Appendix K'!$H$37+'Appendix K'!$G$37))/((1+$Y$16)^AE$34))</f>
        <v>3428710.2906098617</v>
      </c>
      <c r="AF156" s="193">
        <f>(((I156*'Appendix K'!$C$12*1000)-('Appendix K'!$E$38+'Appendix K'!$F$38+'Appendix K'!$H$38+'Appendix K'!$G$38))/((1+$Y$16)^AF$34))</f>
        <v>710592.22132790042</v>
      </c>
      <c r="AG156" s="193">
        <f>(((J156*'Appendix K'!$C$13*1000)-('Appendix K'!$E$39+'Appendix K'!$F$39+'Appendix K'!$H$39+'Appendix K'!$G$39))/((1+$Y$16)^AG$34))</f>
        <v>657190.17380088195</v>
      </c>
      <c r="AH156" s="193">
        <f>(((K156*'Appendix K'!$C$14*1000)-('Appendix K'!$E$40+'Appendix K'!$F$40+'Appendix K'!$H$40+'Appendix K'!$G$40))/((1+$Y$16)^AH$34))</f>
        <v>80165.707261513715</v>
      </c>
      <c r="AI156" s="193">
        <f>(((L156*'Appendix K'!$C$15*1000)-('Appendix K'!$E$41+'Appendix K'!$F$41+'Appendix K'!$H$41+'Appendix K'!$G$41))/((1+$Y$16)^AI$34))</f>
        <v>-227961.40596632296</v>
      </c>
      <c r="AJ156" s="193">
        <f>(((M156*'Appendix K'!$C$16*1000)-('Appendix K'!$E$42+'Appendix K'!$F$42+'Appendix K'!$H$42+'Appendix K'!$G$42))/((1+$Y$16)^AJ$34))</f>
        <v>113914.67071337147</v>
      </c>
      <c r="AK156" s="193">
        <f>(((N156*'Appendix K'!$C$17*1000)-('Appendix K'!$E$43+'Appendix K'!$F$43+'Appendix K'!$H$43))/((1+$Y$16)^AK$34))</f>
        <v>298376.12577702355</v>
      </c>
      <c r="AL156" s="193">
        <f>(((O156*'Appendix K'!$C$18*1000)-('Appendix K'!$E$44+'Appendix K'!$F$44+'Appendix K'!$H$44+'Appendix K'!$G$44))/((1+$Y$16)^AL$34))</f>
        <v>756674.08274453378</v>
      </c>
      <c r="AM156" s="193">
        <f>(((P156*'Appendix K'!$C$19*1000)-('Appendix K'!$E$45+'Appendix K'!$F$45+'Appendix K'!$H$45+'Appendix K'!$G$45))/((1+$Y$16)^AM$34))</f>
        <v>1210422.0295483978</v>
      </c>
      <c r="AN156" s="193">
        <f>(((Q156*'Appendix K'!$C$20*1000)-('Appendix K'!$E$46+'Appendix K'!$F$46+'Appendix K'!$H$46+'Appendix K'!$G$46))/((1+$Y$16)^AN$34))</f>
        <v>2222968.0254519018</v>
      </c>
      <c r="AO156" s="193">
        <f>(((R156*'Appendix K'!$C$21*1000)-('Appendix K'!$E$47+'Appendix K'!$F$47+'Appendix K'!$H$47+'Appendix K'!$G$47))/((1+$Y$16)^AO$34))</f>
        <v>1582490.3647209399</v>
      </c>
      <c r="AP156" s="193">
        <f>(((S156*'Appendix K'!$C$22*1000)-('Appendix K'!$E$48+'Appendix K'!$F$48+'Appendix K'!$H$48+'Appendix K'!$G$48))/((1+$Y$16)^AP$34))</f>
        <v>1052935.4305010154</v>
      </c>
      <c r="AQ156" s="193">
        <f>(((T156*'Appendix K'!$C$23*1000)-('Appendix K'!$E$49+'Appendix K'!$F$49+'Appendix K'!$H$49+'Appendix K'!$G$49))/((1+$Y$16)^AQ$34))</f>
        <v>1263386.3652054211</v>
      </c>
      <c r="AR156" s="193">
        <f>(((U156*'Appendix K'!$C$24*1000)-('Appendix K'!$E$50+'Appendix K'!$F$50+'Appendix K'!$H$50+'Appendix K'!$G$50))/((1+$Y$16)^AR$34))</f>
        <v>980725.14012097823</v>
      </c>
      <c r="AS156" s="209">
        <f t="shared" si="18"/>
        <v>68565910.371679604</v>
      </c>
      <c r="AU156" s="199">
        <f t="shared" si="17"/>
        <v>6.6445337281118815E-9</v>
      </c>
    </row>
    <row r="157" spans="1:47" x14ac:dyDescent="0.35">
      <c r="A157">
        <v>123</v>
      </c>
      <c r="B157" s="70">
        <v>56</v>
      </c>
      <c r="C157" s="70">
        <v>77.607930718584385</v>
      </c>
      <c r="D157" s="70">
        <v>75.390186702337019</v>
      </c>
      <c r="E157" s="70">
        <v>76.737825085814052</v>
      </c>
      <c r="F157" s="70">
        <v>76.484777251647415</v>
      </c>
      <c r="G157" s="70">
        <v>101.03241633033589</v>
      </c>
      <c r="H157" s="70">
        <v>91.812068135888168</v>
      </c>
      <c r="I157" s="70">
        <v>34.438017412040075</v>
      </c>
      <c r="J157" s="70">
        <v>24.629482627891747</v>
      </c>
      <c r="K157" s="70">
        <v>22.448386421422949</v>
      </c>
      <c r="L157" s="70">
        <v>19.627363506246329</v>
      </c>
      <c r="M157" s="70">
        <v>24.371932283134388</v>
      </c>
      <c r="N157" s="70">
        <v>24.935972285172884</v>
      </c>
      <c r="O157" s="70">
        <v>30.537764254774647</v>
      </c>
      <c r="P157" s="70">
        <v>24.623655788659953</v>
      </c>
      <c r="Q157" s="70">
        <v>18.733741544530627</v>
      </c>
      <c r="R157" s="70">
        <v>19.086462304860305</v>
      </c>
      <c r="S157" s="70">
        <v>22.63660703983949</v>
      </c>
      <c r="T157" s="70">
        <v>32.551589738049103</v>
      </c>
      <c r="U157" s="70">
        <v>42.714439309683712</v>
      </c>
      <c r="V157" s="70">
        <v>25.403919405572214</v>
      </c>
      <c r="X157" s="193">
        <f>((0-('Appendix K'!$I$30))/(1+$Y$16)^0)</f>
        <v>-33594902.4440751</v>
      </c>
      <c r="Y157" s="193">
        <f>(((B157*'Appendix K'!$C$5*1000)-('Appendix K'!$E$31+'Appendix K'!$F$31+'Appendix K'!$H$31+'Appendix K'!$G$31))/((1+$Y$16)^1))</f>
        <v>34971064.972647354</v>
      </c>
      <c r="Z157" s="193">
        <f>+(((C157*'Appendix K'!$C$6*1000)-('Appendix K'!$E$32+'Appendix K'!$F$32+'Appendix K'!$H$32+'Appendix K'!$G$32))/((1+$Y$16)^2))</f>
        <v>16117842.967697181</v>
      </c>
      <c r="AA157" s="193">
        <f>(((D157*'Appendix K'!$C$7*1000)-('Appendix K'!$E$33+'Appendix K'!$F$33+'Appendix K'!$H$33+'Appendix K'!$G$33))/((1+$Y$16)^3))</f>
        <v>6637917.3453696845</v>
      </c>
      <c r="AB157" s="193">
        <f>(((E157*'Appendix K'!$C$8*1000)-('Appendix K'!$E$34+'Appendix K'!$F$34+'Appendix K'!$H$34+'Appendix K'!$G$34))/((1+$Y$16)^4))</f>
        <v>13527020.902779968</v>
      </c>
      <c r="AC157" s="193">
        <f>(((F157*'Appendix K'!$C$9*1000)-('Appendix K'!$E$35+'Appendix K'!$F$35+'Appendix K'!$H$35+'Appendix K'!$G$35))/((1+$Y$16)^AC$34))</f>
        <v>17345305.171676014</v>
      </c>
      <c r="AD157" s="193">
        <f>(((G157*'Appendix K'!$C$10*1000)-('Appendix K'!$E$36+'Appendix K'!$F$36+'Appendix K'!$H$36+'Appendix K'!$G$36))/((1+$Y$16)^AD$34))</f>
        <v>13350766.913966788</v>
      </c>
      <c r="AE157" s="193">
        <f>(((H157*'Appendix K'!$C$11*1000)-('Appendix K'!$E$37+'Appendix K'!$F$37+'Appendix K'!$H$37+'Appendix K'!$G$37))/((1+$Y$16)^AE$34))</f>
        <v>6937177.00905676</v>
      </c>
      <c r="AF157" s="193">
        <f>(((I157*'Appendix K'!$C$12*1000)-('Appendix K'!$E$38+'Appendix K'!$F$38+'Appendix K'!$H$38+'Appendix K'!$G$38))/((1+$Y$16)^AF$34))</f>
        <v>264704.79504223203</v>
      </c>
      <c r="AG157" s="193">
        <f>(((J157*'Appendix K'!$C$13*1000)-('Appendix K'!$E$39+'Appendix K'!$F$39+'Appendix K'!$H$39+'Appendix K'!$G$39))/((1+$Y$16)^AG$34))</f>
        <v>-681521.37091709627</v>
      </c>
      <c r="AH157" s="193">
        <f>(((K157*'Appendix K'!$C$14*1000)-('Appendix K'!$E$40+'Appendix K'!$F$40+'Appendix K'!$H$40+'Appendix K'!$G$40))/((1+$Y$16)^AH$34))</f>
        <v>-876084.0185135178</v>
      </c>
      <c r="AI157" s="193">
        <f>(((L157*'Appendix K'!$C$15*1000)-('Appendix K'!$E$41+'Appendix K'!$F$41+'Appendix K'!$H$41+'Appendix K'!$G$41))/((1+$Y$16)^AI$34))</f>
        <v>-1002207.7211176432</v>
      </c>
      <c r="AJ157" s="193">
        <f>(((M157*'Appendix K'!$C$16*1000)-('Appendix K'!$E$42+'Appendix K'!$F$42+'Appendix K'!$H$42+'Appendix K'!$G$42))/((1+$Y$16)^AJ$34))</f>
        <v>-893091.93389376043</v>
      </c>
      <c r="AK157" s="193">
        <f>(((N157*'Appendix K'!$C$17*1000)-('Appendix K'!$E$43+'Appendix K'!$F$43+'Appendix K'!$H$43))/((1+$Y$16)^AK$34))</f>
        <v>-621144.89506262133</v>
      </c>
      <c r="AL157" s="193">
        <f>(((O157*'Appendix K'!$C$18*1000)-('Appendix K'!$E$44+'Appendix K'!$F$44+'Appendix K'!$H$44+'Appendix K'!$G$44))/((1+$Y$16)^AL$34))</f>
        <v>-772616.02015629585</v>
      </c>
      <c r="AM157" s="193">
        <f>(((P157*'Appendix K'!$C$19*1000)-('Appendix K'!$E$45+'Appendix K'!$F$45+'Appendix K'!$H$45+'Appendix K'!$G$45))/((1+$Y$16)^AM$34))</f>
        <v>-798535.88086291065</v>
      </c>
      <c r="AN157" s="193">
        <f>(((Q157*'Appendix K'!$C$20*1000)-('Appendix K'!$E$46+'Appendix K'!$F$46+'Appendix K'!$H$46+'Appendix K'!$G$46))/((1+$Y$16)^AN$34))</f>
        <v>-780147.42187083769</v>
      </c>
      <c r="AO157" s="193">
        <f>(((R157*'Appendix K'!$C$21*1000)-('Appendix K'!$E$47+'Appendix K'!$F$47+'Appendix K'!$H$47+'Appendix K'!$G$47))/((1+$Y$16)^AO$34))</f>
        <v>-730195.82448615564</v>
      </c>
      <c r="AP157" s="193">
        <f>(((S157*'Appendix K'!$C$22*1000)-('Appendix K'!$E$48+'Appendix K'!$F$48+'Appendix K'!$H$48+'Appendix K'!$G$48))/((1+$Y$16)^AP$34))</f>
        <v>-656030.23824822961</v>
      </c>
      <c r="AQ157" s="193">
        <f>(((T157*'Appendix K'!$C$23*1000)-('Appendix K'!$E$49+'Appendix K'!$F$49+'Appendix K'!$H$49+'Appendix K'!$G$49))/((1+$Y$16)^AQ$34))</f>
        <v>-566087.04269775632</v>
      </c>
      <c r="AR157" s="193">
        <f>(((U157*'Appendix K'!$C$24*1000)-('Appendix K'!$E$50+'Appendix K'!$F$50+'Appendix K'!$H$50+'Appendix K'!$G$50))/((1+$Y$16)^AR$34))</f>
        <v>-491747.17792129127</v>
      </c>
      <c r="AS157" s="209">
        <f t="shared" si="18"/>
        <v>75556897.634160876</v>
      </c>
      <c r="AU157" s="199">
        <f t="shared" si="17"/>
        <v>6.8727221097692533E-9</v>
      </c>
    </row>
    <row r="158" spans="1:47" x14ac:dyDescent="0.35">
      <c r="A158">
        <v>124</v>
      </c>
      <c r="B158" s="70">
        <v>56</v>
      </c>
      <c r="C158" s="70">
        <v>67.611371670923674</v>
      </c>
      <c r="D158" s="70">
        <v>54.603658540319771</v>
      </c>
      <c r="E158" s="70">
        <v>62.389630326912332</v>
      </c>
      <c r="F158" s="70">
        <v>72.188021103834345</v>
      </c>
      <c r="G158" s="70">
        <v>111.5392891636381</v>
      </c>
      <c r="H158" s="70">
        <v>109.09656538469136</v>
      </c>
      <c r="I158" s="70">
        <v>111.45940600339281</v>
      </c>
      <c r="J158" s="70">
        <v>140.5540267418726</v>
      </c>
      <c r="K158" s="70">
        <v>145.05502963538368</v>
      </c>
      <c r="L158" s="70">
        <v>184.81156663607416</v>
      </c>
      <c r="M158" s="70">
        <v>153.22584997022537</v>
      </c>
      <c r="N158" s="70">
        <v>196.94020787966807</v>
      </c>
      <c r="O158" s="70">
        <v>236.32193367186505</v>
      </c>
      <c r="P158" s="70">
        <v>203.25600853630354</v>
      </c>
      <c r="Q158" s="70">
        <v>93.045587206210101</v>
      </c>
      <c r="R158" s="70">
        <v>90.942971315773235</v>
      </c>
      <c r="S158" s="70">
        <v>111.71629665848897</v>
      </c>
      <c r="T158" s="70">
        <v>66.700919025099097</v>
      </c>
      <c r="U158" s="70">
        <v>67.835176550356607</v>
      </c>
      <c r="V158" s="70">
        <v>75.990268667909774</v>
      </c>
      <c r="X158" s="193">
        <f>((0-('Appendix K'!$I$30))/(1+$Y$16)^0)</f>
        <v>-33594902.4440751</v>
      </c>
      <c r="Y158" s="193">
        <f>(((B158*'Appendix K'!$C$5*1000)-('Appendix K'!$E$31+'Appendix K'!$F$31+'Appendix K'!$H$31+'Appendix K'!$G$31))/((1+$Y$16)^1))</f>
        <v>34971064.972647354</v>
      </c>
      <c r="Z158" s="193">
        <f>+(((C158*'Appendix K'!$C$6*1000)-('Appendix K'!$E$32+'Appendix K'!$F$32+'Appendix K'!$H$32+'Appendix K'!$G$32))/((1+$Y$16)^2))</f>
        <v>13592541.179868262</v>
      </c>
      <c r="AA158" s="193">
        <f>(((D158*'Appendix K'!$C$7*1000)-('Appendix K'!$E$33+'Appendix K'!$F$33+'Appendix K'!$H$33+'Appendix K'!$G$33))/((1+$Y$16)^3))</f>
        <v>3990235.9739571186</v>
      </c>
      <c r="AB158" s="193">
        <f>(((E158*'Appendix K'!$C$8*1000)-('Appendix K'!$E$34+'Appendix K'!$F$34+'Appendix K'!$H$34+'Appendix K'!$G$34))/((1+$Y$16)^4))</f>
        <v>10382027.95670972</v>
      </c>
      <c r="AC158" s="193">
        <f>(((F158*'Appendix K'!$C$9*1000)-('Appendix K'!$E$35+'Appendix K'!$F$35+'Appendix K'!$H$35+'Appendix K'!$G$35))/((1+$Y$16)^AC$34))</f>
        <v>16203234.134705219</v>
      </c>
      <c r="AD158" s="193">
        <f>(((G158*'Appendix K'!$C$10*1000)-('Appendix K'!$E$36+'Appendix K'!$F$36+'Appendix K'!$H$36+'Appendix K'!$G$36))/((1+$Y$16)^AD$34))</f>
        <v>15000807.74178802</v>
      </c>
      <c r="AE158" s="193">
        <f>(((H158*'Appendix K'!$C$11*1000)-('Appendix K'!$E$37+'Appendix K'!$F$37+'Appendix K'!$H$37+'Appendix K'!$G$37))/((1+$Y$16)^AE$34))</f>
        <v>8661091.7802831065</v>
      </c>
      <c r="AF158" s="193">
        <f>(((I158*'Appendix K'!$C$12*1000)-('Appendix K'!$E$38+'Appendix K'!$F$38+'Appendix K'!$H$38+'Appendix K'!$G$38))/((1+$Y$16)^AF$34))</f>
        <v>5322116.1038673632</v>
      </c>
      <c r="AG158" s="193">
        <f>(((J158*'Appendix K'!$C$13*1000)-('Appendix K'!$E$39+'Appendix K'!$F$39+'Appendix K'!$H$39+'Appendix K'!$G$39))/((1+$Y$16)^AG$34))</f>
        <v>4653202.4069207199</v>
      </c>
      <c r="AH158" s="193">
        <f>(((K158*'Appendix K'!$C$14*1000)-('Appendix K'!$E$40+'Appendix K'!$F$40+'Appendix K'!$H$40+'Appendix K'!$G$40))/((1+$Y$16)^AH$34))</f>
        <v>3256560.0814602184</v>
      </c>
      <c r="AI158" s="193">
        <f>(((L158*'Appendix K'!$C$15*1000)-('Appendix K'!$E$41+'Appendix K'!$F$41+'Appendix K'!$H$41+'Appendix K'!$G$41))/((1+$Y$16)^AI$34))</f>
        <v>3325927.2968583754</v>
      </c>
      <c r="AJ158" s="193">
        <f>(((M158*'Appendix K'!$C$16*1000)-('Appendix K'!$E$42+'Appendix K'!$F$42+'Appendix K'!$H$42+'Appendix K'!$G$42))/((1+$Y$16)^AJ$34))</f>
        <v>1689381.1439783582</v>
      </c>
      <c r="AK158" s="193">
        <f>(((N158*'Appendix K'!$C$17*1000)-('Appendix K'!$E$43+'Appendix K'!$F$43+'Appendix K'!$H$43))/((1+$Y$16)^AK$34))</f>
        <v>2021510.5437482125</v>
      </c>
      <c r="AL158" s="193">
        <f>(((O158*'Appendix K'!$C$18*1000)-('Appendix K'!$E$44+'Appendix K'!$F$44+'Appendix K'!$H$44+'Appendix K'!$G$44))/((1+$Y$16)^AL$34))</f>
        <v>1666604.2923738332</v>
      </c>
      <c r="AM158" s="193">
        <f>(((P158*'Appendix K'!$C$19*1000)-('Appendix K'!$E$45+'Appendix K'!$F$45+'Appendix K'!$H$45+'Appendix K'!$G$45))/((1+$Y$16)^AM$34))</f>
        <v>857159.48617762653</v>
      </c>
      <c r="AN158" s="193">
        <f>(((Q158*'Appendix K'!$C$20*1000)-('Appendix K'!$E$46+'Appendix K'!$F$46+'Appendix K'!$H$46+'Appendix K'!$G$46))/((1+$Y$16)^AN$34))</f>
        <v>-242410.78910095306</v>
      </c>
      <c r="AO158" s="193">
        <f>(((R158*'Appendix K'!$C$21*1000)-('Appendix K'!$E$47+'Appendix K'!$F$47+'Appendix K'!$H$47+'Appendix K'!$G$47))/((1+$Y$16)^AO$34))</f>
        <v>-305515.91752165341</v>
      </c>
      <c r="AP158" s="193">
        <f>(((S158*'Appendix K'!$C$22*1000)-('Appendix K'!$E$48+'Appendix K'!$F$48+'Appendix K'!$H$48+'Appendix K'!$G$48))/((1+$Y$16)^AP$34))</f>
        <v>-229363.5259305111</v>
      </c>
      <c r="AQ158" s="193">
        <f>(((T158*'Appendix K'!$C$23*1000)-('Appendix K'!$E$49+'Appendix K'!$F$49+'Appendix K'!$H$49+'Appendix K'!$G$49))/((1+$Y$16)^AQ$34))</f>
        <v>-432435.31032075034</v>
      </c>
      <c r="AR158" s="193">
        <f>(((U158*'Appendix K'!$C$24*1000)-('Appendix K'!$E$50+'Appendix K'!$F$50+'Appendix K'!$H$50+'Appendix K'!$G$50))/((1+$Y$16)^AR$34))</f>
        <v>-410857.70015194063</v>
      </c>
      <c r="AS158" s="209">
        <f t="shared" si="18"/>
        <v>91998562.651268423</v>
      </c>
      <c r="AU158" s="199">
        <f t="shared" si="17"/>
        <v>7.0087537585017559E-9</v>
      </c>
    </row>
    <row r="159" spans="1:47" x14ac:dyDescent="0.35">
      <c r="A159">
        <v>125</v>
      </c>
      <c r="B159" s="70">
        <v>56</v>
      </c>
      <c r="C159" s="70">
        <v>91.181819265570113</v>
      </c>
      <c r="D159" s="70">
        <v>97.553462266334066</v>
      </c>
      <c r="E159" s="70">
        <v>99.829955684578366</v>
      </c>
      <c r="F159" s="70">
        <v>137.3346302459274</v>
      </c>
      <c r="G159" s="70">
        <v>110.56217660054043</v>
      </c>
      <c r="H159" s="70">
        <v>105.49288325631848</v>
      </c>
      <c r="I159" s="70">
        <v>130.88892254219945</v>
      </c>
      <c r="J159" s="70">
        <v>177.49591493296677</v>
      </c>
      <c r="K159" s="70">
        <v>183.1151914757825</v>
      </c>
      <c r="L159" s="70">
        <v>282.36439194393864</v>
      </c>
      <c r="M159" s="70">
        <v>293.29482965973068</v>
      </c>
      <c r="N159" s="70">
        <v>279.16045039906425</v>
      </c>
      <c r="O159" s="70">
        <v>267.1574372757949</v>
      </c>
      <c r="P159" s="70">
        <v>301.20138626256499</v>
      </c>
      <c r="Q159" s="70">
        <v>428.58684220909925</v>
      </c>
      <c r="R159" s="70">
        <v>500</v>
      </c>
      <c r="S159" s="70">
        <v>490.25279576032625</v>
      </c>
      <c r="T159" s="70">
        <v>199.2225843150174</v>
      </c>
      <c r="U159" s="70">
        <v>241.70562486284055</v>
      </c>
      <c r="V159" s="70">
        <v>281.67642905301898</v>
      </c>
      <c r="X159" s="193">
        <f>((0-('Appendix K'!$I$30))/(1+$Y$16)^0)</f>
        <v>-33594902.4440751</v>
      </c>
      <c r="Y159" s="193">
        <f>(((B159*'Appendix K'!$C$5*1000)-('Appendix K'!$E$31+'Appendix K'!$F$31+'Appendix K'!$H$31+'Appendix K'!$G$31))/((1+$Y$16)^1))</f>
        <v>34971064.972647354</v>
      </c>
      <c r="Z159" s="193">
        <f>+(((C159*'Appendix K'!$C$6*1000)-('Appendix K'!$E$32+'Appendix K'!$F$32+'Appendix K'!$H$32+'Appendix K'!$G$32))/((1+$Y$16)^2))</f>
        <v>19546839.370565925</v>
      </c>
      <c r="AA159" s="193">
        <f>(((D159*'Appendix K'!$C$7*1000)-('Appendix K'!$E$33+'Appendix K'!$F$33+'Appendix K'!$H$33+'Appendix K'!$G$33))/((1+$Y$16)^3))</f>
        <v>9460961.7413792722</v>
      </c>
      <c r="AB159" s="193">
        <f>(((E159*'Appendix K'!$C$8*1000)-('Appendix K'!$E$34+'Appendix K'!$F$34+'Appendix K'!$H$34+'Appendix K'!$G$34))/((1+$Y$16)^4))</f>
        <v>18588604.541919652</v>
      </c>
      <c r="AC159" s="193">
        <f>(((F159*'Appendix K'!$C$9*1000)-('Appendix K'!$E$35+'Appendix K'!$F$35+'Appendix K'!$H$35+'Appendix K'!$G$35))/((1+$Y$16)^AC$34))</f>
        <v>33519100.546139736</v>
      </c>
      <c r="AD159" s="193">
        <f>(((G159*'Appendix K'!$C$10*1000)-('Appendix K'!$E$36+'Appendix K'!$F$36+'Appendix K'!$H$36+'Appendix K'!$G$36))/((1+$Y$16)^AD$34))</f>
        <v>14847358.123802923</v>
      </c>
      <c r="AE159" s="193">
        <f>(((H159*'Appendix K'!$C$11*1000)-('Appendix K'!$E$37+'Appendix K'!$F$37+'Appendix K'!$H$37+'Appendix K'!$G$37))/((1+$Y$16)^AE$34))</f>
        <v>8301669.0697187847</v>
      </c>
      <c r="AF159" s="193">
        <f>(((I159*'Appendix K'!$C$12*1000)-('Appendix K'!$E$38+'Appendix K'!$F$38+'Appendix K'!$H$38+'Appendix K'!$G$38))/((1+$Y$16)^AF$34))</f>
        <v>6597905.3160005463</v>
      </c>
      <c r="AG159" s="193">
        <f>(((J159*'Appendix K'!$C$13*1000)-('Appendix K'!$E$39+'Appendix K'!$F$39+'Appendix K'!$H$39+'Appendix K'!$G$39))/((1+$Y$16)^AG$34))</f>
        <v>6353228.668291959</v>
      </c>
      <c r="AH159" s="193">
        <f>(((K159*'Appendix K'!$C$14*1000)-('Appendix K'!$E$40+'Appendix K'!$F$40+'Appendix K'!$H$40+'Appendix K'!$G$40))/((1+$Y$16)^AH$34))</f>
        <v>4539435.9448772185</v>
      </c>
      <c r="AI159" s="193">
        <f>(((L159*'Appendix K'!$C$15*1000)-('Appendix K'!$E$41+'Appendix K'!$F$41+'Appendix K'!$H$41+'Appendix K'!$G$41))/((1+$Y$16)^AI$34))</f>
        <v>5881993.7446022714</v>
      </c>
      <c r="AJ159" s="193">
        <f>(((M159*'Appendix K'!$C$16*1000)-('Appendix K'!$E$42+'Appendix K'!$F$42+'Appendix K'!$H$42+'Appendix K'!$G$42))/((1+$Y$16)^AJ$34))</f>
        <v>4496625.0026523024</v>
      </c>
      <c r="AK159" s="193">
        <f>(((N159*'Appendix K'!$C$17*1000)-('Appendix K'!$E$43+'Appendix K'!$F$43+'Appendix K'!$H$43))/((1+$Y$16)^AK$34))</f>
        <v>3284733.9191682884</v>
      </c>
      <c r="AL159" s="193">
        <f>(((O159*'Appendix K'!$C$18*1000)-('Appendix K'!$E$44+'Appendix K'!$F$44+'Appendix K'!$H$44+'Appendix K'!$G$44))/((1+$Y$16)^AL$34))</f>
        <v>2032106.590003707</v>
      </c>
      <c r="AM159" s="193">
        <f>(((P159*'Appendix K'!$C$19*1000)-('Appendix K'!$E$45+'Appendix K'!$F$45+'Appendix K'!$H$45+'Appendix K'!$G$45))/((1+$Y$16)^AM$34))</f>
        <v>1764988.9226151742</v>
      </c>
      <c r="AN159" s="193">
        <f>(((Q159*'Appendix K'!$C$20*1000)-('Appendix K'!$E$46+'Appendix K'!$F$46+'Appendix K'!$H$46+'Appendix K'!$G$46))/((1+$Y$16)^AN$34))</f>
        <v>2185638.5079397066</v>
      </c>
      <c r="AO159" s="193">
        <f>(((R159*'Appendix K'!$C$21*1000)-('Appendix K'!$E$47+'Appendix K'!$F$47+'Appendix K'!$H$47+'Appendix K'!$G$47))/((1+$Y$16)^AO$34))</f>
        <v>2112056.3146391152</v>
      </c>
      <c r="AP159" s="193">
        <f>(((S159*'Appendix K'!$C$22*1000)-('Appendix K'!$E$48+'Appendix K'!$F$48+'Appendix K'!$H$48+'Appendix K'!$G$48))/((1+$Y$16)^AP$34))</f>
        <v>1583720.0653511859</v>
      </c>
      <c r="AQ159" s="193">
        <f>(((T159*'Appendix K'!$C$23*1000)-('Appendix K'!$E$49+'Appendix K'!$F$49+'Appendix K'!$H$49+'Appendix K'!$G$49))/((1+$Y$16)^AQ$34))</f>
        <v>86220.56120759371</v>
      </c>
      <c r="AR159" s="193">
        <f>(((U159*'Appendix K'!$C$24*1000)-('Appendix K'!$E$50+'Appendix K'!$F$50+'Appendix K'!$H$50+'Appendix K'!$G$50))/((1+$Y$16)^AR$34))</f>
        <v>149010.0150657584</v>
      </c>
      <c r="AS159" s="209">
        <f t="shared" si="18"/>
        <v>146708359.4945133</v>
      </c>
      <c r="AU159" s="199">
        <f t="shared" si="17"/>
        <v>4.0879960963107508E-9</v>
      </c>
    </row>
    <row r="160" spans="1:47" x14ac:dyDescent="0.35">
      <c r="A160">
        <v>126</v>
      </c>
      <c r="B160" s="70">
        <v>56</v>
      </c>
      <c r="C160" s="70">
        <v>33.193212131614118</v>
      </c>
      <c r="D160" s="70">
        <v>17.051672557165258</v>
      </c>
      <c r="E160" s="70">
        <v>7.8148265056948052</v>
      </c>
      <c r="F160" s="70">
        <v>10.018097315345903</v>
      </c>
      <c r="G160" s="70">
        <v>6.0397076661455973</v>
      </c>
      <c r="H160" s="70">
        <v>4.1293717674482036</v>
      </c>
      <c r="I160" s="70">
        <v>3.6808285947471986</v>
      </c>
      <c r="J160" s="70">
        <v>3.3661494471827496</v>
      </c>
      <c r="K160" s="70">
        <v>3.9786257954769302</v>
      </c>
      <c r="L160" s="70">
        <v>3.8258285107003505</v>
      </c>
      <c r="M160" s="70">
        <v>6.2237137005550016</v>
      </c>
      <c r="N160" s="70">
        <v>7.0637940849754735</v>
      </c>
      <c r="O160" s="70">
        <v>5.1126324013886135</v>
      </c>
      <c r="P160" s="70">
        <v>4.7610545860666873</v>
      </c>
      <c r="Q160" s="70">
        <v>4.3143822149993341</v>
      </c>
      <c r="R160" s="70">
        <v>2.4449687340552062</v>
      </c>
      <c r="S160" s="70">
        <v>3.4618905763737544</v>
      </c>
      <c r="T160" s="70">
        <v>4.0376450914147091</v>
      </c>
      <c r="U160" s="70">
        <v>2.0168508511057048</v>
      </c>
      <c r="V160" s="70">
        <v>2.4051906389399607</v>
      </c>
      <c r="X160" s="193">
        <f>((0-('Appendix K'!$I$30))/(1+$Y$16)^0)</f>
        <v>-33594902.4440751</v>
      </c>
      <c r="Y160" s="193">
        <f>(((B160*'Appendix K'!$C$5*1000)-('Appendix K'!$E$31+'Appendix K'!$F$31+'Appendix K'!$H$31+'Appendix K'!$G$31))/((1+$Y$16)^1))</f>
        <v>34971064.972647354</v>
      </c>
      <c r="Z160" s="193">
        <f>+(((C160*'Appendix K'!$C$6*1000)-('Appendix K'!$E$32+'Appendix K'!$F$32+'Appendix K'!$H$32+'Appendix K'!$G$32))/((1+$Y$16)^2))</f>
        <v>4897925.4221852617</v>
      </c>
      <c r="AA160" s="193">
        <f>(((D160*'Appendix K'!$C$7*1000)-('Appendix K'!$E$33+'Appendix K'!$F$33+'Appendix K'!$H$33+'Appendix K'!$G$33))/((1+$Y$16)^3))</f>
        <v>-792943.44745401677</v>
      </c>
      <c r="AB160" s="193">
        <f>(((E160*'Appendix K'!$C$8*1000)-('Appendix K'!$E$34+'Appendix K'!$F$34+'Appendix K'!$H$34+'Appendix K'!$G$34))/((1+$Y$16)^4))</f>
        <v>-1580269.456657338</v>
      </c>
      <c r="AC160" s="193">
        <f>(((F160*'Appendix K'!$C$9*1000)-('Appendix K'!$E$35+'Appendix K'!$F$35+'Appendix K'!$H$35+'Appendix K'!$G$35))/((1+$Y$16)^AC$34))</f>
        <v>-321433.98397598055</v>
      </c>
      <c r="AD160" s="193">
        <f>(((G160*'Appendix K'!$C$10*1000)-('Appendix K'!$E$36+'Appendix K'!$F$36+'Appendix K'!$H$36+'Appendix K'!$G$36))/((1+$Y$16)^AD$34))</f>
        <v>-1567263.4198960485</v>
      </c>
      <c r="AE160" s="193">
        <f>(((H160*'Appendix K'!$C$11*1000)-('Appendix K'!$E$37+'Appendix K'!$F$37+'Appendix K'!$H$37+'Appendix K'!$G$37))/((1+$Y$16)^AE$34))</f>
        <v>-1808087.2167207527</v>
      </c>
      <c r="AF160" s="193">
        <f>(((I160*'Appendix K'!$C$12*1000)-('Appendix K'!$E$38+'Appendix K'!$F$38+'Appendix K'!$H$38+'Appendix K'!$G$38))/((1+$Y$16)^AF$34))</f>
        <v>-1754886.8715991925</v>
      </c>
      <c r="AG160" s="193">
        <f>(((J160*'Appendix K'!$C$13*1000)-('Appendix K'!$E$39+'Appendix K'!$F$39+'Appendix K'!$H$39+'Appendix K'!$G$39))/((1+$Y$16)^AG$34))</f>
        <v>-1660037.2665990668</v>
      </c>
      <c r="AH160" s="193">
        <f>(((K160*'Appendix K'!$C$14*1000)-('Appendix K'!$E$40+'Appendix K'!$F$40+'Appendix K'!$H$40+'Appendix K'!$G$40))/((1+$Y$16)^AH$34))</f>
        <v>-1498635.4992317485</v>
      </c>
      <c r="AI160" s="193">
        <f>(((L160*'Appendix K'!$C$15*1000)-('Appendix K'!$E$41+'Appendix K'!$F$41+'Appendix K'!$H$41+'Appendix K'!$G$41))/((1+$Y$16)^AI$34))</f>
        <v>-1416237.4870162834</v>
      </c>
      <c r="AJ160" s="193">
        <f>(((M160*'Appendix K'!$C$16*1000)-('Appendix K'!$E$42+'Appendix K'!$F$42+'Appendix K'!$H$42+'Appendix K'!$G$42))/((1+$Y$16)^AJ$34))</f>
        <v>-1256816.1166125378</v>
      </c>
      <c r="AK160" s="193">
        <f>(((N160*'Appendix K'!$C$17*1000)-('Appendix K'!$E$43+'Appendix K'!$F$43+'Appendix K'!$H$43))/((1+$Y$16)^AK$34))</f>
        <v>-895731.20836419717</v>
      </c>
      <c r="AL160" s="193">
        <f>(((O160*'Appendix K'!$C$18*1000)-('Appendix K'!$E$44+'Appendix K'!$F$44+'Appendix K'!$H$44+'Appendix K'!$G$44))/((1+$Y$16)^AL$34))</f>
        <v>-1073987.5894135833</v>
      </c>
      <c r="AM160" s="193">
        <f>(((P160*'Appendix K'!$C$19*1000)-('Appendix K'!$E$45+'Appendix K'!$F$45+'Appendix K'!$H$45+'Appendix K'!$G$45))/((1+$Y$16)^AM$34))</f>
        <v>-982637.0041066187</v>
      </c>
      <c r="AN160" s="193">
        <f>(((Q160*'Appendix K'!$C$20*1000)-('Appendix K'!$E$46+'Appendix K'!$F$46+'Appendix K'!$H$46+'Appendix K'!$G$46))/((1+$Y$16)^AN$34))</f>
        <v>-884489.03340693237</v>
      </c>
      <c r="AO160" s="193">
        <f>(((R160*'Appendix K'!$C$21*1000)-('Appendix K'!$E$47+'Appendix K'!$F$47+'Appendix K'!$H$47+'Appendix K'!$G$47))/((1+$Y$16)^AO$34))</f>
        <v>-828548.890042493</v>
      </c>
      <c r="AP160" s="193">
        <f>(((S160*'Appendix K'!$C$22*1000)-('Appendix K'!$E$48+'Appendix K'!$F$48+'Appendix K'!$H$48+'Appendix K'!$G$48))/((1+$Y$16)^AP$34))</f>
        <v>-747871.74856461224</v>
      </c>
      <c r="AQ160" s="193">
        <f>(((T160*'Appendix K'!$C$23*1000)-('Appendix K'!$E$49+'Appendix K'!$F$49+'Appendix K'!$H$49+'Appendix K'!$G$49))/((1+$Y$16)^AQ$34))</f>
        <v>-677683.3222876431</v>
      </c>
      <c r="AR160" s="193">
        <f>(((U160*'Appendix K'!$C$24*1000)-('Appendix K'!$E$50+'Appendix K'!$F$50+'Appendix K'!$H$50+'Appendix K'!$G$50))/((1+$Y$16)^AR$34))</f>
        <v>-622794.55305788759</v>
      </c>
      <c r="AS160" s="209">
        <f t="shared" si="18"/>
        <v>6274087.9507575184</v>
      </c>
      <c r="AU160" s="199">
        <f t="shared" si="17"/>
        <v>2.5166497374698763E-9</v>
      </c>
    </row>
    <row r="161" spans="1:47" x14ac:dyDescent="0.35">
      <c r="A161">
        <v>127</v>
      </c>
      <c r="B161" s="70">
        <v>56</v>
      </c>
      <c r="C161" s="70">
        <v>46.258753310357974</v>
      </c>
      <c r="D161" s="70">
        <v>55.413679311967755</v>
      </c>
      <c r="E161" s="70">
        <v>63.765846570838377</v>
      </c>
      <c r="F161" s="70">
        <v>85.285735307670961</v>
      </c>
      <c r="G161" s="70">
        <v>80.866251197862326</v>
      </c>
      <c r="H161" s="70">
        <v>63.686343742286141</v>
      </c>
      <c r="I161" s="70">
        <v>45.35513613425708</v>
      </c>
      <c r="J161" s="70">
        <v>44.522914939126196</v>
      </c>
      <c r="K161" s="70">
        <v>50.529502515544976</v>
      </c>
      <c r="L161" s="70">
        <v>86.089144923708957</v>
      </c>
      <c r="M161" s="70">
        <v>116.33630647255602</v>
      </c>
      <c r="N161" s="70">
        <v>114.43080055744622</v>
      </c>
      <c r="O161" s="70">
        <v>62.452358516865907</v>
      </c>
      <c r="P161" s="70">
        <v>57.725981745869717</v>
      </c>
      <c r="Q161" s="70">
        <v>54.240765523429666</v>
      </c>
      <c r="R161" s="70">
        <v>35.647520128908091</v>
      </c>
      <c r="S161" s="70">
        <v>46.343745187786247</v>
      </c>
      <c r="T161" s="70">
        <v>28.174050277671949</v>
      </c>
      <c r="U161" s="70">
        <v>40.863681883206837</v>
      </c>
      <c r="V161" s="70">
        <v>31.573448161117639</v>
      </c>
      <c r="X161" s="193">
        <f>((0-('Appendix K'!$I$30))/(1+$Y$16)^0)</f>
        <v>-33594902.4440751</v>
      </c>
      <c r="Y161" s="193">
        <f>(((B161*'Appendix K'!$C$5*1000)-('Appendix K'!$E$31+'Appendix K'!$F$31+'Appendix K'!$H$31+'Appendix K'!$G$31))/((1+$Y$16)^1))</f>
        <v>34971064.972647354</v>
      </c>
      <c r="Z161" s="193">
        <f>+(((C161*'Appendix K'!$C$6*1000)-('Appendix K'!$E$32+'Appendix K'!$F$32+'Appendix K'!$H$32+'Appendix K'!$G$32))/((1+$Y$16)^2))</f>
        <v>8198504.5855079899</v>
      </c>
      <c r="AA161" s="193">
        <f>(((D161*'Appendix K'!$C$7*1000)-('Appendix K'!$E$33+'Appendix K'!$F$33+'Appendix K'!$H$33+'Appendix K'!$G$33))/((1+$Y$16)^3))</f>
        <v>4093412.266353487</v>
      </c>
      <c r="AB161" s="193">
        <f>(((E161*'Appendix K'!$C$8*1000)-('Appendix K'!$E$34+'Appendix K'!$F$34+'Appendix K'!$H$34+'Appendix K'!$G$34))/((1+$Y$16)^4))</f>
        <v>10683681.959331162</v>
      </c>
      <c r="AC161" s="193">
        <f>(((F161*'Appendix K'!$C$9*1000)-('Appendix K'!$E$35+'Appendix K'!$F$35+'Appendix K'!$H$35+'Appendix K'!$G$35))/((1+$Y$16)^AC$34))</f>
        <v>19684586.002982926</v>
      </c>
      <c r="AD161" s="193">
        <f>(((G161*'Appendix K'!$C$10*1000)-('Appendix K'!$E$36+'Appendix K'!$F$36+'Appendix K'!$H$36+'Appendix K'!$G$36))/((1+$Y$16)^AD$34))</f>
        <v>10183792.654632544</v>
      </c>
      <c r="AE161" s="193">
        <f>(((H161*'Appendix K'!$C$11*1000)-('Appendix K'!$E$37+'Appendix K'!$F$37+'Appendix K'!$H$37+'Appendix K'!$G$37))/((1+$Y$16)^AE$34))</f>
        <v>4131983.9487304613</v>
      </c>
      <c r="AF161" s="193">
        <f>(((I161*'Appendix K'!$C$12*1000)-('Appendix K'!$E$38+'Appendix K'!$F$38+'Appendix K'!$H$38+'Appendix K'!$G$38))/((1+$Y$16)^AF$34))</f>
        <v>981549.30661632738</v>
      </c>
      <c r="AG161" s="193">
        <f>(((J161*'Appendix K'!$C$13*1000)-('Appendix K'!$E$39+'Appendix K'!$F$39+'Appendix K'!$H$39+'Appendix K'!$G$39))/((1+$Y$16)^AG$34))</f>
        <v>233953.1490361841</v>
      </c>
      <c r="AH161" s="193">
        <f>(((K161*'Appendix K'!$C$14*1000)-('Appendix K'!$E$40+'Appendix K'!$F$40+'Appendix K'!$H$40+'Appendix K'!$G$40))/((1+$Y$16)^AH$34))</f>
        <v>70432.872455705743</v>
      </c>
      <c r="AI161" s="193">
        <f>(((L161*'Appendix K'!$C$15*1000)-('Appendix K'!$E$41+'Appendix K'!$F$41+'Appendix K'!$H$41+'Appendix K'!$G$41))/((1+$Y$16)^AI$34))</f>
        <v>739215.23616055772</v>
      </c>
      <c r="AJ161" s="193">
        <f>(((M161*'Appendix K'!$C$16*1000)-('Appendix K'!$E$42+'Appendix K'!$F$42+'Appendix K'!$H$42+'Appendix K'!$G$42))/((1+$Y$16)^AJ$34))</f>
        <v>950045.82032084838</v>
      </c>
      <c r="AK161" s="193">
        <f>(((N161*'Appendix K'!$C$17*1000)-('Appendix K'!$E$43+'Appendix K'!$F$43+'Appendix K'!$H$43))/((1+$Y$16)^AK$34))</f>
        <v>753844.46994772367</v>
      </c>
      <c r="AL161" s="193">
        <f>(((O161*'Appendix K'!$C$18*1000)-('Appendix K'!$E$44+'Appendix K'!$F$44+'Appendix K'!$H$44+'Appendix K'!$G$44))/((1+$Y$16)^AL$34))</f>
        <v>-394322.94343051483</v>
      </c>
      <c r="AM161" s="193">
        <f>(((P161*'Appendix K'!$C$19*1000)-('Appendix K'!$E$45+'Appendix K'!$F$45+'Appendix K'!$H$45+'Appendix K'!$G$45))/((1+$Y$16)^AM$34))</f>
        <v>-491719.29986515007</v>
      </c>
      <c r="AN161" s="193">
        <f>(((Q161*'Appendix K'!$C$20*1000)-('Appendix K'!$E$46+'Appendix K'!$F$46+'Appendix K'!$H$46+'Appendix K'!$G$46))/((1+$Y$16)^AN$34))</f>
        <v>-523210.89520966954</v>
      </c>
      <c r="AO161" s="193">
        <f>(((R161*'Appendix K'!$C$21*1000)-('Appendix K'!$E$47+'Appendix K'!$F$47+'Appendix K'!$H$47+'Appendix K'!$G$47))/((1+$Y$16)^AO$34))</f>
        <v>-632318.14307969855</v>
      </c>
      <c r="AP161" s="193">
        <f>(((S161*'Appendix K'!$C$22*1000)-('Appendix K'!$E$48+'Appendix K'!$F$48+'Appendix K'!$H$48+'Appendix K'!$G$48))/((1+$Y$16)^AP$34))</f>
        <v>-542479.70012501697</v>
      </c>
      <c r="AQ161" s="193">
        <f>(((T161*'Appendix K'!$C$23*1000)-('Appendix K'!$E$49+'Appendix K'!$F$49+'Appendix K'!$H$49+'Appendix K'!$G$49))/((1+$Y$16)^AQ$34))</f>
        <v>-583219.61146682943</v>
      </c>
      <c r="AR161" s="193">
        <f>(((U161*'Appendix K'!$C$24*1000)-('Appendix K'!$E$50+'Appendix K'!$F$50+'Appendix K'!$H$50+'Appendix K'!$G$50))/((1+$Y$16)^AR$34))</f>
        <v>-497706.66869065742</v>
      </c>
      <c r="AS161" s="209">
        <f t="shared" si="18"/>
        <v>62081164.80064816</v>
      </c>
      <c r="AU161" s="199">
        <f t="shared" si="17"/>
        <v>6.3528748857039464E-9</v>
      </c>
    </row>
    <row r="162" spans="1:47" x14ac:dyDescent="0.35">
      <c r="A162">
        <v>128</v>
      </c>
      <c r="B162" s="70">
        <v>56</v>
      </c>
      <c r="C162" s="70">
        <v>63.754280898791777</v>
      </c>
      <c r="D162" s="70">
        <v>107.35617047025696</v>
      </c>
      <c r="E162" s="70">
        <v>84.359183168954601</v>
      </c>
      <c r="F162" s="70">
        <v>156.9235004799632</v>
      </c>
      <c r="G162" s="70">
        <v>136.52252525313349</v>
      </c>
      <c r="H162" s="70">
        <v>137.32584474841298</v>
      </c>
      <c r="I162" s="70">
        <v>185.59354994687362</v>
      </c>
      <c r="J162" s="70">
        <v>284.21658071433052</v>
      </c>
      <c r="K162" s="70">
        <v>317.29833435016224</v>
      </c>
      <c r="L162" s="70">
        <v>278.16580058621287</v>
      </c>
      <c r="M162" s="70">
        <v>338.97418870309002</v>
      </c>
      <c r="N162" s="70">
        <v>242.84401831794429</v>
      </c>
      <c r="O162" s="70">
        <v>247.51180344229294</v>
      </c>
      <c r="P162" s="70">
        <v>196.10207367916775</v>
      </c>
      <c r="Q162" s="70">
        <v>178.63398539144222</v>
      </c>
      <c r="R162" s="70">
        <v>103.06920104161838</v>
      </c>
      <c r="S162" s="70">
        <v>120.90779254132714</v>
      </c>
      <c r="T162" s="70">
        <v>143.65223924851782</v>
      </c>
      <c r="U162" s="70">
        <v>218.4228728883653</v>
      </c>
      <c r="V162" s="70">
        <v>193.84226415891325</v>
      </c>
      <c r="X162" s="193">
        <f>((0-('Appendix K'!$I$30))/(1+$Y$16)^0)</f>
        <v>-33594902.4440751</v>
      </c>
      <c r="Y162" s="193">
        <f>(((B162*'Appendix K'!$C$5*1000)-('Appendix K'!$E$31+'Appendix K'!$F$31+'Appendix K'!$H$31+'Appendix K'!$G$31))/((1+$Y$16)^1))</f>
        <v>34971064.972647354</v>
      </c>
      <c r="Z162" s="193">
        <f>+(((C162*'Appendix K'!$C$6*1000)-('Appendix K'!$E$32+'Appendix K'!$F$32+'Appendix K'!$H$32+'Appendix K'!$G$32))/((1+$Y$16)^2))</f>
        <v>12618174.082525661</v>
      </c>
      <c r="AA162" s="193">
        <f>(((D162*'Appendix K'!$C$7*1000)-('Appendix K'!$E$33+'Appendix K'!$F$33+'Appendix K'!$H$33+'Appendix K'!$G$33))/((1+$Y$16)^3))</f>
        <v>10709580.447621223</v>
      </c>
      <c r="AB162" s="193">
        <f>(((E162*'Appendix K'!$C$8*1000)-('Appendix K'!$E$34+'Appendix K'!$F$34+'Appendix K'!$H$34+'Appendix K'!$G$34))/((1+$Y$16)^4))</f>
        <v>15197552.827786205</v>
      </c>
      <c r="AC162" s="193">
        <f>(((F162*'Appendix K'!$C$9*1000)-('Appendix K'!$E$35+'Appendix K'!$F$35+'Appendix K'!$H$35+'Appendix K'!$G$35))/((1+$Y$16)^AC$34))</f>
        <v>38725791.494300283</v>
      </c>
      <c r="AD162" s="193">
        <f>(((G162*'Appendix K'!$C$10*1000)-('Appendix K'!$E$36+'Appendix K'!$F$36+'Appendix K'!$H$36+'Appendix K'!$G$36))/((1+$Y$16)^AD$34))</f>
        <v>18924273.858947467</v>
      </c>
      <c r="AE162" s="193">
        <f>(((H162*'Appendix K'!$C$11*1000)-('Appendix K'!$E$37+'Appendix K'!$F$37+'Appendix K'!$H$37+'Appendix K'!$G$37))/((1+$Y$16)^AE$34))</f>
        <v>11476613.167783365</v>
      </c>
      <c r="AF162" s="193">
        <f>(((I162*'Appendix K'!$C$12*1000)-('Appendix K'!$E$38+'Appendix K'!$F$38+'Appendix K'!$H$38+'Appendix K'!$G$38))/((1+$Y$16)^AF$34))</f>
        <v>10189943.921657749</v>
      </c>
      <c r="AG162" s="193">
        <f>(((J162*'Appendix K'!$C$13*1000)-('Appendix K'!$E$39+'Appendix K'!$F$39+'Appendix K'!$H$39+'Appendix K'!$G$39))/((1+$Y$16)^AG$34))</f>
        <v>11264399.789834125</v>
      </c>
      <c r="AH162" s="193">
        <f>(((K162*'Appendix K'!$C$14*1000)-('Appendix K'!$E$40+'Appendix K'!$F$40+'Appendix K'!$H$40+'Appendix K'!$G$40))/((1+$Y$16)^AH$34))</f>
        <v>9062283.6403974891</v>
      </c>
      <c r="AI162" s="193">
        <f>(((L162*'Appendix K'!$C$15*1000)-('Appendix K'!$E$41+'Appendix K'!$F$41+'Appendix K'!$H$41+'Appendix K'!$G$41))/((1+$Y$16)^AI$34))</f>
        <v>5771982.7996255178</v>
      </c>
      <c r="AJ162" s="193">
        <f>(((M162*'Appendix K'!$C$16*1000)-('Appendix K'!$E$42+'Appendix K'!$F$42+'Appendix K'!$H$42+'Appendix K'!$G$42))/((1+$Y$16)^AJ$34))</f>
        <v>5412124.6402372289</v>
      </c>
      <c r="AK162" s="193">
        <f>(((N162*'Appendix K'!$C$17*1000)-('Appendix K'!$E$43+'Appendix K'!$F$43+'Appendix K'!$H$43))/((1+$Y$16)^AK$34))</f>
        <v>2726771.9804656152</v>
      </c>
      <c r="AL162" s="193">
        <f>(((O162*'Appendix K'!$C$18*1000)-('Appendix K'!$E$44+'Appendix K'!$F$44+'Appendix K'!$H$44+'Appendix K'!$G$44))/((1+$Y$16)^AL$34))</f>
        <v>1799241.1114056851</v>
      </c>
      <c r="AM162" s="193">
        <f>(((P162*'Appendix K'!$C$19*1000)-('Appendix K'!$E$45+'Appendix K'!$F$45+'Appendix K'!$H$45+'Appendix K'!$G$45))/((1+$Y$16)^AM$34))</f>
        <v>790851.58272744494</v>
      </c>
      <c r="AN162" s="193">
        <f>(((Q162*'Appendix K'!$C$20*1000)-('Appendix K'!$E$46+'Appendix K'!$F$46+'Appendix K'!$H$46+'Appendix K'!$G$46))/((1+$Y$16)^AN$34))</f>
        <v>376925.42351081525</v>
      </c>
      <c r="AO162" s="193">
        <f>(((R162*'Appendix K'!$C$21*1000)-('Appendix K'!$E$47+'Appendix K'!$F$47+'Appendix K'!$H$47+'Appendix K'!$G$47))/((1+$Y$16)^AO$34))</f>
        <v>-233848.56013556066</v>
      </c>
      <c r="AP162" s="193">
        <f>(((S162*'Appendix K'!$C$22*1000)-('Appendix K'!$E$48+'Appendix K'!$F$48+'Appendix K'!$H$48+'Appendix K'!$G$48))/((1+$Y$16)^AP$34))</f>
        <v>-185338.8403214656</v>
      </c>
      <c r="AQ162" s="193">
        <f>(((T162*'Appendix K'!$C$23*1000)-('Appendix K'!$E$49+'Appendix K'!$F$49+'Appendix K'!$H$49+'Appendix K'!$G$49))/((1+$Y$16)^AQ$34))</f>
        <v>-131267.54300949691</v>
      </c>
      <c r="AR162" s="193">
        <f>(((U162*'Appendix K'!$C$24*1000)-('Appendix K'!$E$50+'Appendix K'!$F$50+'Appendix K'!$H$50+'Appendix K'!$G$50))/((1+$Y$16)^AR$34))</f>
        <v>74038.901351813591</v>
      </c>
      <c r="AS162" s="209">
        <f t="shared" si="18"/>
        <v>156496712.1987499</v>
      </c>
      <c r="AU162" s="199">
        <f t="shared" si="17"/>
        <v>3.3655450186099833E-9</v>
      </c>
    </row>
    <row r="163" spans="1:47" x14ac:dyDescent="0.35">
      <c r="A163">
        <v>129</v>
      </c>
      <c r="B163" s="70">
        <v>56</v>
      </c>
      <c r="C163" s="70">
        <v>34.644305384092824</v>
      </c>
      <c r="D163" s="70">
        <v>44.473528040641305</v>
      </c>
      <c r="E163" s="70">
        <v>65.094539101788001</v>
      </c>
      <c r="F163" s="70">
        <v>95.715781609223882</v>
      </c>
      <c r="G163" s="70">
        <v>77.551977770699665</v>
      </c>
      <c r="H163" s="70">
        <v>88.643531194976632</v>
      </c>
      <c r="I163" s="70">
        <v>108.28183714732671</v>
      </c>
      <c r="J163" s="70">
        <v>132.43397150040556</v>
      </c>
      <c r="K163" s="70">
        <v>137.24142012261899</v>
      </c>
      <c r="L163" s="70">
        <v>111.76362010099801</v>
      </c>
      <c r="M163" s="70">
        <v>121.40062082577361</v>
      </c>
      <c r="N163" s="70">
        <v>79.640626882996642</v>
      </c>
      <c r="O163" s="70">
        <v>48.357667806819478</v>
      </c>
      <c r="P163" s="70">
        <v>69.720240783757092</v>
      </c>
      <c r="Q163" s="70">
        <v>48.452759457504897</v>
      </c>
      <c r="R163" s="70">
        <v>44.029531637940792</v>
      </c>
      <c r="S163" s="70">
        <v>59.981698748000369</v>
      </c>
      <c r="T163" s="70">
        <v>58.324389223722996</v>
      </c>
      <c r="U163" s="70">
        <v>65.779433357990058</v>
      </c>
      <c r="V163" s="70">
        <v>109.40516161111057</v>
      </c>
      <c r="X163" s="193">
        <f>((0-('Appendix K'!$I$30))/(1+$Y$16)^0)</f>
        <v>-33594902.4440751</v>
      </c>
      <c r="Y163" s="193">
        <f>(((B163*'Appendix K'!$C$5*1000)-('Appendix K'!$E$31+'Appendix K'!$F$31+'Appendix K'!$H$31+'Appendix K'!$G$31))/((1+$Y$16)^1))</f>
        <v>34971064.972647354</v>
      </c>
      <c r="Z163" s="193">
        <f>+(((C163*'Appendix K'!$C$6*1000)-('Appendix K'!$E$32+'Appendix K'!$F$32+'Appendix K'!$H$32+'Appendix K'!$G$32))/((1+$Y$16)^2))</f>
        <v>5264496.3959893407</v>
      </c>
      <c r="AA163" s="193">
        <f>(((D163*'Appendix K'!$C$7*1000)-('Appendix K'!$E$33+'Appendix K'!$F$33+'Appendix K'!$H$33+'Appendix K'!$G$33))/((1+$Y$16)^3))</f>
        <v>2699911.8945859922</v>
      </c>
      <c r="AB163" s="193">
        <f>(((E163*'Appendix K'!$C$8*1000)-('Appendix K'!$E$34+'Appendix K'!$F$34+'Appendix K'!$H$34+'Appendix K'!$G$34))/((1+$Y$16)^4))</f>
        <v>10974919.19910589</v>
      </c>
      <c r="AC163" s="193">
        <f>(((F163*'Appendix K'!$C$9*1000)-('Appendix K'!$E$35+'Appendix K'!$F$35+'Appendix K'!$H$35+'Appendix K'!$G$35))/((1+$Y$16)^AC$34))</f>
        <v>22456875.93182395</v>
      </c>
      <c r="AD163" s="193">
        <f>(((G163*'Appendix K'!$C$10*1000)-('Appendix K'!$E$36+'Appendix K'!$F$36+'Appendix K'!$H$36+'Appendix K'!$G$36))/((1+$Y$16)^AD$34))</f>
        <v>9663306.0592253897</v>
      </c>
      <c r="AE163" s="193">
        <f>(((H163*'Appendix K'!$C$11*1000)-('Appendix K'!$E$37+'Appendix K'!$F$37+'Appendix K'!$H$37+'Appendix K'!$G$37))/((1+$Y$16)^AE$34))</f>
        <v>6621154.6476894394</v>
      </c>
      <c r="AF163" s="193">
        <f>(((I163*'Appendix K'!$C$12*1000)-('Appendix K'!$E$38+'Appendix K'!$F$38+'Appendix K'!$H$38+'Appendix K'!$G$38))/((1+$Y$16)^AF$34))</f>
        <v>5113469.2206944022</v>
      </c>
      <c r="AG163" s="193">
        <f>(((J163*'Appendix K'!$C$13*1000)-('Appendix K'!$E$39+'Appendix K'!$F$39+'Appendix K'!$H$39+'Appendix K'!$G$39))/((1+$Y$16)^AG$34))</f>
        <v>4279526.1323656188</v>
      </c>
      <c r="AH163" s="193">
        <f>(((K163*'Appendix K'!$C$14*1000)-('Appendix K'!$E$40+'Appendix K'!$F$40+'Appendix K'!$H$40+'Appendix K'!$G$40))/((1+$Y$16)^AH$34))</f>
        <v>2993190.4433560679</v>
      </c>
      <c r="AI163" s="193">
        <f>(((L163*'Appendix K'!$C$15*1000)-('Appendix K'!$E$41+'Appendix K'!$F$41+'Appendix K'!$H$41+'Appendix K'!$G$41))/((1+$Y$16)^AI$34))</f>
        <v>1411934.4973095378</v>
      </c>
      <c r="AJ163" s="193">
        <f>(((M163*'Appendix K'!$C$16*1000)-('Appendix K'!$E$42+'Appendix K'!$F$42+'Appendix K'!$H$42+'Appendix K'!$G$42))/((1+$Y$16)^AJ$34))</f>
        <v>1051544.1349225475</v>
      </c>
      <c r="AK163" s="193">
        <f>(((N163*'Appendix K'!$C$17*1000)-('Appendix K'!$E$43+'Appendix K'!$F$43+'Appendix K'!$H$43))/((1+$Y$16)^AK$34))</f>
        <v>219331.80890660177</v>
      </c>
      <c r="AL163" s="193">
        <f>(((O163*'Appendix K'!$C$18*1000)-('Appendix K'!$E$44+'Appendix K'!$F$44+'Appendix K'!$H$44+'Appendix K'!$G$44))/((1+$Y$16)^AL$34))</f>
        <v>-561391.45980940247</v>
      </c>
      <c r="AM163" s="193">
        <f>(((P163*'Appendix K'!$C$19*1000)-('Appendix K'!$E$45+'Appendix K'!$F$45+'Appendix K'!$H$45+'Appendix K'!$G$45))/((1+$Y$16)^AM$34))</f>
        <v>-380547.7297959305</v>
      </c>
      <c r="AN163" s="193">
        <f>(((Q163*'Appendix K'!$C$20*1000)-('Appendix K'!$E$46+'Appendix K'!$F$46+'Appendix K'!$H$46+'Appendix K'!$G$46))/((1+$Y$16)^AN$34))</f>
        <v>-565094.16246845922</v>
      </c>
      <c r="AO163" s="193">
        <f>(((R163*'Appendix K'!$C$21*1000)-('Appendix K'!$E$47+'Appendix K'!$F$47+'Appendix K'!$H$47+'Appendix K'!$G$47))/((1+$Y$16)^AO$34))</f>
        <v>-582779.52901634644</v>
      </c>
      <c r="AP163" s="193">
        <f>(((S163*'Appendix K'!$C$22*1000)-('Appendix K'!$E$48+'Appendix K'!$F$48+'Appendix K'!$H$48+'Appendix K'!$G$48))/((1+$Y$16)^AP$34))</f>
        <v>-477157.73017666122</v>
      </c>
      <c r="AQ163" s="193">
        <f>(((T163*'Appendix K'!$C$23*1000)-('Appendix K'!$E$49+'Appendix K'!$F$49+'Appendix K'!$H$49+'Appendix K'!$G$49))/((1+$Y$16)^AQ$34))</f>
        <v>-465218.90351671044</v>
      </c>
      <c r="AR163" s="193">
        <f>(((U163*'Appendix K'!$C$24*1000)-('Appendix K'!$E$50+'Appendix K'!$F$50+'Appendix K'!$H$50+'Appendix K'!$G$50))/((1+$Y$16)^AR$34))</f>
        <v>-417477.25083093875</v>
      </c>
      <c r="AS163" s="209">
        <f t="shared" si="18"/>
        <v>74125822.894547045</v>
      </c>
      <c r="AU163" s="199">
        <f t="shared" ref="AU163:AU226" si="19">_xlfn.NORM.DIST(AS163,$Y$17,$Y$19,FALSE)</f>
        <v>6.8338182281246158E-9</v>
      </c>
    </row>
    <row r="164" spans="1:47" x14ac:dyDescent="0.35">
      <c r="A164">
        <v>130</v>
      </c>
      <c r="B164" s="70">
        <v>56</v>
      </c>
      <c r="C164" s="70">
        <v>56.366224909452683</v>
      </c>
      <c r="D164" s="70">
        <v>84.58629493196031</v>
      </c>
      <c r="E164" s="70">
        <v>122.707098029657</v>
      </c>
      <c r="F164" s="70">
        <v>110.15509357943901</v>
      </c>
      <c r="G164" s="70">
        <v>81.649290555489102</v>
      </c>
      <c r="H164" s="70">
        <v>108.13974453622089</v>
      </c>
      <c r="I164" s="70">
        <v>145.59924503810029</v>
      </c>
      <c r="J164" s="70">
        <v>116.78379150372596</v>
      </c>
      <c r="K164" s="70">
        <v>148.7526455283066</v>
      </c>
      <c r="L164" s="70">
        <v>155.23091526227614</v>
      </c>
      <c r="M164" s="70">
        <v>221.99463537993967</v>
      </c>
      <c r="N164" s="70">
        <v>315.50433592995597</v>
      </c>
      <c r="O164" s="70">
        <v>253.60185103081255</v>
      </c>
      <c r="P164" s="70">
        <v>255.79076443190593</v>
      </c>
      <c r="Q164" s="70">
        <v>242.3861741868875</v>
      </c>
      <c r="R164" s="70">
        <v>268.86666767369394</v>
      </c>
      <c r="S164" s="70">
        <v>293.46875901710672</v>
      </c>
      <c r="T164" s="70">
        <v>278.18106134078113</v>
      </c>
      <c r="U164" s="70">
        <v>244.31027469173341</v>
      </c>
      <c r="V164" s="70">
        <v>259.83214391754842</v>
      </c>
      <c r="X164" s="193">
        <f>((0-('Appendix K'!$I$30))/(1+$Y$16)^0)</f>
        <v>-33594902.4440751</v>
      </c>
      <c r="Y164" s="193">
        <f>(((B164*'Appendix K'!$C$5*1000)-('Appendix K'!$E$31+'Appendix K'!$F$31+'Appendix K'!$H$31+'Appendix K'!$G$31))/((1+$Y$16)^1))</f>
        <v>34971064.972647354</v>
      </c>
      <c r="Z164" s="193">
        <f>+(((C164*'Appendix K'!$C$6*1000)-('Appendix K'!$E$32+'Appendix K'!$F$32+'Appendix K'!$H$32+'Appendix K'!$G$32))/((1+$Y$16)^2))</f>
        <v>10751824.780780263</v>
      </c>
      <c r="AA164" s="193">
        <f>(((D164*'Appendix K'!$C$7*1000)-('Appendix K'!$E$33+'Appendix K'!$F$33+'Appendix K'!$H$33+'Appendix K'!$G$33))/((1+$Y$16)^3))</f>
        <v>7809270.4573125727</v>
      </c>
      <c r="AB164" s="193">
        <f>(((E164*'Appendix K'!$C$8*1000)-('Appendix K'!$E$34+'Appendix K'!$F$34+'Appendix K'!$H$34+'Appendix K'!$G$34))/((1+$Y$16)^4))</f>
        <v>23603064.723879475</v>
      </c>
      <c r="AC164" s="193">
        <f>(((F164*'Appendix K'!$C$9*1000)-('Appendix K'!$E$35+'Appendix K'!$F$35+'Appendix K'!$H$35+'Appendix K'!$G$35))/((1+$Y$16)^AC$34))</f>
        <v>26294822.379718523</v>
      </c>
      <c r="AD164" s="193">
        <f>(((G164*'Appendix K'!$C$10*1000)-('Appendix K'!$E$36+'Appendix K'!$F$36+'Appendix K'!$H$36+'Appendix K'!$G$36))/((1+$Y$16)^AD$34))</f>
        <v>10306764.249547049</v>
      </c>
      <c r="AE164" s="193">
        <f>(((H164*'Appendix K'!$C$11*1000)-('Appendix K'!$E$37+'Appendix K'!$F$37+'Appendix K'!$H$37+'Appendix K'!$G$37))/((1+$Y$16)^AE$34))</f>
        <v>8565660.7376353499</v>
      </c>
      <c r="AF164" s="193">
        <f>(((I164*'Appendix K'!$C$12*1000)-('Appendix K'!$E$38+'Appendix K'!$F$38+'Appendix K'!$H$38+'Appendix K'!$G$38))/((1+$Y$16)^AF$34))</f>
        <v>7563820.7936083619</v>
      </c>
      <c r="AG164" s="193">
        <f>(((J164*'Appendix K'!$C$13*1000)-('Appendix K'!$E$39+'Appendix K'!$F$39+'Appendix K'!$H$39+'Appendix K'!$G$39))/((1+$Y$16)^AG$34))</f>
        <v>3559321.5545185078</v>
      </c>
      <c r="AH164" s="193">
        <f>(((K164*'Appendix K'!$C$14*1000)-('Appendix K'!$E$40+'Appendix K'!$F$40+'Appendix K'!$H$40+'Appendix K'!$G$40))/((1+$Y$16)^AH$34))</f>
        <v>3381193.8704890101</v>
      </c>
      <c r="AI164" s="193">
        <f>(((L164*'Appendix K'!$C$15*1000)-('Appendix K'!$E$41+'Appendix K'!$F$41+'Appendix K'!$H$41+'Appendix K'!$G$41))/((1+$Y$16)^AI$34))</f>
        <v>2550858.9147755546</v>
      </c>
      <c r="AJ164" s="193">
        <f>(((M164*'Appendix K'!$C$16*1000)-('Appendix K'!$E$42+'Appendix K'!$F$42+'Appendix K'!$H$42+'Appendix K'!$G$42))/((1+$Y$16)^AJ$34))</f>
        <v>3067635.9933948931</v>
      </c>
      <c r="AK164" s="193">
        <f>(((N164*'Appendix K'!$C$17*1000)-('Appendix K'!$E$43+'Appendix K'!$F$43+'Appendix K'!$H$43))/((1+$Y$16)^AK$34))</f>
        <v>3843117.6498582498</v>
      </c>
      <c r="AL164" s="193">
        <f>(((O164*'Appendix K'!$C$18*1000)-('Appendix K'!$E$44+'Appendix K'!$F$44+'Appendix K'!$H$44+'Appendix K'!$G$44))/((1+$Y$16)^AL$34))</f>
        <v>1871428.2374818588</v>
      </c>
      <c r="AM164" s="193">
        <f>(((P164*'Appendix K'!$C$19*1000)-('Appendix K'!$E$45+'Appendix K'!$F$45+'Appendix K'!$H$45+'Appendix K'!$G$45))/((1+$Y$16)^AM$34))</f>
        <v>1344090.0483464764</v>
      </c>
      <c r="AN164" s="193">
        <f>(((Q164*'Appendix K'!$C$20*1000)-('Appendix K'!$E$46+'Appendix K'!$F$46+'Appendix K'!$H$46+'Appendix K'!$G$46))/((1+$Y$16)^AN$34))</f>
        <v>838250.08890330628</v>
      </c>
      <c r="AO164" s="193">
        <f>(((R164*'Appendix K'!$C$21*1000)-('Appendix K'!$E$47+'Appendix K'!$F$47+'Appendix K'!$H$47+'Appendix K'!$G$47))/((1+$Y$16)^AO$34))</f>
        <v>746032.78497079038</v>
      </c>
      <c r="AP164" s="193">
        <f>(((S164*'Appendix K'!$C$22*1000)-('Appendix K'!$E$48+'Appendix K'!$F$48+'Appendix K'!$H$48+'Appendix K'!$G$48))/((1+$Y$16)^AP$34))</f>
        <v>641179.75842738734</v>
      </c>
      <c r="AQ164" s="193">
        <f>(((T164*'Appendix K'!$C$23*1000)-('Appendix K'!$E$49+'Appendix K'!$F$49+'Appendix K'!$H$49+'Appendix K'!$G$49))/((1+$Y$16)^AQ$34))</f>
        <v>395243.82639790577</v>
      </c>
      <c r="AR164" s="193">
        <f>(((U164*'Appendix K'!$C$24*1000)-('Appendix K'!$E$50+'Appendix K'!$F$50+'Appendix K'!$H$50+'Appendix K'!$G$50))/((1+$Y$16)^AR$34))</f>
        <v>157397.06049410868</v>
      </c>
      <c r="AS164" s="209">
        <f t="shared" ref="AS164:AS227" si="20">SUMIF(Y164:AR164,"&gt;0")+X164</f>
        <v>118667140.43911186</v>
      </c>
      <c r="AU164" s="199">
        <f t="shared" si="19"/>
        <v>6.0524688061123419E-9</v>
      </c>
    </row>
    <row r="165" spans="1:47" x14ac:dyDescent="0.35">
      <c r="A165">
        <v>131</v>
      </c>
      <c r="B165" s="70">
        <v>56</v>
      </c>
      <c r="C165" s="70">
        <v>57.111602455160721</v>
      </c>
      <c r="D165" s="70">
        <v>70.159800198491467</v>
      </c>
      <c r="E165" s="70">
        <v>77.047455050492374</v>
      </c>
      <c r="F165" s="70">
        <v>42.94295100087551</v>
      </c>
      <c r="G165" s="70">
        <v>54.538493245334337</v>
      </c>
      <c r="H165" s="70">
        <v>82.454551599990126</v>
      </c>
      <c r="I165" s="70">
        <v>115.35900485813404</v>
      </c>
      <c r="J165" s="70">
        <v>145.43839086213816</v>
      </c>
      <c r="K165" s="70">
        <v>95.323622212566733</v>
      </c>
      <c r="L165" s="70">
        <v>92.350484416418141</v>
      </c>
      <c r="M165" s="70">
        <v>94.62873759258602</v>
      </c>
      <c r="N165" s="70">
        <v>82.9192510706322</v>
      </c>
      <c r="O165" s="70">
        <v>81.843835568372782</v>
      </c>
      <c r="P165" s="70">
        <v>81.005917496899926</v>
      </c>
      <c r="Q165" s="70">
        <v>95.635929208038604</v>
      </c>
      <c r="R165" s="70">
        <v>142.79111302473996</v>
      </c>
      <c r="S165" s="70">
        <v>137.76472018339439</v>
      </c>
      <c r="T165" s="70">
        <v>229.19893766925105</v>
      </c>
      <c r="U165" s="70">
        <v>131.26071891284559</v>
      </c>
      <c r="V165" s="70">
        <v>193.13449911891462</v>
      </c>
      <c r="X165" s="193">
        <f>((0-('Appendix K'!$I$30))/(1+$Y$16)^0)</f>
        <v>-33594902.4440751</v>
      </c>
      <c r="Y165" s="193">
        <f>(((B165*'Appendix K'!$C$5*1000)-('Appendix K'!$E$31+'Appendix K'!$F$31+'Appendix K'!$H$31+'Appendix K'!$G$31))/((1+$Y$16)^1))</f>
        <v>34971064.972647354</v>
      </c>
      <c r="Z165" s="193">
        <f>+(((C165*'Appendix K'!$C$6*1000)-('Appendix K'!$E$32+'Appendix K'!$F$32+'Appendix K'!$H$32+'Appendix K'!$G$32))/((1+$Y$16)^2))</f>
        <v>10940119.897110771</v>
      </c>
      <c r="AA165" s="193">
        <f>(((D165*'Appendix K'!$C$7*1000)-('Appendix K'!$E$33+'Appendix K'!$F$33+'Appendix K'!$H$33+'Appendix K'!$G$33))/((1+$Y$16)^3))</f>
        <v>5971697.5320569249</v>
      </c>
      <c r="AB165" s="193">
        <f>(((E165*'Appendix K'!$C$8*1000)-('Appendix K'!$E$34+'Appendix K'!$F$34+'Appendix K'!$H$34+'Appendix K'!$G$34))/((1+$Y$16)^4))</f>
        <v>13594888.95664794</v>
      </c>
      <c r="AC165" s="193">
        <f>(((F165*'Appendix K'!$C$9*1000)-('Appendix K'!$E$35+'Appendix K'!$F$35+'Appendix K'!$H$35+'Appendix K'!$G$35))/((1+$Y$16)^AC$34))</f>
        <v>8429940.4243397061</v>
      </c>
      <c r="AD165" s="193">
        <f>(((G165*'Appendix K'!$C$10*1000)-('Appendix K'!$E$36+'Appendix K'!$F$36+'Appendix K'!$H$36+'Appendix K'!$G$36))/((1+$Y$16)^AD$34))</f>
        <v>6049177.5112023791</v>
      </c>
      <c r="AE165" s="193">
        <f>(((H165*'Appendix K'!$C$11*1000)-('Appendix K'!$E$37+'Appendix K'!$F$37+'Appendix K'!$H$37+'Appendix K'!$G$37))/((1+$Y$16)^AE$34))</f>
        <v>6003880.4979681075</v>
      </c>
      <c r="AF165" s="193">
        <f>(((I165*'Appendix K'!$C$12*1000)-('Appendix K'!$E$38+'Appendix K'!$F$38+'Appendix K'!$H$38+'Appendix K'!$G$38))/((1+$Y$16)^AF$34))</f>
        <v>5578173.2291483274</v>
      </c>
      <c r="AG165" s="193">
        <f>(((J165*'Appendix K'!$C$13*1000)-('Appendix K'!$E$39+'Appendix K'!$F$39+'Appendix K'!$H$39+'Appendix K'!$G$39))/((1+$Y$16)^AG$34))</f>
        <v>4877975.6299784584</v>
      </c>
      <c r="AH165" s="193">
        <f>(((K165*'Appendix K'!$C$14*1000)-('Appendix K'!$E$40+'Appendix K'!$F$40+'Appendix K'!$H$40+'Appendix K'!$G$40))/((1+$Y$16)^AH$34))</f>
        <v>1580287.0665417868</v>
      </c>
      <c r="AI165" s="193">
        <f>(((L165*'Appendix K'!$C$15*1000)-('Appendix K'!$E$41+'Appendix K'!$F$41+'Appendix K'!$H$41+'Appendix K'!$G$41))/((1+$Y$16)^AI$34))</f>
        <v>903274.03963180364</v>
      </c>
      <c r="AJ165" s="193">
        <f>(((M165*'Appendix K'!$C$16*1000)-('Appendix K'!$E$42+'Appendix K'!$F$42+'Appendix K'!$H$42+'Appendix K'!$G$42))/((1+$Y$16)^AJ$34))</f>
        <v>514985.61241384916</v>
      </c>
      <c r="AK165" s="193">
        <f>(((N165*'Appendix K'!$C$17*1000)-('Appendix K'!$E$43+'Appendix K'!$F$43+'Appendix K'!$H$43))/((1+$Y$16)^AK$34))</f>
        <v>269704.25474391342</v>
      </c>
      <c r="AL165" s="193">
        <f>(((O165*'Appendix K'!$C$18*1000)-('Appendix K'!$E$44+'Appendix K'!$F$44+'Appendix K'!$H$44+'Appendix K'!$G$44))/((1+$Y$16)^AL$34))</f>
        <v>-164470.05995565432</v>
      </c>
      <c r="AM165" s="193">
        <f>(((P165*'Appendix K'!$C$19*1000)-('Appendix K'!$E$45+'Appendix K'!$F$45+'Appendix K'!$H$45+'Appendix K'!$G$45))/((1+$Y$16)^AM$34))</f>
        <v>-275943.81924751308</v>
      </c>
      <c r="AN165" s="193">
        <f>(((Q165*'Appendix K'!$C$20*1000)-('Appendix K'!$E$46+'Appendix K'!$F$46+'Appendix K'!$H$46+'Appendix K'!$G$46))/((1+$Y$16)^AN$34))</f>
        <v>-223666.51255415272</v>
      </c>
      <c r="AO165" s="193">
        <f>(((R165*'Appendix K'!$C$21*1000)-('Appendix K'!$E$47+'Appendix K'!$F$47+'Appendix K'!$H$47+'Appendix K'!$G$47))/((1+$Y$16)^AO$34))</f>
        <v>912.32816312201794</v>
      </c>
      <c r="AP165" s="193">
        <f>(((S165*'Appendix K'!$C$22*1000)-('Appendix K'!$E$48+'Appendix K'!$F$48+'Appendix K'!$H$48+'Appendix K'!$G$48))/((1+$Y$16)^AP$34))</f>
        <v>-104598.88795287596</v>
      </c>
      <c r="AQ165" s="193">
        <f>(((T165*'Appendix K'!$C$23*1000)-('Appendix K'!$E$49+'Appendix K'!$F$49+'Appendix K'!$H$49+'Appendix K'!$G$49))/((1+$Y$16)^AQ$34))</f>
        <v>203540.33409279329</v>
      </c>
      <c r="AR165" s="193">
        <f>(((U165*'Appendix K'!$C$24*1000)-('Appendix K'!$E$50+'Appendix K'!$F$50+'Appendix K'!$H$50+'Appendix K'!$G$50))/((1+$Y$16)^AR$34))</f>
        <v>-206625.67663342491</v>
      </c>
      <c r="AS165" s="209">
        <f t="shared" si="20"/>
        <v>66294719.842612155</v>
      </c>
      <c r="AU165" s="199">
        <f t="shared" si="19"/>
        <v>6.5506162430579391E-9</v>
      </c>
    </row>
    <row r="166" spans="1:47" x14ac:dyDescent="0.35">
      <c r="A166">
        <v>132</v>
      </c>
      <c r="B166" s="70">
        <v>56</v>
      </c>
      <c r="C166" s="70">
        <v>58.613619563433524</v>
      </c>
      <c r="D166" s="70">
        <v>66.992826789624317</v>
      </c>
      <c r="E166" s="70">
        <v>67.020903339877691</v>
      </c>
      <c r="F166" s="70">
        <v>68.836469595254172</v>
      </c>
      <c r="G166" s="70">
        <v>48.066761907531969</v>
      </c>
      <c r="H166" s="70">
        <v>65.683401518102087</v>
      </c>
      <c r="I166" s="70">
        <v>62.711211823896321</v>
      </c>
      <c r="J166" s="70">
        <v>58.01064174776446</v>
      </c>
      <c r="K166" s="70">
        <v>65.706549141465359</v>
      </c>
      <c r="L166" s="70">
        <v>9.4573563588187284</v>
      </c>
      <c r="M166" s="70">
        <v>8.3716863671475927</v>
      </c>
      <c r="N166" s="70">
        <v>9.4210890765185518</v>
      </c>
      <c r="O166" s="70">
        <v>10.32199558957738</v>
      </c>
      <c r="P166" s="70">
        <v>9.0275993237126677</v>
      </c>
      <c r="Q166" s="70">
        <v>3.8104397567060833</v>
      </c>
      <c r="R166" s="70">
        <v>2.6375157410571712</v>
      </c>
      <c r="S166" s="70">
        <v>3.0876178914328243</v>
      </c>
      <c r="T166" s="70">
        <v>2.3264598422344287</v>
      </c>
      <c r="U166" s="70">
        <v>1.7863456215560376</v>
      </c>
      <c r="V166" s="70">
        <v>2.2995281980862545</v>
      </c>
      <c r="X166" s="193">
        <f>((0-('Appendix K'!$I$30))/(1+$Y$16)^0)</f>
        <v>-33594902.4440751</v>
      </c>
      <c r="Y166" s="193">
        <f>(((B166*'Appendix K'!$C$5*1000)-('Appendix K'!$E$31+'Appendix K'!$F$31+'Appendix K'!$H$31+'Appendix K'!$G$31))/((1+$Y$16)^1))</f>
        <v>34971064.972647354</v>
      </c>
      <c r="Z166" s="193">
        <f>+(((C166*'Appendix K'!$C$6*1000)-('Appendix K'!$E$32+'Appendix K'!$F$32+'Appendix K'!$H$32+'Appendix K'!$G$32))/((1+$Y$16)^2))</f>
        <v>11319555.107845463</v>
      </c>
      <c r="AA166" s="193">
        <f>(((D166*'Appendix K'!$C$7*1000)-('Appendix K'!$E$33+'Appendix K'!$F$33+'Appendix K'!$H$33+'Appendix K'!$G$33))/((1+$Y$16)^3))</f>
        <v>5568304.6983398218</v>
      </c>
      <c r="AB166" s="193">
        <f>(((E166*'Appendix K'!$C$8*1000)-('Appendix K'!$E$34+'Appendix K'!$F$34+'Appendix K'!$H$34+'Appendix K'!$G$34))/((1+$Y$16)^4))</f>
        <v>11397160.605927847</v>
      </c>
      <c r="AC166" s="193">
        <f>(((F166*'Appendix K'!$C$9*1000)-('Appendix K'!$E$35+'Appendix K'!$F$35+'Appendix K'!$H$35+'Appendix K'!$G$35))/((1+$Y$16)^AC$34))</f>
        <v>15312397.006604904</v>
      </c>
      <c r="AD166" s="193">
        <f>(((G166*'Appendix K'!$C$10*1000)-('Appendix K'!$E$36+'Appendix K'!$F$36+'Appendix K'!$H$36+'Appendix K'!$G$36))/((1+$Y$16)^AD$34))</f>
        <v>5032831.2487619063</v>
      </c>
      <c r="AE166" s="193">
        <f>(((H166*'Appendix K'!$C$11*1000)-('Appendix K'!$E$37+'Appendix K'!$F$37+'Appendix K'!$H$37+'Appendix K'!$G$37))/((1+$Y$16)^AE$34))</f>
        <v>4331165.7559398059</v>
      </c>
      <c r="AF166" s="193">
        <f>(((I166*'Appendix K'!$C$12*1000)-('Appendix K'!$E$38+'Appendix K'!$F$38+'Appendix K'!$H$38+'Appendix K'!$G$38))/((1+$Y$16)^AF$34))</f>
        <v>2121191.3602712941</v>
      </c>
      <c r="AG166" s="193">
        <f>(((J166*'Appendix K'!$C$13*1000)-('Appendix K'!$E$39+'Appendix K'!$F$39+'Appendix K'!$H$39+'Appendix K'!$G$39))/((1+$Y$16)^AG$34))</f>
        <v>854643.93945478811</v>
      </c>
      <c r="AH166" s="193">
        <f>(((K166*'Appendix K'!$C$14*1000)-('Appendix K'!$E$40+'Appendix K'!$F$40+'Appendix K'!$H$40+'Appendix K'!$G$40))/((1+$Y$16)^AH$34))</f>
        <v>581998.40063170576</v>
      </c>
      <c r="AI166" s="193">
        <f>(((L166*'Appendix K'!$C$15*1000)-('Appendix K'!$E$41+'Appendix K'!$F$41+'Appendix K'!$H$41+'Appendix K'!$G$41))/((1+$Y$16)^AI$34))</f>
        <v>-1268680.926386867</v>
      </c>
      <c r="AJ166" s="193">
        <f>(((M166*'Appendix K'!$C$16*1000)-('Appendix K'!$E$42+'Appendix K'!$F$42+'Appendix K'!$H$42+'Appendix K'!$G$42))/((1+$Y$16)^AJ$34))</f>
        <v>-1213766.7341564212</v>
      </c>
      <c r="AK166" s="193">
        <f>(((N166*'Appendix K'!$C$17*1000)-('Appendix K'!$E$43+'Appendix K'!$F$43+'Appendix K'!$H$43))/((1+$Y$16)^AK$34))</f>
        <v>-859513.96982497233</v>
      </c>
      <c r="AL166" s="193">
        <f>(((O166*'Appendix K'!$C$18*1000)-('Appendix K'!$E$44+'Appendix K'!$F$44+'Appendix K'!$H$44+'Appendix K'!$G$44))/((1+$Y$16)^AL$34))</f>
        <v>-1012239.4746777884</v>
      </c>
      <c r="AM166" s="193">
        <f>(((P166*'Appendix K'!$C$19*1000)-('Appendix K'!$E$45+'Appendix K'!$F$45+'Appendix K'!$H$45+'Appendix K'!$G$45))/((1+$Y$16)^AM$34))</f>
        <v>-943091.54525364609</v>
      </c>
      <c r="AN166" s="193">
        <f>(((Q166*'Appendix K'!$C$20*1000)-('Appendix K'!$E$46+'Appendix K'!$F$46+'Appendix K'!$H$46+'Appendix K'!$G$46))/((1+$Y$16)^AN$34))</f>
        <v>-888135.67033566802</v>
      </c>
      <c r="AO166" s="193">
        <f>(((R166*'Appendix K'!$C$21*1000)-('Appendix K'!$E$47+'Appendix K'!$F$47+'Appendix K'!$H$47+'Appendix K'!$G$47))/((1+$Y$16)^AO$34))</f>
        <v>-827410.91595851036</v>
      </c>
      <c r="AP166" s="193">
        <f>(((S166*'Appendix K'!$C$22*1000)-('Appendix K'!$E$48+'Appendix K'!$F$48+'Appendix K'!$H$48+'Appendix K'!$G$48))/((1+$Y$16)^AP$34))</f>
        <v>-749664.40968273813</v>
      </c>
      <c r="AQ166" s="193">
        <f>(((T166*'Appendix K'!$C$23*1000)-('Appendix K'!$E$49+'Appendix K'!$F$49+'Appendix K'!$H$49+'Appendix K'!$G$49))/((1+$Y$16)^AQ$34))</f>
        <v>-684380.46327827591</v>
      </c>
      <c r="AR166" s="193">
        <f>(((U166*'Appendix K'!$C$24*1000)-('Appendix K'!$E$50+'Appendix K'!$F$50+'Appendix K'!$H$50+'Appendix K'!$G$50))/((1+$Y$16)^AR$34))</f>
        <v>-623536.78635553096</v>
      </c>
      <c r="AS166" s="209">
        <f t="shared" si="20"/>
        <v>57895410.652349807</v>
      </c>
      <c r="AU166" s="199">
        <f t="shared" si="19"/>
        <v>6.1288060391487768E-9</v>
      </c>
    </row>
    <row r="167" spans="1:47" x14ac:dyDescent="0.35">
      <c r="A167">
        <v>133</v>
      </c>
      <c r="B167" s="70">
        <v>56</v>
      </c>
      <c r="C167" s="70">
        <v>78.292798840442615</v>
      </c>
      <c r="D167" s="70">
        <v>89.535047144491912</v>
      </c>
      <c r="E167" s="70">
        <v>61.019483653332443</v>
      </c>
      <c r="F167" s="70">
        <v>39.801622893956825</v>
      </c>
      <c r="G167" s="70">
        <v>53.253686886190138</v>
      </c>
      <c r="H167" s="70">
        <v>74.346338682853769</v>
      </c>
      <c r="I167" s="70">
        <v>76.762498483392307</v>
      </c>
      <c r="J167" s="70">
        <v>75.46159543496988</v>
      </c>
      <c r="K167" s="70">
        <v>9.3950792283358453</v>
      </c>
      <c r="L167" s="70">
        <v>11.43149169354351</v>
      </c>
      <c r="M167" s="70">
        <v>12.071869319997772</v>
      </c>
      <c r="N167" s="70">
        <v>19.066936544795567</v>
      </c>
      <c r="O167" s="70">
        <v>25.243805511651633</v>
      </c>
      <c r="P167" s="70">
        <v>25.048067117273103</v>
      </c>
      <c r="Q167" s="70">
        <v>28.080908824377442</v>
      </c>
      <c r="R167" s="70">
        <v>31.95975777091807</v>
      </c>
      <c r="S167" s="70">
        <v>36.52508563431617</v>
      </c>
      <c r="T167" s="70">
        <v>57.862349749053941</v>
      </c>
      <c r="U167" s="70">
        <v>44.065535171363678</v>
      </c>
      <c r="V167" s="70">
        <v>71.30379894656889</v>
      </c>
      <c r="X167" s="193">
        <f>((0-('Appendix K'!$I$30))/(1+$Y$16)^0)</f>
        <v>-33594902.4440751</v>
      </c>
      <c r="Y167" s="193">
        <f>(((B167*'Appendix K'!$C$5*1000)-('Appendix K'!$E$31+'Appendix K'!$F$31+'Appendix K'!$H$31+'Appendix K'!$G$31))/((1+$Y$16)^1))</f>
        <v>34971064.972647354</v>
      </c>
      <c r="Z167" s="193">
        <f>+(((C167*'Appendix K'!$C$6*1000)-('Appendix K'!$E$32+'Appendix K'!$F$32+'Appendix K'!$H$32+'Appendix K'!$G$32))/((1+$Y$16)^2))</f>
        <v>16290852.368663039</v>
      </c>
      <c r="AA167" s="193">
        <f>(((D167*'Appendix K'!$C$7*1000)-('Appendix K'!$E$33+'Appendix K'!$F$33+'Appendix K'!$H$33+'Appendix K'!$G$33))/((1+$Y$16)^3))</f>
        <v>8439617.1387174502</v>
      </c>
      <c r="AB167" s="193">
        <f>(((E167*'Appendix K'!$C$8*1000)-('Appendix K'!$E$34+'Appendix K'!$F$34+'Appendix K'!$H$34+'Appendix K'!$G$34))/((1+$Y$16)^4))</f>
        <v>10081704.348346585</v>
      </c>
      <c r="AC167" s="193">
        <f>(((F167*'Appendix K'!$C$9*1000)-('Appendix K'!$E$35+'Appendix K'!$F$35+'Appendix K'!$H$35+'Appendix K'!$G$35))/((1+$Y$16)^AC$34))</f>
        <v>7594980.3462910317</v>
      </c>
      <c r="AD167" s="193">
        <f>(((G167*'Appendix K'!$C$10*1000)-('Appendix K'!$E$36+'Appendix K'!$F$36+'Appendix K'!$H$36+'Appendix K'!$G$36))/((1+$Y$16)^AD$34))</f>
        <v>5847406.4436290795</v>
      </c>
      <c r="AE167" s="193">
        <f>(((H167*'Appendix K'!$C$11*1000)-('Appendix K'!$E$37+'Appendix K'!$F$37+'Appendix K'!$H$37+'Appendix K'!$G$37))/((1+$Y$16)^AE$34))</f>
        <v>5195186.5675115837</v>
      </c>
      <c r="AF167" s="193">
        <f>(((I167*'Appendix K'!$C$12*1000)-('Appendix K'!$E$38+'Appendix K'!$F$38+'Appendix K'!$H$38+'Appendix K'!$G$38))/((1+$Y$16)^AF$34))</f>
        <v>3043832.9453550633</v>
      </c>
      <c r="AG167" s="193">
        <f>(((J167*'Appendix K'!$C$13*1000)-('Appendix K'!$E$39+'Appendix K'!$F$39+'Appendix K'!$H$39+'Appendix K'!$G$39))/((1+$Y$16)^AG$34))</f>
        <v>1657718.2003252574</v>
      </c>
      <c r="AH167" s="193">
        <f>(((K167*'Appendix K'!$C$14*1000)-('Appendix K'!$E$40+'Appendix K'!$F$40+'Appendix K'!$H$40+'Appendix K'!$G$40))/((1+$Y$16)^AH$34))</f>
        <v>-1316065.6666736209</v>
      </c>
      <c r="AI167" s="193">
        <f>(((L167*'Appendix K'!$C$15*1000)-('Appendix K'!$E$41+'Appendix K'!$F$41+'Appendix K'!$H$41+'Appendix K'!$G$41))/((1+$Y$16)^AI$34))</f>
        <v>-1216954.8889658998</v>
      </c>
      <c r="AJ167" s="193">
        <f>(((M167*'Appendix K'!$C$16*1000)-('Appendix K'!$E$42+'Appendix K'!$F$42+'Appendix K'!$H$42+'Appendix K'!$G$42))/((1+$Y$16)^AJ$34))</f>
        <v>-1139608.1596213276</v>
      </c>
      <c r="AK167" s="193">
        <f>(((N167*'Appendix K'!$C$17*1000)-('Appendix K'!$E$43+'Appendix K'!$F$43+'Appendix K'!$H$43))/((1+$Y$16)^AK$34))</f>
        <v>-711316.1583822536</v>
      </c>
      <c r="AL167" s="193">
        <f>(((O167*'Appendix K'!$C$18*1000)-('Appendix K'!$E$44+'Appendix K'!$F$44+'Appendix K'!$H$44+'Appendix K'!$G$44))/((1+$Y$16)^AL$34))</f>
        <v>-835366.87089714827</v>
      </c>
      <c r="AM167" s="193">
        <f>(((P167*'Appendix K'!$C$19*1000)-('Appendix K'!$E$45+'Appendix K'!$F$45+'Appendix K'!$H$45+'Appendix K'!$G$45))/((1+$Y$16)^AM$34))</f>
        <v>-794602.12608839327</v>
      </c>
      <c r="AN167" s="193">
        <f>(((Q167*'Appendix K'!$C$20*1000)-('Appendix K'!$E$46+'Appendix K'!$F$46+'Appendix K'!$H$46+'Appendix K'!$G$46))/((1+$Y$16)^AN$34))</f>
        <v>-712509.29211848252</v>
      </c>
      <c r="AO167" s="193">
        <f>(((R167*'Appendix K'!$C$21*1000)-('Appendix K'!$E$47+'Appendix K'!$F$47+'Appendix K'!$H$47+'Appendix K'!$G$47))/((1+$Y$16)^AO$34))</f>
        <v>-654113.22603955318</v>
      </c>
      <c r="AP167" s="193">
        <f>(((S167*'Appendix K'!$C$22*1000)-('Appendix K'!$E$48+'Appendix K'!$F$48+'Appendix K'!$H$48+'Appendix K'!$G$48))/((1+$Y$16)^AP$34))</f>
        <v>-589508.32369769027</v>
      </c>
      <c r="AQ167" s="193">
        <f>(((T167*'Appendix K'!$C$23*1000)-('Appendix K'!$E$49+'Appendix K'!$F$49+'Appendix K'!$H$49+'Appendix K'!$G$49))/((1+$Y$16)^AQ$34))</f>
        <v>-467027.20773542597</v>
      </c>
      <c r="AR167" s="193">
        <f>(((U167*'Appendix K'!$C$24*1000)-('Appendix K'!$E$50+'Appendix K'!$F$50+'Appendix K'!$H$50+'Appendix K'!$G$50))/((1+$Y$16)^AR$34))</f>
        <v>-487396.61139051797</v>
      </c>
      <c r="AS167" s="209">
        <f t="shared" si="20"/>
        <v>59527460.887411349</v>
      </c>
      <c r="AU167" s="199">
        <f t="shared" si="19"/>
        <v>6.2192388622135494E-9</v>
      </c>
    </row>
    <row r="168" spans="1:47" x14ac:dyDescent="0.35">
      <c r="A168">
        <v>134</v>
      </c>
      <c r="B168" s="70">
        <v>56</v>
      </c>
      <c r="C168" s="70">
        <v>58.380549619686406</v>
      </c>
      <c r="D168" s="70">
        <v>55.470080991646675</v>
      </c>
      <c r="E168" s="70">
        <v>35.226902007749985</v>
      </c>
      <c r="F168" s="70">
        <v>37.363549858492775</v>
      </c>
      <c r="G168" s="70">
        <v>53.379886403394245</v>
      </c>
      <c r="H168" s="70">
        <v>78.351158525636095</v>
      </c>
      <c r="I168" s="70">
        <v>132.60406246730412</v>
      </c>
      <c r="J168" s="70">
        <v>109.17492688236756</v>
      </c>
      <c r="K168" s="70">
        <v>131.67616537699021</v>
      </c>
      <c r="L168" s="70">
        <v>176.82715280349061</v>
      </c>
      <c r="M168" s="70">
        <v>231.35433163017549</v>
      </c>
      <c r="N168" s="70">
        <v>156.65766083471175</v>
      </c>
      <c r="O168" s="70">
        <v>254.63168980213115</v>
      </c>
      <c r="P168" s="70">
        <v>197.61483631042768</v>
      </c>
      <c r="Q168" s="70">
        <v>163.42137717472758</v>
      </c>
      <c r="R168" s="70">
        <v>94.267034667044328</v>
      </c>
      <c r="S168" s="70">
        <v>92.073032987253271</v>
      </c>
      <c r="T168" s="70">
        <v>121.10837381795356</v>
      </c>
      <c r="U168" s="70">
        <v>140.38773553739759</v>
      </c>
      <c r="V168" s="70">
        <v>165.90187906179233</v>
      </c>
      <c r="X168" s="193">
        <f>((0-('Appendix K'!$I$30))/(1+$Y$16)^0)</f>
        <v>-33594902.4440751</v>
      </c>
      <c r="Y168" s="193">
        <f>(((B168*'Appendix K'!$C$5*1000)-('Appendix K'!$E$31+'Appendix K'!$F$31+'Appendix K'!$H$31+'Appendix K'!$G$31))/((1+$Y$16)^1))</f>
        <v>34971064.972647354</v>
      </c>
      <c r="Z168" s="193">
        <f>+(((C168*'Appendix K'!$C$6*1000)-('Appendix K'!$E$32+'Appendix K'!$F$32+'Appendix K'!$H$32+'Appendix K'!$G$32))/((1+$Y$16)^2))</f>
        <v>11260677.65383077</v>
      </c>
      <c r="AA168" s="193">
        <f>(((D168*'Appendix K'!$C$7*1000)-('Appendix K'!$E$33+'Appendix K'!$F$33+'Appendix K'!$H$33+'Appendix K'!$G$33))/((1+$Y$16)^3))</f>
        <v>4100596.4231033926</v>
      </c>
      <c r="AB168" s="193">
        <f>(((E168*'Appendix K'!$C$8*1000)-('Appendix K'!$E$34+'Appendix K'!$F$34+'Appendix K'!$H$34+'Appendix K'!$G$34))/((1+$Y$16)^4))</f>
        <v>4428206.5599943632</v>
      </c>
      <c r="AC168" s="193">
        <f>(((F168*'Appendix K'!$C$9*1000)-('Appendix K'!$E$35+'Appendix K'!$F$35+'Appendix K'!$H$35+'Appendix K'!$G$35))/((1+$Y$16)^AC$34))</f>
        <v>6946944.3619263703</v>
      </c>
      <c r="AD168" s="193">
        <f>(((G168*'Appendix K'!$C$10*1000)-('Appendix K'!$E$36+'Appendix K'!$F$36+'Appendix K'!$H$36+'Appendix K'!$G$36))/((1+$Y$16)^AD$34))</f>
        <v>5867225.3144902634</v>
      </c>
      <c r="AE168" s="193">
        <f>(((H168*'Appendix K'!$C$11*1000)-('Appendix K'!$E$37+'Appendix K'!$F$37+'Appendix K'!$H$37+'Appendix K'!$G$37))/((1+$Y$16)^AE$34))</f>
        <v>5594617.8025479903</v>
      </c>
      <c r="AF168" s="193">
        <f>(((I168*'Appendix K'!$C$12*1000)-('Appendix K'!$E$38+'Appendix K'!$F$38+'Appendix K'!$H$38+'Appendix K'!$G$38))/((1+$Y$16)^AF$34))</f>
        <v>6710525.5661944728</v>
      </c>
      <c r="AG168" s="193">
        <f>(((J168*'Appendix K'!$C$13*1000)-('Appendix K'!$E$39+'Appendix K'!$F$39+'Appendix K'!$H$39+'Appendix K'!$G$39))/((1+$Y$16)^AG$34))</f>
        <v>3209169.7266364074</v>
      </c>
      <c r="AH168" s="193">
        <f>(((K168*'Appendix K'!$C$14*1000)-('Appendix K'!$E$40+'Appendix K'!$F$40+'Appendix K'!$H$40+'Appendix K'!$G$40))/((1+$Y$16)^AH$34))</f>
        <v>2805605.0353677128</v>
      </c>
      <c r="AI168" s="193">
        <f>(((L168*'Appendix K'!$C$15*1000)-('Appendix K'!$E$41+'Appendix K'!$F$41+'Appendix K'!$H$41+'Appendix K'!$G$41))/((1+$Y$16)^AI$34))</f>
        <v>3116720.7235176046</v>
      </c>
      <c r="AJ168" s="193">
        <f>(((M168*'Appendix K'!$C$16*1000)-('Appendix K'!$E$42+'Appendix K'!$F$42+'Appendix K'!$H$42+'Appendix K'!$G$42))/((1+$Y$16)^AJ$34))</f>
        <v>3255221.7805961175</v>
      </c>
      <c r="AK168" s="193">
        <f>(((N168*'Appendix K'!$C$17*1000)-('Appendix K'!$E$43+'Appendix K'!$F$43+'Appendix K'!$H$43))/((1+$Y$16)^AK$34))</f>
        <v>1402613.621416179</v>
      </c>
      <c r="AL168" s="193">
        <f>(((O168*'Appendix K'!$C$18*1000)-('Appendix K'!$E$44+'Appendix K'!$F$44+'Appendix K'!$H$44+'Appendix K'!$G$44))/((1+$Y$16)^AL$34))</f>
        <v>1883635.2194705459</v>
      </c>
      <c r="AM168" s="193">
        <f>(((P168*'Appendix K'!$C$19*1000)-('Appendix K'!$E$45+'Appendix K'!$F$45+'Appendix K'!$H$45+'Appendix K'!$G$45))/((1+$Y$16)^AM$34))</f>
        <v>804872.97382196563</v>
      </c>
      <c r="AN168" s="193">
        <f>(((Q168*'Appendix K'!$C$20*1000)-('Appendix K'!$E$46+'Appendix K'!$F$46+'Appendix K'!$H$46+'Appendix K'!$G$46))/((1+$Y$16)^AN$34))</f>
        <v>266843.69097860873</v>
      </c>
      <c r="AO168" s="193">
        <f>(((R168*'Appendix K'!$C$21*1000)-('Appendix K'!$E$47+'Appendix K'!$F$47+'Appendix K'!$H$47+'Appendix K'!$G$47))/((1+$Y$16)^AO$34))</f>
        <v>-285870.33587298845</v>
      </c>
      <c r="AP168" s="193">
        <f>(((S168*'Appendix K'!$C$22*1000)-('Appendix K'!$E$48+'Appendix K'!$F$48+'Appendix K'!$H$48+'Appendix K'!$G$48))/((1+$Y$16)^AP$34))</f>
        <v>-323449.2458704419</v>
      </c>
      <c r="AQ168" s="193">
        <f>(((T168*'Appendix K'!$C$23*1000)-('Appendix K'!$E$49+'Appendix K'!$F$49+'Appendix K'!$H$49+'Appendix K'!$G$49))/((1+$Y$16)^AQ$34))</f>
        <v>-219498.46092716168</v>
      </c>
      <c r="AR168" s="193">
        <f>(((U168*'Appendix K'!$C$24*1000)-('Appendix K'!$E$50+'Appendix K'!$F$50+'Appendix K'!$H$50+'Appendix K'!$G$50))/((1+$Y$16)^AR$34))</f>
        <v>-177236.42737377956</v>
      </c>
      <c r="AS168" s="209">
        <f t="shared" si="20"/>
        <v>63029638.982465021</v>
      </c>
      <c r="AU168" s="199">
        <f t="shared" si="19"/>
        <v>6.3999356486630491E-9</v>
      </c>
    </row>
    <row r="169" spans="1:47" x14ac:dyDescent="0.35">
      <c r="A169">
        <v>135</v>
      </c>
      <c r="B169" s="70">
        <v>56</v>
      </c>
      <c r="C169" s="70">
        <v>85.925892521561281</v>
      </c>
      <c r="D169" s="70">
        <v>113.25185382073579</v>
      </c>
      <c r="E169" s="70">
        <v>109.66649441220672</v>
      </c>
      <c r="F169" s="70">
        <v>76.689815145337008</v>
      </c>
      <c r="G169" s="70">
        <v>104.81075330750274</v>
      </c>
      <c r="H169" s="70">
        <v>110.24485909778952</v>
      </c>
      <c r="I169" s="70">
        <v>152.21927617400678</v>
      </c>
      <c r="J169" s="70">
        <v>180.56069106420983</v>
      </c>
      <c r="K169" s="70">
        <v>201.77971451421197</v>
      </c>
      <c r="L169" s="70">
        <v>276.20105282986015</v>
      </c>
      <c r="M169" s="70">
        <v>421.13953011370825</v>
      </c>
      <c r="N169" s="70">
        <v>338.56597870979857</v>
      </c>
      <c r="O169" s="70">
        <v>421.42369177838162</v>
      </c>
      <c r="P169" s="70">
        <v>329.25329395462001</v>
      </c>
      <c r="Q169" s="70">
        <v>223.22443681584804</v>
      </c>
      <c r="R169" s="70">
        <v>410.84170883158777</v>
      </c>
      <c r="S169" s="70">
        <v>427.53090539470446</v>
      </c>
      <c r="T169" s="70">
        <v>229.15828265242806</v>
      </c>
      <c r="U169" s="70">
        <v>352.77119042346703</v>
      </c>
      <c r="V169" s="70">
        <v>467.39622476151681</v>
      </c>
      <c r="X169" s="193">
        <f>((0-('Appendix K'!$I$30))/(1+$Y$16)^0)</f>
        <v>-33594902.4440751</v>
      </c>
      <c r="Y169" s="193">
        <f>(((B169*'Appendix K'!$C$5*1000)-('Appendix K'!$E$31+'Appendix K'!$F$31+'Appendix K'!$H$31+'Appendix K'!$G$31))/((1+$Y$16)^1))</f>
        <v>34971064.972647354</v>
      </c>
      <c r="Z169" s="193">
        <f>+(((C169*'Appendix K'!$C$6*1000)-('Appendix K'!$E$32+'Appendix K'!$F$32+'Appendix K'!$H$32+'Appendix K'!$G$32))/((1+$Y$16)^2))</f>
        <v>18219102.382262003</v>
      </c>
      <c r="AA169" s="193">
        <f>(((D169*'Appendix K'!$C$7*1000)-('Appendix K'!$E$33+'Appendix K'!$F$33+'Appendix K'!$H$33+'Appendix K'!$G$33))/((1+$Y$16)^3))</f>
        <v>11460542.361854382</v>
      </c>
      <c r="AB169" s="193">
        <f>(((E169*'Appendix K'!$C$8*1000)-('Appendix K'!$E$34+'Appendix K'!$F$34+'Appendix K'!$H$34+'Appendix K'!$G$34))/((1+$Y$16)^4))</f>
        <v>20744683.786170583</v>
      </c>
      <c r="AC169" s="193">
        <f>(((F169*'Appendix K'!$C$9*1000)-('Appendix K'!$E$35+'Appendix K'!$F$35+'Appendix K'!$H$35+'Appendix K'!$G$35))/((1+$Y$16)^AC$34))</f>
        <v>17399803.921851434</v>
      </c>
      <c r="AD169" s="193">
        <f>(((G169*'Appendix K'!$C$10*1000)-('Appendix K'!$E$36+'Appendix K'!$F$36+'Appendix K'!$H$36+'Appendix K'!$G$36))/((1+$Y$16)^AD$34))</f>
        <v>13944131.883021291</v>
      </c>
      <c r="AE169" s="193">
        <f>(((H169*'Appendix K'!$C$11*1000)-('Appendix K'!$E$37+'Appendix K'!$F$37+'Appendix K'!$H$37+'Appendix K'!$G$37))/((1+$Y$16)^AE$34))</f>
        <v>8775619.8724353574</v>
      </c>
      <c r="AF169" s="193">
        <f>(((I169*'Appendix K'!$C$12*1000)-('Appendix K'!$E$38+'Appendix K'!$F$38+'Appendix K'!$H$38+'Appendix K'!$G$38))/((1+$Y$16)^AF$34))</f>
        <v>7998508.1050659837</v>
      </c>
      <c r="AG169" s="193">
        <f>(((J169*'Appendix K'!$C$13*1000)-('Appendix K'!$E$39+'Appendix K'!$F$39+'Appendix K'!$H$39+'Appendix K'!$G$39))/((1+$Y$16)^AG$34))</f>
        <v>6494266.3943926245</v>
      </c>
      <c r="AH169" s="193">
        <f>(((K169*'Appendix K'!$C$14*1000)-('Appendix K'!$E$40+'Appendix K'!$F$40+'Appendix K'!$H$40+'Appendix K'!$G$40))/((1+$Y$16)^AH$34))</f>
        <v>5168552.1900629159</v>
      </c>
      <c r="AI169" s="193">
        <f>(((L169*'Appendix K'!$C$15*1000)-('Appendix K'!$E$41+'Appendix K'!$F$41+'Appendix K'!$H$41+'Appendix K'!$G$41))/((1+$Y$16)^AI$34))</f>
        <v>5720502.7343127569</v>
      </c>
      <c r="AJ169" s="193">
        <f>(((M169*'Appendix K'!$C$16*1000)-('Appendix K'!$E$42+'Appendix K'!$F$42+'Appendix K'!$H$42+'Appendix K'!$G$42))/((1+$Y$16)^AJ$34))</f>
        <v>7058871.4829865098</v>
      </c>
      <c r="AK169" s="193">
        <f>(((N169*'Appendix K'!$C$17*1000)-('Appendix K'!$E$43+'Appendix K'!$F$43+'Appendix K'!$H$43))/((1+$Y$16)^AK$34))</f>
        <v>4197434.3648474133</v>
      </c>
      <c r="AL169" s="193">
        <f>(((O169*'Appendix K'!$C$18*1000)-('Appendix K'!$E$44+'Appendix K'!$F$44+'Appendix K'!$H$44+'Appendix K'!$G$44))/((1+$Y$16)^AL$34))</f>
        <v>3860669.8977962309</v>
      </c>
      <c r="AM169" s="193">
        <f>(((P169*'Appendix K'!$C$19*1000)-('Appendix K'!$E$45+'Appendix K'!$F$45+'Appendix K'!$H$45+'Appendix K'!$G$45))/((1+$Y$16)^AM$34))</f>
        <v>2024994.5312744204</v>
      </c>
      <c r="AN169" s="193">
        <f>(((Q169*'Appendix K'!$C$20*1000)-('Appendix K'!$E$46+'Appendix K'!$F$46+'Appendix K'!$H$46+'Appendix K'!$G$46))/((1+$Y$16)^AN$34))</f>
        <v>699591.60128028831</v>
      </c>
      <c r="AO169" s="193">
        <f>(((R169*'Appendix K'!$C$21*1000)-('Appendix K'!$E$47+'Appendix K'!$F$47+'Appendix K'!$H$47+'Appendix K'!$G$47))/((1+$Y$16)^AO$34))</f>
        <v>1585120.9636222026</v>
      </c>
      <c r="AP169" s="193">
        <f>(((S169*'Appendix K'!$C$22*1000)-('Appendix K'!$E$48+'Appendix K'!$F$48+'Appendix K'!$H$48+'Appendix K'!$G$48))/((1+$Y$16)^AP$34))</f>
        <v>1283299.8139199375</v>
      </c>
      <c r="AQ169" s="193">
        <f>(((T169*'Appendix K'!$C$23*1000)-('Appendix K'!$E$49+'Appendix K'!$F$49+'Appendix K'!$H$49+'Appendix K'!$G$49))/((1+$Y$16)^AQ$34))</f>
        <v>203381.22076489916</v>
      </c>
      <c r="AR169" s="193">
        <f>(((U169*'Appendix K'!$C$24*1000)-('Appendix K'!$E$50+'Appendix K'!$F$50+'Appendix K'!$H$50+'Appendix K'!$G$50))/((1+$Y$16)^AR$34))</f>
        <v>506644.24810134916</v>
      </c>
      <c r="AS169" s="209">
        <f t="shared" si="20"/>
        <v>138721884.28459486</v>
      </c>
      <c r="AU169" s="199">
        <f t="shared" si="19"/>
        <v>4.6864885148277691E-9</v>
      </c>
    </row>
    <row r="170" spans="1:47" x14ac:dyDescent="0.35">
      <c r="A170">
        <v>136</v>
      </c>
      <c r="B170" s="70">
        <v>56</v>
      </c>
      <c r="C170" s="70">
        <v>69.571837266352247</v>
      </c>
      <c r="D170" s="70">
        <v>64.649760011403018</v>
      </c>
      <c r="E170" s="70">
        <v>63.894443321133302</v>
      </c>
      <c r="F170" s="70">
        <v>85.196180546961628</v>
      </c>
      <c r="G170" s="70">
        <v>73.952209174718021</v>
      </c>
      <c r="H170" s="70">
        <v>73.180182881783921</v>
      </c>
      <c r="I170" s="70">
        <v>68.229537072158607</v>
      </c>
      <c r="J170" s="70">
        <v>93.743183266478724</v>
      </c>
      <c r="K170" s="70">
        <v>105.28343492845825</v>
      </c>
      <c r="L170" s="70">
        <v>94.029256922306885</v>
      </c>
      <c r="M170" s="70">
        <v>69.745780124983398</v>
      </c>
      <c r="N170" s="70">
        <v>119.61746920101444</v>
      </c>
      <c r="O170" s="70">
        <v>87.102852451322235</v>
      </c>
      <c r="P170" s="70">
        <v>115.62764059609638</v>
      </c>
      <c r="Q170" s="70">
        <v>106.28818906038246</v>
      </c>
      <c r="R170" s="70">
        <v>109.44917757899692</v>
      </c>
      <c r="S170" s="70">
        <v>159.90928286643646</v>
      </c>
      <c r="T170" s="70">
        <v>116.36701423058496</v>
      </c>
      <c r="U170" s="70">
        <v>94.307132942640351</v>
      </c>
      <c r="V170" s="70">
        <v>119.11311167806448</v>
      </c>
      <c r="X170" s="193">
        <f>((0-('Appendix K'!$I$30))/(1+$Y$16)^0)</f>
        <v>-33594902.4440751</v>
      </c>
      <c r="Y170" s="193">
        <f>(((B170*'Appendix K'!$C$5*1000)-('Appendix K'!$E$31+'Appendix K'!$F$31+'Appendix K'!$H$31+'Appendix K'!$G$31))/((1+$Y$16)^1))</f>
        <v>34971064.972647354</v>
      </c>
      <c r="Z170" s="193">
        <f>+(((C170*'Appendix K'!$C$6*1000)-('Appendix K'!$E$32+'Appendix K'!$F$32+'Appendix K'!$H$32+'Appendix K'!$G$32))/((1+$Y$16)^2))</f>
        <v>14087788.319359863</v>
      </c>
      <c r="AA170" s="193">
        <f>(((D170*'Appendix K'!$C$7*1000)-('Appendix K'!$E$33+'Appendix K'!$F$33+'Appendix K'!$H$33+'Appendix K'!$G$33))/((1+$Y$16)^3))</f>
        <v>5269856.866536526</v>
      </c>
      <c r="AB170" s="193">
        <f>(((E170*'Appendix K'!$C$8*1000)-('Appendix K'!$E$34+'Appendix K'!$F$34+'Appendix K'!$H$34+'Appendix K'!$G$34))/((1+$Y$16)^4))</f>
        <v>10711869.189805863</v>
      </c>
      <c r="AC170" s="193">
        <f>(((F170*'Appendix K'!$C$9*1000)-('Appendix K'!$E$35+'Appendix K'!$F$35+'Appendix K'!$H$35+'Appendix K'!$G$35))/((1+$Y$16)^AC$34))</f>
        <v>19660782.488212593</v>
      </c>
      <c r="AD170" s="193">
        <f>(((G170*'Appendix K'!$C$10*1000)-('Appendix K'!$E$36+'Appendix K'!$F$36+'Appendix K'!$H$36+'Appendix K'!$G$36))/((1+$Y$16)^AD$34))</f>
        <v>9097984.1743680835</v>
      </c>
      <c r="AE170" s="193">
        <f>(((H170*'Appendix K'!$C$11*1000)-('Appendix K'!$E$37+'Appendix K'!$F$37+'Appendix K'!$H$37+'Appendix K'!$G$37))/((1+$Y$16)^AE$34))</f>
        <v>5078876.9530589664</v>
      </c>
      <c r="AF170" s="193">
        <f>(((I170*'Appendix K'!$C$12*1000)-('Appendix K'!$E$38+'Appendix K'!$F$38+'Appendix K'!$H$38+'Appendix K'!$G$38))/((1+$Y$16)^AF$34))</f>
        <v>2483537.989263</v>
      </c>
      <c r="AG170" s="193">
        <f>(((J170*'Appendix K'!$C$13*1000)-('Appendix K'!$E$39+'Appendix K'!$F$39+'Appendix K'!$H$39+'Appendix K'!$G$39))/((1+$Y$16)^AG$34))</f>
        <v>2499017.3578659473</v>
      </c>
      <c r="AH170" s="193">
        <f>(((K170*'Appendix K'!$C$14*1000)-('Appendix K'!$E$40+'Appendix K'!$F$40+'Appendix K'!$H$40+'Appendix K'!$G$40))/((1+$Y$16)^AH$34))</f>
        <v>1915997.7603362785</v>
      </c>
      <c r="AI170" s="193">
        <f>(((L170*'Appendix K'!$C$15*1000)-('Appendix K'!$E$41+'Appendix K'!$F$41+'Appendix K'!$H$41+'Appendix K'!$G$41))/((1+$Y$16)^AI$34))</f>
        <v>947261.01860606845</v>
      </c>
      <c r="AJ170" s="193">
        <f>(((M170*'Appendix K'!$C$16*1000)-('Appendix K'!$E$42+'Appendix K'!$F$42+'Appendix K'!$H$42+'Appendix K'!$G$42))/((1+$Y$16)^AJ$34))</f>
        <v>16284.688830223631</v>
      </c>
      <c r="AK170" s="193">
        <f>(((N170*'Appendix K'!$C$17*1000)-('Appendix K'!$E$43+'Appendix K'!$F$43+'Appendix K'!$H$43))/((1+$Y$16)^AK$34))</f>
        <v>833531.91516011278</v>
      </c>
      <c r="AL170" s="193">
        <f>(((O170*'Appendix K'!$C$18*1000)-('Appendix K'!$E$44+'Appendix K'!$F$44+'Appendix K'!$H$44+'Appendix K'!$G$44))/((1+$Y$16)^AL$34))</f>
        <v>-102133.38536515582</v>
      </c>
      <c r="AM170" s="193">
        <f>(((P170*'Appendix K'!$C$19*1000)-('Appendix K'!$E$45+'Appendix K'!$F$45+'Appendix K'!$H$45+'Appendix K'!$G$45))/((1+$Y$16)^AM$34))</f>
        <v>44955.64634526788</v>
      </c>
      <c r="AN170" s="193">
        <f>(((Q170*'Appendix K'!$C$20*1000)-('Appendix K'!$E$46+'Appendix K'!$F$46+'Appendix K'!$H$46+'Appendix K'!$G$46))/((1+$Y$16)^AN$34))</f>
        <v>-146584.44988452579</v>
      </c>
      <c r="AO170" s="193">
        <f>(((R170*'Appendix K'!$C$21*1000)-('Appendix K'!$E$47+'Appendix K'!$F$47+'Appendix K'!$H$47+'Appendix K'!$G$47))/((1+$Y$16)^AO$34))</f>
        <v>-196142.19393958891</v>
      </c>
      <c r="AP170" s="193">
        <f>(((S170*'Appendix K'!$C$22*1000)-('Appendix K'!$E$48+'Appendix K'!$F$48+'Appendix K'!$H$48+'Appendix K'!$G$48))/((1+$Y$16)^AP$34))</f>
        <v>1467.3522432407271</v>
      </c>
      <c r="AQ170" s="193">
        <f>(((T170*'Appendix K'!$C$23*1000)-('Appendix K'!$E$49+'Appendix K'!$F$49+'Appendix K'!$H$49+'Appendix K'!$G$49))/((1+$Y$16)^AQ$34))</f>
        <v>-238054.92853293815</v>
      </c>
      <c r="AR170" s="193">
        <f>(((U170*'Appendix K'!$C$24*1000)-('Appendix K'!$E$50+'Appendix K'!$F$50+'Appendix K'!$H$50+'Appendix K'!$G$50))/((1+$Y$16)^AR$34))</f>
        <v>-325617.25885478477</v>
      </c>
      <c r="AS170" s="209">
        <f t="shared" si="20"/>
        <v>74025374.248564303</v>
      </c>
      <c r="AU170" s="199">
        <f t="shared" si="19"/>
        <v>6.8309326646506708E-9</v>
      </c>
    </row>
    <row r="171" spans="1:47" x14ac:dyDescent="0.35">
      <c r="A171">
        <v>137</v>
      </c>
      <c r="B171" s="70">
        <v>56</v>
      </c>
      <c r="C171" s="70">
        <v>38.422317792163369</v>
      </c>
      <c r="D171" s="70">
        <v>33.900851162565544</v>
      </c>
      <c r="E171" s="70">
        <v>34.449531868755088</v>
      </c>
      <c r="F171" s="70">
        <v>40.646378147403773</v>
      </c>
      <c r="G171" s="70">
        <v>54.996110738540928</v>
      </c>
      <c r="H171" s="70">
        <v>58.240759785573715</v>
      </c>
      <c r="I171" s="70">
        <v>75.170863265204687</v>
      </c>
      <c r="J171" s="70">
        <v>113.04677248691905</v>
      </c>
      <c r="K171" s="70">
        <v>119.18849673677143</v>
      </c>
      <c r="L171" s="70">
        <v>116.22851876631033</v>
      </c>
      <c r="M171" s="70">
        <v>157.56344545091804</v>
      </c>
      <c r="N171" s="70">
        <v>186.77496311762803</v>
      </c>
      <c r="O171" s="70">
        <v>177.12383294483803</v>
      </c>
      <c r="P171" s="70">
        <v>134.02276005813542</v>
      </c>
      <c r="Q171" s="70">
        <v>93.677649702310617</v>
      </c>
      <c r="R171" s="70">
        <v>125.96375431349665</v>
      </c>
      <c r="S171" s="70">
        <v>120.98348340744272</v>
      </c>
      <c r="T171" s="70">
        <v>138.83266503106313</v>
      </c>
      <c r="U171" s="70">
        <v>89.361810135935883</v>
      </c>
      <c r="V171" s="70">
        <v>139.02382667535602</v>
      </c>
      <c r="X171" s="193">
        <f>((0-('Appendix K'!$I$30))/(1+$Y$16)^0)</f>
        <v>-33594902.4440751</v>
      </c>
      <c r="Y171" s="193">
        <f>(((B171*'Appendix K'!$C$5*1000)-('Appendix K'!$E$31+'Appendix K'!$F$31+'Appendix K'!$H$31+'Appendix K'!$G$31))/((1+$Y$16)^1))</f>
        <v>34971064.972647354</v>
      </c>
      <c r="Z171" s="193">
        <f>+(((C171*'Appendix K'!$C$6*1000)-('Appendix K'!$E$32+'Appendix K'!$F$32+'Appendix K'!$H$32+'Appendix K'!$G$32))/((1+$Y$16)^2))</f>
        <v>6218886.9460829729</v>
      </c>
      <c r="AA171" s="193">
        <f>(((D171*'Appendix K'!$C$7*1000)-('Appendix K'!$E$33+'Appendix K'!$F$33+'Appendix K'!$H$33+'Appendix K'!$G$33))/((1+$Y$16)^3))</f>
        <v>1353218.5267538081</v>
      </c>
      <c r="AB171" s="193">
        <f>(((E171*'Appendix K'!$C$8*1000)-('Appendix K'!$E$34+'Appendix K'!$F$34+'Appendix K'!$H$34+'Appendix K'!$G$34))/((1+$Y$16)^4))</f>
        <v>4257814.141665373</v>
      </c>
      <c r="AC171" s="193">
        <f>(((F171*'Appendix K'!$C$9*1000)-('Appendix K'!$E$35+'Appendix K'!$F$35+'Appendix K'!$H$35+'Appendix K'!$G$35))/((1+$Y$16)^AC$34))</f>
        <v>7819514.9661534419</v>
      </c>
      <c r="AD171" s="193">
        <f>(((G171*'Appendix K'!$C$10*1000)-('Appendix K'!$E$36+'Appendix K'!$F$36+'Appendix K'!$H$36+'Appendix K'!$G$36))/((1+$Y$16)^AD$34))</f>
        <v>6121043.5706185326</v>
      </c>
      <c r="AE171" s="193">
        <f>(((H171*'Appendix K'!$C$11*1000)-('Appendix K'!$E$37+'Appendix K'!$F$37+'Appendix K'!$H$37+'Appendix K'!$G$37))/((1+$Y$16)^AE$34))</f>
        <v>3588854.3172579701</v>
      </c>
      <c r="AF171" s="193">
        <f>(((I171*'Appendix K'!$C$12*1000)-('Appendix K'!$E$38+'Appendix K'!$F$38+'Appendix K'!$H$38+'Appendix K'!$G$38))/((1+$Y$16)^AF$34))</f>
        <v>2939322.3139680554</v>
      </c>
      <c r="AG171" s="193">
        <f>(((J171*'Appendix K'!$C$13*1000)-('Appendix K'!$E$39+'Appendix K'!$F$39+'Appendix K'!$H$39+'Appendix K'!$G$39))/((1+$Y$16)^AG$34))</f>
        <v>3387347.9284019344</v>
      </c>
      <c r="AH171" s="193">
        <f>(((K171*'Appendix K'!$C$14*1000)-('Appendix K'!$E$40+'Appendix K'!$F$40+'Appendix K'!$H$40+'Appendix K'!$G$40))/((1+$Y$16)^AH$34))</f>
        <v>2384689.0982241775</v>
      </c>
      <c r="AI171" s="193">
        <f>(((L171*'Appendix K'!$C$15*1000)-('Appendix K'!$E$41+'Appendix K'!$F$41+'Appendix K'!$H$41+'Appendix K'!$G$41))/((1+$Y$16)^AI$34))</f>
        <v>1528923.1917421655</v>
      </c>
      <c r="AJ171" s="193">
        <f>(((M171*'Appendix K'!$C$16*1000)-('Appendix K'!$E$42+'Appendix K'!$F$42+'Appendix K'!$H$42+'Appendix K'!$G$42))/((1+$Y$16)^AJ$34))</f>
        <v>1776314.6556065485</v>
      </c>
      <c r="AK171" s="193">
        <f>(((N171*'Appendix K'!$C$17*1000)-('Appendix K'!$E$43+'Appendix K'!$F$43+'Appendix K'!$H$43))/((1+$Y$16)^AK$34))</f>
        <v>1865332.7655417542</v>
      </c>
      <c r="AL171" s="193">
        <f>(((O171*'Appendix K'!$C$18*1000)-('Appendix K'!$E$44+'Appendix K'!$F$44+'Appendix K'!$H$44+'Appendix K'!$G$44))/((1+$Y$16)^AL$34))</f>
        <v>964911.78528938547</v>
      </c>
      <c r="AM171" s="193">
        <f>(((P171*'Appendix K'!$C$19*1000)-('Appendix K'!$E$45+'Appendix K'!$F$45+'Appendix K'!$H$45+'Appendix K'!$G$45))/((1+$Y$16)^AM$34))</f>
        <v>215455.07492572142</v>
      </c>
      <c r="AN171" s="193">
        <f>(((Q171*'Appendix K'!$C$20*1000)-('Appendix K'!$E$46+'Appendix K'!$F$46+'Appendix K'!$H$46+'Appendix K'!$G$46))/((1+$Y$16)^AN$34))</f>
        <v>-237837.04779057551</v>
      </c>
      <c r="AO171" s="193">
        <f>(((R171*'Appendix K'!$C$21*1000)-('Appendix K'!$E$47+'Appendix K'!$F$47+'Appendix K'!$H$47+'Appendix K'!$G$47))/((1+$Y$16)^AO$34))</f>
        <v>-98539.22090759335</v>
      </c>
      <c r="AP171" s="193">
        <f>(((S171*'Appendix K'!$C$22*1000)-('Appendix K'!$E$48+'Appendix K'!$F$48+'Appendix K'!$H$48+'Appendix K'!$G$48))/((1+$Y$16)^AP$34))</f>
        <v>-184976.30231604286</v>
      </c>
      <c r="AQ171" s="193">
        <f>(((T171*'Appendix K'!$C$23*1000)-('Appendix K'!$E$49+'Appendix K'!$F$49+'Appendix K'!$H$49+'Appendix K'!$G$49))/((1+$Y$16)^AQ$34))</f>
        <v>-150130.12265397166</v>
      </c>
      <c r="AR171" s="193">
        <f>(((U171*'Appendix K'!$C$24*1000)-('Appendix K'!$E$50+'Appendix K'!$F$50+'Appendix K'!$H$50+'Appendix K'!$G$50))/((1+$Y$16)^AR$34))</f>
        <v>-341541.33685467346</v>
      </c>
      <c r="AS171" s="209">
        <f t="shared" si="20"/>
        <v>45797791.810804091</v>
      </c>
      <c r="AU171" s="199">
        <f t="shared" si="19"/>
        <v>5.3582564728389238E-9</v>
      </c>
    </row>
    <row r="172" spans="1:47" x14ac:dyDescent="0.35">
      <c r="A172">
        <v>138</v>
      </c>
      <c r="B172" s="70">
        <v>56</v>
      </c>
      <c r="C172" s="70">
        <v>40.512104666681381</v>
      </c>
      <c r="D172" s="70">
        <v>60.50551316617738</v>
      </c>
      <c r="E172" s="70">
        <v>51.462912793739022</v>
      </c>
      <c r="F172" s="70">
        <v>55.486562770923918</v>
      </c>
      <c r="G172" s="70">
        <v>74.539353403958444</v>
      </c>
      <c r="H172" s="70">
        <v>67.331097013408254</v>
      </c>
      <c r="I172" s="70">
        <v>70.649838870554234</v>
      </c>
      <c r="J172" s="70">
        <v>79.061884971336923</v>
      </c>
      <c r="K172" s="70">
        <v>122.56200101065538</v>
      </c>
      <c r="L172" s="70">
        <v>122.4749379177717</v>
      </c>
      <c r="M172" s="70">
        <v>64.190410379554706</v>
      </c>
      <c r="N172" s="70">
        <v>118.18139654277162</v>
      </c>
      <c r="O172" s="70">
        <v>155.38094878680258</v>
      </c>
      <c r="P172" s="70">
        <v>138.17629258973858</v>
      </c>
      <c r="Q172" s="70">
        <v>124.55358551785721</v>
      </c>
      <c r="R172" s="70">
        <v>159.73617854370622</v>
      </c>
      <c r="S172" s="70">
        <v>123.58737119778297</v>
      </c>
      <c r="T172" s="70">
        <v>155.71869067342922</v>
      </c>
      <c r="U172" s="70">
        <v>220.26585267777912</v>
      </c>
      <c r="V172" s="70">
        <v>298.82149438171518</v>
      </c>
      <c r="X172" s="193">
        <f>((0-('Appendix K'!$I$30))/(1+$Y$16)^0)</f>
        <v>-33594902.4440751</v>
      </c>
      <c r="Y172" s="193">
        <f>(((B172*'Appendix K'!$C$5*1000)-('Appendix K'!$E$31+'Appendix K'!$F$31+'Appendix K'!$H$31+'Appendix K'!$G$31))/((1+$Y$16)^1))</f>
        <v>34971064.972647354</v>
      </c>
      <c r="Z172" s="193">
        <f>+(((C172*'Appendix K'!$C$6*1000)-('Appendix K'!$E$32+'Appendix K'!$F$32+'Appendix K'!$H$32+'Appendix K'!$G$32))/((1+$Y$16)^2))</f>
        <v>6746802.8524704501</v>
      </c>
      <c r="AA172" s="193">
        <f>(((D172*'Appendix K'!$C$7*1000)-('Appendix K'!$E$33+'Appendix K'!$F$33+'Appendix K'!$H$33+'Appendix K'!$G$33))/((1+$Y$16)^3))</f>
        <v>4741983.9536039429</v>
      </c>
      <c r="AB172" s="193">
        <f>(((E172*'Appendix K'!$C$8*1000)-('Appendix K'!$E$34+'Appendix K'!$F$34+'Appendix K'!$H$34+'Appendix K'!$G$34))/((1+$Y$16)^4))</f>
        <v>7986991.4979097554</v>
      </c>
      <c r="AC172" s="193">
        <f>(((F172*'Appendix K'!$C$9*1000)-('Appendix K'!$E$35+'Appendix K'!$F$35+'Appendix K'!$H$35+'Appendix K'!$G$35))/((1+$Y$16)^AC$34))</f>
        <v>11764012.735813467</v>
      </c>
      <c r="AD172" s="193">
        <f>(((G172*'Appendix K'!$C$10*1000)-('Appendix K'!$E$36+'Appendix K'!$F$36+'Appendix K'!$H$36+'Appendix K'!$G$36))/((1+$Y$16)^AD$34))</f>
        <v>9190191.624238003</v>
      </c>
      <c r="AE172" s="193">
        <f>(((H172*'Appendix K'!$C$11*1000)-('Appendix K'!$E$37+'Appendix K'!$F$37+'Appendix K'!$H$37+'Appendix K'!$G$37))/((1+$Y$16)^AE$34))</f>
        <v>4495502.9976861961</v>
      </c>
      <c r="AF172" s="193">
        <f>(((I172*'Appendix K'!$C$12*1000)-('Appendix K'!$E$38+'Appendix K'!$F$38+'Appendix K'!$H$38+'Appendix K'!$G$38))/((1+$Y$16)^AF$34))</f>
        <v>2642460.8795126062</v>
      </c>
      <c r="AG172" s="193">
        <f>(((J172*'Appendix K'!$C$13*1000)-('Appendix K'!$E$39+'Appendix K'!$F$39+'Appendix K'!$H$39+'Appendix K'!$G$39))/((1+$Y$16)^AG$34))</f>
        <v>1823399.6817022599</v>
      </c>
      <c r="AH172" s="193">
        <f>(((K172*'Appendix K'!$C$14*1000)-('Appendix K'!$E$40+'Appendix K'!$F$40+'Appendix K'!$H$40+'Appendix K'!$G$40))/((1+$Y$16)^AH$34))</f>
        <v>2498398.2102938509</v>
      </c>
      <c r="AI172" s="193">
        <f>(((L172*'Appendix K'!$C$15*1000)-('Appendix K'!$E$41+'Appendix K'!$F$41+'Appendix K'!$H$41+'Appendix K'!$G$41))/((1+$Y$16)^AI$34))</f>
        <v>1692591.0543715442</v>
      </c>
      <c r="AJ172" s="193">
        <f>(((M172*'Appendix K'!$C$16*1000)-('Appendix K'!$E$42+'Appendix K'!$F$42+'Appendix K'!$H$42+'Appendix K'!$G$42))/((1+$Y$16)^AJ$34))</f>
        <v>-95055.29262097436</v>
      </c>
      <c r="AK172" s="193">
        <f>(((N172*'Appendix K'!$C$17*1000)-('Appendix K'!$E$43+'Appendix K'!$F$43+'Appendix K'!$H$43))/((1+$Y$16)^AK$34))</f>
        <v>811468.24208999204</v>
      </c>
      <c r="AL172" s="193">
        <f>(((O172*'Appendix K'!$C$18*1000)-('Appendix K'!$E$44+'Appendix K'!$F$44+'Appendix K'!$H$44+'Appendix K'!$G$44))/((1+$Y$16)^AL$34))</f>
        <v>707186.98147430154</v>
      </c>
      <c r="AM172" s="193">
        <f>(((P172*'Appendix K'!$C$19*1000)-('Appendix K'!$E$45+'Appendix K'!$F$45+'Appendix K'!$H$45+'Appendix K'!$G$45))/((1+$Y$16)^AM$34))</f>
        <v>253953.05395163002</v>
      </c>
      <c r="AN172" s="193">
        <f>(((Q172*'Appendix K'!$C$20*1000)-('Appendix K'!$E$46+'Appendix K'!$F$46+'Appendix K'!$H$46+'Appendix K'!$G$46))/((1+$Y$16)^AN$34))</f>
        <v>-14412.079520235819</v>
      </c>
      <c r="AO172" s="193">
        <f>(((R172*'Appendix K'!$C$21*1000)-('Appendix K'!$E$47+'Appendix K'!$F$47+'Appendix K'!$H$47+'Appendix K'!$G$47))/((1+$Y$16)^AO$34))</f>
        <v>101059.53747173311</v>
      </c>
      <c r="AP172" s="193">
        <f>(((S172*'Appendix K'!$C$22*1000)-('Appendix K'!$E$48+'Appendix K'!$F$48+'Appendix K'!$H$48+'Appendix K'!$G$48))/((1+$Y$16)^AP$34))</f>
        <v>-172504.41060307354</v>
      </c>
      <c r="AQ172" s="193">
        <f>(((T172*'Appendix K'!$C$23*1000)-('Appendix K'!$E$49+'Appendix K'!$F$49+'Appendix K'!$H$49+'Appendix K'!$G$49))/((1+$Y$16)^AQ$34))</f>
        <v>-84042.541223181834</v>
      </c>
      <c r="AR172" s="193">
        <f>(((U172*'Appendix K'!$C$24*1000)-('Appendix K'!$E$50+'Appendix K'!$F$50+'Appendix K'!$H$50+'Appendix K'!$G$50))/((1+$Y$16)^AR$34))</f>
        <v>79973.347911916018</v>
      </c>
      <c r="AS172" s="209">
        <f t="shared" si="20"/>
        <v>56912139.179073878</v>
      </c>
      <c r="AU172" s="199">
        <f t="shared" si="19"/>
        <v>6.072533615238295E-9</v>
      </c>
    </row>
    <row r="173" spans="1:47" x14ac:dyDescent="0.35">
      <c r="A173">
        <v>139</v>
      </c>
      <c r="B173" s="70">
        <v>56</v>
      </c>
      <c r="C173" s="70">
        <v>66.279318667537311</v>
      </c>
      <c r="D173" s="70">
        <v>75.763994152588424</v>
      </c>
      <c r="E173" s="70">
        <v>87.687531321381414</v>
      </c>
      <c r="F173" s="70">
        <v>77.856486686047063</v>
      </c>
      <c r="G173" s="70">
        <v>98.618700028417109</v>
      </c>
      <c r="H173" s="70">
        <v>68.977264870262502</v>
      </c>
      <c r="I173" s="70">
        <v>62.077388507176344</v>
      </c>
      <c r="J173" s="70">
        <v>90.672614331255062</v>
      </c>
      <c r="K173" s="70">
        <v>120.50120665202829</v>
      </c>
      <c r="L173" s="70">
        <v>133.88270044588722</v>
      </c>
      <c r="M173" s="70">
        <v>137.68203845410349</v>
      </c>
      <c r="N173" s="70">
        <v>154.26918685302314</v>
      </c>
      <c r="O173" s="70">
        <v>136.16296801340678</v>
      </c>
      <c r="P173" s="70">
        <v>166.72005276143832</v>
      </c>
      <c r="Q173" s="70">
        <v>231.21783343978819</v>
      </c>
      <c r="R173" s="70">
        <v>177.88243792128512</v>
      </c>
      <c r="S173" s="70">
        <v>149.65067065216218</v>
      </c>
      <c r="T173" s="70">
        <v>185.30195247343539</v>
      </c>
      <c r="U173" s="70">
        <v>216.38252971756728</v>
      </c>
      <c r="V173" s="70">
        <v>256.55088750233517</v>
      </c>
      <c r="X173" s="193">
        <f>((0-('Appendix K'!$I$30))/(1+$Y$16)^0)</f>
        <v>-33594902.4440751</v>
      </c>
      <c r="Y173" s="193">
        <f>(((B173*'Appendix K'!$C$5*1000)-('Appendix K'!$E$31+'Appendix K'!$F$31+'Appendix K'!$H$31+'Appendix K'!$G$31))/((1+$Y$16)^1))</f>
        <v>34971064.972647354</v>
      </c>
      <c r="Z173" s="193">
        <f>+(((C173*'Appendix K'!$C$6*1000)-('Appendix K'!$E$32+'Appendix K'!$F$32+'Appendix K'!$H$32+'Appendix K'!$G$32))/((1+$Y$16)^2))</f>
        <v>13256041.808945062</v>
      </c>
      <c r="AA173" s="193">
        <f>(((D173*'Appendix K'!$C$7*1000)-('Appendix K'!$E$33+'Appendix K'!$F$33+'Appendix K'!$H$33+'Appendix K'!$G$33))/((1+$Y$16)^3))</f>
        <v>6685531.0216321014</v>
      </c>
      <c r="AB173" s="193">
        <f>(((E173*'Appendix K'!$C$8*1000)-('Appendix K'!$E$34+'Appendix K'!$F$34+'Appendix K'!$H$34+'Appendix K'!$G$34))/((1+$Y$16)^4))</f>
        <v>15927096.274703391</v>
      </c>
      <c r="AC173" s="193">
        <f>(((F173*'Appendix K'!$C$9*1000)-('Appendix K'!$E$35+'Appendix K'!$F$35+'Appendix K'!$H$35+'Appendix K'!$G$35))/((1+$Y$16)^AC$34))</f>
        <v>17709903.385369096</v>
      </c>
      <c r="AD173" s="193">
        <f>(((G173*'Appendix K'!$C$10*1000)-('Appendix K'!$E$36+'Appendix K'!$F$36+'Appendix K'!$H$36+'Appendix K'!$G$36))/((1+$Y$16)^AD$34))</f>
        <v>12971707.368074106</v>
      </c>
      <c r="AE173" s="193">
        <f>(((H173*'Appendix K'!$C$11*1000)-('Appendix K'!$E$37+'Appendix K'!$F$37+'Appendix K'!$H$37+'Appendix K'!$G$37))/((1+$Y$16)^AE$34))</f>
        <v>4659687.8763956754</v>
      </c>
      <c r="AF173" s="193">
        <f>(((I173*'Appendix K'!$C$12*1000)-('Appendix K'!$E$38+'Appendix K'!$F$38+'Appendix K'!$H$38+'Appendix K'!$G$38))/((1+$Y$16)^AF$34))</f>
        <v>2079572.9829815275</v>
      </c>
      <c r="AG173" s="193">
        <f>(((J173*'Appendix K'!$C$13*1000)-('Appendix K'!$E$39+'Appendix K'!$F$39+'Appendix K'!$H$39+'Appendix K'!$G$39))/((1+$Y$16)^AG$34))</f>
        <v>2357713.053109556</v>
      </c>
      <c r="AH173" s="193">
        <f>(((K173*'Appendix K'!$C$14*1000)-('Appendix K'!$E$40+'Appendix K'!$F$40+'Appendix K'!$H$40+'Appendix K'!$G$40))/((1+$Y$16)^AH$34))</f>
        <v>2428935.9901058534</v>
      </c>
      <c r="AI173" s="193">
        <f>(((L173*'Appendix K'!$C$15*1000)-('Appendix K'!$E$41+'Appendix K'!$F$41+'Appendix K'!$H$41+'Appendix K'!$G$41))/((1+$Y$16)^AI$34))</f>
        <v>1991495.7652287034</v>
      </c>
      <c r="AJ173" s="193">
        <f>(((M173*'Appendix K'!$C$16*1000)-('Appendix K'!$E$42+'Appendix K'!$F$42+'Appendix K'!$H$42+'Appendix K'!$G$42))/((1+$Y$16)^AJ$34))</f>
        <v>1377854.1412419498</v>
      </c>
      <c r="AK173" s="193">
        <f>(((N173*'Appendix K'!$C$17*1000)-('Appendix K'!$E$43+'Appendix K'!$F$43+'Appendix K'!$H$43))/((1+$Y$16)^AK$34))</f>
        <v>1365917.3520693702</v>
      </c>
      <c r="AL173" s="193">
        <f>(((O173*'Appendix K'!$C$18*1000)-('Appendix K'!$E$44+'Appendix K'!$F$44+'Appendix K'!$H$44+'Appendix K'!$G$44))/((1+$Y$16)^AL$34))</f>
        <v>479390.60043554025</v>
      </c>
      <c r="AM173" s="193">
        <f>(((P173*'Appendix K'!$C$19*1000)-('Appendix K'!$E$45+'Appendix K'!$F$45+'Appendix K'!$H$45+'Appendix K'!$G$45))/((1+$Y$16)^AM$34))</f>
        <v>518517.51132606773</v>
      </c>
      <c r="AN173" s="193">
        <f>(((Q173*'Appendix K'!$C$20*1000)-('Appendix K'!$E$46+'Appendix K'!$F$46+'Appendix K'!$H$46+'Appendix K'!$G$46))/((1+$Y$16)^AN$34))</f>
        <v>757433.55294598697</v>
      </c>
      <c r="AO173" s="193">
        <f>(((R173*'Appendix K'!$C$21*1000)-('Appendix K'!$E$47+'Appendix K'!$F$47+'Appendix K'!$H$47+'Appendix K'!$G$47))/((1+$Y$16)^AO$34))</f>
        <v>208305.93519269049</v>
      </c>
      <c r="AP173" s="193">
        <f>(((S173*'Appendix K'!$C$22*1000)-('Appendix K'!$E$48+'Appendix K'!$F$48+'Appendix K'!$H$48+'Appendix K'!$G$48))/((1+$Y$16)^AP$34))</f>
        <v>-47668.521098312121</v>
      </c>
      <c r="AQ173" s="193">
        <f>(((T173*'Appendix K'!$C$23*1000)-('Appendix K'!$E$49+'Appendix K'!$F$49+'Appendix K'!$H$49+'Appendix K'!$G$49))/((1+$Y$16)^AQ$34))</f>
        <v>31738.77195279019</v>
      </c>
      <c r="AR173" s="193">
        <f>(((U173*'Appendix K'!$C$24*1000)-('Appendix K'!$E$50+'Appendix K'!$F$50+'Appendix K'!$H$50+'Appendix K'!$G$50))/((1+$Y$16)^AR$34))</f>
        <v>67468.939173757171</v>
      </c>
      <c r="AS173" s="209">
        <f t="shared" si="20"/>
        <v>86250474.859455496</v>
      </c>
      <c r="AU173" s="199">
        <f t="shared" si="19"/>
        <v>7.0276359479458623E-9</v>
      </c>
    </row>
    <row r="174" spans="1:47" x14ac:dyDescent="0.35">
      <c r="A174">
        <v>140</v>
      </c>
      <c r="B174" s="70">
        <v>56</v>
      </c>
      <c r="C174" s="70">
        <v>64.899431935689975</v>
      </c>
      <c r="D174" s="70">
        <v>65.81925807750207</v>
      </c>
      <c r="E174" s="70">
        <v>91.72596047615869</v>
      </c>
      <c r="F174" s="70">
        <v>124.84394638858701</v>
      </c>
      <c r="G174" s="70">
        <v>113.11971989184771</v>
      </c>
      <c r="H174" s="70">
        <v>155.3759540536872</v>
      </c>
      <c r="I174" s="70">
        <v>197.73585844985095</v>
      </c>
      <c r="J174" s="70">
        <v>332.20929168179805</v>
      </c>
      <c r="K174" s="70">
        <v>366.9432920544088</v>
      </c>
      <c r="L174" s="70">
        <v>180.14164349914239</v>
      </c>
      <c r="M174" s="70">
        <v>121.12901258652495</v>
      </c>
      <c r="N174" s="70">
        <v>72.668449481669853</v>
      </c>
      <c r="O174" s="70">
        <v>108.8366826163662</v>
      </c>
      <c r="P174" s="70">
        <v>103.13339810193837</v>
      </c>
      <c r="Q174" s="70">
        <v>61.237969316564289</v>
      </c>
      <c r="R174" s="70">
        <v>35.954951480987262</v>
      </c>
      <c r="S174" s="70">
        <v>31.219669020650098</v>
      </c>
      <c r="T174" s="70">
        <v>28.333008329651154</v>
      </c>
      <c r="U174" s="70">
        <v>34.339500596885856</v>
      </c>
      <c r="V174" s="70">
        <v>57.017544606433006</v>
      </c>
      <c r="X174" s="193">
        <f>((0-('Appendix K'!$I$30))/(1+$Y$16)^0)</f>
        <v>-33594902.4440751</v>
      </c>
      <c r="Y174" s="193">
        <f>(((B174*'Appendix K'!$C$5*1000)-('Appendix K'!$E$31+'Appendix K'!$F$31+'Appendix K'!$H$31+'Appendix K'!$G$31))/((1+$Y$16)^1))</f>
        <v>34971064.972647354</v>
      </c>
      <c r="Z174" s="193">
        <f>+(((C174*'Appendix K'!$C$6*1000)-('Appendix K'!$E$32+'Appendix K'!$F$32+'Appendix K'!$H$32+'Appendix K'!$G$32))/((1+$Y$16)^2))</f>
        <v>12907458.820106426</v>
      </c>
      <c r="AA174" s="193">
        <f>(((D174*'Appendix K'!$C$7*1000)-('Appendix K'!$E$33+'Appendix K'!$F$33+'Appendix K'!$H$33+'Appendix K'!$G$33))/((1+$Y$16)^3))</f>
        <v>5418821.5334293637</v>
      </c>
      <c r="AB174" s="193">
        <f>(((E174*'Appendix K'!$C$8*1000)-('Appendix K'!$E$34+'Appendix K'!$F$34+'Appendix K'!$H$34+'Appendix K'!$G$34))/((1+$Y$16)^4))</f>
        <v>16812282.977169868</v>
      </c>
      <c r="AC174" s="193">
        <f>(((F174*'Appendix K'!$C$9*1000)-('Appendix K'!$E$35+'Appendix K'!$F$35+'Appendix K'!$H$35+'Appendix K'!$G$35))/((1+$Y$16)^AC$34))</f>
        <v>30199096.390752025</v>
      </c>
      <c r="AD174" s="193">
        <f>(((G174*'Appendix K'!$C$10*1000)-('Appendix K'!$E$36+'Appendix K'!$F$36+'Appendix K'!$H$36+'Appendix K'!$G$36))/((1+$Y$16)^AD$34))</f>
        <v>15249004.82844387</v>
      </c>
      <c r="AE174" s="193">
        <f>(((H174*'Appendix K'!$C$11*1000)-('Appendix K'!$E$37+'Appendix K'!$F$37+'Appendix K'!$H$37+'Appendix K'!$G$37))/((1+$Y$16)^AE$34))</f>
        <v>13276888.270130755</v>
      </c>
      <c r="AF174" s="193">
        <f>(((I174*'Appendix K'!$C$12*1000)-('Appendix K'!$E$38+'Appendix K'!$F$38+'Appendix K'!$H$38+'Appendix K'!$G$38))/((1+$Y$16)^AF$34))</f>
        <v>10987237.367819995</v>
      </c>
      <c r="AG174" s="193">
        <f>(((J174*'Appendix K'!$C$13*1000)-('Appendix K'!$E$39+'Appendix K'!$F$39+'Appendix K'!$H$39+'Appendix K'!$G$39))/((1+$Y$16)^AG$34))</f>
        <v>13472973.11930361</v>
      </c>
      <c r="AH174" s="193">
        <f>(((K174*'Appendix K'!$C$14*1000)-('Appendix K'!$E$40+'Appendix K'!$F$40+'Appendix K'!$H$40+'Appendix K'!$G$40))/((1+$Y$16)^AH$34))</f>
        <v>10735642.735563869</v>
      </c>
      <c r="AI174" s="193">
        <f>(((L174*'Appendix K'!$C$15*1000)-('Appendix K'!$E$41+'Appendix K'!$F$41+'Appendix K'!$H$41+'Appendix K'!$G$41))/((1+$Y$16)^AI$34))</f>
        <v>3203566.5778716747</v>
      </c>
      <c r="AJ174" s="193">
        <f>(((M174*'Appendix K'!$C$16*1000)-('Appendix K'!$E$42+'Appendix K'!$F$42+'Appendix K'!$H$42+'Appendix K'!$G$42))/((1+$Y$16)^AJ$34))</f>
        <v>1046100.5987214111</v>
      </c>
      <c r="AK174" s="193">
        <f>(((N174*'Appendix K'!$C$17*1000)-('Appendix K'!$E$43+'Appendix K'!$F$43+'Appendix K'!$H$43))/((1+$Y$16)^AK$34))</f>
        <v>112211.99022139332</v>
      </c>
      <c r="AL174" s="193">
        <f>(((O174*'Appendix K'!$C$18*1000)-('Appendix K'!$E$44+'Appendix K'!$F$44+'Appendix K'!$H$44+'Appendix K'!$G$44))/((1+$Y$16)^AL$34))</f>
        <v>155484.09880684339</v>
      </c>
      <c r="AM174" s="193">
        <f>(((P174*'Appendix K'!$C$19*1000)-('Appendix K'!$E$45+'Appendix K'!$F$45+'Appendix K'!$H$45+'Appendix K'!$G$45))/((1+$Y$16)^AM$34))</f>
        <v>-70850.136280697945</v>
      </c>
      <c r="AN174" s="193">
        <f>(((Q174*'Appendix K'!$C$20*1000)-('Appendix K'!$E$46+'Appendix K'!$F$46+'Appendix K'!$H$46+'Appendix K'!$G$46))/((1+$Y$16)^AN$34))</f>
        <v>-472577.6109328242</v>
      </c>
      <c r="AO174" s="193">
        <f>(((R174*'Appendix K'!$C$21*1000)-('Appendix K'!$E$47+'Appendix K'!$F$47+'Appendix K'!$H$47+'Appendix K'!$G$47))/((1+$Y$16)^AO$34))</f>
        <v>-630501.18982388242</v>
      </c>
      <c r="AP174" s="193">
        <f>(((S174*'Appendix K'!$C$22*1000)-('Appendix K'!$E$48+'Appendix K'!$F$48+'Appendix K'!$H$48+'Appendix K'!$G$48))/((1+$Y$16)^AP$34))</f>
        <v>-614919.78026786214</v>
      </c>
      <c r="AQ174" s="193">
        <f>(((T174*'Appendix K'!$C$23*1000)-('Appendix K'!$E$49+'Appendix K'!$F$49+'Appendix K'!$H$49+'Appendix K'!$G$49))/((1+$Y$16)^AQ$34))</f>
        <v>-582597.49034568784</v>
      </c>
      <c r="AR174" s="193">
        <f>(((U174*'Appendix K'!$C$24*1000)-('Appendix K'!$E$50+'Appendix K'!$F$50+'Appendix K'!$H$50+'Appendix K'!$G$50))/((1+$Y$16)^AR$34))</f>
        <v>-518714.71523272368</v>
      </c>
      <c r="AS174" s="209">
        <f t="shared" si="20"/>
        <v>134952931.83691335</v>
      </c>
      <c r="AU174" s="199">
        <f t="shared" si="19"/>
        <v>4.9643516084311619E-9</v>
      </c>
    </row>
    <row r="175" spans="1:47" x14ac:dyDescent="0.35">
      <c r="A175">
        <v>141</v>
      </c>
      <c r="B175" s="70">
        <v>56</v>
      </c>
      <c r="C175" s="70">
        <v>24.526443230957433</v>
      </c>
      <c r="D175" s="70">
        <v>27.425517272929028</v>
      </c>
      <c r="E175" s="70">
        <v>24.619729114974401</v>
      </c>
      <c r="F175" s="70">
        <v>23.932330564032046</v>
      </c>
      <c r="G175" s="70">
        <v>36.239703891805405</v>
      </c>
      <c r="H175" s="70">
        <v>60.527492553416096</v>
      </c>
      <c r="I175" s="70">
        <v>48.343103479728285</v>
      </c>
      <c r="J175" s="70">
        <v>68.4442563278715</v>
      </c>
      <c r="K175" s="70">
        <v>78.035292620649784</v>
      </c>
      <c r="L175" s="70">
        <v>85.510152749866279</v>
      </c>
      <c r="M175" s="70">
        <v>134.05753466854458</v>
      </c>
      <c r="N175" s="70">
        <v>198.0771309754781</v>
      </c>
      <c r="O175" s="70">
        <v>184.39073507837929</v>
      </c>
      <c r="P175" s="70">
        <v>153.9297309446417</v>
      </c>
      <c r="Q175" s="70">
        <v>209.28491454103573</v>
      </c>
      <c r="R175" s="70">
        <v>229.10209715485647</v>
      </c>
      <c r="S175" s="70">
        <v>155.99348574324108</v>
      </c>
      <c r="T175" s="70">
        <v>153.67138980993062</v>
      </c>
      <c r="U175" s="70">
        <v>90.162199791471878</v>
      </c>
      <c r="V175" s="70">
        <v>118.39935534139228</v>
      </c>
      <c r="X175" s="193">
        <f>((0-('Appendix K'!$I$30))/(1+$Y$16)^0)</f>
        <v>-33594902.4440751</v>
      </c>
      <c r="Y175" s="193">
        <f>(((B175*'Appendix K'!$C$5*1000)-('Appendix K'!$E$31+'Appendix K'!$F$31+'Appendix K'!$H$31+'Appendix K'!$G$31))/((1+$Y$16)^1))</f>
        <v>34971064.972647354</v>
      </c>
      <c r="Z175" s="193">
        <f>+(((C175*'Appendix K'!$C$6*1000)-('Appendix K'!$E$32+'Appendix K'!$F$32+'Appendix K'!$H$32+'Appendix K'!$G$32))/((1+$Y$16)^2))</f>
        <v>2708551.3690554518</v>
      </c>
      <c r="AA175" s="193">
        <f>(((D175*'Appendix K'!$C$7*1000)-('Appendix K'!$E$33+'Appendix K'!$F$33+'Appendix K'!$H$33+'Appendix K'!$G$33))/((1+$Y$16)^3))</f>
        <v>528423.69908291951</v>
      </c>
      <c r="AB175" s="193">
        <f>(((E175*'Appendix K'!$C$8*1000)-('Appendix K'!$E$34+'Appendix K'!$F$34+'Appendix K'!$H$34+'Appendix K'!$G$34))/((1+$Y$16)^4))</f>
        <v>2103211.3612199449</v>
      </c>
      <c r="AC175" s="193">
        <f>(((F175*'Appendix K'!$C$9*1000)-('Appendix K'!$E$35+'Appendix K'!$F$35+'Appendix K'!$H$35+'Appendix K'!$G$35))/((1+$Y$16)^AC$34))</f>
        <v>3376947.364257745</v>
      </c>
      <c r="AD175" s="193">
        <f>(((G175*'Appendix K'!$C$10*1000)-('Appendix K'!$E$36+'Appendix K'!$F$36+'Appendix K'!$H$36+'Appendix K'!$G$36))/((1+$Y$16)^AD$34))</f>
        <v>3175463.3231594618</v>
      </c>
      <c r="AE175" s="193">
        <f>(((H175*'Appendix K'!$C$11*1000)-('Appendix K'!$E$37+'Appendix K'!$F$37+'Appendix K'!$H$37+'Appendix K'!$G$37))/((1+$Y$16)^AE$34))</f>
        <v>3816927.6213052571</v>
      </c>
      <c r="AF175" s="193">
        <f>(((I175*'Appendix K'!$C$12*1000)-('Appendix K'!$E$38+'Appendix K'!$F$38+'Appendix K'!$H$38+'Appendix K'!$G$38))/((1+$Y$16)^AF$34))</f>
        <v>1177746.4944333597</v>
      </c>
      <c r="AG175" s="193">
        <f>(((J175*'Appendix K'!$C$13*1000)-('Appendix K'!$E$39+'Appendix K'!$F$39+'Appendix K'!$H$39+'Appendix K'!$G$39))/((1+$Y$16)^AG$34))</f>
        <v>1334787.7451924686</v>
      </c>
      <c r="AH175" s="193">
        <f>(((K175*'Appendix K'!$C$14*1000)-('Appendix K'!$E$40+'Appendix K'!$F$40+'Appendix K'!$H$40+'Appendix K'!$G$40))/((1+$Y$16)^AH$34))</f>
        <v>997557.52258260897</v>
      </c>
      <c r="AI175" s="193">
        <f>(((L175*'Appendix K'!$C$15*1000)-('Appendix K'!$E$41+'Appendix K'!$F$41+'Appendix K'!$H$41+'Appendix K'!$G$41))/((1+$Y$16)^AI$34))</f>
        <v>724044.55848520482</v>
      </c>
      <c r="AJ175" s="193">
        <f>(((M175*'Appendix K'!$C$16*1000)-('Appendix K'!$E$42+'Appendix K'!$F$42+'Appendix K'!$H$42+'Appendix K'!$G$42))/((1+$Y$16)^AJ$34))</f>
        <v>1305212.31851071</v>
      </c>
      <c r="AK175" s="193">
        <f>(((N175*'Appendix K'!$C$17*1000)-('Appendix K'!$E$43+'Appendix K'!$F$43+'Appendix K'!$H$43))/((1+$Y$16)^AK$34))</f>
        <v>2038978.1136151268</v>
      </c>
      <c r="AL175" s="193">
        <f>(((O175*'Appendix K'!$C$18*1000)-('Appendix K'!$E$44+'Appendix K'!$F$44+'Appendix K'!$H$44+'Appendix K'!$G$44))/((1+$Y$16)^AL$34))</f>
        <v>1051048.5145796526</v>
      </c>
      <c r="AM175" s="193">
        <f>(((P175*'Appendix K'!$C$19*1000)-('Appendix K'!$E$45+'Appendix K'!$F$45+'Appendix K'!$H$45+'Appendix K'!$G$45))/((1+$Y$16)^AM$34))</f>
        <v>399967.44886932726</v>
      </c>
      <c r="AN175" s="193">
        <f>(((Q175*'Appendix K'!$C$20*1000)-('Appendix K'!$E$46+'Appendix K'!$F$46+'Appendix K'!$H$46+'Appendix K'!$G$46))/((1+$Y$16)^AN$34))</f>
        <v>598722.1947444235</v>
      </c>
      <c r="AO175" s="193">
        <f>(((R175*'Appendix K'!$C$21*1000)-('Appendix K'!$E$47+'Appendix K'!$F$47+'Appendix K'!$H$47+'Appendix K'!$G$47))/((1+$Y$16)^AO$34))</f>
        <v>511019.7800131102</v>
      </c>
      <c r="AP175" s="193">
        <f>(((S175*'Appendix K'!$C$22*1000)-('Appendix K'!$E$48+'Appendix K'!$F$48+'Appendix K'!$H$48+'Appendix K'!$G$48))/((1+$Y$16)^AP$34))</f>
        <v>-17288.216975841729</v>
      </c>
      <c r="AQ175" s="193">
        <f>(((T175*'Appendix K'!$C$23*1000)-('Appendix K'!$E$49+'Appendix K'!$F$49+'Appendix K'!$H$49+'Appendix K'!$G$49))/((1+$Y$16)^AQ$34))</f>
        <v>-92055.152680452607</v>
      </c>
      <c r="AR175" s="193">
        <f>(((U175*'Appendix K'!$C$24*1000)-('Appendix K'!$E$50+'Appendix K'!$F$50+'Appendix K'!$H$50+'Appendix K'!$G$50))/((1+$Y$16)^AR$34))</f>
        <v>-338964.05973784294</v>
      </c>
      <c r="AS175" s="209">
        <f t="shared" si="20"/>
        <v>27224771.957679011</v>
      </c>
      <c r="AU175" s="199">
        <f t="shared" si="19"/>
        <v>3.9905276692457358E-9</v>
      </c>
    </row>
    <row r="176" spans="1:47" x14ac:dyDescent="0.35">
      <c r="A176">
        <v>142</v>
      </c>
      <c r="B176" s="70">
        <v>56</v>
      </c>
      <c r="C176" s="70">
        <v>51.894354987664912</v>
      </c>
      <c r="D176" s="70">
        <v>70.822748505381753</v>
      </c>
      <c r="E176" s="70">
        <v>69.669076332715193</v>
      </c>
      <c r="F176" s="70">
        <v>67.894705398654807</v>
      </c>
      <c r="G176" s="70">
        <v>79.551240548364063</v>
      </c>
      <c r="H176" s="70">
        <v>113.24500240916859</v>
      </c>
      <c r="I176" s="70">
        <v>85.267565690422572</v>
      </c>
      <c r="J176" s="70">
        <v>67.157414907267167</v>
      </c>
      <c r="K176" s="70">
        <v>74.898458033769998</v>
      </c>
      <c r="L176" s="70">
        <v>88.083681820851027</v>
      </c>
      <c r="M176" s="70">
        <v>115.22828980955124</v>
      </c>
      <c r="N176" s="70">
        <v>81.026621731814856</v>
      </c>
      <c r="O176" s="70">
        <v>82.234844258750684</v>
      </c>
      <c r="P176" s="70">
        <v>145.46365894208267</v>
      </c>
      <c r="Q176" s="70">
        <v>74.46014600464467</v>
      </c>
      <c r="R176" s="70">
        <v>97.863095534944989</v>
      </c>
      <c r="S176" s="70">
        <v>95.451255703646709</v>
      </c>
      <c r="T176" s="70">
        <v>88.789133585998286</v>
      </c>
      <c r="U176" s="70">
        <v>87.17835581855266</v>
      </c>
      <c r="V176" s="70">
        <v>96.099320748043013</v>
      </c>
      <c r="X176" s="193">
        <f>((0-('Appendix K'!$I$30))/(1+$Y$16)^0)</f>
        <v>-33594902.4440751</v>
      </c>
      <c r="Y176" s="193">
        <f>(((B176*'Appendix K'!$C$5*1000)-('Appendix K'!$E$31+'Appendix K'!$F$31+'Appendix K'!$H$31+'Appendix K'!$G$31))/((1+$Y$16)^1))</f>
        <v>34971064.972647354</v>
      </c>
      <c r="Z176" s="193">
        <f>+(((C176*'Appendix K'!$C$6*1000)-('Appendix K'!$E$32+'Appendix K'!$F$32+'Appendix K'!$H$32+'Appendix K'!$G$32))/((1+$Y$16)^2))</f>
        <v>9622153.955590507</v>
      </c>
      <c r="AA176" s="193">
        <f>(((D176*'Appendix K'!$C$7*1000)-('Appendix K'!$E$33+'Appendix K'!$F$33+'Appendix K'!$H$33+'Appendix K'!$G$33))/((1+$Y$16)^3))</f>
        <v>6056140.4880273351</v>
      </c>
      <c r="AB176" s="193">
        <f>(((E176*'Appendix K'!$C$8*1000)-('Appendix K'!$E$34+'Appendix K'!$F$34+'Appendix K'!$H$34+'Appendix K'!$G$34))/((1+$Y$16)^4))</f>
        <v>11977615.884267349</v>
      </c>
      <c r="AC176" s="193">
        <f>(((F176*'Appendix K'!$C$9*1000)-('Appendix K'!$E$35+'Appendix K'!$F$35+'Appendix K'!$H$35+'Appendix K'!$G$35))/((1+$Y$16)^AC$34))</f>
        <v>15062077.561983956</v>
      </c>
      <c r="AD176" s="193">
        <f>(((G176*'Appendix K'!$C$10*1000)-('Appendix K'!$E$36+'Appendix K'!$F$36+'Appendix K'!$H$36+'Appendix K'!$G$36))/((1+$Y$16)^AD$34))</f>
        <v>9977278.1859492958</v>
      </c>
      <c r="AE176" s="193">
        <f>(((H176*'Appendix K'!$C$11*1000)-('Appendix K'!$E$37+'Appendix K'!$F$37+'Appendix K'!$H$37+'Appendix K'!$G$37))/((1+$Y$16)^AE$34))</f>
        <v>9074847.0524819419</v>
      </c>
      <c r="AF176" s="193">
        <f>(((I176*'Appendix K'!$C$12*1000)-('Appendix K'!$E$38+'Appendix K'!$F$38+'Appendix K'!$H$38+'Appendix K'!$G$38))/((1+$Y$16)^AF$34))</f>
        <v>3602296.3002988086</v>
      </c>
      <c r="AG176" s="193">
        <f>(((J176*'Appendix K'!$C$13*1000)-('Appendix K'!$E$39+'Appendix K'!$F$39+'Appendix K'!$H$39+'Appendix K'!$G$39))/((1+$Y$16)^AG$34))</f>
        <v>1275568.6766399564</v>
      </c>
      <c r="AH176" s="193">
        <f>(((K176*'Appendix K'!$C$14*1000)-('Appendix K'!$E$40+'Appendix K'!$F$40+'Appendix K'!$H$40+'Appendix K'!$G$40))/((1+$Y$16)^AH$34))</f>
        <v>891825.72365031228</v>
      </c>
      <c r="AI176" s="193">
        <f>(((L176*'Appendix K'!$C$15*1000)-('Appendix K'!$E$41+'Appendix K'!$F$41+'Appendix K'!$H$41+'Appendix K'!$G$41))/((1+$Y$16)^AI$34))</f>
        <v>791475.83266796649</v>
      </c>
      <c r="AJ176" s="193">
        <f>(((M176*'Appendix K'!$C$16*1000)-('Appendix K'!$E$42+'Appendix K'!$F$42+'Appendix K'!$H$42+'Appendix K'!$G$42))/((1+$Y$16)^AJ$34))</f>
        <v>927839.09775155701</v>
      </c>
      <c r="AK176" s="193">
        <f>(((N176*'Appendix K'!$C$17*1000)-('Appendix K'!$E$43+'Appendix K'!$F$43+'Appendix K'!$H$43))/((1+$Y$16)^AK$34))</f>
        <v>240626.09164756988</v>
      </c>
      <c r="AL176" s="193">
        <f>(((O176*'Appendix K'!$C$18*1000)-('Appendix K'!$E$44+'Appendix K'!$F$44+'Appendix K'!$H$44+'Appendix K'!$G$44))/((1+$Y$16)^AL$34))</f>
        <v>-159835.31889346664</v>
      </c>
      <c r="AM176" s="193">
        <f>(((P176*'Appendix K'!$C$19*1000)-('Appendix K'!$E$45+'Appendix K'!$F$45+'Appendix K'!$H$45+'Appendix K'!$G$45))/((1+$Y$16)^AM$34))</f>
        <v>321497.69814353937</v>
      </c>
      <c r="AN176" s="193">
        <f>(((Q176*'Appendix K'!$C$20*1000)-('Appendix K'!$E$46+'Appendix K'!$F$46+'Appendix K'!$H$46+'Appendix K'!$G$46))/((1+$Y$16)^AN$34))</f>
        <v>-376899.07264827093</v>
      </c>
      <c r="AO176" s="193">
        <f>(((R176*'Appendix K'!$C$21*1000)-('Appendix K'!$E$47+'Appendix K'!$F$47+'Appendix K'!$H$47+'Appendix K'!$G$47))/((1+$Y$16)^AO$34))</f>
        <v>-264617.21885074617</v>
      </c>
      <c r="AP176" s="193">
        <f>(((S176*'Appendix K'!$C$22*1000)-('Appendix K'!$E$48+'Appendix K'!$F$48+'Appendix K'!$H$48+'Appendix K'!$G$48))/((1+$Y$16)^AP$34))</f>
        <v>-307268.50718521344</v>
      </c>
      <c r="AQ176" s="193">
        <f>(((T176*'Appendix K'!$C$23*1000)-('Appendix K'!$E$49+'Appendix K'!$F$49+'Appendix K'!$H$49+'Appendix K'!$G$49))/((1+$Y$16)^AQ$34))</f>
        <v>-345987.69325734052</v>
      </c>
      <c r="AR176" s="193">
        <f>(((U176*'Appendix K'!$C$24*1000)-('Appendix K'!$E$50+'Appendix K'!$F$50+'Appendix K'!$H$50+'Appendix K'!$G$50))/((1+$Y$16)^AR$34))</f>
        <v>-348572.12093454512</v>
      </c>
      <c r="AS176" s="209">
        <f t="shared" si="20"/>
        <v>71197405.077672333</v>
      </c>
      <c r="AU176" s="199">
        <f t="shared" si="19"/>
        <v>6.7415194946131856E-9</v>
      </c>
    </row>
    <row r="177" spans="1:47" x14ac:dyDescent="0.35">
      <c r="A177">
        <v>143</v>
      </c>
      <c r="B177" s="70">
        <v>56</v>
      </c>
      <c r="C177" s="70">
        <v>54.438532674729224</v>
      </c>
      <c r="D177" s="70">
        <v>66.962773907379571</v>
      </c>
      <c r="E177" s="70">
        <v>51.557071603419281</v>
      </c>
      <c r="F177" s="70">
        <v>54.767403141602387</v>
      </c>
      <c r="G177" s="70">
        <v>58.962332735136549</v>
      </c>
      <c r="H177" s="70">
        <v>88.792603084719644</v>
      </c>
      <c r="I177" s="70">
        <v>82.389088989955596</v>
      </c>
      <c r="J177" s="70">
        <v>115.37848508551595</v>
      </c>
      <c r="K177" s="70">
        <v>64.025353846232264</v>
      </c>
      <c r="L177" s="70">
        <v>53.743439875666027</v>
      </c>
      <c r="M177" s="70">
        <v>56.403978741222666</v>
      </c>
      <c r="N177" s="70">
        <v>43.667914091737011</v>
      </c>
      <c r="O177" s="70">
        <v>66.895720473376613</v>
      </c>
      <c r="P177" s="70">
        <v>58.88974028550841</v>
      </c>
      <c r="Q177" s="70">
        <v>37.444487540818827</v>
      </c>
      <c r="R177" s="70">
        <v>33.008936091509078</v>
      </c>
      <c r="S177" s="70">
        <v>46.979836525795427</v>
      </c>
      <c r="T177" s="70">
        <v>45.856266697935062</v>
      </c>
      <c r="U177" s="70">
        <v>31.30520469631233</v>
      </c>
      <c r="V177" s="70">
        <v>41.662751729669004</v>
      </c>
      <c r="X177" s="193">
        <f>((0-('Appendix K'!$I$30))/(1+$Y$16)^0)</f>
        <v>-33594902.4440751</v>
      </c>
      <c r="Y177" s="193">
        <f>(((B177*'Appendix K'!$C$5*1000)-('Appendix K'!$E$31+'Appendix K'!$F$31+'Appendix K'!$H$31+'Appendix K'!$G$31))/((1+$Y$16)^1))</f>
        <v>34971064.972647354</v>
      </c>
      <c r="Z177" s="193">
        <f>+(((C177*'Appendix K'!$C$6*1000)-('Appendix K'!$E$32+'Appendix K'!$F$32+'Appendix K'!$H$32+'Appendix K'!$G$32))/((1+$Y$16)^2))</f>
        <v>10264856.752729628</v>
      </c>
      <c r="AA177" s="193">
        <f>(((D177*'Appendix K'!$C$7*1000)-('Appendix K'!$E$33+'Appendix K'!$F$33+'Appendix K'!$H$33+'Appendix K'!$G$33))/((1+$Y$16)^3))</f>
        <v>5564476.7162998933</v>
      </c>
      <c r="AB177" s="193">
        <f>(((E177*'Appendix K'!$C$8*1000)-('Appendix K'!$E$34+'Appendix K'!$F$34+'Appendix K'!$H$34+'Appendix K'!$G$34))/((1+$Y$16)^4))</f>
        <v>8007630.2470507268</v>
      </c>
      <c r="AC177" s="193">
        <f>(((F177*'Appendix K'!$C$9*1000)-('Appendix K'!$E$35+'Appendix K'!$F$35+'Appendix K'!$H$35+'Appendix K'!$G$35))/((1+$Y$16)^AC$34))</f>
        <v>11572861.235623069</v>
      </c>
      <c r="AD177" s="193">
        <f>(((G177*'Appendix K'!$C$10*1000)-('Appendix K'!$E$36+'Appendix K'!$F$36+'Appendix K'!$H$36+'Appendix K'!$G$36))/((1+$Y$16)^AD$34))</f>
        <v>6743914.7455548504</v>
      </c>
      <c r="AE177" s="193">
        <f>(((H177*'Appendix K'!$C$11*1000)-('Appendix K'!$E$37+'Appendix K'!$F$37+'Appendix K'!$H$37+'Appendix K'!$G$37))/((1+$Y$16)^AE$34))</f>
        <v>6636022.7244985793</v>
      </c>
      <c r="AF177" s="193">
        <f>(((I177*'Appendix K'!$C$12*1000)-('Appendix K'!$E$38+'Appendix K'!$F$38+'Appendix K'!$H$38+'Appendix K'!$G$38))/((1+$Y$16)^AF$34))</f>
        <v>3413288.533970823</v>
      </c>
      <c r="AG177" s="193">
        <f>(((J177*'Appendix K'!$C$13*1000)-('Appendix K'!$E$39+'Appendix K'!$F$39+'Appendix K'!$H$39+'Appendix K'!$G$39))/((1+$Y$16)^AG$34))</f>
        <v>3494650.8532302468</v>
      </c>
      <c r="AH177" s="193">
        <f>(((K177*'Appendix K'!$C$14*1000)-('Appendix K'!$E$40+'Appendix K'!$F$40+'Appendix K'!$H$40+'Appendix K'!$G$40))/((1+$Y$16)^AH$34))</f>
        <v>525331.14643060882</v>
      </c>
      <c r="AI177" s="193">
        <f>(((L177*'Appendix K'!$C$15*1000)-('Appendix K'!$E$41+'Appendix K'!$F$41+'Appendix K'!$H$41+'Appendix K'!$G$41))/((1+$Y$16)^AI$34))</f>
        <v>-108302.72286320484</v>
      </c>
      <c r="AJ177" s="193">
        <f>(((M177*'Appendix K'!$C$16*1000)-('Appendix K'!$E$42+'Appendix K'!$F$42+'Appendix K'!$H$42+'Appendix K'!$G$42))/((1+$Y$16)^AJ$34))</f>
        <v>-251109.91974930972</v>
      </c>
      <c r="AK177" s="193">
        <f>(((N177*'Appendix K'!$C$17*1000)-('Appendix K'!$E$43+'Appendix K'!$F$43+'Appendix K'!$H$43))/((1+$Y$16)^AK$34))</f>
        <v>-333349.26187073154</v>
      </c>
      <c r="AL177" s="193">
        <f>(((O177*'Appendix K'!$C$18*1000)-('Appendix K'!$E$44+'Appendix K'!$F$44+'Appendix K'!$H$44+'Appendix K'!$G$44))/((1+$Y$16)^AL$34))</f>
        <v>-341654.46669129102</v>
      </c>
      <c r="AM177" s="193">
        <f>(((P177*'Appendix K'!$C$19*1000)-('Appendix K'!$E$45+'Appendix K'!$F$45+'Appendix K'!$H$45+'Appendix K'!$G$45))/((1+$Y$16)^AM$34))</f>
        <v>-480932.73409027222</v>
      </c>
      <c r="AN177" s="193">
        <f>(((Q177*'Appendix K'!$C$20*1000)-('Appendix K'!$E$46+'Appendix K'!$F$46+'Appendix K'!$H$46+'Appendix K'!$G$46))/((1+$Y$16)^AN$34))</f>
        <v>-644752.40565143805</v>
      </c>
      <c r="AO177" s="193">
        <f>(((R177*'Appendix K'!$C$21*1000)-('Appendix K'!$E$47+'Appendix K'!$F$47+'Appendix K'!$H$47+'Appendix K'!$G$47))/((1+$Y$16)^AO$34))</f>
        <v>-647912.46625159727</v>
      </c>
      <c r="AP177" s="193">
        <f>(((S177*'Appendix K'!$C$22*1000)-('Appendix K'!$E$48+'Appendix K'!$F$48+'Appendix K'!$H$48+'Appendix K'!$G$48))/((1+$Y$16)^AP$34))</f>
        <v>-539433.0011402762</v>
      </c>
      <c r="AQ177" s="193">
        <f>(((T177*'Appendix K'!$C$23*1000)-('Appendix K'!$E$49+'Appendix K'!$F$49+'Appendix K'!$H$49+'Appendix K'!$G$49))/((1+$Y$16)^AQ$34))</f>
        <v>-514015.94316141732</v>
      </c>
      <c r="AR177" s="193">
        <f>(((U177*'Appendix K'!$C$24*1000)-('Appendix K'!$E$50+'Appendix K'!$F$50+'Appendix K'!$H$50+'Appendix K'!$G$50))/((1+$Y$16)^AR$34))</f>
        <v>-528485.23305007815</v>
      </c>
      <c r="AS177" s="209">
        <f t="shared" si="20"/>
        <v>57599195.483960681</v>
      </c>
      <c r="AU177" s="199">
        <f t="shared" si="19"/>
        <v>6.1119921477085099E-9</v>
      </c>
    </row>
    <row r="178" spans="1:47" x14ac:dyDescent="0.35">
      <c r="A178">
        <v>144</v>
      </c>
      <c r="B178" s="70">
        <v>56</v>
      </c>
      <c r="C178" s="70">
        <v>42.501763850559698</v>
      </c>
      <c r="D178" s="70">
        <v>42.184842158329594</v>
      </c>
      <c r="E178" s="70">
        <v>30.199213991238462</v>
      </c>
      <c r="F178" s="70">
        <v>41.549645114482118</v>
      </c>
      <c r="G178" s="70">
        <v>74.506432219972496</v>
      </c>
      <c r="H178" s="70">
        <v>42.916678996726603</v>
      </c>
      <c r="I178" s="70">
        <v>59.975993043915217</v>
      </c>
      <c r="J178" s="70">
        <v>72.541730454544691</v>
      </c>
      <c r="K178" s="70">
        <v>105.12544709519591</v>
      </c>
      <c r="L178" s="70">
        <v>111.9344528072718</v>
      </c>
      <c r="M178" s="70">
        <v>118.65934742181061</v>
      </c>
      <c r="N178" s="70">
        <v>162.44793747443228</v>
      </c>
      <c r="O178" s="70">
        <v>241.07092051314925</v>
      </c>
      <c r="P178" s="70">
        <v>240.19725908132102</v>
      </c>
      <c r="Q178" s="70">
        <v>410.57899942841721</v>
      </c>
      <c r="R178" s="70">
        <v>160.59655142366267</v>
      </c>
      <c r="S178" s="70">
        <v>162.92552622692327</v>
      </c>
      <c r="T178" s="70">
        <v>187.84547975245354</v>
      </c>
      <c r="U178" s="70">
        <v>272.00751775609319</v>
      </c>
      <c r="V178" s="70">
        <v>395.56514612613574</v>
      </c>
      <c r="X178" s="193">
        <f>((0-('Appendix K'!$I$30))/(1+$Y$16)^0)</f>
        <v>-33594902.4440751</v>
      </c>
      <c r="Y178" s="193">
        <f>(((B178*'Appendix K'!$C$5*1000)-('Appendix K'!$E$31+'Appendix K'!$F$31+'Appendix K'!$H$31+'Appendix K'!$G$31))/((1+$Y$16)^1))</f>
        <v>34971064.972647354</v>
      </c>
      <c r="Z178" s="193">
        <f>+(((C178*'Appendix K'!$C$6*1000)-('Appendix K'!$E$32+'Appendix K'!$F$32+'Appendix K'!$H$32+'Appendix K'!$G$32))/((1+$Y$16)^2))</f>
        <v>7249424.7917060247</v>
      </c>
      <c r="AA178" s="193">
        <f>(((D178*'Appendix K'!$C$7*1000)-('Appendix K'!$E$33+'Appendix K'!$F$33+'Appendix K'!$H$33+'Appendix K'!$G$33))/((1+$Y$16)^3))</f>
        <v>2408390.8224579189</v>
      </c>
      <c r="AB178" s="193">
        <f>(((E178*'Appendix K'!$C$8*1000)-('Appendix K'!$E$34+'Appendix K'!$F$34+'Appendix K'!$H$34+'Appendix K'!$G$34))/((1+$Y$16)^4))</f>
        <v>3326183.3708289978</v>
      </c>
      <c r="AC178" s="193">
        <f>(((F178*'Appendix K'!$C$9*1000)-('Appendix K'!$E$35+'Appendix K'!$F$35+'Appendix K'!$H$35+'Appendix K'!$G$35))/((1+$Y$16)^AC$34))</f>
        <v>8059601.9076192006</v>
      </c>
      <c r="AD178" s="193">
        <f>(((G178*'Appendix K'!$C$10*1000)-('Appendix K'!$E$36+'Appendix K'!$F$36+'Appendix K'!$H$36+'Appendix K'!$G$36))/((1+$Y$16)^AD$34))</f>
        <v>9185021.5514162518</v>
      </c>
      <c r="AE178" s="193">
        <f>(((H178*'Appendix K'!$C$11*1000)-('Appendix K'!$E$37+'Appendix K'!$F$37+'Appendix K'!$H$37+'Appendix K'!$G$37))/((1+$Y$16)^AE$34))</f>
        <v>2060466.8352796556</v>
      </c>
      <c r="AF178" s="193">
        <f>(((I178*'Appendix K'!$C$12*1000)-('Appendix K'!$E$38+'Appendix K'!$F$38+'Appendix K'!$H$38+'Appendix K'!$G$38))/((1+$Y$16)^AF$34))</f>
        <v>1941590.2566949762</v>
      </c>
      <c r="AG178" s="193">
        <f>(((J178*'Appendix K'!$C$13*1000)-('Appendix K'!$E$39+'Appendix K'!$F$39+'Appendix K'!$H$39+'Appendix K'!$G$39))/((1+$Y$16)^AG$34))</f>
        <v>1523349.1307015314</v>
      </c>
      <c r="AH178" s="193">
        <f>(((K178*'Appendix K'!$C$14*1000)-('Appendix K'!$E$40+'Appendix K'!$F$40+'Appendix K'!$H$40+'Appendix K'!$G$40))/((1+$Y$16)^AH$34))</f>
        <v>1910672.5392072743</v>
      </c>
      <c r="AI178" s="193">
        <f>(((L178*'Appendix K'!$C$15*1000)-('Appendix K'!$E$41+'Appendix K'!$F$41+'Appendix K'!$H$41+'Appendix K'!$G$41))/((1+$Y$16)^AI$34))</f>
        <v>1416410.6336726376</v>
      </c>
      <c r="AJ178" s="193">
        <f>(((M178*'Appendix K'!$C$16*1000)-('Appendix K'!$E$42+'Appendix K'!$F$42+'Appendix K'!$H$42+'Appendix K'!$G$42))/((1+$Y$16)^AJ$34))</f>
        <v>996603.89801013423</v>
      </c>
      <c r="AK178" s="193">
        <f>(((N178*'Appendix K'!$C$17*1000)-('Appendix K'!$E$43+'Appendix K'!$F$43+'Appendix K'!$H$43))/((1+$Y$16)^AK$34))</f>
        <v>1491574.8379890721</v>
      </c>
      <c r="AL178" s="193">
        <f>(((O178*'Appendix K'!$C$18*1000)-('Appendix K'!$E$44+'Appendix K'!$F$44+'Appendix K'!$H$44+'Appendix K'!$G$44))/((1+$Y$16)^AL$34))</f>
        <v>1722895.4308030496</v>
      </c>
      <c r="AM178" s="193">
        <f>(((P178*'Appendix K'!$C$19*1000)-('Appendix K'!$E$45+'Appendix K'!$F$45+'Appendix K'!$H$45+'Appendix K'!$G$45))/((1+$Y$16)^AM$34))</f>
        <v>1199558.0295505377</v>
      </c>
      <c r="AN178" s="193">
        <f>(((Q178*'Appendix K'!$C$20*1000)-('Appendix K'!$E$46+'Appendix K'!$F$46+'Appendix K'!$H$46+'Appendix K'!$G$46))/((1+$Y$16)^AN$34))</f>
        <v>2055329.8518417338</v>
      </c>
      <c r="AO178" s="193">
        <f>(((R178*'Appendix K'!$C$21*1000)-('Appendix K'!$E$47+'Appendix K'!$F$47+'Appendix K'!$H$47+'Appendix K'!$G$47))/((1+$Y$16)^AO$34))</f>
        <v>106144.43624630605</v>
      </c>
      <c r="AP178" s="193">
        <f>(((S178*'Appendix K'!$C$22*1000)-('Appendix K'!$E$48+'Appendix K'!$F$48+'Appendix K'!$H$48+'Appendix K'!$G$48))/((1+$Y$16)^AP$34))</f>
        <v>15914.311406192532</v>
      </c>
      <c r="AQ178" s="193">
        <f>(((T178*'Appendix K'!$C$23*1000)-('Appendix K'!$E$49+'Appendix K'!$F$49+'Appendix K'!$H$49+'Appendix K'!$G$49))/((1+$Y$16)^AQ$34))</f>
        <v>41693.486563184029</v>
      </c>
      <c r="AR178" s="193">
        <f>(((U178*'Appendix K'!$C$24*1000)-('Appendix K'!$E$50+'Appendix K'!$F$50+'Appendix K'!$H$50+'Appendix K'!$G$50))/((1+$Y$16)^AR$34))</f>
        <v>246582.95920648341</v>
      </c>
      <c r="AS178" s="209">
        <f t="shared" si="20"/>
        <v>48333571.60977342</v>
      </c>
      <c r="AU178" s="199">
        <f t="shared" si="19"/>
        <v>5.5320933853255797E-9</v>
      </c>
    </row>
    <row r="179" spans="1:47" x14ac:dyDescent="0.35">
      <c r="A179">
        <v>145</v>
      </c>
      <c r="B179" s="70">
        <v>56</v>
      </c>
      <c r="C179" s="70">
        <v>47.485595666415847</v>
      </c>
      <c r="D179" s="70">
        <v>60.244099960148205</v>
      </c>
      <c r="E179" s="70">
        <v>72.404070104485157</v>
      </c>
      <c r="F179" s="70">
        <v>71.575998030148924</v>
      </c>
      <c r="G179" s="70">
        <v>80.968684461408117</v>
      </c>
      <c r="H179" s="70">
        <v>125.80912176321584</v>
      </c>
      <c r="I179" s="70">
        <v>178.17037281949871</v>
      </c>
      <c r="J179" s="70">
        <v>139.392914510183</v>
      </c>
      <c r="K179" s="70">
        <v>148.14791760694376</v>
      </c>
      <c r="L179" s="70">
        <v>182.80682321145932</v>
      </c>
      <c r="M179" s="70">
        <v>223.36518452128894</v>
      </c>
      <c r="N179" s="70">
        <v>183.90617633579183</v>
      </c>
      <c r="O179" s="70">
        <v>193.20348616880503</v>
      </c>
      <c r="P179" s="70">
        <v>207.26374383133594</v>
      </c>
      <c r="Q179" s="70">
        <v>259.39814301256104</v>
      </c>
      <c r="R179" s="70">
        <v>295.0835277060072</v>
      </c>
      <c r="S179" s="70">
        <v>356.08277163574712</v>
      </c>
      <c r="T179" s="70">
        <v>500</v>
      </c>
      <c r="U179" s="70">
        <v>500</v>
      </c>
      <c r="V179" s="70">
        <v>500</v>
      </c>
      <c r="X179" s="193">
        <f>((0-('Appendix K'!$I$30))/(1+$Y$16)^0)</f>
        <v>-33594902.4440751</v>
      </c>
      <c r="Y179" s="193">
        <f>(((B179*'Appendix K'!$C$5*1000)-('Appendix K'!$E$31+'Appendix K'!$F$31+'Appendix K'!$H$31+'Appendix K'!$G$31))/((1+$Y$16)^1))</f>
        <v>34971064.972647354</v>
      </c>
      <c r="Z179" s="193">
        <f>+(((C179*'Appendix K'!$C$6*1000)-('Appendix K'!$E$32+'Appendix K'!$F$32+'Appendix K'!$H$32+'Appendix K'!$G$32))/((1+$Y$16)^2))</f>
        <v>8508425.9474852569</v>
      </c>
      <c r="AA179" s="193">
        <f>(((D179*'Appendix K'!$C$7*1000)-('Appendix K'!$E$33+'Appendix K'!$F$33+'Appendix K'!$H$33+'Appendix K'!$G$33))/((1+$Y$16)^3))</f>
        <v>4708686.4798531597</v>
      </c>
      <c r="AB179" s="193">
        <f>(((E179*'Appendix K'!$C$8*1000)-('Appendix K'!$E$34+'Appendix K'!$F$34+'Appendix K'!$H$34+'Appendix K'!$G$34))/((1+$Y$16)^4))</f>
        <v>12577101.482581111</v>
      </c>
      <c r="AC179" s="193">
        <f>(((F179*'Appendix K'!$C$9*1000)-('Appendix K'!$E$35+'Appendix K'!$F$35+'Appendix K'!$H$35+'Appendix K'!$G$35))/((1+$Y$16)^AC$34))</f>
        <v>16040559.362768322</v>
      </c>
      <c r="AD179" s="193">
        <f>(((G179*'Appendix K'!$C$10*1000)-('Appendix K'!$E$36+'Appendix K'!$F$36+'Appendix K'!$H$36+'Appendix K'!$G$36))/((1+$Y$16)^AD$34))</f>
        <v>10199879.179106487</v>
      </c>
      <c r="AE179" s="193">
        <f>(((H179*'Appendix K'!$C$11*1000)-('Appendix K'!$E$37+'Appendix K'!$F$37+'Appendix K'!$H$37+'Appendix K'!$G$37))/((1+$Y$16)^AE$34))</f>
        <v>10327962.52527318</v>
      </c>
      <c r="AF179" s="193">
        <f>(((I179*'Appendix K'!$C$12*1000)-('Appendix K'!$E$38+'Appendix K'!$F$38+'Appendix K'!$H$38+'Appendix K'!$G$38))/((1+$Y$16)^AF$34))</f>
        <v>9702520.0951336361</v>
      </c>
      <c r="AG179" s="193">
        <f>(((J179*'Appendix K'!$C$13*1000)-('Appendix K'!$E$39+'Appendix K'!$F$39+'Appendix K'!$H$39+'Appendix K'!$G$39))/((1+$Y$16)^AG$34))</f>
        <v>4599769.2614339236</v>
      </c>
      <c r="AH179" s="193">
        <f>(((K179*'Appendix K'!$C$14*1000)-('Appendix K'!$E$40+'Appendix K'!$F$40+'Appendix K'!$H$40+'Appendix K'!$G$40))/((1+$Y$16)^AH$34))</f>
        <v>3360810.5926274001</v>
      </c>
      <c r="AI179" s="193">
        <f>(((L179*'Appendix K'!$C$15*1000)-('Appendix K'!$E$41+'Appendix K'!$F$41+'Appendix K'!$H$41+'Appendix K'!$G$41))/((1+$Y$16)^AI$34))</f>
        <v>3273399.2702448796</v>
      </c>
      <c r="AJ179" s="193">
        <f>(((M179*'Appendix K'!$C$16*1000)-('Appendix K'!$E$42+'Appendix K'!$F$42+'Appendix K'!$H$42+'Appendix K'!$G$42))/((1+$Y$16)^AJ$34))</f>
        <v>3095104.3569725561</v>
      </c>
      <c r="AK179" s="193">
        <f>(((N179*'Appendix K'!$C$17*1000)-('Appendix K'!$E$43+'Appendix K'!$F$43+'Appendix K'!$H$43))/((1+$Y$16)^AK$34))</f>
        <v>1821257.0195834918</v>
      </c>
      <c r="AL179" s="193">
        <f>(((O179*'Appendix K'!$C$18*1000)-('Appendix K'!$E$44+'Appendix K'!$F$44+'Appendix K'!$H$44+'Appendix K'!$G$44))/((1+$Y$16)^AL$34))</f>
        <v>1155508.6464252132</v>
      </c>
      <c r="AM179" s="193">
        <f>(((P179*'Appendix K'!$C$19*1000)-('Appendix K'!$E$45+'Appendix K'!$F$45+'Appendix K'!$H$45+'Appendix K'!$G$45))/((1+$Y$16)^AM$34))</f>
        <v>894306.10972170637</v>
      </c>
      <c r="AN179" s="193">
        <f>(((Q179*'Appendix K'!$C$20*1000)-('Appendix K'!$E$46+'Appendix K'!$F$46+'Appendix K'!$H$46+'Appendix K'!$G$46))/((1+$Y$16)^AN$34))</f>
        <v>961352.38506685453</v>
      </c>
      <c r="AO179" s="193">
        <f>(((R179*'Appendix K'!$C$21*1000)-('Appendix K'!$E$47+'Appendix K'!$F$47+'Appendix K'!$H$47+'Appendix K'!$G$47))/((1+$Y$16)^AO$34))</f>
        <v>900977.3242015132</v>
      </c>
      <c r="AP179" s="193">
        <f>(((S179*'Appendix K'!$C$22*1000)-('Appendix K'!$E$48+'Appendix K'!$F$48+'Appendix K'!$H$48+'Appendix K'!$G$48))/((1+$Y$16)^AP$34))</f>
        <v>941083.30572738126</v>
      </c>
      <c r="AQ179" s="193">
        <f>(((T179*'Appendix K'!$C$23*1000)-('Appendix K'!$E$49+'Appendix K'!$F$49+'Appendix K'!$H$49+'Appendix K'!$G$49))/((1+$Y$16)^AQ$34))</f>
        <v>1263386.3652054211</v>
      </c>
      <c r="AR179" s="193">
        <f>(((U179*'Appendix K'!$C$24*1000)-('Appendix K'!$E$50+'Appendix K'!$F$50+'Appendix K'!$H$50+'Appendix K'!$G$50))/((1+$Y$16)^AR$34))</f>
        <v>980725.14012097823</v>
      </c>
      <c r="AS179" s="209">
        <f t="shared" si="20"/>
        <v>96688977.378104717</v>
      </c>
      <c r="AU179" s="199">
        <f t="shared" si="19"/>
        <v>6.9404285038754774E-9</v>
      </c>
    </row>
    <row r="180" spans="1:47" x14ac:dyDescent="0.35">
      <c r="A180">
        <v>146</v>
      </c>
      <c r="B180" s="70">
        <v>56</v>
      </c>
      <c r="C180" s="70">
        <v>78.826159255244136</v>
      </c>
      <c r="D180" s="70">
        <v>111.37311445429073</v>
      </c>
      <c r="E180" s="70">
        <v>151.52024145076928</v>
      </c>
      <c r="F180" s="70">
        <v>178.06717917636621</v>
      </c>
      <c r="G180" s="70">
        <v>157.87834745746949</v>
      </c>
      <c r="H180" s="70">
        <v>207.75796925247386</v>
      </c>
      <c r="I180" s="70">
        <v>226.40587612591966</v>
      </c>
      <c r="J180" s="70">
        <v>246.35242562300226</v>
      </c>
      <c r="K180" s="70">
        <v>264.20088036772358</v>
      </c>
      <c r="L180" s="70">
        <v>242.52499078455321</v>
      </c>
      <c r="M180" s="70">
        <v>349.44262756444351</v>
      </c>
      <c r="N180" s="70">
        <v>357.08800676495872</v>
      </c>
      <c r="O180" s="70">
        <v>454.12579856820452</v>
      </c>
      <c r="P180" s="70">
        <v>500</v>
      </c>
      <c r="Q180" s="70">
        <v>166.34739037704247</v>
      </c>
      <c r="R180" s="70">
        <v>116.55571950422751</v>
      </c>
      <c r="S180" s="70">
        <v>135.65167854674675</v>
      </c>
      <c r="T180" s="70">
        <v>182.16540312393698</v>
      </c>
      <c r="U180" s="70">
        <v>184.33674381666481</v>
      </c>
      <c r="V180" s="70">
        <v>111.08956638445997</v>
      </c>
      <c r="X180" s="193">
        <f>((0-('Appendix K'!$I$30))/(1+$Y$16)^0)</f>
        <v>-33594902.4440751</v>
      </c>
      <c r="Y180" s="193">
        <f>(((B180*'Appendix K'!$C$5*1000)-('Appendix K'!$E$31+'Appendix K'!$F$31+'Appendix K'!$H$31+'Appendix K'!$G$31))/((1+$Y$16)^1))</f>
        <v>34971064.972647354</v>
      </c>
      <c r="Z180" s="193">
        <f>+(((C180*'Appendix K'!$C$6*1000)-('Appendix K'!$E$32+'Appendix K'!$F$32+'Appendix K'!$H$32+'Appendix K'!$G$32))/((1+$Y$16)^2))</f>
        <v>16425588.331571262</v>
      </c>
      <c r="AA180" s="193">
        <f>(((D180*'Appendix K'!$C$7*1000)-('Appendix K'!$E$33+'Appendix K'!$F$33+'Appendix K'!$H$33+'Appendix K'!$G$33))/((1+$Y$16)^3))</f>
        <v>11221238.17485862</v>
      </c>
      <c r="AB180" s="193">
        <f>(((E180*'Appendix K'!$C$8*1000)-('Appendix K'!$E$34+'Appendix K'!$F$34+'Appendix K'!$H$34+'Appendix K'!$G$34))/((1+$Y$16)^4))</f>
        <v>29918642.002846159</v>
      </c>
      <c r="AC180" s="193">
        <f>(((F180*'Appendix K'!$C$9*1000)-('Appendix K'!$E$35+'Appendix K'!$F$35+'Appendix K'!$H$35+'Appendix K'!$G$35))/((1+$Y$16)^AC$34))</f>
        <v>44345748.090270638</v>
      </c>
      <c r="AD180" s="193">
        <f>(((G180*'Appendix K'!$C$10*1000)-('Appendix K'!$E$36+'Appendix K'!$F$36+'Appendix K'!$H$36+'Appendix K'!$G$36))/((1+$Y$16)^AD$34))</f>
        <v>22278076.565796319</v>
      </c>
      <c r="AE180" s="193">
        <f>(((H180*'Appendix K'!$C$11*1000)-('Appendix K'!$E$37+'Appendix K'!$F$37+'Appendix K'!$H$37+'Appendix K'!$G$37))/((1+$Y$16)^AE$34))</f>
        <v>18501346.259734359</v>
      </c>
      <c r="AF180" s="193">
        <f>(((I180*'Appendix K'!$C$12*1000)-('Appendix K'!$E$38+'Appendix K'!$F$38+'Appendix K'!$H$38+'Appendix K'!$G$38))/((1+$Y$16)^AF$34))</f>
        <v>12869780.311682802</v>
      </c>
      <c r="AG180" s="193">
        <f>(((J180*'Appendix K'!$C$13*1000)-('Appendix K'!$E$39+'Appendix K'!$F$39+'Appendix K'!$H$39+'Appendix K'!$G$39))/((1+$Y$16)^AG$34))</f>
        <v>9521931.7901770417</v>
      </c>
      <c r="AH180" s="193">
        <f>(((K180*'Appendix K'!$C$14*1000)-('Appendix K'!$E$40+'Appendix K'!$F$40+'Appendix K'!$H$40+'Appendix K'!$G$40))/((1+$Y$16)^AH$34))</f>
        <v>7272552.8870547032</v>
      </c>
      <c r="AI180" s="193">
        <f>(((L180*'Appendix K'!$C$15*1000)-('Appendix K'!$E$41+'Appendix K'!$F$41+'Appendix K'!$H$41+'Appendix K'!$G$41))/((1+$Y$16)^AI$34))</f>
        <v>4838126.934180893</v>
      </c>
      <c r="AJ180" s="193">
        <f>(((M180*'Appendix K'!$C$16*1000)-('Appendix K'!$E$42+'Appendix K'!$F$42+'Appendix K'!$H$42+'Appendix K'!$G$42))/((1+$Y$16)^AJ$34))</f>
        <v>5621931.6993632559</v>
      </c>
      <c r="AK180" s="193">
        <f>(((N180*'Appendix K'!$C$17*1000)-('Appendix K'!$E$43+'Appendix K'!$F$43+'Appendix K'!$H$43))/((1+$Y$16)^AK$34))</f>
        <v>4482004.9046867378</v>
      </c>
      <c r="AL180" s="193">
        <f>(((O180*'Appendix K'!$C$18*1000)-('Appendix K'!$E$44+'Appendix K'!$F$44+'Appendix K'!$H$44+'Appendix K'!$G$44))/((1+$Y$16)^AL$34))</f>
        <v>4248297.59224045</v>
      </c>
      <c r="AM180" s="193">
        <f>(((P180*'Appendix K'!$C$19*1000)-('Appendix K'!$E$45+'Appendix K'!$F$45+'Appendix K'!$H$45+'Appendix K'!$G$45))/((1+$Y$16)^AM$34))</f>
        <v>3607599.9540230581</v>
      </c>
      <c r="AN180" s="193">
        <f>(((Q180*'Appendix K'!$C$20*1000)-('Appendix K'!$E$46+'Appendix K'!$F$46+'Appendix K'!$H$46+'Appendix K'!$G$46))/((1+$Y$16)^AN$34))</f>
        <v>288016.95713615225</v>
      </c>
      <c r="AO180" s="193">
        <f>(((R180*'Appendix K'!$C$21*1000)-('Appendix K'!$E$47+'Appendix K'!$F$47+'Appendix K'!$H$47+'Appendix K'!$G$47))/((1+$Y$16)^AO$34))</f>
        <v>-154141.74603043817</v>
      </c>
      <c r="AP180" s="193">
        <f>(((S180*'Appendix K'!$C$22*1000)-('Appendix K'!$E$48+'Appendix K'!$F$48+'Appendix K'!$H$48+'Appendix K'!$G$48))/((1+$Y$16)^AP$34))</f>
        <v>-114719.76434971241</v>
      </c>
      <c r="AQ180" s="193">
        <f>(((T180*'Appendix K'!$C$23*1000)-('Appendix K'!$E$49+'Appendix K'!$F$49+'Appendix K'!$H$49+'Appendix K'!$G$49))/((1+$Y$16)^AQ$34))</f>
        <v>19463.120776080246</v>
      </c>
      <c r="AR180" s="193">
        <f>(((U180*'Appendix K'!$C$24*1000)-('Appendix K'!$E$50+'Appendix K'!$F$50+'Appendix K'!$H$50+'Appendix K'!$G$50))/((1+$Y$16)^AR$34))</f>
        <v>-35719.38931349176</v>
      </c>
      <c r="AS180" s="209">
        <f t="shared" si="20"/>
        <v>196836508.10497081</v>
      </c>
      <c r="AU180" s="199">
        <f t="shared" si="19"/>
        <v>1.1032144240948094E-9</v>
      </c>
    </row>
    <row r="181" spans="1:47" x14ac:dyDescent="0.35">
      <c r="A181">
        <v>147</v>
      </c>
      <c r="B181" s="70">
        <v>56</v>
      </c>
      <c r="C181" s="70">
        <v>44.269482587355611</v>
      </c>
      <c r="D181" s="70">
        <v>44.315182944926242</v>
      </c>
      <c r="E181" s="70">
        <v>38.734004231949349</v>
      </c>
      <c r="F181" s="70">
        <v>29.244735335840407</v>
      </c>
      <c r="G181" s="70">
        <v>33.856351972080887</v>
      </c>
      <c r="H181" s="70">
        <v>47.715990685310111</v>
      </c>
      <c r="I181" s="70">
        <v>40.757123208067426</v>
      </c>
      <c r="J181" s="70">
        <v>37.373733185335134</v>
      </c>
      <c r="K181" s="70">
        <v>56.896710478452718</v>
      </c>
      <c r="L181" s="70">
        <v>70.954653136156765</v>
      </c>
      <c r="M181" s="70">
        <v>99.901543617997135</v>
      </c>
      <c r="N181" s="70">
        <v>76.410155939114389</v>
      </c>
      <c r="O181" s="70">
        <v>90.293330102546662</v>
      </c>
      <c r="P181" s="70">
        <v>63.006059191574415</v>
      </c>
      <c r="Q181" s="70">
        <v>62.925459059467279</v>
      </c>
      <c r="R181" s="70">
        <v>64.381635903381365</v>
      </c>
      <c r="S181" s="70">
        <v>56.179207702423184</v>
      </c>
      <c r="T181" s="70">
        <v>62.91267861991858</v>
      </c>
      <c r="U181" s="70">
        <v>67.529624280449951</v>
      </c>
      <c r="V181" s="70">
        <v>50.579422252979128</v>
      </c>
      <c r="X181" s="193">
        <f>((0-('Appendix K'!$I$30))/(1+$Y$16)^0)</f>
        <v>-33594902.4440751</v>
      </c>
      <c r="Y181" s="193">
        <f>(((B181*'Appendix K'!$C$5*1000)-('Appendix K'!$E$31+'Appendix K'!$F$31+'Appendix K'!$H$31+'Appendix K'!$G$31))/((1+$Y$16)^1))</f>
        <v>34971064.972647354</v>
      </c>
      <c r="Z181" s="193">
        <f>+(((C181*'Appendix K'!$C$6*1000)-('Appendix K'!$E$32+'Appendix K'!$F$32+'Appendix K'!$H$32+'Appendix K'!$G$32))/((1+$Y$16)^2))</f>
        <v>7695980.7781335758</v>
      </c>
      <c r="AA181" s="193">
        <f>(((D181*'Appendix K'!$C$7*1000)-('Appendix K'!$E$33+'Appendix K'!$F$33+'Appendix K'!$H$33+'Appendix K'!$G$33))/((1+$Y$16)^3))</f>
        <v>2679742.7082306966</v>
      </c>
      <c r="AB181" s="193">
        <f>(((E181*'Appendix K'!$C$8*1000)-('Appendix K'!$E$34+'Appendix K'!$F$34+'Appendix K'!$H$34+'Appendix K'!$G$34))/((1+$Y$16)^4))</f>
        <v>5196931.2631080635</v>
      </c>
      <c r="AC181" s="193">
        <f>(((F181*'Appendix K'!$C$9*1000)-('Appendix K'!$E$35+'Appendix K'!$F$35+'Appendix K'!$H$35+'Appendix K'!$G$35))/((1+$Y$16)^AC$34))</f>
        <v>4788976.2106319498</v>
      </c>
      <c r="AD181" s="193">
        <f>(((G181*'Appendix K'!$C$10*1000)-('Appendix K'!$E$36+'Appendix K'!$F$36+'Appendix K'!$H$36+'Appendix K'!$G$36))/((1+$Y$16)^AD$34))</f>
        <v>2801172.3198319208</v>
      </c>
      <c r="AE181" s="193">
        <f>(((H181*'Appendix K'!$C$11*1000)-('Appendix K'!$E$37+'Appendix K'!$F$37+'Appendix K'!$H$37+'Appendix K'!$G$37))/((1+$Y$16)^AE$34))</f>
        <v>2539138.8031461919</v>
      </c>
      <c r="AF181" s="193">
        <f>(((I181*'Appendix K'!$C$12*1000)-('Appendix K'!$E$38+'Appendix K'!$F$38+'Appendix K'!$H$38+'Appendix K'!$G$38))/((1+$Y$16)^AF$34))</f>
        <v>679632.61832584336</v>
      </c>
      <c r="AG181" s="193">
        <f>(((J181*'Appendix K'!$C$13*1000)-('Appendix K'!$E$39+'Appendix K'!$F$39+'Appendix K'!$H$39+'Appendix K'!$G$39))/((1+$Y$16)^AG$34))</f>
        <v>-95044.563963523411</v>
      </c>
      <c r="AH181" s="193">
        <f>(((K181*'Appendix K'!$C$14*1000)-('Appendix K'!$E$40+'Appendix K'!$F$40+'Appendix K'!$H$40+'Appendix K'!$G$40))/((1+$Y$16)^AH$34))</f>
        <v>285049.33801945986</v>
      </c>
      <c r="AI181" s="193">
        <f>(((L181*'Appendix K'!$C$15*1000)-('Appendix K'!$E$41+'Appendix K'!$F$41+'Appendix K'!$H$41+'Appendix K'!$G$41))/((1+$Y$16)^AI$34))</f>
        <v>342663.24968826998</v>
      </c>
      <c r="AJ181" s="193">
        <f>(((M181*'Appendix K'!$C$16*1000)-('Appendix K'!$E$42+'Appendix K'!$F$42+'Appendix K'!$H$42+'Appendix K'!$G$42))/((1+$Y$16)^AJ$34))</f>
        <v>620662.48937566078</v>
      </c>
      <c r="AK181" s="193">
        <f>(((N181*'Appendix K'!$C$17*1000)-('Appendix K'!$E$43+'Appendix K'!$F$43+'Appendix K'!$H$43))/((1+$Y$16)^AK$34))</f>
        <v>169699.18456880894</v>
      </c>
      <c r="AL181" s="193">
        <f>(((O181*'Appendix K'!$C$18*1000)-('Appendix K'!$E$44+'Appendix K'!$F$44+'Appendix K'!$H$44+'Appendix K'!$G$44))/((1+$Y$16)^AL$34))</f>
        <v>-64315.714960360623</v>
      </c>
      <c r="AM181" s="193">
        <f>(((P181*'Appendix K'!$C$19*1000)-('Appendix K'!$E$45+'Appendix K'!$F$45+'Appendix K'!$H$45+'Appendix K'!$G$45))/((1+$Y$16)^AM$34))</f>
        <v>-442779.67817848542</v>
      </c>
      <c r="AN181" s="193">
        <f>(((Q181*'Appendix K'!$C$20*1000)-('Appendix K'!$E$46+'Appendix K'!$F$46+'Appendix K'!$H$46+'Appendix K'!$G$46))/((1+$Y$16)^AN$34))</f>
        <v>-460366.5691520343</v>
      </c>
      <c r="AO181" s="193">
        <f>(((R181*'Appendix K'!$C$21*1000)-('Appendix K'!$E$47+'Appendix K'!$F$47+'Appendix K'!$H$47+'Appendix K'!$G$47))/((1+$Y$16)^AO$34))</f>
        <v>-462496.34430629457</v>
      </c>
      <c r="AP181" s="193">
        <f>(((S181*'Appendix K'!$C$22*1000)-('Appendix K'!$E$48+'Appendix K'!$F$48+'Appendix K'!$H$48+'Appendix K'!$G$48))/((1+$Y$16)^AP$34))</f>
        <v>-495370.59508424532</v>
      </c>
      <c r="AQ181" s="193">
        <f>(((T181*'Appendix K'!$C$23*1000)-('Appendix K'!$E$49+'Appendix K'!$F$49+'Appendix K'!$H$49+'Appendix K'!$G$49))/((1+$Y$16)^AQ$34))</f>
        <v>-447261.51345221116</v>
      </c>
      <c r="AR181" s="193">
        <f>(((U181*'Appendix K'!$C$24*1000)-('Appendix K'!$E$50+'Appendix K'!$F$50+'Appendix K'!$H$50+'Appendix K'!$G$50))/((1+$Y$16)^AR$34))</f>
        <v>-411841.58702226589</v>
      </c>
      <c r="AS181" s="209">
        <f t="shared" si="20"/>
        <v>29175811.491632693</v>
      </c>
      <c r="AU181" s="199">
        <f t="shared" si="19"/>
        <v>4.1367772957711246E-9</v>
      </c>
    </row>
    <row r="182" spans="1:47" x14ac:dyDescent="0.35">
      <c r="A182">
        <v>148</v>
      </c>
      <c r="B182" s="70">
        <v>56</v>
      </c>
      <c r="C182" s="70">
        <v>69.101029559053217</v>
      </c>
      <c r="D182" s="70">
        <v>100.97898614611702</v>
      </c>
      <c r="E182" s="70">
        <v>151.38610982899289</v>
      </c>
      <c r="F182" s="70">
        <v>118.32772479313256</v>
      </c>
      <c r="G182" s="70">
        <v>64.376636575727971</v>
      </c>
      <c r="H182" s="70">
        <v>53.810471891647474</v>
      </c>
      <c r="I182" s="70">
        <v>67.00801449606918</v>
      </c>
      <c r="J182" s="70">
        <v>66.443431293428759</v>
      </c>
      <c r="K182" s="70">
        <v>104.5117785028651</v>
      </c>
      <c r="L182" s="70">
        <v>71.126908397262824</v>
      </c>
      <c r="M182" s="70">
        <v>80.413670061269869</v>
      </c>
      <c r="N182" s="70">
        <v>86.030449416357499</v>
      </c>
      <c r="O182" s="70">
        <v>65.53339716355373</v>
      </c>
      <c r="P182" s="70">
        <v>67.978281222718905</v>
      </c>
      <c r="Q182" s="70">
        <v>47.920440653182467</v>
      </c>
      <c r="R182" s="70">
        <v>68.255010602549831</v>
      </c>
      <c r="S182" s="70">
        <v>63.591987239063066</v>
      </c>
      <c r="T182" s="70">
        <v>65.445001158169333</v>
      </c>
      <c r="U182" s="70">
        <v>91.186817272935258</v>
      </c>
      <c r="V182" s="70">
        <v>77.790486667806817</v>
      </c>
      <c r="X182" s="193">
        <f>((0-('Appendix K'!$I$30))/(1+$Y$16)^0)</f>
        <v>-33594902.4440751</v>
      </c>
      <c r="Y182" s="193">
        <f>(((B182*'Appendix K'!$C$5*1000)-('Appendix K'!$E$31+'Appendix K'!$F$31+'Appendix K'!$H$31+'Appendix K'!$G$31))/((1+$Y$16)^1))</f>
        <v>34971064.972647354</v>
      </c>
      <c r="Z182" s="193">
        <f>+(((C182*'Appendix K'!$C$6*1000)-('Appendix K'!$E$32+'Appendix K'!$F$32+'Appendix K'!$H$32+'Appendix K'!$G$32))/((1+$Y$16)^2))</f>
        <v>13968854.240213493</v>
      </c>
      <c r="AA182" s="193">
        <f>(((D182*'Appendix K'!$C$7*1000)-('Appendix K'!$E$33+'Appendix K'!$F$33+'Appendix K'!$H$33+'Appendix K'!$G$33))/((1+$Y$16)^3))</f>
        <v>9897287.4083274994</v>
      </c>
      <c r="AB182" s="193">
        <f>(((E182*'Appendix K'!$C$8*1000)-('Appendix K'!$E$34+'Appendix K'!$F$34+'Appendix K'!$H$34+'Appendix K'!$G$34))/((1+$Y$16)^4))</f>
        <v>29889241.579209585</v>
      </c>
      <c r="AC182" s="193">
        <f>(((F182*'Appendix K'!$C$9*1000)-('Appendix K'!$E$35+'Appendix K'!$F$35+'Appendix K'!$H$35+'Appendix K'!$G$35))/((1+$Y$16)^AC$34))</f>
        <v>28467094.922984321</v>
      </c>
      <c r="AD182" s="193">
        <f>(((G182*'Appendix K'!$C$10*1000)-('Appendix K'!$E$36+'Appendix K'!$F$36+'Appendix K'!$H$36+'Appendix K'!$G$36))/((1+$Y$16)^AD$34))</f>
        <v>7594198.4153913064</v>
      </c>
      <c r="AE182" s="193">
        <f>(((H182*'Appendix K'!$C$11*1000)-('Appendix K'!$E$37+'Appendix K'!$F$37+'Appendix K'!$H$37+'Appendix K'!$G$37))/((1+$Y$16)^AE$34))</f>
        <v>3146987.9076547907</v>
      </c>
      <c r="AF182" s="193">
        <f>(((I182*'Appendix K'!$C$12*1000)-('Appendix K'!$E$38+'Appendix K'!$F$38+'Appendix K'!$H$38+'Appendix K'!$G$38))/((1+$Y$16)^AF$34))</f>
        <v>2403329.8522339896</v>
      </c>
      <c r="AG182" s="193">
        <f>(((J182*'Appendix K'!$C$13*1000)-('Appendix K'!$E$39+'Appendix K'!$F$39+'Appendix K'!$H$39+'Appendix K'!$G$39))/((1+$Y$16)^AG$34))</f>
        <v>1242711.9128645021</v>
      </c>
      <c r="AH182" s="193">
        <f>(((K182*'Appendix K'!$C$14*1000)-('Appendix K'!$E$40+'Appendix K'!$F$40+'Appendix K'!$H$40+'Appendix K'!$G$40))/((1+$Y$16)^AH$34))</f>
        <v>1889987.9023804637</v>
      </c>
      <c r="AI182" s="193">
        <f>(((L182*'Appendix K'!$C$15*1000)-('Appendix K'!$E$41+'Appendix K'!$F$41+'Appendix K'!$H$41+'Appendix K'!$G$41))/((1+$Y$16)^AI$34))</f>
        <v>347176.65964816645</v>
      </c>
      <c r="AJ182" s="193">
        <f>(((M182*'Appendix K'!$C$16*1000)-('Appendix K'!$E$42+'Appendix K'!$F$42+'Appendix K'!$H$42+'Appendix K'!$G$42))/((1+$Y$16)^AJ$34))</f>
        <v>230089.11986866541</v>
      </c>
      <c r="AK182" s="193">
        <f>(((N182*'Appendix K'!$C$17*1000)-('Appendix K'!$E$43+'Appendix K'!$F$43+'Appendix K'!$H$43))/((1+$Y$16)^AK$34))</f>
        <v>317504.38711352187</v>
      </c>
      <c r="AL182" s="193">
        <f>(((O182*'Appendix K'!$C$18*1000)-('Appendix K'!$E$44+'Appendix K'!$F$44+'Appendix K'!$H$44+'Appendix K'!$G$44))/((1+$Y$16)^AL$34))</f>
        <v>-357802.48574915185</v>
      </c>
      <c r="AM182" s="193">
        <f>(((P182*'Appendix K'!$C$19*1000)-('Appendix K'!$E$45+'Appendix K'!$F$45+'Appendix K'!$H$45+'Appendix K'!$G$45))/((1+$Y$16)^AM$34))</f>
        <v>-396693.48576017836</v>
      </c>
      <c r="AN182" s="193">
        <f>(((Q182*'Appendix K'!$C$20*1000)-('Appendix K'!$E$46+'Appendix K'!$F$46+'Appendix K'!$H$46+'Appendix K'!$G$46))/((1+$Y$16)^AN$34))</f>
        <v>-568946.13679163286</v>
      </c>
      <c r="AO182" s="193">
        <f>(((R182*'Appendix K'!$C$21*1000)-('Appendix K'!$E$47+'Appendix K'!$F$47+'Appendix K'!$H$47+'Appendix K'!$G$47))/((1+$Y$16)^AO$34))</f>
        <v>-439604.2719036162</v>
      </c>
      <c r="AP182" s="193">
        <f>(((S182*'Appendix K'!$C$22*1000)-('Appendix K'!$E$48+'Appendix K'!$F$48+'Appendix K'!$H$48+'Appendix K'!$G$48))/((1+$Y$16)^AP$34))</f>
        <v>-459865.46156195638</v>
      </c>
      <c r="AQ182" s="193">
        <f>(((T182*'Appendix K'!$C$23*1000)-('Appendix K'!$E$49+'Appendix K'!$F$49+'Appendix K'!$H$49+'Appendix K'!$G$49))/((1+$Y$16)^AQ$34))</f>
        <v>-437350.65132869361</v>
      </c>
      <c r="AR182" s="193">
        <f>(((U182*'Appendix K'!$C$24*1000)-('Appendix K'!$E$50+'Appendix K'!$F$50+'Appendix K'!$H$50+'Appendix K'!$G$50))/((1+$Y$16)^AR$34))</f>
        <v>-335664.76273891865</v>
      </c>
      <c r="AS182" s="209">
        <f t="shared" si="20"/>
        <v>100770626.83646256</v>
      </c>
      <c r="AU182" s="199">
        <f t="shared" si="19"/>
        <v>6.843368580682175E-9</v>
      </c>
    </row>
    <row r="183" spans="1:47" x14ac:dyDescent="0.35">
      <c r="A183">
        <v>149</v>
      </c>
      <c r="B183" s="70">
        <v>56</v>
      </c>
      <c r="C183" s="70">
        <v>77.05412148714052</v>
      </c>
      <c r="D183" s="70">
        <v>81.851056750710327</v>
      </c>
      <c r="E183" s="70">
        <v>90.342971667128396</v>
      </c>
      <c r="F183" s="70">
        <v>54.221176806217422</v>
      </c>
      <c r="G183" s="70">
        <v>52.240236059627435</v>
      </c>
      <c r="H183" s="70">
        <v>48.500548668002928</v>
      </c>
      <c r="I183" s="70">
        <v>38.313746396277097</v>
      </c>
      <c r="J183" s="70">
        <v>47.15869853423451</v>
      </c>
      <c r="K183" s="70">
        <v>70.181319347862583</v>
      </c>
      <c r="L183" s="70">
        <v>79.65207911820896</v>
      </c>
      <c r="M183" s="70">
        <v>69.499439351051066</v>
      </c>
      <c r="N183" s="70">
        <v>76.503906539582189</v>
      </c>
      <c r="O183" s="70">
        <v>88.920096309847651</v>
      </c>
      <c r="P183" s="70">
        <v>50.529001387655697</v>
      </c>
      <c r="Q183" s="70">
        <v>41.543904153229107</v>
      </c>
      <c r="R183" s="70">
        <v>51.391267687492899</v>
      </c>
      <c r="S183" s="70">
        <v>64.316003368728431</v>
      </c>
      <c r="T183" s="70">
        <v>82.887095478506836</v>
      </c>
      <c r="U183" s="70">
        <v>68.437046438923119</v>
      </c>
      <c r="V183" s="70">
        <v>69.971211789370699</v>
      </c>
      <c r="X183" s="193">
        <f>((0-('Appendix K'!$I$30))/(1+$Y$16)^0)</f>
        <v>-33594902.4440751</v>
      </c>
      <c r="Y183" s="193">
        <f>(((B183*'Appendix K'!$C$5*1000)-('Appendix K'!$E$31+'Appendix K'!$F$31+'Appendix K'!$H$31+'Appendix K'!$G$31))/((1+$Y$16)^1))</f>
        <v>34971064.972647354</v>
      </c>
      <c r="Z183" s="193">
        <f>+(((C183*'Appendix K'!$C$6*1000)-('Appendix K'!$E$32+'Appendix K'!$F$32+'Appendix K'!$H$32+'Appendix K'!$G$32))/((1+$Y$16)^2))</f>
        <v>15977941.283966457</v>
      </c>
      <c r="AA183" s="193">
        <f>(((D183*'Appendix K'!$C$7*1000)-('Appendix K'!$E$33+'Appendix K'!$F$33+'Appendix K'!$H$33+'Appendix K'!$G$33))/((1+$Y$16)^3))</f>
        <v>7460869.8431058582</v>
      </c>
      <c r="AB183" s="193">
        <f>(((E183*'Appendix K'!$C$8*1000)-('Appendix K'!$E$34+'Appendix K'!$F$34+'Appendix K'!$H$34+'Appendix K'!$G$34))/((1+$Y$16)^4))</f>
        <v>16509144.490274439</v>
      </c>
      <c r="AC183" s="193">
        <f>(((F183*'Appendix K'!$C$9*1000)-('Appendix K'!$E$35+'Appendix K'!$F$35+'Appendix K'!$H$35+'Appendix K'!$G$35))/((1+$Y$16)^AC$34))</f>
        <v>11427675.133407013</v>
      </c>
      <c r="AD183" s="193">
        <f>(((G183*'Appendix K'!$C$10*1000)-('Appendix K'!$E$36+'Appendix K'!$F$36+'Appendix K'!$H$36+'Appendix K'!$G$36))/((1+$Y$16)^AD$34))</f>
        <v>5688250.1211581938</v>
      </c>
      <c r="AE183" s="193">
        <f>(((H183*'Appendix K'!$C$11*1000)-('Appendix K'!$E$37+'Appendix K'!$F$37+'Appendix K'!$H$37+'Appendix K'!$G$37))/((1+$Y$16)^AE$34))</f>
        <v>2617388.756024708</v>
      </c>
      <c r="AF183" s="193">
        <f>(((I183*'Appendix K'!$C$12*1000)-('Appendix K'!$E$38+'Appendix K'!$F$38+'Appendix K'!$H$38+'Appendix K'!$G$38))/((1+$Y$16)^AF$34))</f>
        <v>519194.56669278233</v>
      </c>
      <c r="AG183" s="193">
        <f>(((J183*'Appendix K'!$C$13*1000)-('Appendix K'!$E$39+'Appendix K'!$F$39+'Appendix K'!$H$39+'Appendix K'!$G$39))/((1+$Y$16)^AG$34))</f>
        <v>355249.09654695267</v>
      </c>
      <c r="AH183" s="193">
        <f>(((K183*'Appendix K'!$C$14*1000)-('Appendix K'!$E$40+'Appendix K'!$F$40+'Appendix K'!$H$40+'Appendix K'!$G$40))/((1+$Y$16)^AH$34))</f>
        <v>732827.36232127936</v>
      </c>
      <c r="AI183" s="193">
        <f>(((L183*'Appendix K'!$C$15*1000)-('Appendix K'!$E$41+'Appendix K'!$F$41+'Appendix K'!$H$41+'Appendix K'!$G$41))/((1+$Y$16)^AI$34))</f>
        <v>570552.07468437578</v>
      </c>
      <c r="AJ183" s="193">
        <f>(((M183*'Appendix K'!$C$16*1000)-('Appendix K'!$E$42+'Appendix K'!$F$42+'Appendix K'!$H$42+'Appendix K'!$G$42))/((1+$Y$16)^AJ$34))</f>
        <v>11347.559807826965</v>
      </c>
      <c r="AK183" s="193">
        <f>(((N183*'Appendix K'!$C$17*1000)-('Appendix K'!$E$43+'Appendix K'!$F$43+'Appendix K'!$H$43))/((1+$Y$16)^AK$34))</f>
        <v>171139.55918145555</v>
      </c>
      <c r="AL183" s="193">
        <f>(((O183*'Appendix K'!$C$18*1000)-('Appendix K'!$E$44+'Appendix K'!$F$44+'Appendix K'!$H$44+'Appendix K'!$G$44))/((1+$Y$16)^AL$34))</f>
        <v>-80593.059182185199</v>
      </c>
      <c r="AM183" s="193">
        <f>(((P183*'Appendix K'!$C$19*1000)-('Appendix K'!$E$45+'Appendix K'!$F$45+'Appendix K'!$H$45+'Appendix K'!$G$45))/((1+$Y$16)^AM$34))</f>
        <v>-558426.18051968969</v>
      </c>
      <c r="AN183" s="193">
        <f>(((Q183*'Appendix K'!$C$20*1000)-('Appendix K'!$E$46+'Appendix K'!$F$46+'Appendix K'!$H$46+'Appendix K'!$G$46))/((1+$Y$16)^AN$34))</f>
        <v>-615088.13791794016</v>
      </c>
      <c r="AO183" s="193">
        <f>(((R183*'Appendix K'!$C$21*1000)-('Appendix K'!$E$47+'Appendix K'!$F$47+'Appendix K'!$H$47+'Appendix K'!$G$47))/((1+$Y$16)^AO$34))</f>
        <v>-539270.85563859844</v>
      </c>
      <c r="AP183" s="193">
        <f>(((S183*'Appendix K'!$C$22*1000)-('Appendix K'!$E$48+'Appendix K'!$F$48+'Appendix K'!$H$48+'Appendix K'!$G$48))/((1+$Y$16)^AP$34))</f>
        <v>-456397.62750200648</v>
      </c>
      <c r="AQ183" s="193">
        <f>(((T183*'Appendix K'!$C$23*1000)-('Appendix K'!$E$49+'Appendix K'!$F$49+'Appendix K'!$H$49+'Appendix K'!$G$49))/((1+$Y$16)^AQ$34))</f>
        <v>-369086.75944955618</v>
      </c>
      <c r="AR183" s="193">
        <f>(((U183*'Appendix K'!$C$24*1000)-('Appendix K'!$E$50+'Appendix K'!$F$50+'Appendix K'!$H$50+'Appendix K'!$G$50))/((1+$Y$16)^AR$34))</f>
        <v>-408919.66224704916</v>
      </c>
      <c r="AS183" s="209">
        <f t="shared" si="20"/>
        <v>63417742.37574359</v>
      </c>
      <c r="AU183" s="199">
        <f t="shared" si="19"/>
        <v>6.4187757392862681E-9</v>
      </c>
    </row>
    <row r="184" spans="1:47" x14ac:dyDescent="0.35">
      <c r="A184">
        <v>150</v>
      </c>
      <c r="B184" s="70">
        <v>56</v>
      </c>
      <c r="C184" s="70">
        <v>74.035507514140861</v>
      </c>
      <c r="D184" s="70">
        <v>96.374085867133573</v>
      </c>
      <c r="E184" s="70">
        <v>91.055420624078977</v>
      </c>
      <c r="F184" s="70">
        <v>77.766379379879751</v>
      </c>
      <c r="G184" s="70">
        <v>66.898368723622951</v>
      </c>
      <c r="H184" s="70">
        <v>88.089086242126939</v>
      </c>
      <c r="I184" s="70">
        <v>138.77198790696326</v>
      </c>
      <c r="J184" s="70">
        <v>78.514269308835253</v>
      </c>
      <c r="K184" s="70">
        <v>118.73343011645832</v>
      </c>
      <c r="L184" s="70">
        <v>112.93494931974564</v>
      </c>
      <c r="M184" s="70">
        <v>144.08916659449926</v>
      </c>
      <c r="N184" s="70">
        <v>181.03584826354452</v>
      </c>
      <c r="O184" s="70">
        <v>237.0267066569113</v>
      </c>
      <c r="P184" s="70">
        <v>301.88159229514588</v>
      </c>
      <c r="Q184" s="70">
        <v>319.62613877572699</v>
      </c>
      <c r="R184" s="70">
        <v>137.52792987993919</v>
      </c>
      <c r="S184" s="70">
        <v>148.14878102921301</v>
      </c>
      <c r="T184" s="70">
        <v>211.60017809914802</v>
      </c>
      <c r="U184" s="70">
        <v>81.954754267002102</v>
      </c>
      <c r="V184" s="70">
        <v>111.28254625095343</v>
      </c>
      <c r="X184" s="193">
        <f>((0-('Appendix K'!$I$30))/(1+$Y$16)^0)</f>
        <v>-33594902.4440751</v>
      </c>
      <c r="Y184" s="193">
        <f>(((B184*'Appendix K'!$C$5*1000)-('Appendix K'!$E$31+'Appendix K'!$F$31+'Appendix K'!$H$31+'Appendix K'!$G$31))/((1+$Y$16)^1))</f>
        <v>34971064.972647354</v>
      </c>
      <c r="Z184" s="193">
        <f>+(((C184*'Appendix K'!$C$6*1000)-('Appendix K'!$E$32+'Appendix K'!$F$32+'Appendix K'!$H$32+'Appendix K'!$G$32))/((1+$Y$16)^2))</f>
        <v>15215387.766657395</v>
      </c>
      <c r="AA184" s="193">
        <f>(((D184*'Appendix K'!$C$7*1000)-('Appendix K'!$E$33+'Appendix K'!$F$33+'Appendix K'!$H$33+'Appendix K'!$G$33))/((1+$Y$16)^3))</f>
        <v>9310738.8230685256</v>
      </c>
      <c r="AB184" s="193">
        <f>(((E184*'Appendix K'!$C$8*1000)-('Appendix K'!$E$34+'Appendix K'!$F$34+'Appendix K'!$H$34+'Appendix K'!$G$34))/((1+$Y$16)^4))</f>
        <v>16665306.779795535</v>
      </c>
      <c r="AC184" s="193">
        <f>(((F184*'Appendix K'!$C$9*1000)-('Appendix K'!$E$35+'Appendix K'!$F$35+'Appendix K'!$H$35+'Appendix K'!$G$35))/((1+$Y$16)^AC$34))</f>
        <v>17685953.004883688</v>
      </c>
      <c r="AD184" s="193">
        <f>(((G184*'Appendix K'!$C$10*1000)-('Appendix K'!$E$36+'Appendix K'!$F$36+'Appendix K'!$H$36+'Appendix K'!$G$36))/((1+$Y$16)^AD$34))</f>
        <v>7990221.1965624634</v>
      </c>
      <c r="AE184" s="193">
        <f>(((H184*'Appendix K'!$C$11*1000)-('Appendix K'!$E$37+'Appendix K'!$F$37+'Appendix K'!$H$37+'Appendix K'!$G$37))/((1+$Y$16)^AE$34))</f>
        <v>6565855.6227718554</v>
      </c>
      <c r="AF184" s="193">
        <f>(((I184*'Appendix K'!$C$12*1000)-('Appendix K'!$E$38+'Appendix K'!$F$38+'Appendix K'!$H$38+'Appendix K'!$G$38))/((1+$Y$16)^AF$34))</f>
        <v>7115526.5203583213</v>
      </c>
      <c r="AG184" s="193">
        <f>(((J184*'Appendix K'!$C$13*1000)-('Appendix K'!$E$39+'Appendix K'!$F$39+'Appendix K'!$H$39+'Appendix K'!$G$39))/((1+$Y$16)^AG$34))</f>
        <v>1798198.9934598133</v>
      </c>
      <c r="AH184" s="193">
        <f>(((K184*'Appendix K'!$C$14*1000)-('Appendix K'!$E$40+'Appendix K'!$F$40+'Appendix K'!$H$40+'Appendix K'!$G$40))/((1+$Y$16)^AH$34))</f>
        <v>2369350.3830107609</v>
      </c>
      <c r="AI184" s="193">
        <f>(((L184*'Appendix K'!$C$15*1000)-('Appendix K'!$E$41+'Appendix K'!$F$41+'Appendix K'!$H$41+'Appendix K'!$G$41))/((1+$Y$16)^AI$34))</f>
        <v>1442625.5132371045</v>
      </c>
      <c r="AJ184" s="193">
        <f>(((M184*'Appendix K'!$C$16*1000)-('Appendix K'!$E$42+'Appendix K'!$F$42+'Appendix K'!$H$42+'Appendix K'!$G$42))/((1+$Y$16)^AJ$34))</f>
        <v>1506264.9511424284</v>
      </c>
      <c r="AK184" s="193">
        <f>(((N184*'Appendix K'!$C$17*1000)-('Appendix K'!$E$43+'Appendix K'!$F$43+'Appendix K'!$H$43))/((1+$Y$16)^AK$34))</f>
        <v>1777157.5933973936</v>
      </c>
      <c r="AL184" s="193">
        <f>(((O184*'Appendix K'!$C$18*1000)-('Appendix K'!$E$44+'Appendix K'!$F$44+'Appendix K'!$H$44+'Appendix K'!$G$44))/((1+$Y$16)^AL$34))</f>
        <v>1674958.1739465354</v>
      </c>
      <c r="AM184" s="193">
        <f>(((P184*'Appendix K'!$C$19*1000)-('Appendix K'!$E$45+'Appendix K'!$F$45+'Appendix K'!$H$45+'Appendix K'!$G$45))/((1+$Y$16)^AM$34))</f>
        <v>1771293.5698946523</v>
      </c>
      <c r="AN184" s="193">
        <f>(((Q184*'Appendix K'!$C$20*1000)-('Appendix K'!$E$46+'Appendix K'!$F$46+'Appendix K'!$H$46+'Appendix K'!$G$46))/((1+$Y$16)^AN$34))</f>
        <v>1397175.2253124265</v>
      </c>
      <c r="AO184" s="193">
        <f>(((R184*'Appendix K'!$C$21*1000)-('Appendix K'!$E$47+'Appendix K'!$F$47+'Appendix K'!$H$47+'Appendix K'!$G$47))/((1+$Y$16)^AO$34))</f>
        <v>-30193.665699335943</v>
      </c>
      <c r="AP184" s="193">
        <f>(((S184*'Appendix K'!$C$22*1000)-('Appendix K'!$E$48+'Appendix K'!$F$48+'Appendix K'!$H$48+'Appendix K'!$G$48))/((1+$Y$16)^AP$34))</f>
        <v>-54862.150874427323</v>
      </c>
      <c r="AQ184" s="193">
        <f>(((T184*'Appendix K'!$C$23*1000)-('Appendix K'!$E$49+'Appendix K'!$F$49+'Appendix K'!$H$49+'Appendix K'!$G$49))/((1+$Y$16)^AQ$34))</f>
        <v>134663.29453340606</v>
      </c>
      <c r="AR184" s="193">
        <f>(((U184*'Appendix K'!$C$24*1000)-('Appendix K'!$E$50+'Appendix K'!$F$50+'Appendix K'!$H$50+'Appendix K'!$G$50))/((1+$Y$16)^AR$34))</f>
        <v>-365392.264289891</v>
      </c>
      <c r="AS184" s="209">
        <f t="shared" si="20"/>
        <v>95796839.940604568</v>
      </c>
      <c r="AU184" s="199">
        <f t="shared" si="19"/>
        <v>6.9570316526519882E-9</v>
      </c>
    </row>
    <row r="185" spans="1:47" x14ac:dyDescent="0.35">
      <c r="A185">
        <v>151</v>
      </c>
      <c r="B185" s="70">
        <v>56</v>
      </c>
      <c r="C185" s="70">
        <v>60.068380586011756</v>
      </c>
      <c r="D185" s="70">
        <v>66.648326089413146</v>
      </c>
      <c r="E185" s="70">
        <v>48.345078889921943</v>
      </c>
      <c r="F185" s="70">
        <v>55.63021829845016</v>
      </c>
      <c r="G185" s="70">
        <v>71.299221713495641</v>
      </c>
      <c r="H185" s="70">
        <v>72.204353580516511</v>
      </c>
      <c r="I185" s="70">
        <v>60.071314451449439</v>
      </c>
      <c r="J185" s="70">
        <v>69.109296931998188</v>
      </c>
      <c r="K185" s="70">
        <v>103.79481028109997</v>
      </c>
      <c r="L185" s="70">
        <v>162.30031628853828</v>
      </c>
      <c r="M185" s="70">
        <v>192.50130916740875</v>
      </c>
      <c r="N185" s="70">
        <v>222.58523374774614</v>
      </c>
      <c r="O185" s="70">
        <v>193.26649856939082</v>
      </c>
      <c r="P185" s="70">
        <v>241.2261836028274</v>
      </c>
      <c r="Q185" s="70">
        <v>347.4208947229792</v>
      </c>
      <c r="R185" s="70">
        <v>367.60992404048335</v>
      </c>
      <c r="S185" s="70">
        <v>292.99397519886907</v>
      </c>
      <c r="T185" s="70">
        <v>326.9748629131754</v>
      </c>
      <c r="U185" s="70">
        <v>395.2769100462707</v>
      </c>
      <c r="V185" s="70">
        <v>500</v>
      </c>
      <c r="X185" s="193">
        <f>((0-('Appendix K'!$I$30))/(1+$Y$16)^0)</f>
        <v>-33594902.4440751</v>
      </c>
      <c r="Y185" s="193">
        <f>(((B185*'Appendix K'!$C$5*1000)-('Appendix K'!$E$31+'Appendix K'!$F$31+'Appendix K'!$H$31+'Appendix K'!$G$31))/((1+$Y$16)^1))</f>
        <v>34971064.972647354</v>
      </c>
      <c r="Z185" s="193">
        <f>+(((C185*'Appendix K'!$C$6*1000)-('Appendix K'!$E$32+'Appendix K'!$F$32+'Appendix K'!$H$32+'Appendix K'!$G$32))/((1+$Y$16)^2))</f>
        <v>11687052.623107009</v>
      </c>
      <c r="AA185" s="193">
        <f>(((D185*'Appendix K'!$C$7*1000)-('Appendix K'!$E$33+'Appendix K'!$F$33+'Appendix K'!$H$33+'Appendix K'!$G$33))/((1+$Y$16)^3))</f>
        <v>5524423.9656230211</v>
      </c>
      <c r="AB185" s="193">
        <f>(((E185*'Appendix K'!$C$8*1000)-('Appendix K'!$E$34+'Appendix K'!$F$34+'Appendix K'!$H$34+'Appendix K'!$G$34))/((1+$Y$16)^4))</f>
        <v>7303590.8472153563</v>
      </c>
      <c r="AC185" s="193">
        <f>(((F185*'Appendix K'!$C$9*1000)-('Appendix K'!$E$35+'Appendix K'!$F$35+'Appendix K'!$H$35+'Appendix K'!$G$35))/((1+$Y$16)^AC$34))</f>
        <v>11802196.149450283</v>
      </c>
      <c r="AD185" s="193">
        <f>(((G185*'Appendix K'!$C$10*1000)-('Appendix K'!$E$36+'Appendix K'!$F$36+'Appendix K'!$H$36+'Appendix K'!$G$36))/((1+$Y$16)^AD$34))</f>
        <v>8681348.5401344765</v>
      </c>
      <c r="AE185" s="193">
        <f>(((H185*'Appendix K'!$C$11*1000)-('Appendix K'!$E$37+'Appendix K'!$F$37+'Appendix K'!$H$37+'Appendix K'!$G$37))/((1+$Y$16)^AE$34))</f>
        <v>4981550.0524013937</v>
      </c>
      <c r="AF185" s="193">
        <f>(((I185*'Appendix K'!$C$12*1000)-('Appendix K'!$E$38+'Appendix K'!$F$38+'Appendix K'!$H$38+'Appendix K'!$G$38))/((1+$Y$16)^AF$34))</f>
        <v>1947849.2916624511</v>
      </c>
      <c r="AG185" s="193">
        <f>(((J185*'Appendix K'!$C$13*1000)-('Appendix K'!$E$39+'Appendix K'!$F$39+'Appendix K'!$H$39+'Appendix K'!$G$39))/((1+$Y$16)^AG$34))</f>
        <v>1365392.2039046283</v>
      </c>
      <c r="AH185" s="193">
        <f>(((K185*'Appendix K'!$C$14*1000)-('Appendix K'!$E$40+'Appendix K'!$F$40+'Appendix K'!$H$40+'Appendix K'!$G$40))/((1+$Y$16)^AH$34))</f>
        <v>1865821.3938302244</v>
      </c>
      <c r="AI185" s="193">
        <f>(((L185*'Appendix K'!$C$15*1000)-('Appendix K'!$E$41+'Appendix K'!$F$41+'Appendix K'!$H$41+'Appendix K'!$G$41))/((1+$Y$16)^AI$34))</f>
        <v>2736090.4415083649</v>
      </c>
      <c r="AJ185" s="193">
        <f>(((M185*'Appendix K'!$C$16*1000)-('Appendix K'!$E$42+'Appendix K'!$F$42+'Appendix K'!$H$42+'Appendix K'!$G$42))/((1+$Y$16)^AJ$34))</f>
        <v>2476534.6727061267</v>
      </c>
      <c r="AK185" s="193">
        <f>(((N185*'Appendix K'!$C$17*1000)-('Appendix K'!$E$43+'Appendix K'!$F$43+'Appendix K'!$H$43))/((1+$Y$16)^AK$34))</f>
        <v>2415518.091611702</v>
      </c>
      <c r="AL185" s="193">
        <f>(((O185*'Appendix K'!$C$18*1000)-('Appendix K'!$E$44+'Appendix K'!$F$44+'Appendix K'!$H$44+'Appendix K'!$G$44))/((1+$Y$16)^AL$34))</f>
        <v>1156255.5509508899</v>
      </c>
      <c r="AM185" s="193">
        <f>(((P185*'Appendix K'!$C$19*1000)-('Appendix K'!$E$45+'Appendix K'!$F$45+'Appendix K'!$H$45+'Appendix K'!$G$45))/((1+$Y$16)^AM$34))</f>
        <v>1209094.8549748727</v>
      </c>
      <c r="AN185" s="193">
        <f>(((Q185*'Appendix K'!$C$20*1000)-('Appendix K'!$E$46+'Appendix K'!$F$46+'Appendix K'!$H$46+'Appendix K'!$G$46))/((1+$Y$16)^AN$34))</f>
        <v>1598304.1077759592</v>
      </c>
      <c r="AO185" s="193">
        <f>(((R185*'Appendix K'!$C$21*1000)-('Appendix K'!$E$47+'Appendix K'!$F$47+'Appendix K'!$H$47+'Appendix K'!$G$47))/((1+$Y$16)^AO$34))</f>
        <v>1329616.3392574524</v>
      </c>
      <c r="AP185" s="193">
        <f>(((S185*'Appendix K'!$C$22*1000)-('Appendix K'!$E$48+'Appendix K'!$F$48+'Appendix K'!$H$48+'Appendix K'!$G$48))/((1+$Y$16)^AP$34))</f>
        <v>638905.67719005549</v>
      </c>
      <c r="AQ185" s="193">
        <f>(((T185*'Appendix K'!$C$23*1000)-('Appendix K'!$E$49+'Appendix K'!$F$49+'Appendix K'!$H$49+'Appendix K'!$G$49))/((1+$Y$16)^AQ$34))</f>
        <v>586210.27421869477</v>
      </c>
      <c r="AR185" s="193">
        <f>(((U185*'Appendix K'!$C$24*1000)-('Appendix K'!$E$50+'Appendix K'!$F$50+'Appendix K'!$H$50+'Appendix K'!$G$50))/((1+$Y$16)^AR$34))</f>
        <v>643513.85624852357</v>
      </c>
      <c r="AS185" s="209">
        <f t="shared" si="20"/>
        <v>71325431.462343723</v>
      </c>
      <c r="AU185" s="199">
        <f t="shared" si="19"/>
        <v>6.7459039484261959E-9</v>
      </c>
    </row>
    <row r="186" spans="1:47" x14ac:dyDescent="0.35">
      <c r="A186">
        <v>152</v>
      </c>
      <c r="B186" s="70">
        <v>56</v>
      </c>
      <c r="C186" s="70">
        <v>42.527361043391693</v>
      </c>
      <c r="D186" s="70">
        <v>38.262269818051195</v>
      </c>
      <c r="E186" s="70">
        <v>30.48315678555057</v>
      </c>
      <c r="F186" s="70">
        <v>34.019433512922561</v>
      </c>
      <c r="G186" s="70">
        <v>40.718684363973424</v>
      </c>
      <c r="H186" s="70">
        <v>47.403944650919776</v>
      </c>
      <c r="I186" s="70">
        <v>41.537405740118899</v>
      </c>
      <c r="J186" s="70">
        <v>25.775098533161117</v>
      </c>
      <c r="K186" s="70">
        <v>10.779603366913463</v>
      </c>
      <c r="L186" s="70">
        <v>10.665365636701825</v>
      </c>
      <c r="M186" s="70">
        <v>15.692889628190141</v>
      </c>
      <c r="N186" s="70">
        <v>9.394156700374154</v>
      </c>
      <c r="O186" s="70">
        <v>10.234360537308484</v>
      </c>
      <c r="P186" s="70">
        <v>12.469668218630876</v>
      </c>
      <c r="Q186" s="70">
        <v>12.518274447309818</v>
      </c>
      <c r="R186" s="70">
        <v>16.859002983620272</v>
      </c>
      <c r="S186" s="70">
        <v>13.840273641598682</v>
      </c>
      <c r="T186" s="70">
        <v>15.089548937825299</v>
      </c>
      <c r="U186" s="70">
        <v>17.111730667579824</v>
      </c>
      <c r="V186" s="70">
        <v>17.552900415441087</v>
      </c>
      <c r="X186" s="193">
        <f>((0-('Appendix K'!$I$30))/(1+$Y$16)^0)</f>
        <v>-33594902.4440751</v>
      </c>
      <c r="Y186" s="193">
        <f>(((B186*'Appendix K'!$C$5*1000)-('Appendix K'!$E$31+'Appendix K'!$F$31+'Appendix K'!$H$31+'Appendix K'!$G$31))/((1+$Y$16)^1))</f>
        <v>34971064.972647354</v>
      </c>
      <c r="Z186" s="193">
        <f>+(((C186*'Appendix K'!$C$6*1000)-('Appendix K'!$E$32+'Appendix K'!$F$32+'Appendix K'!$H$32+'Appendix K'!$G$32))/((1+$Y$16)^2))</f>
        <v>7255891.0804073494</v>
      </c>
      <c r="AA186" s="193">
        <f>(((D186*'Appendix K'!$C$7*1000)-('Appendix K'!$E$33+'Appendix K'!$F$33+'Appendix K'!$H$33+'Appendix K'!$G$33))/((1+$Y$16)^3))</f>
        <v>1908753.671298116</v>
      </c>
      <c r="AB186" s="193">
        <f>(((E186*'Appendix K'!$C$8*1000)-('Appendix K'!$E$34+'Appendix K'!$F$34+'Appendix K'!$H$34+'Appendix K'!$G$34))/((1+$Y$16)^4))</f>
        <v>3388421.0320961075</v>
      </c>
      <c r="AC186" s="193">
        <f>(((F186*'Appendix K'!$C$9*1000)-('Appendix K'!$E$35+'Appendix K'!$F$35+'Appendix K'!$H$35+'Appendix K'!$G$35))/((1+$Y$16)^AC$34))</f>
        <v>6058083.4884787994</v>
      </c>
      <c r="AD186" s="193">
        <f>(((G186*'Appendix K'!$C$10*1000)-('Appendix K'!$E$36+'Appendix K'!$F$36+'Appendix K'!$H$36+'Appendix K'!$G$36))/((1+$Y$16)^AD$34))</f>
        <v>3878860.115273152</v>
      </c>
      <c r="AE186" s="193">
        <f>(((H186*'Appendix K'!$C$11*1000)-('Appendix K'!$E$37+'Appendix K'!$F$37+'Appendix K'!$H$37+'Appendix K'!$G$37))/((1+$Y$16)^AE$34))</f>
        <v>2508016.0715882722</v>
      </c>
      <c r="AF186" s="193">
        <f>(((I186*'Appendix K'!$C$12*1000)-('Appendix K'!$E$38+'Appendix K'!$F$38+'Appendix K'!$H$38+'Appendix K'!$G$38))/((1+$Y$16)^AF$34))</f>
        <v>730867.86315650935</v>
      </c>
      <c r="AG186" s="193">
        <f>(((J186*'Appendix K'!$C$13*1000)-('Appendix K'!$E$39+'Appendix K'!$F$39+'Appendix K'!$H$39+'Appendix K'!$G$39))/((1+$Y$16)^AG$34))</f>
        <v>-628801.34983078844</v>
      </c>
      <c r="AH186" s="193">
        <f>(((K186*'Appendix K'!$C$14*1000)-('Appendix K'!$E$40+'Appendix K'!$F$40+'Appendix K'!$H$40+'Appendix K'!$G$40))/((1+$Y$16)^AH$34))</f>
        <v>-1269398.1667521119</v>
      </c>
      <c r="AI186" s="193">
        <f>(((L186*'Appendix K'!$C$15*1000)-('Appendix K'!$E$41+'Appendix K'!$F$41+'Appendix K'!$H$41+'Appendix K'!$G$41))/((1+$Y$16)^AI$34))</f>
        <v>-1237028.8243179035</v>
      </c>
      <c r="AJ186" s="193">
        <f>(((M186*'Appendix K'!$C$16*1000)-('Appendix K'!$E$42+'Appendix K'!$F$42+'Appendix K'!$H$42+'Appendix K'!$G$42))/((1+$Y$16)^AJ$34))</f>
        <v>-1067036.1522800885</v>
      </c>
      <c r="AK186" s="193">
        <f>(((N186*'Appendix K'!$C$17*1000)-('Appendix K'!$E$43+'Appendix K'!$F$43+'Appendix K'!$H$43))/((1+$Y$16)^AK$34))</f>
        <v>-859927.75609047967</v>
      </c>
      <c r="AL186" s="193">
        <f>(((O186*'Appendix K'!$C$18*1000)-('Appendix K'!$E$44+'Appendix K'!$F$44+'Appendix K'!$H$44+'Appendix K'!$G$44))/((1+$Y$16)^AL$34))</f>
        <v>-1013278.2387391321</v>
      </c>
      <c r="AM186" s="193">
        <f>(((P186*'Appendix K'!$C$19*1000)-('Appendix K'!$E$45+'Appendix K'!$F$45+'Appendix K'!$H$45+'Appendix K'!$G$45))/((1+$Y$16)^AM$34))</f>
        <v>-911187.93185612501</v>
      </c>
      <c r="AN186" s="193">
        <f>(((Q186*'Appendix K'!$C$20*1000)-('Appendix K'!$E$46+'Appendix K'!$F$46+'Appendix K'!$H$46+'Appendix K'!$G$46))/((1+$Y$16)^AN$34))</f>
        <v>-825123.88986448699</v>
      </c>
      <c r="AO186" s="193">
        <f>(((R186*'Appendix K'!$C$21*1000)-('Appendix K'!$E$47+'Appendix K'!$F$47+'Appendix K'!$H$47+'Appendix K'!$G$47))/((1+$Y$16)^AO$34))</f>
        <v>-743360.3551644797</v>
      </c>
      <c r="AP186" s="193">
        <f>(((S186*'Appendix K'!$C$22*1000)-('Appendix K'!$E$48+'Appendix K'!$F$48+'Appendix K'!$H$48+'Appendix K'!$G$48))/((1+$Y$16)^AP$34))</f>
        <v>-698162.20646169095</v>
      </c>
      <c r="AQ186" s="193">
        <f>(((T186*'Appendix K'!$C$23*1000)-('Appendix K'!$E$49+'Appendix K'!$F$49+'Appendix K'!$H$49+'Appendix K'!$G$49))/((1+$Y$16)^AQ$34))</f>
        <v>-634428.99999273883</v>
      </c>
      <c r="AR186" s="193">
        <f>(((U186*'Appendix K'!$C$24*1000)-('Appendix K'!$E$50+'Appendix K'!$F$50+'Appendix K'!$H$50+'Appendix K'!$G$50))/((1+$Y$16)^AR$34))</f>
        <v>-574188.61710753827</v>
      </c>
      <c r="AS186" s="209">
        <f t="shared" si="20"/>
        <v>27105055.850870572</v>
      </c>
      <c r="AU186" s="199">
        <f t="shared" si="19"/>
        <v>3.9815707887527071E-9</v>
      </c>
    </row>
    <row r="187" spans="1:47" x14ac:dyDescent="0.35">
      <c r="A187">
        <v>153</v>
      </c>
      <c r="B187" s="70">
        <v>56</v>
      </c>
      <c r="C187" s="70">
        <v>99.277914578569778</v>
      </c>
      <c r="D187" s="70">
        <v>96.673856347973526</v>
      </c>
      <c r="E187" s="70">
        <v>127.08662198168045</v>
      </c>
      <c r="F187" s="70">
        <v>162.366868347213</v>
      </c>
      <c r="G187" s="70">
        <v>150.61040854949914</v>
      </c>
      <c r="H187" s="70">
        <v>139.73180554788399</v>
      </c>
      <c r="I187" s="70">
        <v>130.56312636445153</v>
      </c>
      <c r="J187" s="70">
        <v>97.779789084281489</v>
      </c>
      <c r="K187" s="70">
        <v>140.20414558343992</v>
      </c>
      <c r="L187" s="70">
        <v>227.89986593327154</v>
      </c>
      <c r="M187" s="70">
        <v>267.09931276002231</v>
      </c>
      <c r="N187" s="70">
        <v>311.35364571112797</v>
      </c>
      <c r="O187" s="70">
        <v>116.87873149762063</v>
      </c>
      <c r="P187" s="70">
        <v>121.97068419194525</v>
      </c>
      <c r="Q187" s="70">
        <v>201.09222195530864</v>
      </c>
      <c r="R187" s="70">
        <v>252.12701479380354</v>
      </c>
      <c r="S187" s="70">
        <v>249.31688849034879</v>
      </c>
      <c r="T187" s="70">
        <v>208.84703961520808</v>
      </c>
      <c r="U187" s="70">
        <v>236.15243240613825</v>
      </c>
      <c r="V187" s="70">
        <v>180.22765443893371</v>
      </c>
      <c r="X187" s="193">
        <f>((0-('Appendix K'!$I$30))/(1+$Y$16)^0)</f>
        <v>-33594902.4440751</v>
      </c>
      <c r="Y187" s="193">
        <f>(((B187*'Appendix K'!$C$5*1000)-('Appendix K'!$E$31+'Appendix K'!$F$31+'Appendix K'!$H$31+'Appendix K'!$G$31))/((1+$Y$16)^1))</f>
        <v>34971064.972647354</v>
      </c>
      <c r="Z187" s="193">
        <f>+(((C187*'Appendix K'!$C$6*1000)-('Appendix K'!$E$32+'Appendix K'!$F$32+'Appendix K'!$H$32+'Appendix K'!$G$32))/((1+$Y$16)^2))</f>
        <v>21592051.515152387</v>
      </c>
      <c r="AA187" s="193">
        <f>(((D187*'Appendix K'!$C$7*1000)-('Appendix K'!$E$33+'Appendix K'!$F$33+'Appendix K'!$H$33+'Appendix K'!$G$33))/((1+$Y$16)^3))</f>
        <v>9348922.0498023499</v>
      </c>
      <c r="AB187" s="193">
        <f>(((E187*'Appendix K'!$C$8*1000)-('Appendix K'!$E$34+'Appendix K'!$F$34+'Appendix K'!$H$34+'Appendix K'!$G$34))/((1+$Y$16)^4))</f>
        <v>24563016.283479977</v>
      </c>
      <c r="AC187" s="193">
        <f>(((F187*'Appendix K'!$C$9*1000)-('Appendix K'!$E$35+'Appendix K'!$F$35+'Appendix K'!$H$35+'Appendix K'!$G$35))/((1+$Y$16)^AC$34))</f>
        <v>40172630.125793859</v>
      </c>
      <c r="AD187" s="193">
        <f>(((G187*'Appendix K'!$C$10*1000)-('Appendix K'!$E$36+'Appendix K'!$F$36+'Appendix K'!$H$36+'Appendix K'!$G$36))/((1+$Y$16)^AD$34))</f>
        <v>21136690.720309459</v>
      </c>
      <c r="AE187" s="193">
        <f>(((H187*'Appendix K'!$C$11*1000)-('Appendix K'!$E$37+'Appendix K'!$F$37+'Appendix K'!$H$37+'Appendix K'!$G$37))/((1+$Y$16)^AE$34))</f>
        <v>11716577.992996134</v>
      </c>
      <c r="AF187" s="193">
        <f>(((I187*'Appendix K'!$C$12*1000)-('Appendix K'!$E$38+'Appendix K'!$F$38+'Appendix K'!$H$38+'Appendix K'!$G$38))/((1+$Y$16)^AF$34))</f>
        <v>6576512.7482495764</v>
      </c>
      <c r="AG187" s="193">
        <f>(((J187*'Appendix K'!$C$13*1000)-('Appendix K'!$E$39+'Appendix K'!$F$39+'Appendix K'!$H$39+'Appendix K'!$G$39))/((1+$Y$16)^AG$34))</f>
        <v>2684777.6487739519</v>
      </c>
      <c r="AH187" s="193">
        <f>(((K187*'Appendix K'!$C$14*1000)-('Appendix K'!$E$40+'Appendix K'!$F$40+'Appendix K'!$H$40+'Appendix K'!$G$40))/((1+$Y$16)^AH$34))</f>
        <v>3093053.6283723703</v>
      </c>
      <c r="AI187" s="193">
        <f>(((L187*'Appendix K'!$C$15*1000)-('Appendix K'!$E$41+'Appendix K'!$F$41+'Appendix K'!$H$41+'Appendix K'!$G$41))/((1+$Y$16)^AI$34))</f>
        <v>4454921.3139597345</v>
      </c>
      <c r="AJ187" s="193">
        <f>(((M187*'Appendix K'!$C$16*1000)-('Appendix K'!$E$42+'Appendix K'!$F$42+'Appendix K'!$H$42+'Appendix K'!$G$42))/((1+$Y$16)^AJ$34))</f>
        <v>3971617.9375297632</v>
      </c>
      <c r="AK187" s="193">
        <f>(((N187*'Appendix K'!$C$17*1000)-('Appendix K'!$E$43+'Appendix K'!$F$43+'Appendix K'!$H$43))/((1+$Y$16)^AK$34))</f>
        <v>3779346.870937061</v>
      </c>
      <c r="AL187" s="193">
        <f>(((O187*'Appendix K'!$C$18*1000)-('Appendix K'!$E$44+'Appendix K'!$F$44+'Appendix K'!$H$44+'Appendix K'!$G$44))/((1+$Y$16)^AL$34))</f>
        <v>250808.87058633342</v>
      </c>
      <c r="AM187" s="193">
        <f>(((P187*'Appendix K'!$C$19*1000)-('Appendix K'!$E$45+'Appendix K'!$F$45+'Appendix K'!$H$45+'Appendix K'!$G$45))/((1+$Y$16)^AM$34))</f>
        <v>103747.61618188323</v>
      </c>
      <c r="AN187" s="193">
        <f>(((Q187*'Appendix K'!$C$20*1000)-('Appendix K'!$E$46+'Appendix K'!$F$46+'Appendix K'!$H$46+'Appendix K'!$G$46))/((1+$Y$16)^AN$34))</f>
        <v>539438.09427375672</v>
      </c>
      <c r="AO187" s="193">
        <f>(((R187*'Appendix K'!$C$21*1000)-('Appendix K'!$E$47+'Appendix K'!$F$47+'Appendix K'!$H$47+'Appendix K'!$G$47))/((1+$Y$16)^AO$34))</f>
        <v>647099.58705311466</v>
      </c>
      <c r="AP187" s="193">
        <f>(((S187*'Appendix K'!$C$22*1000)-('Appendix K'!$E$48+'Appendix K'!$F$48+'Appendix K'!$H$48+'Appendix K'!$G$48))/((1+$Y$16)^AP$34))</f>
        <v>429704.69019381457</v>
      </c>
      <c r="AQ187" s="193">
        <f>(((T187*'Appendix K'!$C$23*1000)-('Appendix K'!$E$49+'Appendix K'!$F$49+'Appendix K'!$H$49+'Appendix K'!$G$49))/((1+$Y$16)^AQ$34))</f>
        <v>123888.21532879291</v>
      </c>
      <c r="AR187" s="193">
        <f>(((U187*'Appendix K'!$C$24*1000)-('Appendix K'!$E$50+'Appendix K'!$F$50+'Appendix K'!$H$50+'Appendix K'!$G$50))/((1+$Y$16)^AR$34))</f>
        <v>131128.57976106298</v>
      </c>
      <c r="AS187" s="209">
        <f t="shared" si="20"/>
        <v>156692097.01730761</v>
      </c>
      <c r="AU187" s="199">
        <f t="shared" si="19"/>
        <v>3.3514911876618616E-9</v>
      </c>
    </row>
    <row r="188" spans="1:47" x14ac:dyDescent="0.35">
      <c r="A188">
        <v>154</v>
      </c>
      <c r="B188" s="70">
        <v>56</v>
      </c>
      <c r="C188" s="70">
        <v>88.308827573086575</v>
      </c>
      <c r="D188" s="70">
        <v>82.897889783268084</v>
      </c>
      <c r="E188" s="70">
        <v>62.816085046502536</v>
      </c>
      <c r="F188" s="70">
        <v>49.970928482377985</v>
      </c>
      <c r="G188" s="70">
        <v>32.167054000070678</v>
      </c>
      <c r="H188" s="70">
        <v>34.749278695829609</v>
      </c>
      <c r="I188" s="70">
        <v>41.83074314376065</v>
      </c>
      <c r="J188" s="70">
        <v>40.777382089282789</v>
      </c>
      <c r="K188" s="70">
        <v>48.231763165752717</v>
      </c>
      <c r="L188" s="70">
        <v>50.364918200021791</v>
      </c>
      <c r="M188" s="70">
        <v>56.723116802002281</v>
      </c>
      <c r="N188" s="70">
        <v>55.495972232814715</v>
      </c>
      <c r="O188" s="70">
        <v>57.666143164294297</v>
      </c>
      <c r="P188" s="70">
        <v>80.43055417125737</v>
      </c>
      <c r="Q188" s="70">
        <v>118.7951318811303</v>
      </c>
      <c r="R188" s="70">
        <v>164.13054359732092</v>
      </c>
      <c r="S188" s="70">
        <v>167.3546277330575</v>
      </c>
      <c r="T188" s="70">
        <v>171.24017999763714</v>
      </c>
      <c r="U188" s="70">
        <v>62.65191041930575</v>
      </c>
      <c r="V188" s="70">
        <v>48.776929572240476</v>
      </c>
      <c r="X188" s="193">
        <f>((0-('Appendix K'!$I$30))/(1+$Y$16)^0)</f>
        <v>-33594902.4440751</v>
      </c>
      <c r="Y188" s="193">
        <f>(((B188*'Appendix K'!$C$5*1000)-('Appendix K'!$E$31+'Appendix K'!$F$31+'Appendix K'!$H$31+'Appendix K'!$G$31))/((1+$Y$16)^1))</f>
        <v>34971064.972647354</v>
      </c>
      <c r="Z188" s="193">
        <f>+(((C188*'Appendix K'!$C$6*1000)-('Appendix K'!$E$32+'Appendix K'!$F$32+'Appendix K'!$H$32+'Appendix K'!$G$32))/((1+$Y$16)^2))</f>
        <v>18821072.531911168</v>
      </c>
      <c r="AA188" s="193">
        <f>(((D188*'Appendix K'!$C$7*1000)-('Appendix K'!$E$33+'Appendix K'!$F$33+'Appendix K'!$H$33+'Appendix K'!$G$33))/((1+$Y$16)^3))</f>
        <v>7594210.067008527</v>
      </c>
      <c r="AB188" s="193">
        <f>(((E188*'Appendix K'!$C$8*1000)-('Appendix K'!$E$34+'Appendix K'!$F$34+'Appendix K'!$H$34+'Appendix K'!$G$34))/((1+$Y$16)^4))</f>
        <v>10475502.927426677</v>
      </c>
      <c r="AC188" s="193">
        <f>(((F188*'Appendix K'!$C$9*1000)-('Appendix K'!$E$35+'Appendix K'!$F$35+'Appendix K'!$H$35+'Appendix K'!$G$35))/((1+$Y$16)^AC$34))</f>
        <v>10297965.803018026</v>
      </c>
      <c r="AD188" s="193">
        <f>(((G188*'Appendix K'!$C$10*1000)-('Appendix K'!$E$36+'Appendix K'!$F$36+'Appendix K'!$H$36+'Appendix K'!$G$36))/((1+$Y$16)^AD$34))</f>
        <v>2535878.2910189349</v>
      </c>
      <c r="AE188" s="193">
        <f>(((H188*'Appendix K'!$C$11*1000)-('Appendix K'!$E$37+'Appendix K'!$F$37+'Appendix K'!$H$37+'Appendix K'!$G$37))/((1+$Y$16)^AE$34))</f>
        <v>1245869.6955098107</v>
      </c>
      <c r="AF188" s="193">
        <f>(((I188*'Appendix K'!$C$12*1000)-('Appendix K'!$E$38+'Appendix K'!$F$38+'Appendix K'!$H$38+'Appendix K'!$G$38))/((1+$Y$16)^AF$34))</f>
        <v>750129.10902095668</v>
      </c>
      <c r="AG188" s="193">
        <f>(((J188*'Appendix K'!$C$13*1000)-('Appendix K'!$E$39+'Appendix K'!$F$39+'Appendix K'!$H$39+'Appendix K'!$G$39))/((1+$Y$16)^AG$34))</f>
        <v>61587.725411262414</v>
      </c>
      <c r="AH188" s="193">
        <f>(((K188*'Appendix K'!$C$14*1000)-('Appendix K'!$E$40+'Appendix K'!$F$40+'Appendix K'!$H$40+'Appendix K'!$G$40))/((1+$Y$16)^AH$34))</f>
        <v>-7015.9404167378352</v>
      </c>
      <c r="AI188" s="193">
        <f>(((L188*'Appendix K'!$C$15*1000)-('Appendix K'!$E$41+'Appendix K'!$F$41+'Appendix K'!$H$41+'Appendix K'!$G$41))/((1+$Y$16)^AI$34))</f>
        <v>-196826.30863159706</v>
      </c>
      <c r="AJ188" s="193">
        <f>(((M188*'Appendix K'!$C$16*1000)-('Appendix K'!$E$42+'Appendix K'!$F$42+'Appendix K'!$H$42+'Appendix K'!$G$42))/((1+$Y$16)^AJ$34))</f>
        <v>-244713.79718756428</v>
      </c>
      <c r="AK188" s="193">
        <f>(((N188*'Appendix K'!$C$17*1000)-('Appendix K'!$E$43+'Appendix K'!$F$43+'Appendix K'!$H$43))/((1+$Y$16)^AK$34))</f>
        <v>-151624.1894092595</v>
      </c>
      <c r="AL188" s="193">
        <f>(((O188*'Appendix K'!$C$18*1000)-('Appendix K'!$E$44+'Appendix K'!$F$44+'Appendix K'!$H$44+'Appendix K'!$G$44))/((1+$Y$16)^AL$34))</f>
        <v>-451055.36235858931</v>
      </c>
      <c r="AM188" s="193">
        <f>(((P188*'Appendix K'!$C$19*1000)-('Appendix K'!$E$45+'Appendix K'!$F$45+'Appendix K'!$H$45+'Appendix K'!$G$45))/((1+$Y$16)^AM$34))</f>
        <v>-281276.70759600383</v>
      </c>
      <c r="AN188" s="193">
        <f>(((Q188*'Appendix K'!$C$20*1000)-('Appendix K'!$E$46+'Appendix K'!$F$46+'Appendix K'!$H$46+'Appendix K'!$G$46))/((1+$Y$16)^AN$34))</f>
        <v>-56081.498991697306</v>
      </c>
      <c r="AO188" s="193">
        <f>(((R188*'Appendix K'!$C$21*1000)-('Appendix K'!$E$47+'Appendix K'!$F$47+'Appendix K'!$H$47+'Appendix K'!$G$47))/((1+$Y$16)^AO$34))</f>
        <v>127030.72042822397</v>
      </c>
      <c r="AP188" s="193">
        <f>(((S188*'Appendix K'!$C$22*1000)-('Appendix K'!$E$48+'Appendix K'!$F$48+'Appendix K'!$H$48+'Appendix K'!$G$48))/((1+$Y$16)^AP$34))</f>
        <v>37128.464556408668</v>
      </c>
      <c r="AQ188" s="193">
        <f>(((T188*'Appendix K'!$C$23*1000)-('Appendix K'!$E$49+'Appendix K'!$F$49+'Appendix K'!$H$49+'Appendix K'!$G$49))/((1+$Y$16)^AQ$34))</f>
        <v>-23295.405611406586</v>
      </c>
      <c r="AR188" s="193">
        <f>(((U188*'Appendix K'!$C$24*1000)-('Appendix K'!$E$50+'Appendix K'!$F$50+'Appendix K'!$H$50+'Appendix K'!$G$50))/((1+$Y$16)^AR$34))</f>
        <v>-427547.9623231251</v>
      </c>
      <c r="AS188" s="209">
        <f t="shared" si="20"/>
        <v>53322537.863882266</v>
      </c>
      <c r="AU188" s="199">
        <f t="shared" si="19"/>
        <v>5.8565087318962007E-9</v>
      </c>
    </row>
    <row r="189" spans="1:47" x14ac:dyDescent="0.35">
      <c r="A189">
        <v>155</v>
      </c>
      <c r="B189" s="70">
        <v>56</v>
      </c>
      <c r="C189" s="70">
        <v>29.278721520471255</v>
      </c>
      <c r="D189" s="70">
        <v>27.794971841079612</v>
      </c>
      <c r="E189" s="70">
        <v>21.880688435719797</v>
      </c>
      <c r="F189" s="70">
        <v>31.526887489753474</v>
      </c>
      <c r="G189" s="70">
        <v>29.859010761252947</v>
      </c>
      <c r="H189" s="70">
        <v>33.516901844010512</v>
      </c>
      <c r="I189" s="70">
        <v>39.196466772685788</v>
      </c>
      <c r="J189" s="70">
        <v>36.144781003469447</v>
      </c>
      <c r="K189" s="70">
        <v>26.031674704412449</v>
      </c>
      <c r="L189" s="70">
        <v>32.206006309954148</v>
      </c>
      <c r="M189" s="70">
        <v>53.172598990317901</v>
      </c>
      <c r="N189" s="70">
        <v>65.119331965252016</v>
      </c>
      <c r="O189" s="70">
        <v>50.710835221695461</v>
      </c>
      <c r="P189" s="70">
        <v>85.589750330261566</v>
      </c>
      <c r="Q189" s="70">
        <v>117.72886900677989</v>
      </c>
      <c r="R189" s="70">
        <v>114.40121622547221</v>
      </c>
      <c r="S189" s="70">
        <v>94.36143489934355</v>
      </c>
      <c r="T189" s="70">
        <v>178.57919130875899</v>
      </c>
      <c r="U189" s="70">
        <v>209.45030584305658</v>
      </c>
      <c r="V189" s="70">
        <v>340.39484671627895</v>
      </c>
      <c r="X189" s="193">
        <f>((0-('Appendix K'!$I$30))/(1+$Y$16)^0)</f>
        <v>-33594902.4440751</v>
      </c>
      <c r="Y189" s="193">
        <f>(((B189*'Appendix K'!$C$5*1000)-('Appendix K'!$E$31+'Appendix K'!$F$31+'Appendix K'!$H$31+'Appendix K'!$G$31))/((1+$Y$16)^1))</f>
        <v>34971064.972647354</v>
      </c>
      <c r="Z189" s="193">
        <f>+(((C189*'Appendix K'!$C$6*1000)-('Appendix K'!$E$32+'Appendix K'!$F$32+'Appendix K'!$H$32+'Appendix K'!$G$32))/((1+$Y$16)^2))</f>
        <v>3909058.1437919191</v>
      </c>
      <c r="AA189" s="193">
        <f>(((D189*'Appendix K'!$C$7*1000)-('Appendix K'!$E$33+'Appendix K'!$F$33+'Appendix K'!$H$33+'Appendix K'!$G$33))/((1+$Y$16)^3))</f>
        <v>575482.92754335201</v>
      </c>
      <c r="AB189" s="193">
        <f>(((E189*'Appendix K'!$C$8*1000)-('Appendix K'!$E$34+'Appendix K'!$F$34+'Appendix K'!$H$34+'Appendix K'!$G$34))/((1+$Y$16)^4))</f>
        <v>1502838.7178314209</v>
      </c>
      <c r="AC189" s="193">
        <f>(((F189*'Appendix K'!$C$9*1000)-('Appendix K'!$E$35+'Appendix K'!$F$35+'Appendix K'!$H$35+'Appendix K'!$G$35))/((1+$Y$16)^AC$34))</f>
        <v>5395568.6695200801</v>
      </c>
      <c r="AD189" s="193">
        <f>(((G189*'Appendix K'!$C$10*1000)-('Appendix K'!$E$36+'Appendix K'!$F$36+'Appendix K'!$H$36+'Appendix K'!$G$36))/((1+$Y$16)^AD$34))</f>
        <v>2173414.0605244781</v>
      </c>
      <c r="AE189" s="193">
        <f>(((H189*'Appendix K'!$C$11*1000)-('Appendix K'!$E$37+'Appendix K'!$F$37+'Appendix K'!$H$37+'Appendix K'!$G$37))/((1+$Y$16)^AE$34))</f>
        <v>1122955.3504764037</v>
      </c>
      <c r="AF189" s="193">
        <f>(((I189*'Appendix K'!$C$12*1000)-('Appendix K'!$E$38+'Appendix K'!$F$38+'Appendix K'!$H$38+'Appendix K'!$G$38))/((1+$Y$16)^AF$34))</f>
        <v>577156.12900459068</v>
      </c>
      <c r="AG189" s="193">
        <f>(((J189*'Appendix K'!$C$13*1000)-('Appendix K'!$E$39+'Appendix K'!$F$39+'Appendix K'!$H$39+'Appendix K'!$G$39))/((1+$Y$16)^AG$34))</f>
        <v>-151599.63154246821</v>
      </c>
      <c r="AH189" s="193">
        <f>(((K189*'Appendix K'!$C$14*1000)-('Appendix K'!$E$40+'Appendix K'!$F$40+'Appendix K'!$H$40+'Appendix K'!$G$40))/((1+$Y$16)^AH$34))</f>
        <v>-755303.81612791505</v>
      </c>
      <c r="AI189" s="193">
        <f>(((L189*'Appendix K'!$C$15*1000)-('Appendix K'!$E$41+'Appendix K'!$F$41+'Appendix K'!$H$41+'Appendix K'!$G$41))/((1+$Y$16)^AI$34))</f>
        <v>-672623.75748311402</v>
      </c>
      <c r="AJ189" s="193">
        <f>(((M189*'Appendix K'!$C$16*1000)-('Appendix K'!$E$42+'Appendix K'!$F$42+'Appendix K'!$H$42+'Appendix K'!$G$42))/((1+$Y$16)^AJ$34))</f>
        <v>-315872.80287217721</v>
      </c>
      <c r="AK189" s="193">
        <f>(((N189*'Appendix K'!$C$17*1000)-('Appendix K'!$E$43+'Appendix K'!$F$43+'Appendix K'!$H$43))/((1+$Y$16)^AK$34))</f>
        <v>-3771.8772341486588</v>
      </c>
      <c r="AL189" s="193">
        <f>(((O189*'Appendix K'!$C$18*1000)-('Appendix K'!$E$44+'Appendix K'!$F$44+'Appendix K'!$H$44+'Appendix K'!$G$44))/((1+$Y$16)^AL$34))</f>
        <v>-533498.67401636264</v>
      </c>
      <c r="AM189" s="193">
        <f>(((P189*'Appendix K'!$C$19*1000)-('Appendix K'!$E$45+'Appendix K'!$F$45+'Appendix K'!$H$45+'Appendix K'!$G$45))/((1+$Y$16)^AM$34))</f>
        <v>-233457.50213447105</v>
      </c>
      <c r="AN189" s="193">
        <f>(((Q189*'Appendix K'!$C$20*1000)-('Appendix K'!$E$46+'Appendix K'!$F$46+'Appendix K'!$H$46+'Appendix K'!$G$46))/((1+$Y$16)^AN$34))</f>
        <v>-63797.208413195425</v>
      </c>
      <c r="AO189" s="193">
        <f>(((R189*'Appendix K'!$C$21*1000)-('Appendix K'!$E$47+'Appendix K'!$F$47+'Appendix K'!$H$47+'Appendix K'!$G$47))/((1+$Y$16)^AO$34))</f>
        <v>-166875.09843749105</v>
      </c>
      <c r="AP189" s="193">
        <f>(((S189*'Appendix K'!$C$22*1000)-('Appendix K'!$E$48+'Appendix K'!$F$48+'Appendix K'!$H$48+'Appendix K'!$G$48))/((1+$Y$16)^AP$34))</f>
        <v>-312488.44297055475</v>
      </c>
      <c r="AQ189" s="193">
        <f>(((T189*'Appendix K'!$C$23*1000)-('Appendix K'!$E$49+'Appendix K'!$F$49+'Appendix K'!$H$49+'Appendix K'!$G$49))/((1+$Y$16)^AQ$34))</f>
        <v>5427.6058252438625</v>
      </c>
      <c r="AR189" s="193">
        <f>(((U189*'Appendix K'!$C$24*1000)-('Appendix K'!$E$50+'Appendix K'!$F$50+'Appendix K'!$H$50+'Appendix K'!$G$50))/((1+$Y$16)^AR$34))</f>
        <v>45146.984064832366</v>
      </c>
      <c r="AS189" s="209">
        <f t="shared" si="20"/>
        <v>16683211.117154576</v>
      </c>
      <c r="AU189" s="199">
        <f t="shared" si="19"/>
        <v>3.2187845829247316E-9</v>
      </c>
    </row>
    <row r="190" spans="1:47" x14ac:dyDescent="0.35">
      <c r="A190">
        <v>156</v>
      </c>
      <c r="B190" s="70">
        <v>56</v>
      </c>
      <c r="C190" s="70">
        <v>93.00094445458123</v>
      </c>
      <c r="D190" s="70">
        <v>32.469698860233038</v>
      </c>
      <c r="E190" s="70">
        <v>16.011218600728977</v>
      </c>
      <c r="F190" s="70">
        <v>17.954149750778633</v>
      </c>
      <c r="G190" s="70">
        <v>19.277762975941265</v>
      </c>
      <c r="H190" s="70">
        <v>17.950973684592089</v>
      </c>
      <c r="I190" s="70">
        <v>19.596863009462499</v>
      </c>
      <c r="J190" s="70">
        <v>13.196778537374742</v>
      </c>
      <c r="K190" s="70">
        <v>16.577997248406341</v>
      </c>
      <c r="L190" s="70">
        <v>13.597233265587134</v>
      </c>
      <c r="M190" s="70">
        <v>16.368856150468119</v>
      </c>
      <c r="N190" s="70">
        <v>14.507217949180912</v>
      </c>
      <c r="O190" s="70">
        <v>20.048875239897562</v>
      </c>
      <c r="P190" s="70">
        <v>17.201623857561302</v>
      </c>
      <c r="Q190" s="70">
        <v>14.345627921156225</v>
      </c>
      <c r="R190" s="70">
        <v>16.38428209264417</v>
      </c>
      <c r="S190" s="70">
        <v>21.058120846376649</v>
      </c>
      <c r="T190" s="70">
        <v>30.480716578543287</v>
      </c>
      <c r="U190" s="70">
        <v>52.017022901965305</v>
      </c>
      <c r="V190" s="70">
        <v>61.011593302559575</v>
      </c>
      <c r="X190" s="193">
        <f>((0-('Appendix K'!$I$30))/(1+$Y$16)^0)</f>
        <v>-33594902.4440751</v>
      </c>
      <c r="Y190" s="193">
        <f>(((B190*'Appendix K'!$C$5*1000)-('Appendix K'!$E$31+'Appendix K'!$F$31+'Appendix K'!$H$31+'Appendix K'!$G$31))/((1+$Y$16)^1))</f>
        <v>34971064.972647354</v>
      </c>
      <c r="Z190" s="193">
        <f>+(((C190*'Appendix K'!$C$6*1000)-('Appendix K'!$E$32+'Appendix K'!$F$32+'Appendix K'!$H$32+'Appendix K'!$G$32))/((1+$Y$16)^2))</f>
        <v>20006381.506033964</v>
      </c>
      <c r="AA190" s="193">
        <f>(((D190*'Appendix K'!$C$7*1000)-('Appendix K'!$E$33+'Appendix K'!$F$33+'Appendix K'!$H$33+'Appendix K'!$G$33))/((1+$Y$16)^3))</f>
        <v>1170925.684918683</v>
      </c>
      <c r="AB190" s="193">
        <f>(((E190*'Appendix K'!$C$8*1000)-('Appendix K'!$E$34+'Appendix K'!$F$34+'Appendix K'!$H$34+'Appendix K'!$G$34))/((1+$Y$16)^4))</f>
        <v>216304.65982625782</v>
      </c>
      <c r="AC190" s="193">
        <f>(((F190*'Appendix K'!$C$9*1000)-('Appendix K'!$E$35+'Appendix K'!$F$35+'Appendix K'!$H$35+'Appendix K'!$G$35))/((1+$Y$16)^AC$34))</f>
        <v>1787956.2915234391</v>
      </c>
      <c r="AD190" s="193">
        <f>(((G190*'Appendix K'!$C$10*1000)-('Appendix K'!$E$36+'Appendix K'!$F$36+'Appendix K'!$H$36+'Appendix K'!$G$36))/((1+$Y$16)^AD$34))</f>
        <v>511693.09634584049</v>
      </c>
      <c r="AE190" s="193">
        <f>(((H190*'Appendix K'!$C$11*1000)-('Appendix K'!$E$37+'Appendix K'!$F$37+'Appendix K'!$H$37+'Appendix K'!$G$37))/((1+$Y$16)^AE$34))</f>
        <v>-429553.41478303197</v>
      </c>
      <c r="AF190" s="193">
        <f>(((I190*'Appendix K'!$C$12*1000)-('Appendix K'!$E$38+'Appendix K'!$F$38+'Appendix K'!$H$38+'Appendix K'!$G$38))/((1+$Y$16)^AF$34))</f>
        <v>-709801.42309212324</v>
      </c>
      <c r="AG190" s="193">
        <f>(((J190*'Appendix K'!$C$13*1000)-('Appendix K'!$E$39+'Appendix K'!$F$39+'Appendix K'!$H$39+'Appendix K'!$G$39))/((1+$Y$16)^AG$34))</f>
        <v>-1207642.2094575264</v>
      </c>
      <c r="AH190" s="193">
        <f>(((K190*'Appendix K'!$C$14*1000)-('Appendix K'!$E$40+'Appendix K'!$F$40+'Appendix K'!$H$40+'Appendix K'!$G$40))/((1+$Y$16)^AH$34))</f>
        <v>-1073954.4482428457</v>
      </c>
      <c r="AI190" s="193">
        <f>(((L190*'Appendix K'!$C$15*1000)-('Appendix K'!$E$41+'Appendix K'!$F$41+'Appendix K'!$H$41+'Appendix K'!$G$41))/((1+$Y$16)^AI$34))</f>
        <v>-1160208.409821758</v>
      </c>
      <c r="AJ190" s="193">
        <f>(((M190*'Appendix K'!$C$16*1000)-('Appendix K'!$E$42+'Appendix K'!$F$42+'Appendix K'!$H$42+'Appendix K'!$G$42))/((1+$Y$16)^AJ$34))</f>
        <v>-1053488.5211590473</v>
      </c>
      <c r="AK190" s="193">
        <f>(((N190*'Appendix K'!$C$17*1000)-('Appendix K'!$E$43+'Appendix K'!$F$43+'Appendix K'!$H$43))/((1+$Y$16)^AK$34))</f>
        <v>-781371.20734369673</v>
      </c>
      <c r="AL190" s="193">
        <f>(((O190*'Appendix K'!$C$18*1000)-('Appendix K'!$E$44+'Appendix K'!$F$44+'Appendix K'!$H$44+'Appendix K'!$G$44))/((1+$Y$16)^AL$34))</f>
        <v>-896943.90802752634</v>
      </c>
      <c r="AM190" s="193">
        <f>(((P190*'Appendix K'!$C$19*1000)-('Appendix K'!$E$45+'Appendix K'!$F$45+'Appendix K'!$H$45+'Appendix K'!$G$45))/((1+$Y$16)^AM$34))</f>
        <v>-867328.70418594708</v>
      </c>
      <c r="AN190" s="193">
        <f>(((Q190*'Appendix K'!$C$20*1000)-('Appendix K'!$E$46+'Appendix K'!$F$46+'Appendix K'!$H$46+'Appendix K'!$G$46))/((1+$Y$16)^AN$34))</f>
        <v>-811900.76379142213</v>
      </c>
      <c r="AO190" s="193">
        <f>(((R190*'Appendix K'!$C$21*1000)-('Appendix K'!$E$47+'Appendix K'!$F$47+'Appendix K'!$H$47+'Appendix K'!$G$47))/((1+$Y$16)^AO$34))</f>
        <v>-746166.00807733159</v>
      </c>
      <c r="AP190" s="193">
        <f>(((S190*'Appendix K'!$C$22*1000)-('Appendix K'!$E$48+'Appendix K'!$F$48+'Appendix K'!$H$48+'Appendix K'!$G$48))/((1+$Y$16)^AP$34))</f>
        <v>-663590.74409964087</v>
      </c>
      <c r="AQ190" s="193">
        <f>(((T190*'Appendix K'!$C$23*1000)-('Appendix K'!$E$49+'Appendix K'!$F$49+'Appendix K'!$H$49+'Appendix K'!$G$49))/((1+$Y$16)^AQ$34))</f>
        <v>-574191.91008693667</v>
      </c>
      <c r="AR190" s="193">
        <f>(((U190*'Appendix K'!$C$24*1000)-('Appendix K'!$E$50+'Appendix K'!$F$50+'Appendix K'!$H$50+'Appendix K'!$G$50))/((1+$Y$16)^AR$34))</f>
        <v>-461792.59810637048</v>
      </c>
      <c r="AS190" s="209">
        <f t="shared" si="20"/>
        <v>25069423.767220438</v>
      </c>
      <c r="AU190" s="199">
        <f t="shared" si="19"/>
        <v>3.8297008057893709E-9</v>
      </c>
    </row>
    <row r="191" spans="1:47" x14ac:dyDescent="0.35">
      <c r="A191">
        <v>157</v>
      </c>
      <c r="B191" s="70">
        <v>56</v>
      </c>
      <c r="C191" s="70">
        <v>59.783888412115935</v>
      </c>
      <c r="D191" s="70">
        <v>69.157914294829638</v>
      </c>
      <c r="E191" s="70">
        <v>78.039096403301031</v>
      </c>
      <c r="F191" s="70">
        <v>72.417266278615983</v>
      </c>
      <c r="G191" s="70">
        <v>64.777280828620349</v>
      </c>
      <c r="H191" s="70">
        <v>52.366036867923341</v>
      </c>
      <c r="I191" s="70">
        <v>79.752663488311057</v>
      </c>
      <c r="J191" s="70">
        <v>105.26905196280069</v>
      </c>
      <c r="K191" s="70">
        <v>126.72850839302728</v>
      </c>
      <c r="L191" s="70">
        <v>210.01295527105987</v>
      </c>
      <c r="M191" s="70">
        <v>257.72036200542777</v>
      </c>
      <c r="N191" s="70">
        <v>329.6757339607426</v>
      </c>
      <c r="O191" s="70">
        <v>415.21803394665358</v>
      </c>
      <c r="P191" s="70">
        <v>478.25878270352871</v>
      </c>
      <c r="Q191" s="70">
        <v>500</v>
      </c>
      <c r="R191" s="70">
        <v>500</v>
      </c>
      <c r="S191" s="70">
        <v>500</v>
      </c>
      <c r="T191" s="70">
        <v>500</v>
      </c>
      <c r="U191" s="70">
        <v>367.12391896668839</v>
      </c>
      <c r="V191" s="70">
        <v>399.03840223620784</v>
      </c>
      <c r="X191" s="193">
        <f>((0-('Appendix K'!$I$30))/(1+$Y$16)^0)</f>
        <v>-33594902.4440751</v>
      </c>
      <c r="Y191" s="193">
        <f>(((B191*'Appendix K'!$C$5*1000)-('Appendix K'!$E$31+'Appendix K'!$F$31+'Appendix K'!$H$31+'Appendix K'!$G$31))/((1+$Y$16)^1))</f>
        <v>34971064.972647354</v>
      </c>
      <c r="Z191" s="193">
        <f>+(((C191*'Appendix K'!$C$6*1000)-('Appendix K'!$E$32+'Appendix K'!$F$32+'Appendix K'!$H$32+'Appendix K'!$G$32))/((1+$Y$16)^2))</f>
        <v>11615185.034275971</v>
      </c>
      <c r="AA191" s="193">
        <f>(((D191*'Appendix K'!$C$7*1000)-('Appendix K'!$E$33+'Appendix K'!$F$33+'Appendix K'!$H$33+'Appendix K'!$G$33))/((1+$Y$16)^3))</f>
        <v>5844082.4429602548</v>
      </c>
      <c r="AB191" s="193">
        <f>(((E191*'Appendix K'!$C$8*1000)-('Appendix K'!$E$34+'Appendix K'!$F$34+'Appendix K'!$H$34+'Appendix K'!$G$34))/((1+$Y$16)^4))</f>
        <v>13812247.663580736</v>
      </c>
      <c r="AC191" s="193">
        <f>(((F191*'Appendix K'!$C$9*1000)-('Appendix K'!$E$35+'Appendix K'!$F$35+'Appendix K'!$H$35+'Appendix K'!$G$35))/((1+$Y$16)^AC$34))</f>
        <v>16264167.142182657</v>
      </c>
      <c r="AD191" s="193">
        <f>(((G191*'Appendix K'!$C$10*1000)-('Appendix K'!$E$36+'Appendix K'!$F$36+'Appendix K'!$H$36+'Appendix K'!$G$36))/((1+$Y$16)^AD$34))</f>
        <v>7657117.1720178286</v>
      </c>
      <c r="AE191" s="193">
        <f>(((H191*'Appendix K'!$C$11*1000)-('Appendix K'!$E$37+'Appendix K'!$F$37+'Appendix K'!$H$37+'Appendix K'!$G$37))/((1+$Y$16)^AE$34))</f>
        <v>3002923.383380176</v>
      </c>
      <c r="AF191" s="193">
        <f>(((I191*'Appendix K'!$C$12*1000)-('Appendix K'!$E$38+'Appendix K'!$F$38+'Appendix K'!$H$38+'Appendix K'!$G$38))/((1+$Y$16)^AF$34))</f>
        <v>3240174.436825227</v>
      </c>
      <c r="AG191" s="193">
        <f>(((J191*'Appendix K'!$C$13*1000)-('Appendix K'!$E$39+'Appendix K'!$F$39+'Appendix K'!$H$39+'Appendix K'!$G$39))/((1+$Y$16)^AG$34))</f>
        <v>3029425.5321180634</v>
      </c>
      <c r="AH191" s="193">
        <f>(((K191*'Appendix K'!$C$14*1000)-('Appendix K'!$E$40+'Appendix K'!$F$40+'Appendix K'!$H$40+'Appendix K'!$G$40))/((1+$Y$16)^AH$34))</f>
        <v>2638836.7028574878</v>
      </c>
      <c r="AI191" s="193">
        <f>(((L191*'Appendix K'!$C$15*1000)-('Appendix K'!$E$41+'Appendix K'!$F$41+'Appendix K'!$H$41+'Appendix K'!$G$41))/((1+$Y$16)^AI$34))</f>
        <v>3986250.8059228351</v>
      </c>
      <c r="AJ191" s="193">
        <f>(((M191*'Appendix K'!$C$16*1000)-('Appendix K'!$E$42+'Appendix K'!$F$42+'Appendix K'!$H$42+'Appendix K'!$G$42))/((1+$Y$16)^AJ$34))</f>
        <v>3783646.2541134562</v>
      </c>
      <c r="AK191" s="193">
        <f>(((N191*'Appendix K'!$C$17*1000)-('Appendix K'!$E$43+'Appendix K'!$F$43+'Appendix K'!$H$43))/((1+$Y$16)^AK$34))</f>
        <v>4060845.5561052859</v>
      </c>
      <c r="AL191" s="193">
        <f>(((O191*'Appendix K'!$C$18*1000)-('Appendix K'!$E$44+'Appendix K'!$F$44+'Appendix K'!$H$44+'Appendix K'!$G$44))/((1+$Y$16)^AL$34))</f>
        <v>3787112.4094887478</v>
      </c>
      <c r="AM191" s="193">
        <f>(((P191*'Appendix K'!$C$19*1000)-('Appendix K'!$E$45+'Appendix K'!$F$45+'Appendix K'!$H$45+'Appendix K'!$G$45))/((1+$Y$16)^AM$34))</f>
        <v>3406086.4420645474</v>
      </c>
      <c r="AN191" s="193">
        <f>(((Q191*'Appendix K'!$C$20*1000)-('Appendix K'!$E$46+'Appendix K'!$F$46+'Appendix K'!$H$46+'Appendix K'!$G$46))/((1+$Y$16)^AN$34))</f>
        <v>2702399.606577659</v>
      </c>
      <c r="AO191" s="193">
        <f>(((R191*'Appendix K'!$C$21*1000)-('Appendix K'!$E$47+'Appendix K'!$F$47+'Appendix K'!$H$47+'Appendix K'!$G$47))/((1+$Y$16)^AO$34))</f>
        <v>2112056.3146391152</v>
      </c>
      <c r="AP191" s="193">
        <f>(((S191*'Appendix K'!$C$22*1000)-('Appendix K'!$E$48+'Appendix K'!$F$48+'Appendix K'!$H$48+'Appendix K'!$G$48))/((1+$Y$16)^AP$34))</f>
        <v>1630406.4380253027</v>
      </c>
      <c r="AQ191" s="193">
        <f>(((T191*'Appendix K'!$C$23*1000)-('Appendix K'!$E$49+'Appendix K'!$F$49+'Appendix K'!$H$49+'Appendix K'!$G$49))/((1+$Y$16)^AQ$34))</f>
        <v>1263386.3652054211</v>
      </c>
      <c r="AR191" s="193">
        <f>(((U191*'Appendix K'!$C$24*1000)-('Appendix K'!$E$50+'Appendix K'!$F$50+'Appendix K'!$H$50+'Appendix K'!$G$50))/((1+$Y$16)^AR$34))</f>
        <v>552860.43615759315</v>
      </c>
      <c r="AS191" s="209">
        <f t="shared" si="20"/>
        <v>95765372.667070657</v>
      </c>
      <c r="AU191" s="199">
        <f t="shared" si="19"/>
        <v>6.9575866074124018E-9</v>
      </c>
    </row>
    <row r="192" spans="1:47" x14ac:dyDescent="0.35">
      <c r="A192">
        <v>158</v>
      </c>
      <c r="B192" s="70">
        <v>56</v>
      </c>
      <c r="C192" s="70">
        <v>69.002972801674062</v>
      </c>
      <c r="D192" s="70">
        <v>67.593552210440976</v>
      </c>
      <c r="E192" s="70">
        <v>47.233383780192383</v>
      </c>
      <c r="F192" s="70">
        <v>60.524034243824261</v>
      </c>
      <c r="G192" s="70">
        <v>69.983296694084501</v>
      </c>
      <c r="H192" s="70">
        <v>121.45907332609002</v>
      </c>
      <c r="I192" s="70">
        <v>136.58863081436411</v>
      </c>
      <c r="J192" s="70">
        <v>97.800204585737532</v>
      </c>
      <c r="K192" s="70">
        <v>132.51929124363346</v>
      </c>
      <c r="L192" s="70">
        <v>137.8160945490136</v>
      </c>
      <c r="M192" s="70">
        <v>78.683629465762294</v>
      </c>
      <c r="N192" s="70">
        <v>89.978087176456626</v>
      </c>
      <c r="O192" s="70">
        <v>140.53984162168322</v>
      </c>
      <c r="P192" s="70">
        <v>181.38860205822576</v>
      </c>
      <c r="Q192" s="70">
        <v>166.28559205547722</v>
      </c>
      <c r="R192" s="70">
        <v>155.09994969841426</v>
      </c>
      <c r="S192" s="70">
        <v>159.57053727995842</v>
      </c>
      <c r="T192" s="70">
        <v>92.68489046203041</v>
      </c>
      <c r="U192" s="70">
        <v>121.63108622208544</v>
      </c>
      <c r="V192" s="70">
        <v>129.78816791667774</v>
      </c>
      <c r="X192" s="193">
        <f>((0-('Appendix K'!$I$30))/(1+$Y$16)^0)</f>
        <v>-33594902.4440751</v>
      </c>
      <c r="Y192" s="193">
        <f>(((B192*'Appendix K'!$C$5*1000)-('Appendix K'!$E$31+'Appendix K'!$F$31+'Appendix K'!$H$31+'Appendix K'!$G$31))/((1+$Y$16)^1))</f>
        <v>34971064.972647354</v>
      </c>
      <c r="Z192" s="193">
        <f>+(((C192*'Appendix K'!$C$6*1000)-('Appendix K'!$E$32+'Appendix K'!$F$32+'Appendix K'!$H$32+'Appendix K'!$G$32))/((1+$Y$16)^2))</f>
        <v>13944083.426222628</v>
      </c>
      <c r="AA192" s="193">
        <f>(((D192*'Appendix K'!$C$7*1000)-('Appendix K'!$E$33+'Appendix K'!$F$33+'Appendix K'!$H$33+'Appendix K'!$G$33))/((1+$Y$16)^3))</f>
        <v>5644822.0221388293</v>
      </c>
      <c r="AB192" s="193">
        <f>(((E192*'Appendix K'!$C$8*1000)-('Appendix K'!$E$34+'Appendix K'!$F$34+'Appendix K'!$H$34+'Appendix K'!$G$34))/((1+$Y$16)^4))</f>
        <v>7059917.455751868</v>
      </c>
      <c r="AC192" s="193">
        <f>(((F192*'Appendix K'!$C$9*1000)-('Appendix K'!$E$35+'Appendix K'!$F$35+'Appendix K'!$H$35+'Appendix K'!$G$35))/((1+$Y$16)^AC$34))</f>
        <v>13102964.743060671</v>
      </c>
      <c r="AD192" s="193">
        <f>(((G192*'Appendix K'!$C$10*1000)-('Appendix K'!$E$36+'Appendix K'!$F$36+'Appendix K'!$H$36+'Appendix K'!$G$36))/((1+$Y$16)^AD$34))</f>
        <v>8474690.4751869626</v>
      </c>
      <c r="AE192" s="193">
        <f>(((H192*'Appendix K'!$C$11*1000)-('Appendix K'!$E$37+'Appendix K'!$F$37+'Appendix K'!$H$37+'Appendix K'!$G$37))/((1+$Y$16)^AE$34))</f>
        <v>9894099.0088304002</v>
      </c>
      <c r="AF192" s="193">
        <f>(((I192*'Appendix K'!$C$12*1000)-('Appendix K'!$E$38+'Appendix K'!$F$38+'Appendix K'!$H$38+'Appendix K'!$G$38))/((1+$Y$16)^AF$34))</f>
        <v>6972161.994565363</v>
      </c>
      <c r="AG192" s="193">
        <f>(((J192*'Appendix K'!$C$13*1000)-('Appendix K'!$E$39+'Appendix K'!$F$39+'Appendix K'!$H$39+'Appendix K'!$G$39))/((1+$Y$16)^AG$34))</f>
        <v>2685717.1483586724</v>
      </c>
      <c r="AH192" s="193">
        <f>(((K192*'Appendix K'!$C$14*1000)-('Appendix K'!$E$40+'Appendix K'!$F$40+'Appendix K'!$H$40+'Appendix K'!$G$40))/((1+$Y$16)^AH$34))</f>
        <v>2834023.8799505294</v>
      </c>
      <c r="AI192" s="193">
        <f>(((L192*'Appendix K'!$C$15*1000)-('Appendix K'!$E$41+'Appendix K'!$F$41+'Appendix K'!$H$41+'Appendix K'!$G$41))/((1+$Y$16)^AI$34))</f>
        <v>2094558.0462136548</v>
      </c>
      <c r="AJ192" s="193">
        <f>(((M192*'Appendix K'!$C$16*1000)-('Appendix K'!$E$42+'Appendix K'!$F$42+'Appendix K'!$H$42+'Appendix K'!$G$42))/((1+$Y$16)^AJ$34))</f>
        <v>195415.87638705285</v>
      </c>
      <c r="AK192" s="193">
        <f>(((N192*'Appendix K'!$C$17*1000)-('Appendix K'!$E$43+'Appendix K'!$F$43+'Appendix K'!$H$43))/((1+$Y$16)^AK$34))</f>
        <v>378155.48887926736</v>
      </c>
      <c r="AL192" s="193">
        <f>(((O192*'Appendix K'!$C$18*1000)-('Appendix K'!$E$44+'Appendix K'!$F$44+'Appendix K'!$H$44+'Appendix K'!$G$44))/((1+$Y$16)^AL$34))</f>
        <v>531270.97121880553</v>
      </c>
      <c r="AM192" s="193">
        <f>(((P192*'Appendix K'!$C$19*1000)-('Appendix K'!$E$45+'Appendix K'!$F$45+'Appendix K'!$H$45+'Appendix K'!$G$45))/((1+$Y$16)^AM$34))</f>
        <v>654476.36053971911</v>
      </c>
      <c r="AN192" s="193">
        <f>(((Q192*'Appendix K'!$C$20*1000)-('Appendix K'!$E$46+'Appendix K'!$F$46+'Appendix K'!$H$46+'Appendix K'!$G$46))/((1+$Y$16)^AN$34))</f>
        <v>287569.77107781358</v>
      </c>
      <c r="AO192" s="193">
        <f>(((R192*'Appendix K'!$C$21*1000)-('Appendix K'!$E$47+'Appendix K'!$F$47+'Appendix K'!$H$47+'Appendix K'!$G$47))/((1+$Y$16)^AO$34))</f>
        <v>73658.912785308232</v>
      </c>
      <c r="AP192" s="193">
        <f>(((S192*'Appendix K'!$C$22*1000)-('Appendix K'!$E$48+'Appendix K'!$F$48+'Appendix K'!$H$48+'Appendix K'!$G$48))/((1+$Y$16)^AP$34))</f>
        <v>-155.14404422370296</v>
      </c>
      <c r="AQ192" s="193">
        <f>(((T192*'Appendix K'!$C$23*1000)-('Appendix K'!$E$49+'Appendix K'!$F$49+'Appendix K'!$H$49+'Appendix K'!$G$49))/((1+$Y$16)^AQ$34))</f>
        <v>-330740.69818388886</v>
      </c>
      <c r="AR192" s="193">
        <f>(((U192*'Appendix K'!$C$24*1000)-('Appendix K'!$E$50+'Appendix K'!$F$50+'Appendix K'!$H$50+'Appendix K'!$G$50))/((1+$Y$16)^AR$34))</f>
        <v>-237633.36370898897</v>
      </c>
      <c r="AS192" s="209">
        <f t="shared" si="20"/>
        <v>76203748.10973978</v>
      </c>
      <c r="AU192" s="199">
        <f t="shared" si="19"/>
        <v>6.8889417486124692E-9</v>
      </c>
    </row>
    <row r="193" spans="1:47" x14ac:dyDescent="0.35">
      <c r="A193">
        <v>159</v>
      </c>
      <c r="B193" s="70">
        <v>56</v>
      </c>
      <c r="C193" s="70">
        <v>64.304425096340211</v>
      </c>
      <c r="D193" s="70">
        <v>101.80561820132084</v>
      </c>
      <c r="E193" s="70">
        <v>108.51459846005285</v>
      </c>
      <c r="F193" s="70">
        <v>64.925694478710852</v>
      </c>
      <c r="G193" s="70">
        <v>59.88954999462166</v>
      </c>
      <c r="H193" s="70">
        <v>47.985714587710717</v>
      </c>
      <c r="I193" s="70">
        <v>60.380524632295703</v>
      </c>
      <c r="J193" s="70">
        <v>81.776627123637454</v>
      </c>
      <c r="K193" s="70">
        <v>57.0707555151522</v>
      </c>
      <c r="L193" s="70">
        <v>93.630406386169597</v>
      </c>
      <c r="M193" s="70">
        <v>162.67020932589654</v>
      </c>
      <c r="N193" s="70">
        <v>137.80112364980434</v>
      </c>
      <c r="O193" s="70">
        <v>87.730436901513229</v>
      </c>
      <c r="P193" s="70">
        <v>109.64442830458522</v>
      </c>
      <c r="Q193" s="70">
        <v>114.71471740636723</v>
      </c>
      <c r="R193" s="70">
        <v>117.59269920824615</v>
      </c>
      <c r="S193" s="70">
        <v>131.05812584469879</v>
      </c>
      <c r="T193" s="70">
        <v>91.754205846268491</v>
      </c>
      <c r="U193" s="70">
        <v>88.563400585407578</v>
      </c>
      <c r="V193" s="70">
        <v>110.59399209012008</v>
      </c>
      <c r="X193" s="193">
        <f>((0-('Appendix K'!$I$30))/(1+$Y$16)^0)</f>
        <v>-33594902.4440751</v>
      </c>
      <c r="Y193" s="193">
        <f>(((B193*'Appendix K'!$C$5*1000)-('Appendix K'!$E$31+'Appendix K'!$F$31+'Appendix K'!$H$31+'Appendix K'!$G$31))/((1+$Y$16)^1))</f>
        <v>34971064.972647354</v>
      </c>
      <c r="Z193" s="193">
        <f>+(((C193*'Appendix K'!$C$6*1000)-('Appendix K'!$E$32+'Appendix K'!$F$32+'Appendix K'!$H$32+'Appendix K'!$G$32))/((1+$Y$16)^2))</f>
        <v>12757149.916010868</v>
      </c>
      <c r="AA193" s="193">
        <f>(((D193*'Appendix K'!$C$7*1000)-('Appendix K'!$E$33+'Appendix K'!$F$33+'Appendix K'!$H$33+'Appendix K'!$G$33))/((1+$Y$16)^3))</f>
        <v>10002579.5608465</v>
      </c>
      <c r="AB193" s="193">
        <f>(((E193*'Appendix K'!$C$8*1000)-('Appendix K'!$E$34+'Appendix K'!$F$34+'Appendix K'!$H$34+'Appendix K'!$G$34))/((1+$Y$16)^4))</f>
        <v>20492198.738050975</v>
      </c>
      <c r="AC193" s="193">
        <f>(((F193*'Appendix K'!$C$9*1000)-('Appendix K'!$E$35+'Appendix K'!$F$35+'Appendix K'!$H$35+'Appendix K'!$G$35))/((1+$Y$16)^AC$34))</f>
        <v>14272919.121646626</v>
      </c>
      <c r="AD193" s="193">
        <f>(((G193*'Appendix K'!$C$10*1000)-('Appendix K'!$E$36+'Appendix K'!$F$36+'Appendix K'!$H$36+'Appendix K'!$G$36))/((1+$Y$16)^AD$34))</f>
        <v>6889528.607898524</v>
      </c>
      <c r="AE193" s="193">
        <f>(((H193*'Appendix K'!$C$11*1000)-('Appendix K'!$E$37+'Appendix K'!$F$37+'Appendix K'!$H$37+'Appendix K'!$G$37))/((1+$Y$16)^AE$34))</f>
        <v>2566040.4256121516</v>
      </c>
      <c r="AF193" s="193">
        <f>(((I193*'Appendix K'!$C$12*1000)-('Appendix K'!$E$38+'Appendix K'!$F$38+'Appendix K'!$H$38+'Appendix K'!$G$38))/((1+$Y$16)^AF$34))</f>
        <v>1968152.7826019968</v>
      </c>
      <c r="AG193" s="193">
        <f>(((J193*'Appendix K'!$C$13*1000)-('Appendix K'!$E$39+'Appendix K'!$F$39+'Appendix K'!$H$39+'Appendix K'!$G$39))/((1+$Y$16)^AG$34))</f>
        <v>1948329.217731633</v>
      </c>
      <c r="AH193" s="193">
        <f>(((K193*'Appendix K'!$C$14*1000)-('Appendix K'!$E$40+'Appendix K'!$F$40+'Appendix K'!$H$40+'Appendix K'!$G$40))/((1+$Y$16)^AH$34))</f>
        <v>290915.7917057469</v>
      </c>
      <c r="AI193" s="193">
        <f>(((L193*'Appendix K'!$C$15*1000)-('Appendix K'!$E$41+'Appendix K'!$F$41+'Appendix K'!$H$41+'Appendix K'!$G$41))/((1+$Y$16)^AI$34))</f>
        <v>936810.38870511157</v>
      </c>
      <c r="AJ193" s="193">
        <f>(((M193*'Appendix K'!$C$16*1000)-('Appendix K'!$E$42+'Appendix K'!$F$42+'Appendix K'!$H$42+'Appendix K'!$G$42))/((1+$Y$16)^AJ$34))</f>
        <v>1878663.7378766572</v>
      </c>
      <c r="AK193" s="193">
        <f>(((N193*'Appendix K'!$C$17*1000)-('Appendix K'!$E$43+'Appendix K'!$F$43+'Appendix K'!$H$43))/((1+$Y$16)^AK$34))</f>
        <v>1112903.7176071058</v>
      </c>
      <c r="AL193" s="193">
        <f>(((O193*'Appendix K'!$C$18*1000)-('Appendix K'!$E$44+'Appendix K'!$F$44+'Appendix K'!$H$44+'Appendix K'!$G$44))/((1+$Y$16)^AL$34))</f>
        <v>-94694.442208983179</v>
      </c>
      <c r="AM193" s="193">
        <f>(((P193*'Appendix K'!$C$19*1000)-('Appendix K'!$E$45+'Appendix K'!$F$45+'Appendix K'!$H$45+'Appendix K'!$G$45))/((1+$Y$16)^AM$34))</f>
        <v>-10501.143640977771</v>
      </c>
      <c r="AN193" s="193">
        <f>(((Q193*'Appendix K'!$C$20*1000)-('Appendix K'!$E$46+'Appendix K'!$F$46+'Appendix K'!$H$46+'Appendix K'!$G$46))/((1+$Y$16)^AN$34))</f>
        <v>-85608.263135789617</v>
      </c>
      <c r="AO193" s="193">
        <f>(((R193*'Appendix K'!$C$21*1000)-('Appendix K'!$E$47+'Appendix K'!$F$47+'Appendix K'!$H$47+'Appendix K'!$G$47))/((1+$Y$16)^AO$34))</f>
        <v>-148013.08141412868</v>
      </c>
      <c r="AP193" s="193">
        <f>(((S193*'Appendix K'!$C$22*1000)-('Appendix K'!$E$48+'Appendix K'!$F$48+'Appendix K'!$H$48+'Appendix K'!$G$48))/((1+$Y$16)^AP$34))</f>
        <v>-136721.59257375961</v>
      </c>
      <c r="AQ193" s="193">
        <f>(((T193*'Appendix K'!$C$23*1000)-('Appendix K'!$E$49+'Appendix K'!$F$49+'Appendix K'!$H$49+'Appendix K'!$G$49))/((1+$Y$16)^AQ$34))</f>
        <v>-334383.15950860898</v>
      </c>
      <c r="AR193" s="193">
        <f>(((U193*'Appendix K'!$C$24*1000)-('Appendix K'!$E$50+'Appendix K'!$F$50+'Appendix K'!$H$50+'Appendix K'!$G$50))/((1+$Y$16)^AR$34))</f>
        <v>-344112.2379778988</v>
      </c>
      <c r="AS193" s="209">
        <f t="shared" si="20"/>
        <v>76492354.534866154</v>
      </c>
      <c r="AU193" s="199">
        <f t="shared" si="19"/>
        <v>6.8959018028766425E-9</v>
      </c>
    </row>
    <row r="194" spans="1:47" x14ac:dyDescent="0.35">
      <c r="A194">
        <v>160</v>
      </c>
      <c r="B194" s="70">
        <v>56</v>
      </c>
      <c r="C194" s="70">
        <v>69.490178631417436</v>
      </c>
      <c r="D194" s="70">
        <v>90.43592370059892</v>
      </c>
      <c r="E194" s="70">
        <v>107.36355272659677</v>
      </c>
      <c r="F194" s="70">
        <v>100.31633839130447</v>
      </c>
      <c r="G194" s="70">
        <v>146.80670930900902</v>
      </c>
      <c r="H194" s="70">
        <v>220.61956433513674</v>
      </c>
      <c r="I194" s="70">
        <v>174.18414490858515</v>
      </c>
      <c r="J194" s="70">
        <v>168.62007792438794</v>
      </c>
      <c r="K194" s="70">
        <v>223.157358572193</v>
      </c>
      <c r="L194" s="70">
        <v>185.91871027466408</v>
      </c>
      <c r="M194" s="70">
        <v>266.20548713593911</v>
      </c>
      <c r="N194" s="70">
        <v>392.21949845621464</v>
      </c>
      <c r="O194" s="70">
        <v>500</v>
      </c>
      <c r="P194" s="70">
        <v>500</v>
      </c>
      <c r="Q194" s="70">
        <v>500</v>
      </c>
      <c r="R194" s="70">
        <v>500</v>
      </c>
      <c r="S194" s="70">
        <v>363.33413295770197</v>
      </c>
      <c r="T194" s="70">
        <v>500</v>
      </c>
      <c r="U194" s="70">
        <v>500</v>
      </c>
      <c r="V194" s="70">
        <v>500</v>
      </c>
      <c r="X194" s="193">
        <f>((0-('Appendix K'!$I$30))/(1+$Y$16)^0)</f>
        <v>-33594902.4440751</v>
      </c>
      <c r="Y194" s="193">
        <f>(((B194*'Appendix K'!$C$5*1000)-('Appendix K'!$E$31+'Appendix K'!$F$31+'Appendix K'!$H$31+'Appendix K'!$G$31))/((1+$Y$16)^1))</f>
        <v>34971064.972647354</v>
      </c>
      <c r="Z194" s="193">
        <f>+(((C194*'Appendix K'!$C$6*1000)-('Appendix K'!$E$32+'Appendix K'!$F$32+'Appendix K'!$H$32+'Appendix K'!$G$32))/((1+$Y$16)^2))</f>
        <v>14067159.951557565</v>
      </c>
      <c r="AA194" s="193">
        <f>(((D194*'Appendix K'!$C$7*1000)-('Appendix K'!$E$33+'Appendix K'!$F$33+'Appendix K'!$H$33+'Appendix K'!$G$33))/((1+$Y$16)^3))</f>
        <v>8554366.1750623137</v>
      </c>
      <c r="AB194" s="193">
        <f>(((E194*'Appendix K'!$C$8*1000)-('Appendix K'!$E$34+'Appendix K'!$F$34+'Appendix K'!$H$34+'Appendix K'!$G$34))/((1+$Y$16)^4))</f>
        <v>20239900.050086927</v>
      </c>
      <c r="AC194" s="193">
        <f>(((F194*'Appendix K'!$C$9*1000)-('Appendix K'!$E$35+'Appendix K'!$F$35+'Appendix K'!$H$35+'Appendix K'!$G$35))/((1+$Y$16)^AC$34))</f>
        <v>23679696.70033044</v>
      </c>
      <c r="AD194" s="193">
        <f>(((G194*'Appendix K'!$C$10*1000)-('Appendix K'!$E$36+'Appendix K'!$F$36+'Appendix K'!$H$36+'Appendix K'!$G$36))/((1+$Y$16)^AD$34))</f>
        <v>20539342.761203274</v>
      </c>
      <c r="AE194" s="193">
        <f>(((H194*'Appendix K'!$C$11*1000)-('Appendix K'!$E$37+'Appendix K'!$F$37+'Appendix K'!$H$37+'Appendix K'!$G$37))/((1+$Y$16)^AE$34))</f>
        <v>19784131.256334126</v>
      </c>
      <c r="AF194" s="193">
        <f>(((I194*'Appendix K'!$C$12*1000)-('Appendix K'!$E$38+'Appendix K'!$F$38+'Appendix K'!$H$38+'Appendix K'!$G$38))/((1+$Y$16)^AF$34))</f>
        <v>9440774.695772294</v>
      </c>
      <c r="AG194" s="193">
        <f>(((J194*'Appendix K'!$C$13*1000)-('Appendix K'!$E$39+'Appendix K'!$F$39+'Appendix K'!$H$39+'Appendix K'!$G$39))/((1+$Y$16)^AG$34))</f>
        <v>5944772.123564709</v>
      </c>
      <c r="AH194" s="193">
        <f>(((K194*'Appendix K'!$C$14*1000)-('Appendix K'!$E$40+'Appendix K'!$F$40+'Appendix K'!$H$40+'Appendix K'!$G$40))/((1+$Y$16)^AH$34))</f>
        <v>5889118.3214868149</v>
      </c>
      <c r="AI194" s="193">
        <f>(((L194*'Appendix K'!$C$15*1000)-('Appendix K'!$E$41+'Appendix K'!$F$41+'Appendix K'!$H$41+'Appendix K'!$G$41))/((1+$Y$16)^AI$34))</f>
        <v>3354936.5305581866</v>
      </c>
      <c r="AJ194" s="193">
        <f>(((M194*'Appendix K'!$C$16*1000)-('Appendix K'!$E$42+'Appendix K'!$F$42+'Appendix K'!$H$42+'Appendix K'!$G$42))/((1+$Y$16)^AJ$34))</f>
        <v>3953704.0032704067</v>
      </c>
      <c r="AK194" s="193">
        <f>(((N194*'Appendix K'!$C$17*1000)-('Appendix K'!$E$43+'Appendix K'!$F$43+'Appendix K'!$H$43))/((1+$Y$16)^AK$34))</f>
        <v>5021761.540740218</v>
      </c>
      <c r="AL194" s="193">
        <f>(((O194*'Appendix K'!$C$18*1000)-('Appendix K'!$E$44+'Appendix K'!$F$44+'Appendix K'!$H$44+'Appendix K'!$G$44))/((1+$Y$16)^AL$34))</f>
        <v>4792058.0003928225</v>
      </c>
      <c r="AM194" s="193">
        <f>(((P194*'Appendix K'!$C$19*1000)-('Appendix K'!$E$45+'Appendix K'!$F$45+'Appendix K'!$H$45+'Appendix K'!$G$45))/((1+$Y$16)^AM$34))</f>
        <v>3607599.9540230581</v>
      </c>
      <c r="AN194" s="193">
        <f>(((Q194*'Appendix K'!$C$20*1000)-('Appendix K'!$E$46+'Appendix K'!$F$46+'Appendix K'!$H$46+'Appendix K'!$G$46))/((1+$Y$16)^AN$34))</f>
        <v>2702399.606577659</v>
      </c>
      <c r="AO194" s="193">
        <f>(((R194*'Appendix K'!$C$21*1000)-('Appendix K'!$E$47+'Appendix K'!$F$47+'Appendix K'!$H$47+'Appendix K'!$G$47))/((1+$Y$16)^AO$34))</f>
        <v>2112056.3146391152</v>
      </c>
      <c r="AP194" s="193">
        <f>(((S194*'Appendix K'!$C$22*1000)-('Appendix K'!$E$48+'Appendix K'!$F$48+'Appendix K'!$H$48+'Appendix K'!$G$48))/((1+$Y$16)^AP$34))</f>
        <v>975815.29130469298</v>
      </c>
      <c r="AQ194" s="193">
        <f>(((T194*'Appendix K'!$C$23*1000)-('Appendix K'!$E$49+'Appendix K'!$F$49+'Appendix K'!$H$49+'Appendix K'!$G$49))/((1+$Y$16)^AQ$34))</f>
        <v>1263386.3652054211</v>
      </c>
      <c r="AR194" s="193">
        <f>(((U194*'Appendix K'!$C$24*1000)-('Appendix K'!$E$50+'Appendix K'!$F$50+'Appendix K'!$H$50+'Appendix K'!$G$50))/((1+$Y$16)^AR$34))</f>
        <v>980725.14012097823</v>
      </c>
      <c r="AS194" s="209">
        <f t="shared" si="20"/>
        <v>158279867.31080332</v>
      </c>
      <c r="AU194" s="199">
        <f t="shared" si="19"/>
        <v>3.2380156951977432E-9</v>
      </c>
    </row>
    <row r="195" spans="1:47" x14ac:dyDescent="0.35">
      <c r="A195">
        <v>161</v>
      </c>
      <c r="B195" s="70">
        <v>56</v>
      </c>
      <c r="C195" s="70">
        <v>66.635881588038089</v>
      </c>
      <c r="D195" s="70">
        <v>77.501724333788943</v>
      </c>
      <c r="E195" s="70">
        <v>43.17829633184067</v>
      </c>
      <c r="F195" s="70">
        <v>30.341201892581449</v>
      </c>
      <c r="G195" s="70">
        <v>24.182280231757929</v>
      </c>
      <c r="H195" s="70">
        <v>22.979952147633718</v>
      </c>
      <c r="I195" s="70">
        <v>23.784333241563466</v>
      </c>
      <c r="J195" s="70">
        <v>24.611693496970407</v>
      </c>
      <c r="K195" s="70">
        <v>37.707382538505335</v>
      </c>
      <c r="L195" s="70">
        <v>47.560413257981182</v>
      </c>
      <c r="M195" s="70">
        <v>75.01108436912871</v>
      </c>
      <c r="N195" s="70">
        <v>106.94767252618905</v>
      </c>
      <c r="O195" s="70">
        <v>98.305942222717334</v>
      </c>
      <c r="P195" s="70">
        <v>95.128335172029608</v>
      </c>
      <c r="Q195" s="70">
        <v>109.78579825057997</v>
      </c>
      <c r="R195" s="70">
        <v>92.984711648522762</v>
      </c>
      <c r="S195" s="70">
        <v>104.37866162878488</v>
      </c>
      <c r="T195" s="70">
        <v>93.879850311609061</v>
      </c>
      <c r="U195" s="70">
        <v>90.888275636560053</v>
      </c>
      <c r="V195" s="70">
        <v>80.94214027119655</v>
      </c>
      <c r="X195" s="193">
        <f>((0-('Appendix K'!$I$30))/(1+$Y$16)^0)</f>
        <v>-33594902.4440751</v>
      </c>
      <c r="Y195" s="193">
        <f>(((B195*'Appendix K'!$C$5*1000)-('Appendix K'!$E$31+'Appendix K'!$F$31+'Appendix K'!$H$31+'Appendix K'!$G$31))/((1+$Y$16)^1))</f>
        <v>34971064.972647354</v>
      </c>
      <c r="Z195" s="193">
        <f>+(((C195*'Appendix K'!$C$6*1000)-('Appendix K'!$E$32+'Appendix K'!$F$32+'Appendix K'!$H$32+'Appendix K'!$G$32))/((1+$Y$16)^2))</f>
        <v>13346115.701003429</v>
      </c>
      <c r="AA195" s="193">
        <f>(((D195*'Appendix K'!$C$7*1000)-('Appendix K'!$E$33+'Appendix K'!$F$33+'Appendix K'!$H$33+'Appendix K'!$G$33))/((1+$Y$16)^3))</f>
        <v>6906874.1816559657</v>
      </c>
      <c r="AB195" s="193">
        <f>(((E195*'Appendix K'!$C$8*1000)-('Appendix K'!$E$34+'Appendix K'!$F$34+'Appendix K'!$H$34+'Appendix K'!$G$34))/((1+$Y$16)^4))</f>
        <v>6171079.4078258751</v>
      </c>
      <c r="AC195" s="193">
        <f>(((F195*'Appendix K'!$C$9*1000)-('Appendix K'!$E$35+'Appendix K'!$F$35+'Appendix K'!$H$35+'Appendix K'!$G$35))/((1+$Y$16)^AC$34))</f>
        <v>5080415.2996522542</v>
      </c>
      <c r="AD195" s="193">
        <f>(((G195*'Appendix K'!$C$10*1000)-('Appendix K'!$E$36+'Appendix K'!$F$36+'Appendix K'!$H$36+'Appendix K'!$G$36))/((1+$Y$16)^AD$34))</f>
        <v>1281917.8664792588</v>
      </c>
      <c r="AE195" s="193">
        <f>(((H195*'Appendix K'!$C$11*1000)-('Appendix K'!$E$37+'Appendix K'!$F$37+'Appendix K'!$H$37+'Appendix K'!$G$37))/((1+$Y$16)^AE$34))</f>
        <v>72024.972590481499</v>
      </c>
      <c r="AF195" s="193">
        <f>(((I195*'Appendix K'!$C$12*1000)-('Appendix K'!$E$38+'Appendix K'!$F$38+'Appendix K'!$H$38+'Appendix K'!$G$38))/((1+$Y$16)^AF$34))</f>
        <v>-434841.9644986479</v>
      </c>
      <c r="AG195" s="193">
        <f>(((J195*'Appendix K'!$C$13*1000)-('Appendix K'!$E$39+'Appendix K'!$F$39+'Appendix K'!$H$39+'Appendix K'!$G$39))/((1+$Y$16)^AG$34))</f>
        <v>-682340.00773329823</v>
      </c>
      <c r="AH195" s="193">
        <f>(((K195*'Appendix K'!$C$14*1000)-('Appendix K'!$E$40+'Appendix K'!$F$40+'Appendix K'!$H$40+'Appendix K'!$G$40))/((1+$Y$16)^AH$34))</f>
        <v>-361756.25762101263</v>
      </c>
      <c r="AI195" s="193">
        <f>(((L195*'Appendix K'!$C$15*1000)-('Appendix K'!$E$41+'Appendix K'!$F$41+'Appendix K'!$H$41+'Appendix K'!$G$41))/((1+$Y$16)^AI$34))</f>
        <v>-270309.58256301895</v>
      </c>
      <c r="AJ195" s="193">
        <f>(((M195*'Appendix K'!$C$16*1000)-('Appendix K'!$E$42+'Appendix K'!$F$42+'Appendix K'!$H$42+'Appendix K'!$G$42))/((1+$Y$16)^AJ$34))</f>
        <v>121811.21608980821</v>
      </c>
      <c r="AK195" s="193">
        <f>(((N195*'Appendix K'!$C$17*1000)-('Appendix K'!$E$43+'Appendix K'!$F$43+'Appendix K'!$H$43))/((1+$Y$16)^AK$34))</f>
        <v>638874.45817580156</v>
      </c>
      <c r="AL195" s="193">
        <f>(((O195*'Appendix K'!$C$18*1000)-('Appendix K'!$E$44+'Appendix K'!$F$44+'Appendix K'!$H$44+'Appendix K'!$G$44))/((1+$Y$16)^AL$34))</f>
        <v>30660.134228173749</v>
      </c>
      <c r="AM195" s="193">
        <f>(((P195*'Appendix K'!$C$19*1000)-('Appendix K'!$E$45+'Appendix K'!$F$45+'Appendix K'!$H$45+'Appendix K'!$G$45))/((1+$Y$16)^AM$34))</f>
        <v>-145046.91755828602</v>
      </c>
      <c r="AN195" s="193">
        <f>(((Q195*'Appendix K'!$C$20*1000)-('Appendix K'!$E$46+'Appendix K'!$F$46+'Appendix K'!$H$46+'Appendix K'!$G$46))/((1+$Y$16)^AN$34))</f>
        <v>-121274.99118470405</v>
      </c>
      <c r="AO195" s="193">
        <f>(((R195*'Appendix K'!$C$21*1000)-('Appendix K'!$E$47+'Appendix K'!$F$47+'Appendix K'!$H$47+'Appendix K'!$G$47))/((1+$Y$16)^AO$34))</f>
        <v>-293449.00658354966</v>
      </c>
      <c r="AP195" s="193">
        <f>(((S195*'Appendix K'!$C$22*1000)-('Appendix K'!$E$48+'Appendix K'!$F$48+'Appendix K'!$H$48+'Appendix K'!$G$48))/((1+$Y$16)^AP$34))</f>
        <v>-264508.73835450824</v>
      </c>
      <c r="AQ195" s="193">
        <f>(((T195*'Appendix K'!$C$23*1000)-('Appendix K'!$E$49+'Appendix K'!$F$49+'Appendix K'!$H$49+'Appendix K'!$G$49))/((1+$Y$16)^AQ$34))</f>
        <v>-326063.93125020521</v>
      </c>
      <c r="AR195" s="193">
        <f>(((U195*'Appendix K'!$C$24*1000)-('Appendix K'!$E$50+'Appendix K'!$F$50+'Appendix K'!$H$50+'Appendix K'!$G$50))/((1+$Y$16)^AR$34))</f>
        <v>-336626.07517284265</v>
      </c>
      <c r="AS195" s="209">
        <f t="shared" si="20"/>
        <v>35025935.766273312</v>
      </c>
      <c r="AU195" s="199">
        <f t="shared" si="19"/>
        <v>4.5756898997994901E-9</v>
      </c>
    </row>
    <row r="196" spans="1:47" x14ac:dyDescent="0.35">
      <c r="A196">
        <v>162</v>
      </c>
      <c r="B196" s="70">
        <v>56</v>
      </c>
      <c r="C196" s="70">
        <v>62.021698908547563</v>
      </c>
      <c r="D196" s="70">
        <v>102.58540945249977</v>
      </c>
      <c r="E196" s="70">
        <v>84.453499579124525</v>
      </c>
      <c r="F196" s="70">
        <v>95.69196940922248</v>
      </c>
      <c r="G196" s="70">
        <v>112.27593022916017</v>
      </c>
      <c r="H196" s="70">
        <v>69.936615627099087</v>
      </c>
      <c r="I196" s="70">
        <v>70.226631368595577</v>
      </c>
      <c r="J196" s="70">
        <v>65.802916974371414</v>
      </c>
      <c r="K196" s="70">
        <v>61.872973971159219</v>
      </c>
      <c r="L196" s="70">
        <v>89.501968077313037</v>
      </c>
      <c r="M196" s="70">
        <v>91.140354740959111</v>
      </c>
      <c r="N196" s="70">
        <v>154.50832480370877</v>
      </c>
      <c r="O196" s="70">
        <v>66.601316710049289</v>
      </c>
      <c r="P196" s="70">
        <v>64.086346597058466</v>
      </c>
      <c r="Q196" s="70">
        <v>47.413302648964461</v>
      </c>
      <c r="R196" s="70">
        <v>73.092982045967204</v>
      </c>
      <c r="S196" s="70">
        <v>98.505885651871651</v>
      </c>
      <c r="T196" s="70">
        <v>108.92299950866547</v>
      </c>
      <c r="U196" s="70">
        <v>148.74218049555407</v>
      </c>
      <c r="V196" s="70">
        <v>144.21338173090072</v>
      </c>
      <c r="X196" s="193">
        <f>((0-('Appendix K'!$I$30))/(1+$Y$16)^0)</f>
        <v>-33594902.4440751</v>
      </c>
      <c r="Y196" s="193">
        <f>(((B196*'Appendix K'!$C$5*1000)-('Appendix K'!$E$31+'Appendix K'!$F$31+'Appendix K'!$H$31+'Appendix K'!$G$31))/((1+$Y$16)^1))</f>
        <v>34971064.972647354</v>
      </c>
      <c r="Z196" s="193">
        <f>+(((C196*'Appendix K'!$C$6*1000)-('Appendix K'!$E$32+'Appendix K'!$F$32+'Appendix K'!$H$32+'Appendix K'!$G$32))/((1+$Y$16)^2))</f>
        <v>12180494.239225203</v>
      </c>
      <c r="AA196" s="193">
        <f>(((D196*'Appendix K'!$C$7*1000)-('Appendix K'!$E$33+'Appendix K'!$F$33+'Appendix K'!$H$33+'Appendix K'!$G$33))/((1+$Y$16)^3))</f>
        <v>10101905.371931663</v>
      </c>
      <c r="AB196" s="193">
        <f>(((E196*'Appendix K'!$C$8*1000)-('Appendix K'!$E$34+'Appendix K'!$F$34+'Appendix K'!$H$34+'Appendix K'!$G$34))/((1+$Y$16)^4))</f>
        <v>15218226.121511821</v>
      </c>
      <c r="AC196" s="193">
        <f>(((F196*'Appendix K'!$C$9*1000)-('Appendix K'!$E$35+'Appendix K'!$F$35+'Appendix K'!$H$35+'Appendix K'!$G$35))/((1+$Y$16)^AC$34))</f>
        <v>22450546.686455444</v>
      </c>
      <c r="AD196" s="193">
        <f>(((G196*'Appendix K'!$C$10*1000)-('Appendix K'!$E$36+'Appendix K'!$F$36+'Appendix K'!$H$36+'Appendix K'!$G$36))/((1+$Y$16)^AD$34))</f>
        <v>15116492.765566796</v>
      </c>
      <c r="AE196" s="193">
        <f>(((H196*'Appendix K'!$C$11*1000)-('Appendix K'!$E$37+'Appendix K'!$F$37+'Appendix K'!$H$37+'Appendix K'!$G$37))/((1+$Y$16)^AE$34))</f>
        <v>4755371.2461050414</v>
      </c>
      <c r="AF196" s="193">
        <f>(((I196*'Appendix K'!$C$12*1000)-('Appendix K'!$E$38+'Appendix K'!$F$38+'Appendix K'!$H$38+'Appendix K'!$G$38))/((1+$Y$16)^AF$34))</f>
        <v>2614672.0477928729</v>
      </c>
      <c r="AG196" s="193">
        <f>(((J196*'Appendix K'!$C$13*1000)-('Appendix K'!$E$39+'Appendix K'!$F$39+'Appendix K'!$H$39+'Appendix K'!$G$39))/((1+$Y$16)^AG$34))</f>
        <v>1213236.1276109396</v>
      </c>
      <c r="AH196" s="193">
        <f>(((K196*'Appendix K'!$C$14*1000)-('Appendix K'!$E$40+'Appendix K'!$F$40+'Appendix K'!$H$40+'Appendix K'!$G$40))/((1+$Y$16)^AH$34))</f>
        <v>452781.89658204932</v>
      </c>
      <c r="AI196" s="193">
        <f>(((L196*'Appendix K'!$C$15*1000)-('Appendix K'!$E$41+'Appendix K'!$F$41+'Appendix K'!$H$41+'Appendix K'!$G$41))/((1+$Y$16)^AI$34))</f>
        <v>828637.58479557594</v>
      </c>
      <c r="AJ196" s="193">
        <f>(((M196*'Appendix K'!$C$16*1000)-('Appendix K'!$E$42+'Appendix K'!$F$42+'Appendix K'!$H$42+'Appendix K'!$G$42))/((1+$Y$16)^AJ$34))</f>
        <v>445071.9073333884</v>
      </c>
      <c r="AK196" s="193">
        <f>(((N196*'Appendix K'!$C$17*1000)-('Appendix K'!$E$43+'Appendix K'!$F$43+'Appendix K'!$H$43))/((1+$Y$16)^AK$34))</f>
        <v>1369591.4430231261</v>
      </c>
      <c r="AL196" s="193">
        <f>(((O196*'Appendix K'!$C$18*1000)-('Appendix K'!$E$44+'Appendix K'!$F$44+'Appendix K'!$H$44+'Appendix K'!$G$44))/((1+$Y$16)^AL$34))</f>
        <v>-345144.12112694292</v>
      </c>
      <c r="AM196" s="193">
        <f>(((P196*'Appendix K'!$C$19*1000)-('Appendix K'!$E$45+'Appendix K'!$F$45+'Appendix K'!$H$45+'Appendix K'!$G$45))/((1+$Y$16)^AM$34))</f>
        <v>-432766.78395848372</v>
      </c>
      <c r="AN196" s="193">
        <f>(((Q196*'Appendix K'!$C$20*1000)-('Appendix K'!$E$46+'Appendix K'!$F$46+'Appendix K'!$H$46+'Appendix K'!$G$46))/((1+$Y$16)^AN$34))</f>
        <v>-572615.89738376497</v>
      </c>
      <c r="AO196" s="193">
        <f>(((R196*'Appendix K'!$C$21*1000)-('Appendix K'!$E$47+'Appendix K'!$F$47+'Appendix K'!$H$47+'Appendix K'!$G$47))/((1+$Y$16)^AO$34))</f>
        <v>-411011.3261737398</v>
      </c>
      <c r="AP196" s="193">
        <f>(((S196*'Appendix K'!$C$22*1000)-('Appendix K'!$E$48+'Appendix K'!$F$48+'Appendix K'!$H$48+'Appendix K'!$G$48))/((1+$Y$16)^AP$34))</f>
        <v>-292637.68704051105</v>
      </c>
      <c r="AQ196" s="193">
        <f>(((T196*'Appendix K'!$C$23*1000)-('Appendix K'!$E$49+'Appendix K'!$F$49+'Appendix K'!$H$49+'Appendix K'!$G$49))/((1+$Y$16)^AQ$34))</f>
        <v>-267188.89643788792</v>
      </c>
      <c r="AR196" s="193">
        <f>(((U196*'Appendix K'!$C$24*1000)-('Appendix K'!$E$50+'Appendix K'!$F$50+'Appendix K'!$H$50+'Appendix K'!$G$50))/((1+$Y$16)^AR$34))</f>
        <v>-150334.8805265039</v>
      </c>
      <c r="AS196" s="209">
        <f t="shared" si="20"/>
        <v>88123189.966506183</v>
      </c>
      <c r="AU196" s="199">
        <f t="shared" si="19"/>
        <v>7.0293940948091864E-9</v>
      </c>
    </row>
    <row r="197" spans="1:47" x14ac:dyDescent="0.35">
      <c r="A197">
        <v>163</v>
      </c>
      <c r="B197" s="70">
        <v>56</v>
      </c>
      <c r="C197" s="70">
        <v>49.304091497361341</v>
      </c>
      <c r="D197" s="70">
        <v>51.583362588691841</v>
      </c>
      <c r="E197" s="70">
        <v>56.654290338210821</v>
      </c>
      <c r="F197" s="70">
        <v>55.938256080609193</v>
      </c>
      <c r="G197" s="70">
        <v>107.84496098620585</v>
      </c>
      <c r="H197" s="70">
        <v>114.32589236728487</v>
      </c>
      <c r="I197" s="70">
        <v>150.06149708618975</v>
      </c>
      <c r="J197" s="70">
        <v>170.6742629527312</v>
      </c>
      <c r="K197" s="70">
        <v>177.53795863345516</v>
      </c>
      <c r="L197" s="70">
        <v>145.24644286116921</v>
      </c>
      <c r="M197" s="70">
        <v>164.45717135787436</v>
      </c>
      <c r="N197" s="70">
        <v>167.62359711384474</v>
      </c>
      <c r="O197" s="70">
        <v>278.0952438284254</v>
      </c>
      <c r="P197" s="70">
        <v>181.90952741072127</v>
      </c>
      <c r="Q197" s="70">
        <v>203.09932022911428</v>
      </c>
      <c r="R197" s="70">
        <v>130.6946798350003</v>
      </c>
      <c r="S197" s="70">
        <v>135.96837386962474</v>
      </c>
      <c r="T197" s="70">
        <v>121.56820254139828</v>
      </c>
      <c r="U197" s="70">
        <v>77.38597483000467</v>
      </c>
      <c r="V197" s="70">
        <v>105.03098293009705</v>
      </c>
      <c r="X197" s="193">
        <f>((0-('Appendix K'!$I$30))/(1+$Y$16)^0)</f>
        <v>-33594902.4440751</v>
      </c>
      <c r="Y197" s="193">
        <f>(((B197*'Appendix K'!$C$5*1000)-('Appendix K'!$E$31+'Appendix K'!$F$31+'Appendix K'!$H$31+'Appendix K'!$G$31))/((1+$Y$16)^1))</f>
        <v>34971064.972647354</v>
      </c>
      <c r="Z197" s="193">
        <f>+(((C197*'Appendix K'!$C$6*1000)-('Appendix K'!$E$32+'Appendix K'!$F$32+'Appendix K'!$H$32+'Appendix K'!$G$32))/((1+$Y$16)^2))</f>
        <v>8967809.0963419341</v>
      </c>
      <c r="AA197" s="193">
        <f>(((D197*'Appendix K'!$C$7*1000)-('Appendix K'!$E$33+'Appendix K'!$F$33+'Appendix K'!$H$33+'Appendix K'!$G$33))/((1+$Y$16)^3))</f>
        <v>3605526.1626337259</v>
      </c>
      <c r="AB197" s="193">
        <f>(((E197*'Appendix K'!$C$8*1000)-('Appendix K'!$E$34+'Appendix K'!$F$34+'Appendix K'!$H$34+'Appendix K'!$G$34))/((1+$Y$16)^4))</f>
        <v>9124893.9331706092</v>
      </c>
      <c r="AC197" s="193">
        <f>(((F197*'Appendix K'!$C$9*1000)-('Appendix K'!$E$35+'Appendix K'!$F$35+'Appendix K'!$H$35+'Appendix K'!$G$35))/((1+$Y$16)^AC$34))</f>
        <v>11884072.108242035</v>
      </c>
      <c r="AD197" s="193">
        <f>(((G197*'Appendix K'!$C$10*1000)-('Appendix K'!$E$36+'Appendix K'!$F$36+'Appendix K'!$H$36+'Appendix K'!$G$36))/((1+$Y$16)^AD$34))</f>
        <v>14420635.846605984</v>
      </c>
      <c r="AE197" s="193">
        <f>(((H197*'Appendix K'!$C$11*1000)-('Appendix K'!$E$37+'Appendix K'!$F$37+'Appendix K'!$H$37+'Appendix K'!$G$37))/((1+$Y$16)^AE$34))</f>
        <v>9182652.4539376218</v>
      </c>
      <c r="AF197" s="193">
        <f>(((I197*'Appendix K'!$C$12*1000)-('Appendix K'!$E$38+'Appendix K'!$F$38+'Appendix K'!$H$38+'Appendix K'!$G$38))/((1+$Y$16)^AF$34))</f>
        <v>7856823.0931458352</v>
      </c>
      <c r="AG197" s="193">
        <f>(((J197*'Appendix K'!$C$13*1000)-('Appendix K'!$E$39+'Appendix K'!$F$39+'Appendix K'!$H$39+'Appendix K'!$G$39))/((1+$Y$16)^AG$34))</f>
        <v>6039303.5258534793</v>
      </c>
      <c r="AH197" s="193">
        <f>(((K197*'Appendix K'!$C$14*1000)-('Appendix K'!$E$40+'Appendix K'!$F$40+'Appendix K'!$H$40+'Appendix K'!$G$40))/((1+$Y$16)^AH$34))</f>
        <v>4351446.7968520038</v>
      </c>
      <c r="AI197" s="193">
        <f>(((L197*'Appendix K'!$C$15*1000)-('Appendix K'!$E$41+'Appendix K'!$F$41+'Appendix K'!$H$41+'Appendix K'!$G$41))/((1+$Y$16)^AI$34))</f>
        <v>2289247.0668116091</v>
      </c>
      <c r="AJ197" s="193">
        <f>(((M197*'Appendix K'!$C$16*1000)-('Appendix K'!$E$42+'Appendix K'!$F$42+'Appendix K'!$H$42+'Appendix K'!$G$42))/((1+$Y$16)^AJ$34))</f>
        <v>1914477.7932162003</v>
      </c>
      <c r="AK197" s="193">
        <f>(((N197*'Appendix K'!$C$17*1000)-('Appendix K'!$E$43+'Appendix K'!$F$43+'Appendix K'!$H$43))/((1+$Y$16)^AK$34))</f>
        <v>1571093.141990446</v>
      </c>
      <c r="AL197" s="193">
        <f>(((O197*'Appendix K'!$C$18*1000)-('Appendix K'!$E$44+'Appendix K'!$F$44+'Appendix K'!$H$44+'Appendix K'!$G$44))/((1+$Y$16)^AL$34))</f>
        <v>2161755.6295448681</v>
      </c>
      <c r="AM197" s="193">
        <f>(((P197*'Appendix K'!$C$19*1000)-('Appendix K'!$E$45+'Appendix K'!$F$45+'Appendix K'!$H$45+'Appendix K'!$G$45))/((1+$Y$16)^AM$34))</f>
        <v>659304.67791579512</v>
      </c>
      <c r="AN197" s="193">
        <f>(((Q197*'Appendix K'!$C$20*1000)-('Appendix K'!$E$46+'Appendix K'!$F$46+'Appendix K'!$H$46+'Appendix K'!$G$46))/((1+$Y$16)^AN$34))</f>
        <v>553961.89270433527</v>
      </c>
      <c r="AO197" s="193">
        <f>(((R197*'Appendix K'!$C$21*1000)-('Appendix K'!$E$47+'Appendix K'!$F$47+'Appendix K'!$H$47+'Appendix K'!$G$47))/((1+$Y$16)^AO$34))</f>
        <v>-70578.928402664897</v>
      </c>
      <c r="AP197" s="193">
        <f>(((S197*'Appendix K'!$C$22*1000)-('Appendix K'!$E$48+'Appendix K'!$F$48+'Appendix K'!$H$48+'Appendix K'!$G$48))/((1+$Y$16)^AP$34))</f>
        <v>-113202.88263630251</v>
      </c>
      <c r="AQ197" s="193">
        <f>(((T197*'Appendix K'!$C$23*1000)-('Appendix K'!$E$49+'Appendix K'!$F$49+'Appendix K'!$H$49+'Appendix K'!$G$49))/((1+$Y$16)^AQ$34))</f>
        <v>-217698.80902277122</v>
      </c>
      <c r="AR197" s="193">
        <f>(((U197*'Appendix K'!$C$24*1000)-('Appendix K'!$E$50+'Appendix K'!$F$50+'Appendix K'!$H$50+'Appendix K'!$G$50))/((1+$Y$16)^AR$34))</f>
        <v>-380103.86208900757</v>
      </c>
      <c r="AS197" s="209">
        <f t="shared" si="20"/>
        <v>85959165.747538745</v>
      </c>
      <c r="AU197" s="199">
        <f t="shared" si="19"/>
        <v>7.0266747865410604E-9</v>
      </c>
    </row>
    <row r="198" spans="1:47" x14ac:dyDescent="0.35">
      <c r="A198">
        <v>164</v>
      </c>
      <c r="B198" s="70">
        <v>56</v>
      </c>
      <c r="C198" s="70">
        <v>68.465657431534595</v>
      </c>
      <c r="D198" s="70">
        <v>99.476126378539078</v>
      </c>
      <c r="E198" s="70">
        <v>79.839232302163282</v>
      </c>
      <c r="F198" s="70">
        <v>59.998419761415995</v>
      </c>
      <c r="G198" s="70">
        <v>77.507587946337566</v>
      </c>
      <c r="H198" s="70">
        <v>77.415684255546381</v>
      </c>
      <c r="I198" s="70">
        <v>54.119006466319362</v>
      </c>
      <c r="J198" s="70">
        <v>69.429178132458844</v>
      </c>
      <c r="K198" s="70">
        <v>78.117965337999692</v>
      </c>
      <c r="L198" s="70">
        <v>82.091982360801424</v>
      </c>
      <c r="M198" s="70">
        <v>92.430084823501971</v>
      </c>
      <c r="N198" s="70">
        <v>102.66449833904237</v>
      </c>
      <c r="O198" s="70">
        <v>109.50971304490983</v>
      </c>
      <c r="P198" s="70">
        <v>112.70869613000603</v>
      </c>
      <c r="Q198" s="70">
        <v>105.5458135349441</v>
      </c>
      <c r="R198" s="70">
        <v>100.66469361914818</v>
      </c>
      <c r="S198" s="70">
        <v>136.83262363248627</v>
      </c>
      <c r="T198" s="70">
        <v>167.41115634834856</v>
      </c>
      <c r="U198" s="70">
        <v>154.60440601250235</v>
      </c>
      <c r="V198" s="70">
        <v>124.67041963780714</v>
      </c>
      <c r="X198" s="193">
        <f>((0-('Appendix K'!$I$30))/(1+$Y$16)^0)</f>
        <v>-33594902.4440751</v>
      </c>
      <c r="Y198" s="193">
        <f>(((B198*'Appendix K'!$C$5*1000)-('Appendix K'!$E$31+'Appendix K'!$F$31+'Appendix K'!$H$31+'Appendix K'!$G$31))/((1+$Y$16)^1))</f>
        <v>34971064.972647354</v>
      </c>
      <c r="Z198" s="193">
        <f>+(((C198*'Appendix K'!$C$6*1000)-('Appendix K'!$E$32+'Appendix K'!$F$32+'Appendix K'!$H$32+'Appendix K'!$G$32))/((1+$Y$16)^2))</f>
        <v>13808348.37395395</v>
      </c>
      <c r="AA198" s="193">
        <f>(((D198*'Appendix K'!$C$7*1000)-('Appendix K'!$E$33+'Appendix K'!$F$33+'Appendix K'!$H$33+'Appendix K'!$G$33))/((1+$Y$16)^3))</f>
        <v>9705860.8372595869</v>
      </c>
      <c r="AB198" s="193">
        <f>(((E198*'Appendix K'!$C$8*1000)-('Appendix K'!$E$34+'Appendix K'!$F$34+'Appendix K'!$H$34+'Appendix K'!$G$34))/((1+$Y$16)^4))</f>
        <v>14206820.973953264</v>
      </c>
      <c r="AC198" s="193">
        <f>(((F198*'Appendix K'!$C$9*1000)-('Appendix K'!$E$35+'Appendix K'!$F$35+'Appendix K'!$H$35+'Appendix K'!$G$35))/((1+$Y$16)^AC$34))</f>
        <v>12963257.238999402</v>
      </c>
      <c r="AD198" s="193">
        <f>(((G198*'Appendix K'!$C$10*1000)-('Appendix K'!$E$36+'Appendix K'!$F$36+'Appendix K'!$H$36+'Appendix K'!$G$36))/((1+$Y$16)^AD$34))</f>
        <v>9656334.9058004506</v>
      </c>
      <c r="AE198" s="193">
        <f>(((H198*'Appendix K'!$C$11*1000)-('Appendix K'!$E$37+'Appendix K'!$F$37+'Appendix K'!$H$37+'Appendix K'!$G$37))/((1+$Y$16)^AE$34))</f>
        <v>5501315.8170117009</v>
      </c>
      <c r="AF198" s="193">
        <f>(((I198*'Appendix K'!$C$12*1000)-('Appendix K'!$E$38+'Appendix K'!$F$38+'Appendix K'!$H$38+'Appendix K'!$G$38))/((1+$Y$16)^AF$34))</f>
        <v>1557006.3028749607</v>
      </c>
      <c r="AG198" s="193">
        <f>(((J198*'Appendix K'!$C$13*1000)-('Appendix K'!$E$39+'Appendix K'!$F$39+'Appendix K'!$H$39+'Appendix K'!$G$39))/((1+$Y$16)^AG$34))</f>
        <v>1380112.7952964127</v>
      </c>
      <c r="AH198" s="193">
        <f>(((K198*'Appendix K'!$C$14*1000)-('Appendix K'!$E$40+'Appendix K'!$F$40+'Appendix K'!$H$40+'Appendix K'!$G$40))/((1+$Y$16)^AH$34))</f>
        <v>1000344.1327419672</v>
      </c>
      <c r="AI198" s="193">
        <f>(((L198*'Appendix K'!$C$15*1000)-('Appendix K'!$E$41+'Appendix K'!$F$41+'Appendix K'!$H$41+'Appendix K'!$G$41))/((1+$Y$16)^AI$34))</f>
        <v>634482.10228173493</v>
      </c>
      <c r="AJ198" s="193">
        <f>(((M198*'Appendix K'!$C$16*1000)-('Appendix K'!$E$42+'Appendix K'!$F$42+'Appendix K'!$H$42+'Appendix K'!$G$42))/((1+$Y$16)^AJ$34))</f>
        <v>470920.50608517008</v>
      </c>
      <c r="AK198" s="193">
        <f>(((N198*'Appendix K'!$C$17*1000)-('Appendix K'!$E$43+'Appendix K'!$F$43+'Appendix K'!$H$43))/((1+$Y$16)^AK$34))</f>
        <v>573068.20914992259</v>
      </c>
      <c r="AL198" s="193">
        <f>(((O198*'Appendix K'!$C$18*1000)-('Appendix K'!$E$44+'Appendix K'!$F$44+'Appendix K'!$H$44+'Appendix K'!$G$44))/((1+$Y$16)^AL$34))</f>
        <v>163461.72651700542</v>
      </c>
      <c r="AM198" s="193">
        <f>(((P198*'Appendix K'!$C$19*1000)-('Appendix K'!$E$45+'Appendix K'!$F$45+'Appendix K'!$H$45+'Appendix K'!$G$45))/((1+$Y$16)^AM$34))</f>
        <v>17900.732972537993</v>
      </c>
      <c r="AN198" s="193">
        <f>(((Q198*'Appendix K'!$C$20*1000)-('Appendix K'!$E$46+'Appendix K'!$F$46+'Appendix K'!$H$46+'Appendix K'!$G$46))/((1+$Y$16)^AN$34))</f>
        <v>-151956.44020108253</v>
      </c>
      <c r="AO198" s="193">
        <f>(((R198*'Appendix K'!$C$21*1000)-('Appendix K'!$E$47+'Appendix K'!$F$47+'Appendix K'!$H$47+'Appendix K'!$G$47))/((1+$Y$16)^AO$34))</f>
        <v>-248059.46465243626</v>
      </c>
      <c r="AP198" s="193">
        <f>(((S198*'Appendix K'!$C$22*1000)-('Appendix K'!$E$48+'Appendix K'!$F$48+'Appendix K'!$H$48+'Appendix K'!$G$48))/((1+$Y$16)^AP$34))</f>
        <v>-109063.36883107816</v>
      </c>
      <c r="AQ198" s="193">
        <f>(((T198*'Appendix K'!$C$23*1000)-('Appendix K'!$E$49+'Appendix K'!$F$49+'Appendix K'!$H$49+'Appendix K'!$G$49))/((1+$Y$16)^AQ$34))</f>
        <v>-38281.223919528151</v>
      </c>
      <c r="AR198" s="193">
        <f>(((U198*'Appendix K'!$C$24*1000)-('Appendix K'!$E$50+'Appendix K'!$F$50+'Appendix K'!$H$50+'Appendix K'!$G$50))/((1+$Y$16)^AR$34))</f>
        <v>-131458.3501090628</v>
      </c>
      <c r="AS198" s="209">
        <f t="shared" si="20"/>
        <v>73015397.183470339</v>
      </c>
      <c r="AU198" s="199">
        <f t="shared" si="19"/>
        <v>6.8008027467099338E-9</v>
      </c>
    </row>
    <row r="199" spans="1:47" x14ac:dyDescent="0.35">
      <c r="A199">
        <v>165</v>
      </c>
      <c r="B199" s="70">
        <v>56</v>
      </c>
      <c r="C199" s="70">
        <v>41.58727135732903</v>
      </c>
      <c r="D199" s="70">
        <v>49.601455414416407</v>
      </c>
      <c r="E199" s="70">
        <v>33.114070484849414</v>
      </c>
      <c r="F199" s="70">
        <v>36.767479789572732</v>
      </c>
      <c r="G199" s="70">
        <v>49.663622171176911</v>
      </c>
      <c r="H199" s="70">
        <v>41.64009633837879</v>
      </c>
      <c r="I199" s="70">
        <v>43.067978485295768</v>
      </c>
      <c r="J199" s="70">
        <v>43.627134085774564</v>
      </c>
      <c r="K199" s="70">
        <v>68.295539941465421</v>
      </c>
      <c r="L199" s="70">
        <v>67.654504787862805</v>
      </c>
      <c r="M199" s="70">
        <v>26.946911836915341</v>
      </c>
      <c r="N199" s="70">
        <v>20.793501784381853</v>
      </c>
      <c r="O199" s="70">
        <v>17.596154134640521</v>
      </c>
      <c r="P199" s="70">
        <v>17.926234063356084</v>
      </c>
      <c r="Q199" s="70">
        <v>17.494107742126936</v>
      </c>
      <c r="R199" s="70">
        <v>20.347148031847002</v>
      </c>
      <c r="S199" s="70">
        <v>13.763001974544508</v>
      </c>
      <c r="T199" s="70">
        <v>6.1341941384532479</v>
      </c>
      <c r="U199" s="70">
        <v>7.4086934132679412</v>
      </c>
      <c r="V199" s="70">
        <v>10.969580864967952</v>
      </c>
      <c r="X199" s="193">
        <f>((0-('Appendix K'!$I$30))/(1+$Y$16)^0)</f>
        <v>-33594902.4440751</v>
      </c>
      <c r="Y199" s="193">
        <f>(((B199*'Appendix K'!$C$5*1000)-('Appendix K'!$E$31+'Appendix K'!$F$31+'Appendix K'!$H$31+'Appendix K'!$G$31))/((1+$Y$16)^1))</f>
        <v>34971064.972647354</v>
      </c>
      <c r="Z199" s="193">
        <f>+(((C199*'Appendix K'!$C$6*1000)-('Appendix K'!$E$32+'Appendix K'!$F$32+'Appendix K'!$H$32+'Appendix K'!$G$32))/((1+$Y$16)^2))</f>
        <v>7018408.347237369</v>
      </c>
      <c r="AA199" s="193">
        <f>(((D199*'Appendix K'!$C$7*1000)-('Appendix K'!$E$33+'Appendix K'!$F$33+'Appendix K'!$H$33+'Appendix K'!$G$33))/((1+$Y$16)^3))</f>
        <v>3353080.9892840688</v>
      </c>
      <c r="AB199" s="193">
        <f>(((E199*'Appendix K'!$C$8*1000)-('Appendix K'!$E$34+'Appendix K'!$F$34+'Appendix K'!$H$34+'Appendix K'!$G$34))/((1+$Y$16)^4))</f>
        <v>3965093.2312855609</v>
      </c>
      <c r="AC199" s="193">
        <f>(((F199*'Appendix K'!$C$9*1000)-('Appendix K'!$E$35+'Appendix K'!$F$35+'Appendix K'!$H$35+'Appendix K'!$G$35))/((1+$Y$16)^AC$34))</f>
        <v>6788509.8736053966</v>
      </c>
      <c r="AD199" s="193">
        <f>(((G199*'Appendix K'!$C$10*1000)-('Appendix K'!$E$36+'Appendix K'!$F$36+'Appendix K'!$H$36+'Appendix K'!$G$36))/((1+$Y$16)^AD$34))</f>
        <v>5283608.4945840975</v>
      </c>
      <c r="AE199" s="193">
        <f>(((H199*'Appendix K'!$C$11*1000)-('Appendix K'!$E$37+'Appendix K'!$F$37+'Appendix K'!$H$37+'Appendix K'!$G$37))/((1+$Y$16)^AE$34))</f>
        <v>1933143.5079222696</v>
      </c>
      <c r="AF199" s="193">
        <f>(((I199*'Appendix K'!$C$12*1000)-('Appendix K'!$E$38+'Appendix K'!$F$38+'Appendix K'!$H$38+'Appendix K'!$G$38))/((1+$Y$16)^AF$34))</f>
        <v>831368.98436462623</v>
      </c>
      <c r="AG199" s="193">
        <f>(((J199*'Appendix K'!$C$13*1000)-('Appendix K'!$E$39+'Appendix K'!$F$39+'Appendix K'!$H$39+'Appendix K'!$G$39))/((1+$Y$16)^AG$34))</f>
        <v>192730.27035565072</v>
      </c>
      <c r="AH199" s="193">
        <f>(((K199*'Appendix K'!$C$14*1000)-('Appendix K'!$E$40+'Appendix K'!$F$40+'Appendix K'!$H$40+'Appendix K'!$G$40))/((1+$Y$16)^AH$34))</f>
        <v>669264.28830334719</v>
      </c>
      <c r="AI199" s="193">
        <f>(((L199*'Appendix K'!$C$15*1000)-('Appendix K'!$E$41+'Appendix K'!$F$41+'Appendix K'!$H$41+'Appendix K'!$G$41))/((1+$Y$16)^AI$34))</f>
        <v>256193.1916552957</v>
      </c>
      <c r="AJ199" s="193">
        <f>(((M199*'Appendix K'!$C$16*1000)-('Appendix K'!$E$42+'Appendix K'!$F$42+'Appendix K'!$H$42+'Appendix K'!$G$42))/((1+$Y$16)^AJ$34))</f>
        <v>-841484.53620594705</v>
      </c>
      <c r="AK199" s="193">
        <f>(((N199*'Appendix K'!$C$17*1000)-('Appendix K'!$E$43+'Appendix K'!$F$43+'Appendix K'!$H$43))/((1+$Y$16)^AK$34))</f>
        <v>-684789.38707871921</v>
      </c>
      <c r="AL199" s="193">
        <f>(((O199*'Appendix K'!$C$18*1000)-('Appendix K'!$E$44+'Appendix K'!$F$44+'Appendix K'!$H$44+'Appendix K'!$G$44))/((1+$Y$16)^AL$34))</f>
        <v>-926016.73300653789</v>
      </c>
      <c r="AM199" s="193">
        <f>(((P199*'Appendix K'!$C$19*1000)-('Appendix K'!$E$45+'Appendix K'!$F$45+'Appendix K'!$H$45+'Appendix K'!$G$45))/((1+$Y$16)^AM$34))</f>
        <v>-860612.48653449176</v>
      </c>
      <c r="AN199" s="193">
        <f>(((Q199*'Appendix K'!$C$20*1000)-('Appendix K'!$E$46+'Appendix K'!$F$46+'Appendix K'!$H$46+'Appendix K'!$G$46))/((1+$Y$16)^AN$34))</f>
        <v>-789117.68093030329</v>
      </c>
      <c r="AO199" s="193">
        <f>(((R199*'Appendix K'!$C$21*1000)-('Appendix K'!$E$47+'Appendix K'!$F$47+'Appendix K'!$H$47+'Appendix K'!$G$47))/((1+$Y$16)^AO$34))</f>
        <v>-722745.03255905444</v>
      </c>
      <c r="AP199" s="193">
        <f>(((S199*'Appendix K'!$C$22*1000)-('Appendix K'!$E$48+'Appendix K'!$F$48+'Appendix K'!$H$48+'Appendix K'!$G$48))/((1+$Y$16)^AP$34))</f>
        <v>-698532.31605994469</v>
      </c>
      <c r="AQ199" s="193">
        <f>(((T199*'Appendix K'!$C$23*1000)-('Appendix K'!$E$49+'Appendix K'!$F$49+'Appendix K'!$H$49+'Appendix K'!$G$49))/((1+$Y$16)^AQ$34))</f>
        <v>-669477.96604785533</v>
      </c>
      <c r="AR199" s="193">
        <f>(((U199*'Appendix K'!$C$24*1000)-('Appendix K'!$E$50+'Appendix K'!$F$50+'Appendix K'!$H$50+'Appendix K'!$G$50))/((1+$Y$16)^AR$34))</f>
        <v>-605432.66893445107</v>
      </c>
      <c r="AS199" s="209">
        <f t="shared" si="20"/>
        <v>31667563.707169943</v>
      </c>
      <c r="AU199" s="199">
        <f t="shared" si="19"/>
        <v>4.3239412114975539E-9</v>
      </c>
    </row>
    <row r="200" spans="1:47" x14ac:dyDescent="0.35">
      <c r="A200">
        <v>166</v>
      </c>
      <c r="B200" s="70">
        <v>56</v>
      </c>
      <c r="C200" s="70">
        <v>88.430008714734782</v>
      </c>
      <c r="D200" s="70">
        <v>91.909958569394206</v>
      </c>
      <c r="E200" s="70">
        <v>44.366565321072144</v>
      </c>
      <c r="F200" s="70">
        <v>66.36355249534526</v>
      </c>
      <c r="G200" s="70">
        <v>108.76726919880815</v>
      </c>
      <c r="H200" s="70">
        <v>126.98320842860679</v>
      </c>
      <c r="I200" s="70">
        <v>149.62882005361124</v>
      </c>
      <c r="J200" s="70">
        <v>100.68054098363996</v>
      </c>
      <c r="K200" s="70">
        <v>94.491578700392523</v>
      </c>
      <c r="L200" s="70">
        <v>86.505701510866103</v>
      </c>
      <c r="M200" s="70">
        <v>70.12508340921066</v>
      </c>
      <c r="N200" s="70">
        <v>83.809156686822632</v>
      </c>
      <c r="O200" s="70">
        <v>84.780803549331409</v>
      </c>
      <c r="P200" s="70">
        <v>121.59622593958112</v>
      </c>
      <c r="Q200" s="70">
        <v>184.87093753668387</v>
      </c>
      <c r="R200" s="70">
        <v>218.5296218419254</v>
      </c>
      <c r="S200" s="70">
        <v>243.44099379527717</v>
      </c>
      <c r="T200" s="70">
        <v>292.97097958653438</v>
      </c>
      <c r="U200" s="70">
        <v>284.16313703512839</v>
      </c>
      <c r="V200" s="70">
        <v>317.97972460571225</v>
      </c>
      <c r="X200" s="193">
        <f>((0-('Appendix K'!$I$30))/(1+$Y$16)^0)</f>
        <v>-33594902.4440751</v>
      </c>
      <c r="Y200" s="193">
        <f>(((B200*'Appendix K'!$C$5*1000)-('Appendix K'!$E$31+'Appendix K'!$F$31+'Appendix K'!$H$31+'Appendix K'!$G$31))/((1+$Y$16)^1))</f>
        <v>34971064.972647354</v>
      </c>
      <c r="Z200" s="193">
        <f>+(((C200*'Appendix K'!$C$6*1000)-('Appendix K'!$E$32+'Appendix K'!$F$32+'Appendix K'!$H$32+'Appendix K'!$G$32))/((1+$Y$16)^2))</f>
        <v>18851684.960867606</v>
      </c>
      <c r="AA200" s="193">
        <f>(((D200*'Appendix K'!$C$7*1000)-('Appendix K'!$E$33+'Appendix K'!$F$33+'Appendix K'!$H$33+'Appendix K'!$G$33))/((1+$Y$16)^3))</f>
        <v>8742121.1783270389</v>
      </c>
      <c r="AB200" s="193">
        <f>(((E200*'Appendix K'!$C$8*1000)-('Appendix K'!$E$34+'Appendix K'!$F$34+'Appendix K'!$H$34+'Appendix K'!$G$34))/((1+$Y$16)^4))</f>
        <v>6431537.0927097872</v>
      </c>
      <c r="AC200" s="193">
        <f>(((F200*'Appendix K'!$C$9*1000)-('Appendix K'!$E$35+'Appendix K'!$F$35+'Appendix K'!$H$35+'Appendix K'!$G$35))/((1+$Y$16)^AC$34))</f>
        <v>14655099.524625797</v>
      </c>
      <c r="AD200" s="193">
        <f>(((G200*'Appendix K'!$C$10*1000)-('Appendix K'!$E$36+'Appendix K'!$F$36+'Appendix K'!$H$36+'Appendix K'!$G$36))/((1+$Y$16)^AD$34))</f>
        <v>14565478.772828998</v>
      </c>
      <c r="AE200" s="193">
        <f>(((H200*'Appendix K'!$C$11*1000)-('Appendix K'!$E$37+'Appendix K'!$F$37+'Appendix K'!$H$37+'Appendix K'!$G$37))/((1+$Y$16)^AE$34))</f>
        <v>10445063.145327806</v>
      </c>
      <c r="AF200" s="193">
        <f>(((I200*'Appendix K'!$C$12*1000)-('Appendix K'!$E$38+'Appendix K'!$F$38+'Appendix K'!$H$38+'Appendix K'!$G$38))/((1+$Y$16)^AF$34))</f>
        <v>7828412.4690626804</v>
      </c>
      <c r="AG200" s="193">
        <f>(((J200*'Appendix K'!$C$13*1000)-('Appendix K'!$E$39+'Appendix K'!$F$39+'Appendix K'!$H$39+'Appendix K'!$G$39))/((1+$Y$16)^AG$34))</f>
        <v>2818267.1548090214</v>
      </c>
      <c r="AH200" s="193">
        <f>(((K200*'Appendix K'!$C$14*1000)-('Appendix K'!$E$40+'Appendix K'!$F$40+'Appendix K'!$H$40+'Appendix K'!$G$40))/((1+$Y$16)^AH$34))</f>
        <v>1552241.7696364017</v>
      </c>
      <c r="AI200" s="193">
        <f>(((L200*'Appendix K'!$C$15*1000)-('Appendix K'!$E$41+'Appendix K'!$F$41+'Appendix K'!$H$41+'Appendix K'!$G$41))/((1+$Y$16)^AI$34))</f>
        <v>750129.79770871217</v>
      </c>
      <c r="AJ200" s="193">
        <f>(((M200*'Appendix K'!$C$16*1000)-('Appendix K'!$E$42+'Appendix K'!$F$42+'Appendix K'!$H$42+'Appendix K'!$G$42))/((1+$Y$16)^AJ$34))</f>
        <v>23886.634797004957</v>
      </c>
      <c r="AK200" s="193">
        <f>(((N200*'Appendix K'!$C$17*1000)-('Appendix K'!$E$43+'Appendix K'!$F$43+'Appendix K'!$H$43))/((1+$Y$16)^AK$34))</f>
        <v>283376.67338247632</v>
      </c>
      <c r="AL200" s="193">
        <f>(((O200*'Appendix K'!$C$18*1000)-('Appendix K'!$E$44+'Appendix K'!$F$44+'Appendix K'!$H$44+'Appendix K'!$G$44))/((1+$Y$16)^AL$34))</f>
        <v>-129657.31426827918</v>
      </c>
      <c r="AM200" s="193">
        <f>(((P200*'Appendix K'!$C$19*1000)-('Appendix K'!$E$45+'Appendix K'!$F$45+'Appendix K'!$H$45+'Appendix K'!$G$45))/((1+$Y$16)^AM$34))</f>
        <v>100276.86307331701</v>
      </c>
      <c r="AN200" s="193">
        <f>(((Q200*'Appendix K'!$C$20*1000)-('Appendix K'!$E$46+'Appendix K'!$F$46+'Appendix K'!$H$46+'Appendix K'!$G$46))/((1+$Y$16)^AN$34))</f>
        <v>422057.36197185441</v>
      </c>
      <c r="AO200" s="193">
        <f>(((R200*'Appendix K'!$C$21*1000)-('Appendix K'!$E$47+'Appendix K'!$F$47+'Appendix K'!$H$47+'Appendix K'!$G$47))/((1+$Y$16)^AO$34))</f>
        <v>448535.28286618961</v>
      </c>
      <c r="AP200" s="193">
        <f>(((S200*'Appendix K'!$C$22*1000)-('Appendix K'!$E$48+'Appendix K'!$F$48+'Appendix K'!$H$48+'Appendix K'!$G$48))/((1+$Y$16)^AP$34))</f>
        <v>401560.80372312735</v>
      </c>
      <c r="AQ200" s="193">
        <f>(((T200*'Appendix K'!$C$23*1000)-('Appendix K'!$E$49+'Appendix K'!$F$49+'Appendix K'!$H$49+'Appendix K'!$G$49))/((1+$Y$16)^AQ$34))</f>
        <v>453127.78009560867</v>
      </c>
      <c r="AR200" s="193">
        <f>(((U200*'Appendix K'!$C$24*1000)-('Appendix K'!$E$50+'Appendix K'!$F$50+'Appendix K'!$H$50+'Appendix K'!$G$50))/((1+$Y$16)^AR$34))</f>
        <v>285724.39387155406</v>
      </c>
      <c r="AS200" s="209">
        <f t="shared" si="20"/>
        <v>90434744.188257247</v>
      </c>
      <c r="AU200" s="199">
        <f t="shared" si="19"/>
        <v>7.0210144168610346E-9</v>
      </c>
    </row>
    <row r="201" spans="1:47" x14ac:dyDescent="0.35">
      <c r="A201">
        <v>167</v>
      </c>
      <c r="B201" s="70">
        <v>56</v>
      </c>
      <c r="C201" s="70">
        <v>63.528933327501584</v>
      </c>
      <c r="D201" s="70">
        <v>51.881537759459576</v>
      </c>
      <c r="E201" s="70">
        <v>10.451127505334355</v>
      </c>
      <c r="F201" s="70">
        <v>11.695271500376831</v>
      </c>
      <c r="G201" s="70">
        <v>16.440947803715076</v>
      </c>
      <c r="H201" s="70">
        <v>26.024343556472914</v>
      </c>
      <c r="I201" s="70">
        <v>22.445554079539548</v>
      </c>
      <c r="J201" s="70">
        <v>24.690189807977269</v>
      </c>
      <c r="K201" s="70">
        <v>21.726311443304009</v>
      </c>
      <c r="L201" s="70">
        <v>26.399886108945449</v>
      </c>
      <c r="M201" s="70">
        <v>39.091751471296568</v>
      </c>
      <c r="N201" s="70">
        <v>37.647579034420218</v>
      </c>
      <c r="O201" s="70">
        <v>17.431138930688402</v>
      </c>
      <c r="P201" s="70">
        <v>10.452688151565754</v>
      </c>
      <c r="Q201" s="70">
        <v>9.5403901706872318</v>
      </c>
      <c r="R201" s="70">
        <v>12.298060177306507</v>
      </c>
      <c r="S201" s="70">
        <v>5.5059962285067403</v>
      </c>
      <c r="T201" s="70">
        <v>4.2651173702396701</v>
      </c>
      <c r="U201" s="70">
        <v>4.1488195588290671</v>
      </c>
      <c r="V201" s="70">
        <v>4.1891550936291013</v>
      </c>
      <c r="X201" s="193">
        <f>((0-('Appendix K'!$I$30))/(1+$Y$16)^0)</f>
        <v>-33594902.4440751</v>
      </c>
      <c r="Y201" s="193">
        <f>(((B201*'Appendix K'!$C$5*1000)-('Appendix K'!$E$31+'Appendix K'!$F$31+'Appendix K'!$H$31+'Appendix K'!$G$31))/((1+$Y$16)^1))</f>
        <v>34971064.972647354</v>
      </c>
      <c r="Z201" s="193">
        <f>+(((C201*'Appendix K'!$C$6*1000)-('Appendix K'!$E$32+'Appendix K'!$F$32+'Appendix K'!$H$32+'Appendix K'!$G$32))/((1+$Y$16)^2))</f>
        <v>12561247.43187028</v>
      </c>
      <c r="AA201" s="193">
        <f>(((D201*'Appendix K'!$C$7*1000)-('Appendix K'!$E$33+'Appendix K'!$F$33+'Appendix K'!$H$33+'Appendix K'!$G$33))/((1+$Y$16)^3))</f>
        <v>3643506.1869507297</v>
      </c>
      <c r="AB201" s="193">
        <f>(((E201*'Appendix K'!$C$8*1000)-('Appendix K'!$E$34+'Appendix K'!$F$34+'Appendix K'!$H$34+'Appendix K'!$G$34))/((1+$Y$16)^4))</f>
        <v>-1002416.4105491894</v>
      </c>
      <c r="AC201" s="193">
        <f>(((F201*'Appendix K'!$C$9*1000)-('Appendix K'!$E$35+'Appendix K'!$F$35+'Appendix K'!$H$35+'Appendix K'!$G$35))/((1+$Y$16)^AC$34))</f>
        <v>124356.28076916425</v>
      </c>
      <c r="AD201" s="193">
        <f>(((G201*'Appendix K'!$C$10*1000)-('Appendix K'!$E$36+'Appendix K'!$F$36+'Appendix K'!$H$36+'Appendix K'!$G$36))/((1+$Y$16)^AD$34))</f>
        <v>66188.431977995162</v>
      </c>
      <c r="AE201" s="193">
        <f>(((H201*'Appendix K'!$C$11*1000)-('Appendix K'!$E$37+'Appendix K'!$F$37+'Appendix K'!$H$37+'Appendix K'!$G$37))/((1+$Y$16)^AE$34))</f>
        <v>375665.35295826313</v>
      </c>
      <c r="AF201" s="193">
        <f>(((I201*'Appendix K'!$C$12*1000)-('Appendix K'!$E$38+'Appendix K'!$F$38+'Appendix K'!$H$38+'Appendix K'!$G$38))/((1+$Y$16)^AF$34))</f>
        <v>-522749.45354642841</v>
      </c>
      <c r="AG201" s="193">
        <f>(((J201*'Appendix K'!$C$13*1000)-('Appendix K'!$E$39+'Appendix K'!$F$39+'Appendix K'!$H$39+'Appendix K'!$G$39))/((1+$Y$16)^AG$34))</f>
        <v>-678727.69129072409</v>
      </c>
      <c r="AH201" s="193">
        <f>(((K201*'Appendix K'!$C$14*1000)-('Appendix K'!$E$40+'Appendix K'!$F$40+'Appendix K'!$H$40+'Appendix K'!$G$40))/((1+$Y$16)^AH$34))</f>
        <v>-900422.65808343387</v>
      </c>
      <c r="AI201" s="193">
        <f>(((L201*'Appendix K'!$C$15*1000)-('Appendix K'!$E$41+'Appendix K'!$F$41+'Appendix K'!$H$41+'Appendix K'!$G$41))/((1+$Y$16)^AI$34))</f>
        <v>-824754.9642475578</v>
      </c>
      <c r="AJ201" s="193">
        <f>(((M201*'Appendix K'!$C$16*1000)-('Appendix K'!$E$42+'Appendix K'!$F$42+'Appendix K'!$H$42+'Appendix K'!$G$42))/((1+$Y$16)^AJ$34))</f>
        <v>-598079.27578516968</v>
      </c>
      <c r="AK201" s="193">
        <f>(((N201*'Appendix K'!$C$17*1000)-('Appendix K'!$E$43+'Appendix K'!$F$43+'Appendix K'!$H$43))/((1+$Y$16)^AK$34))</f>
        <v>-425845.072381987</v>
      </c>
      <c r="AL201" s="193">
        <f>(((O201*'Appendix K'!$C$18*1000)-('Appendix K'!$E$44+'Appendix K'!$F$44+'Appendix K'!$H$44+'Appendix K'!$G$44))/((1+$Y$16)^AL$34))</f>
        <v>-927972.7067750569</v>
      </c>
      <c r="AM201" s="193">
        <f>(((P201*'Appendix K'!$C$19*1000)-('Appendix K'!$E$45+'Appendix K'!$F$45+'Appendix K'!$H$45+'Appendix K'!$G$45))/((1+$Y$16)^AM$34))</f>
        <v>-929882.77912811167</v>
      </c>
      <c r="AN201" s="193">
        <f>(((Q201*'Appendix K'!$C$20*1000)-('Appendix K'!$E$46+'Appendix K'!$F$46+'Appendix K'!$H$46+'Appendix K'!$G$46))/((1+$Y$16)^AN$34))</f>
        <v>-846672.50636608421</v>
      </c>
      <c r="AO201" s="193">
        <f>(((R201*'Appendix K'!$C$21*1000)-('Appendix K'!$E$47+'Appendix K'!$F$47+'Appendix K'!$H$47+'Appendix K'!$G$47))/((1+$Y$16)^AO$34))</f>
        <v>-770316.03104293882</v>
      </c>
      <c r="AP201" s="193">
        <f>(((S201*'Appendix K'!$C$22*1000)-('Appendix K'!$E$48+'Appendix K'!$F$48+'Appendix K'!$H$48+'Appendix K'!$G$48))/((1+$Y$16)^AP$34))</f>
        <v>-738081.05618614377</v>
      </c>
      <c r="AQ201" s="193">
        <f>(((T201*'Appendix K'!$C$23*1000)-('Appendix K'!$E$49+'Appendix K'!$F$49+'Appendix K'!$H$49+'Appendix K'!$G$49))/((1+$Y$16)^AQ$34))</f>
        <v>-676793.05402271904</v>
      </c>
      <c r="AR201" s="193">
        <f>(((U201*'Appendix K'!$C$24*1000)-('Appendix K'!$E$50+'Appendix K'!$F$50+'Appendix K'!$H$50+'Appendix K'!$G$50))/((1+$Y$16)^AR$34))</f>
        <v>-615929.55408368877</v>
      </c>
      <c r="AS201" s="209">
        <f t="shared" si="20"/>
        <v>18147126.213098682</v>
      </c>
      <c r="AU201" s="199">
        <f t="shared" si="19"/>
        <v>3.3231493815010116E-9</v>
      </c>
    </row>
    <row r="202" spans="1:47" x14ac:dyDescent="0.35">
      <c r="A202">
        <v>168</v>
      </c>
      <c r="B202" s="70">
        <v>56</v>
      </c>
      <c r="C202" s="70">
        <v>50.895324876185754</v>
      </c>
      <c r="D202" s="70">
        <v>45.425512631325503</v>
      </c>
      <c r="E202" s="70">
        <v>54.390076376407421</v>
      </c>
      <c r="F202" s="70">
        <v>40.699771561441068</v>
      </c>
      <c r="G202" s="70">
        <v>38.079043979099247</v>
      </c>
      <c r="H202" s="70">
        <v>39.263519291532752</v>
      </c>
      <c r="I202" s="70">
        <v>54.823401321125786</v>
      </c>
      <c r="J202" s="70">
        <v>78.78622832352967</v>
      </c>
      <c r="K202" s="70">
        <v>77.481789086228488</v>
      </c>
      <c r="L202" s="70">
        <v>118.26334482174413</v>
      </c>
      <c r="M202" s="70">
        <v>127.42930116431988</v>
      </c>
      <c r="N202" s="70">
        <v>188.83985322857882</v>
      </c>
      <c r="O202" s="70">
        <v>124.94732694825731</v>
      </c>
      <c r="P202" s="70">
        <v>82.643413534106529</v>
      </c>
      <c r="Q202" s="70">
        <v>107.10688942855765</v>
      </c>
      <c r="R202" s="70">
        <v>103.76421729244035</v>
      </c>
      <c r="S202" s="70">
        <v>117.29732305569556</v>
      </c>
      <c r="T202" s="70">
        <v>127.5840846920461</v>
      </c>
      <c r="U202" s="70">
        <v>110.78560595276306</v>
      </c>
      <c r="V202" s="70">
        <v>116.37011142524922</v>
      </c>
      <c r="X202" s="193">
        <f>((0-('Appendix K'!$I$30))/(1+$Y$16)^0)</f>
        <v>-33594902.4440751</v>
      </c>
      <c r="Y202" s="193">
        <f>(((B202*'Appendix K'!$C$5*1000)-('Appendix K'!$E$31+'Appendix K'!$F$31+'Appendix K'!$H$31+'Appendix K'!$G$31))/((1+$Y$16)^1))</f>
        <v>34971064.972647354</v>
      </c>
      <c r="Z202" s="193">
        <f>+(((C202*'Appendix K'!$C$6*1000)-('Appendix K'!$E$32+'Appendix K'!$F$32+'Appendix K'!$H$32+'Appendix K'!$G$32))/((1+$Y$16)^2))</f>
        <v>9369781.8628949095</v>
      </c>
      <c r="AA202" s="193">
        <f>(((D202*'Appendix K'!$C$7*1000)-('Appendix K'!$E$33+'Appendix K'!$F$33+'Appendix K'!$H$33+'Appendix K'!$G$33))/((1+$Y$16)^3))</f>
        <v>2821170.8103116164</v>
      </c>
      <c r="AB202" s="193">
        <f>(((E202*'Appendix K'!$C$8*1000)-('Appendix K'!$E$34+'Appendix K'!$F$34+'Appendix K'!$H$34+'Appendix K'!$G$34))/((1+$Y$16)^4))</f>
        <v>8628598.9596271552</v>
      </c>
      <c r="AC202" s="193">
        <f>(((F202*'Appendix K'!$C$9*1000)-('Appendix K'!$E$35+'Appendix K'!$F$35+'Appendix K'!$H$35+'Appendix K'!$G$35))/((1+$Y$16)^AC$34))</f>
        <v>7833706.8517618487</v>
      </c>
      <c r="AD202" s="193">
        <f>(((G202*'Appendix K'!$C$10*1000)-('Appendix K'!$E$36+'Appendix K'!$F$36+'Appendix K'!$H$36+'Appendix K'!$G$36))/((1+$Y$16)^AD$34))</f>
        <v>3464320.5586504573</v>
      </c>
      <c r="AE202" s="193">
        <f>(((H202*'Appendix K'!$C$11*1000)-('Appendix K'!$E$37+'Appendix K'!$F$37+'Appendix K'!$H$37+'Appendix K'!$G$37))/((1+$Y$16)^AE$34))</f>
        <v>1696109.3485226349</v>
      </c>
      <c r="AF202" s="193">
        <f>(((I202*'Appendix K'!$C$12*1000)-('Appendix K'!$E$38+'Appendix K'!$F$38+'Appendix K'!$H$38+'Appendix K'!$G$38))/((1+$Y$16)^AF$34))</f>
        <v>1603258.578635362</v>
      </c>
      <c r="AG202" s="193">
        <f>(((J202*'Appendix K'!$C$13*1000)-('Appendix K'!$E$39+'Appendix K'!$F$39+'Appendix K'!$H$39+'Appendix K'!$G$39))/((1+$Y$16)^AG$34))</f>
        <v>1810714.2570166076</v>
      </c>
      <c r="AH202" s="193">
        <f>(((K202*'Appendix K'!$C$14*1000)-('Appendix K'!$E$40+'Appendix K'!$F$40+'Appendix K'!$H$40+'Appendix K'!$G$40))/((1+$Y$16)^AH$34))</f>
        <v>978900.84089001094</v>
      </c>
      <c r="AI202" s="193">
        <f>(((L202*'Appendix K'!$C$15*1000)-('Appendix K'!$E$41+'Appendix K'!$F$41+'Appendix K'!$H$41+'Appendix K'!$G$41))/((1+$Y$16)^AI$34))</f>
        <v>1582239.439537914</v>
      </c>
      <c r="AJ202" s="193">
        <f>(((M202*'Appendix K'!$C$16*1000)-('Appendix K'!$E$42+'Appendix K'!$F$42+'Appendix K'!$H$42+'Appendix K'!$G$42))/((1+$Y$16)^AJ$34))</f>
        <v>1172370.1443202614</v>
      </c>
      <c r="AK202" s="193">
        <f>(((N202*'Appendix K'!$C$17*1000)-('Appendix K'!$E$43+'Appendix K'!$F$43+'Appendix K'!$H$43))/((1+$Y$16)^AK$34))</f>
        <v>1897057.5254779884</v>
      </c>
      <c r="AL202" s="193">
        <f>(((O202*'Appendix K'!$C$18*1000)-('Appendix K'!$E$44+'Appendix K'!$F$44+'Appendix K'!$H$44+'Appendix K'!$G$44))/((1+$Y$16)^AL$34))</f>
        <v>346448.30666409549</v>
      </c>
      <c r="AM202" s="193">
        <f>(((P202*'Appendix K'!$C$19*1000)-('Appendix K'!$E$45+'Appendix K'!$F$45+'Appendix K'!$H$45+'Appendix K'!$G$45))/((1+$Y$16)^AM$34))</f>
        <v>-260766.30766773579</v>
      </c>
      <c r="AN202" s="193">
        <f>(((Q202*'Appendix K'!$C$20*1000)-('Appendix K'!$E$46+'Appendix K'!$F$46+'Appendix K'!$H$46+'Appendix K'!$G$46))/((1+$Y$16)^AN$34))</f>
        <v>-140660.15645176274</v>
      </c>
      <c r="AO202" s="193">
        <f>(((R202*'Appendix K'!$C$21*1000)-('Appendix K'!$E$47+'Appendix K'!$F$47+'Appendix K'!$H$47+'Appendix K'!$G$47))/((1+$Y$16)^AO$34))</f>
        <v>-229740.93730777942</v>
      </c>
      <c r="AP202" s="193">
        <f>(((S202*'Appendix K'!$C$22*1000)-('Appendix K'!$E$48+'Appendix K'!$F$48+'Appendix K'!$H$48+'Appendix K'!$G$48))/((1+$Y$16)^AP$34))</f>
        <v>-202631.9758493577</v>
      </c>
      <c r="AQ202" s="193">
        <f>(((T202*'Appendix K'!$C$23*1000)-('Appendix K'!$E$49+'Appendix K'!$F$49+'Appendix K'!$H$49+'Appendix K'!$G$49))/((1+$Y$16)^AQ$34))</f>
        <v>-194154.18639046402</v>
      </c>
      <c r="AR202" s="193">
        <f>(((U202*'Appendix K'!$C$24*1000)-('Appendix K'!$E$50+'Appendix K'!$F$50+'Appendix K'!$H$50+'Appendix K'!$G$50))/((1+$Y$16)^AR$34))</f>
        <v>-272556.11405418487</v>
      </c>
      <c r="AS202" s="209">
        <f t="shared" si="20"/>
        <v>44580840.012883119</v>
      </c>
      <c r="AU202" s="199">
        <f t="shared" si="19"/>
        <v>5.2730406608917154E-9</v>
      </c>
    </row>
    <row r="203" spans="1:47" x14ac:dyDescent="0.35">
      <c r="A203">
        <v>169</v>
      </c>
      <c r="B203" s="70">
        <v>56</v>
      </c>
      <c r="C203" s="70">
        <v>67.184693181073726</v>
      </c>
      <c r="D203" s="70">
        <v>42.360154301436637</v>
      </c>
      <c r="E203" s="70">
        <v>54.205609253922404</v>
      </c>
      <c r="F203" s="70">
        <v>51.82236319555669</v>
      </c>
      <c r="G203" s="70">
        <v>55.021675168414269</v>
      </c>
      <c r="H203" s="70">
        <v>81.067503002302928</v>
      </c>
      <c r="I203" s="70">
        <v>67.989884230019683</v>
      </c>
      <c r="J203" s="70">
        <v>87.875305615804564</v>
      </c>
      <c r="K203" s="70">
        <v>105.25058161429806</v>
      </c>
      <c r="L203" s="70">
        <v>119.53737473136783</v>
      </c>
      <c r="M203" s="70">
        <v>142.16350892922523</v>
      </c>
      <c r="N203" s="70">
        <v>192.07219195628761</v>
      </c>
      <c r="O203" s="70">
        <v>249.69009135000326</v>
      </c>
      <c r="P203" s="70">
        <v>269.62833492622792</v>
      </c>
      <c r="Q203" s="70">
        <v>349.99911459879831</v>
      </c>
      <c r="R203" s="70">
        <v>500</v>
      </c>
      <c r="S203" s="70">
        <v>438.8157480901308</v>
      </c>
      <c r="T203" s="70">
        <v>488.15494607954116</v>
      </c>
      <c r="U203" s="70">
        <v>500</v>
      </c>
      <c r="V203" s="70">
        <v>500</v>
      </c>
      <c r="X203" s="193">
        <f>((0-('Appendix K'!$I$30))/(1+$Y$16)^0)</f>
        <v>-33594902.4440751</v>
      </c>
      <c r="Y203" s="193">
        <f>(((B203*'Appendix K'!$C$5*1000)-('Appendix K'!$E$31+'Appendix K'!$F$31+'Appendix K'!$H$31+'Appendix K'!$G$31))/((1+$Y$16)^1))</f>
        <v>34971064.972647354</v>
      </c>
      <c r="Z203" s="193">
        <f>+(((C203*'Appendix K'!$C$6*1000)-('Appendix K'!$E$32+'Appendix K'!$F$32+'Appendix K'!$H$32+'Appendix K'!$G$32))/((1+$Y$16)^2))</f>
        <v>13484754.895797009</v>
      </c>
      <c r="AA203" s="193">
        <f>(((D203*'Appendix K'!$C$7*1000)-('Appendix K'!$E$33+'Appendix K'!$F$33+'Appendix K'!$H$33+'Appendix K'!$G$33))/((1+$Y$16)^3))</f>
        <v>2430721.1843090677</v>
      </c>
      <c r="AB203" s="193">
        <f>(((E203*'Appendix K'!$C$8*1000)-('Appendix K'!$E$34+'Appendix K'!$F$34+'Appendix K'!$H$34+'Appendix K'!$G$34))/((1+$Y$16)^4))</f>
        <v>8588165.4550124146</v>
      </c>
      <c r="AC203" s="193">
        <f>(((F203*'Appendix K'!$C$9*1000)-('Appendix K'!$E$35+'Appendix K'!$F$35+'Appendix K'!$H$35+'Appendix K'!$G$35))/((1+$Y$16)^AC$34))</f>
        <v>10790074.242506716</v>
      </c>
      <c r="AD203" s="193">
        <f>(((G203*'Appendix K'!$C$10*1000)-('Appendix K'!$E$36+'Appendix K'!$F$36+'Appendix K'!$H$36+'Appendix K'!$G$36))/((1+$Y$16)^AD$34))</f>
        <v>6125058.3097041044</v>
      </c>
      <c r="AE203" s="193">
        <f>(((H203*'Appendix K'!$C$11*1000)-('Appendix K'!$E$37+'Appendix K'!$F$37+'Appendix K'!$H$37+'Appendix K'!$G$37))/((1+$Y$16)^AE$34))</f>
        <v>5865539.5597538175</v>
      </c>
      <c r="AF203" s="193">
        <f>(((I203*'Appendix K'!$C$12*1000)-('Appendix K'!$E$38+'Appendix K'!$F$38+'Appendix K'!$H$38+'Appendix K'!$G$38))/((1+$Y$16)^AF$34))</f>
        <v>2467801.8020013552</v>
      </c>
      <c r="AG203" s="193">
        <f>(((J203*'Appendix K'!$C$13*1000)-('Appendix K'!$E$39+'Appendix K'!$F$39+'Appendix K'!$H$39+'Appendix K'!$G$39))/((1+$Y$16)^AG$34))</f>
        <v>2228983.8919787249</v>
      </c>
      <c r="AH203" s="193">
        <f>(((K203*'Appendix K'!$C$14*1000)-('Appendix K'!$E$40+'Appendix K'!$F$40+'Appendix K'!$H$40+'Appendix K'!$G$40))/((1+$Y$16)^AH$34))</f>
        <v>1914890.3892235095</v>
      </c>
      <c r="AI203" s="193">
        <f>(((L203*'Appendix K'!$C$15*1000)-('Appendix K'!$E$41+'Appendix K'!$F$41+'Appendix K'!$H$41+'Appendix K'!$G$41))/((1+$Y$16)^AI$34))</f>
        <v>1615621.4056176683</v>
      </c>
      <c r="AJ203" s="193">
        <f>(((M203*'Appendix K'!$C$16*1000)-('Appendix K'!$E$42+'Appendix K'!$F$42+'Appendix K'!$H$42+'Appendix K'!$G$42))/((1+$Y$16)^AJ$34))</f>
        <v>1467671.1763699404</v>
      </c>
      <c r="AK203" s="193">
        <f>(((N203*'Appendix K'!$C$17*1000)-('Appendix K'!$E$43+'Appendix K'!$F$43+'Appendix K'!$H$43))/((1+$Y$16)^AK$34))</f>
        <v>1946718.8462549746</v>
      </c>
      <c r="AL203" s="193">
        <f>(((O203*'Appendix K'!$C$18*1000)-('Appendix K'!$E$44+'Appendix K'!$F$44+'Appendix K'!$H$44+'Appendix K'!$G$44))/((1+$Y$16)^AL$34))</f>
        <v>1825060.9989416238</v>
      </c>
      <c r="AM203" s="193">
        <f>(((P203*'Appendix K'!$C$19*1000)-('Appendix K'!$E$45+'Appendix K'!$F$45+'Appendix K'!$H$45+'Appendix K'!$G$45))/((1+$Y$16)^AM$34))</f>
        <v>1472346.7779150119</v>
      </c>
      <c r="AN203" s="193">
        <f>(((Q203*'Appendix K'!$C$20*1000)-('Appendix K'!$E$46+'Appendix K'!$F$46+'Appendix K'!$H$46+'Appendix K'!$G$46))/((1+$Y$16)^AN$34))</f>
        <v>1616960.6659897775</v>
      </c>
      <c r="AO203" s="193">
        <f>(((R203*'Appendix K'!$C$21*1000)-('Appendix K'!$E$47+'Appendix K'!$F$47+'Appendix K'!$H$47+'Appendix K'!$G$47))/((1+$Y$16)^AO$34))</f>
        <v>2112056.3146391152</v>
      </c>
      <c r="AP203" s="193">
        <f>(((S203*'Appendix K'!$C$22*1000)-('Appendix K'!$E$48+'Appendix K'!$F$48+'Appendix K'!$H$48+'Appendix K'!$G$48))/((1+$Y$16)^AP$34))</f>
        <v>1337351.0432460909</v>
      </c>
      <c r="AQ203" s="193">
        <f>(((T203*'Appendix K'!$C$23*1000)-('Appendix K'!$E$49+'Appendix K'!$F$49+'Appendix K'!$H$49+'Appendix K'!$G$49))/((1+$Y$16)^AQ$34))</f>
        <v>1217027.8565723184</v>
      </c>
      <c r="AR203" s="193">
        <f>(((U203*'Appendix K'!$C$24*1000)-('Appendix K'!$E$50+'Appendix K'!$F$50+'Appendix K'!$H$50+'Appendix K'!$G$50))/((1+$Y$16)^AR$34))</f>
        <v>980725.14012097823</v>
      </c>
      <c r="AS203" s="209">
        <f t="shared" si="20"/>
        <v>70863692.484526485</v>
      </c>
      <c r="AU203" s="199">
        <f t="shared" si="19"/>
        <v>6.7299434082713138E-9</v>
      </c>
    </row>
    <row r="204" spans="1:47" x14ac:dyDescent="0.35">
      <c r="A204">
        <v>170</v>
      </c>
      <c r="B204" s="70">
        <v>56</v>
      </c>
      <c r="C204" s="70">
        <v>97.613666052816626</v>
      </c>
      <c r="D204" s="70">
        <v>153.50059836137606</v>
      </c>
      <c r="E204" s="70">
        <v>115.52622103809983</v>
      </c>
      <c r="F204" s="70">
        <v>106.91821665744899</v>
      </c>
      <c r="G204" s="70">
        <v>118.2338314436041</v>
      </c>
      <c r="H204" s="70">
        <v>149.81619220241208</v>
      </c>
      <c r="I204" s="70">
        <v>153.58631113025987</v>
      </c>
      <c r="J204" s="70">
        <v>129.10877066388019</v>
      </c>
      <c r="K204" s="70">
        <v>149.26422665044615</v>
      </c>
      <c r="L204" s="70">
        <v>146.93837508356864</v>
      </c>
      <c r="M204" s="70">
        <v>197.75294038242191</v>
      </c>
      <c r="N204" s="70">
        <v>121.5937755999074</v>
      </c>
      <c r="O204" s="70">
        <v>155.13502732929044</v>
      </c>
      <c r="P204" s="70">
        <v>144.57244596437462</v>
      </c>
      <c r="Q204" s="70">
        <v>92.904938787727247</v>
      </c>
      <c r="R204" s="70">
        <v>79.367953213974431</v>
      </c>
      <c r="S204" s="70">
        <v>52.798897724005066</v>
      </c>
      <c r="T204" s="70">
        <v>72.866620789541685</v>
      </c>
      <c r="U204" s="70">
        <v>61.431603734911896</v>
      </c>
      <c r="V204" s="70">
        <v>79.118786462759317</v>
      </c>
      <c r="X204" s="193">
        <f>((0-('Appendix K'!$I$30))/(1+$Y$16)^0)</f>
        <v>-33594902.4440751</v>
      </c>
      <c r="Y204" s="193">
        <f>(((B204*'Appendix K'!$C$5*1000)-('Appendix K'!$E$31+'Appendix K'!$F$31+'Appendix K'!$H$31+'Appendix K'!$G$31))/((1+$Y$16)^1))</f>
        <v>34971064.972647354</v>
      </c>
      <c r="Z204" s="193">
        <f>+(((C204*'Appendix K'!$C$6*1000)-('Appendix K'!$E$32+'Appendix K'!$F$32+'Appendix K'!$H$32+'Appendix K'!$G$32))/((1+$Y$16)^2))</f>
        <v>21171633.873698097</v>
      </c>
      <c r="AA204" s="193">
        <f>(((D204*'Appendix K'!$C$7*1000)-('Appendix K'!$E$33+'Appendix K'!$F$33+'Appendix K'!$H$33+'Appendix K'!$G$33))/((1+$Y$16)^3))</f>
        <v>16587221.060306864</v>
      </c>
      <c r="AB204" s="193">
        <f>(((E204*'Appendix K'!$C$8*1000)-('Appendix K'!$E$34+'Appendix K'!$F$34+'Appendix K'!$H$34+'Appendix K'!$G$34))/((1+$Y$16)^4))</f>
        <v>22029082.221932024</v>
      </c>
      <c r="AC204" s="193">
        <f>(((F204*'Appendix K'!$C$9*1000)-('Appendix K'!$E$35+'Appendix K'!$F$35+'Appendix K'!$H$35+'Appendix K'!$G$35))/((1+$Y$16)^AC$34))</f>
        <v>25434465.576662458</v>
      </c>
      <c r="AD204" s="193">
        <f>(((G204*'Appendix K'!$C$10*1000)-('Appendix K'!$E$36+'Appendix K'!$F$36+'Appendix K'!$H$36+'Appendix K'!$G$36))/((1+$Y$16)^AD$34))</f>
        <v>16052145.115026943</v>
      </c>
      <c r="AE204" s="193">
        <f>(((H204*'Appendix K'!$C$11*1000)-('Appendix K'!$E$37+'Appendix K'!$F$37+'Appendix K'!$H$37+'Appendix K'!$G$37))/((1+$Y$16)^AE$34))</f>
        <v>12722370.806189042</v>
      </c>
      <c r="AF204" s="193">
        <f>(((I204*'Appendix K'!$C$12*1000)-('Appendix K'!$E$38+'Appendix K'!$F$38+'Appendix K'!$H$38+'Appendix K'!$G$38))/((1+$Y$16)^AF$34))</f>
        <v>8088270.9381407704</v>
      </c>
      <c r="AG204" s="193">
        <f>(((J204*'Appendix K'!$C$13*1000)-('Appendix K'!$E$39+'Appendix K'!$F$39+'Appendix K'!$H$39+'Appendix K'!$G$39))/((1+$Y$16)^AG$34))</f>
        <v>4126503.9393151421</v>
      </c>
      <c r="AH204" s="193">
        <f>(((K204*'Appendix K'!$C$14*1000)-('Appendix K'!$E$40+'Appendix K'!$F$40+'Appendix K'!$H$40+'Appendix K'!$G$40))/((1+$Y$16)^AH$34))</f>
        <v>3398437.4932703502</v>
      </c>
      <c r="AI204" s="193">
        <f>(((L204*'Appendix K'!$C$15*1000)-('Appendix K'!$E$41+'Appendix K'!$F$41+'Appendix K'!$H$41+'Appendix K'!$G$41))/((1+$Y$16)^AI$34))</f>
        <v>2333578.8549672444</v>
      </c>
      <c r="AJ204" s="193">
        <f>(((M204*'Appendix K'!$C$16*1000)-('Appendix K'!$E$42+'Appendix K'!$F$42+'Appendix K'!$H$42+'Appendix K'!$G$42))/((1+$Y$16)^AJ$34))</f>
        <v>2581787.1669346583</v>
      </c>
      <c r="AK204" s="193">
        <f>(((N204*'Appendix K'!$C$17*1000)-('Appendix K'!$E$43+'Appendix K'!$F$43+'Appendix K'!$H$43))/((1+$Y$16)^AK$34))</f>
        <v>863895.68402743153</v>
      </c>
      <c r="AL204" s="193">
        <f>(((O204*'Appendix K'!$C$18*1000)-('Appendix K'!$E$44+'Appendix K'!$F$44+'Appendix K'!$H$44+'Appendix K'!$G$44))/((1+$Y$16)^AL$34))</f>
        <v>704272.00207549846</v>
      </c>
      <c r="AM204" s="193">
        <f>(((P204*'Appendix K'!$C$19*1000)-('Appendix K'!$E$45+'Appendix K'!$F$45+'Appendix K'!$H$45+'Appendix K'!$G$45))/((1+$Y$16)^AM$34))</f>
        <v>313237.28408337064</v>
      </c>
      <c r="AN204" s="193">
        <f>(((Q204*'Appendix K'!$C$20*1000)-('Appendix K'!$E$46+'Appendix K'!$F$46+'Appendix K'!$H$46+'Appendix K'!$G$46))/((1+$Y$16)^AN$34))</f>
        <v>-243428.5515624549</v>
      </c>
      <c r="AO204" s="193">
        <f>(((R204*'Appendix K'!$C$21*1000)-('Appendix K'!$E$47+'Appendix K'!$F$47+'Appendix K'!$H$47+'Appendix K'!$G$47))/((1+$Y$16)^AO$34))</f>
        <v>-373925.55331175006</v>
      </c>
      <c r="AP204" s="193">
        <f>(((S204*'Appendix K'!$C$22*1000)-('Appendix K'!$E$48+'Appendix K'!$F$48+'Appendix K'!$H$48+'Appendix K'!$G$48))/((1+$Y$16)^AP$34))</f>
        <v>-511561.33116876445</v>
      </c>
      <c r="AQ204" s="193">
        <f>(((T204*'Appendix K'!$C$23*1000)-('Appendix K'!$E$49+'Appendix K'!$F$49+'Appendix K'!$H$49+'Appendix K'!$G$49))/((1+$Y$16)^AQ$34))</f>
        <v>-408304.33207485516</v>
      </c>
      <c r="AR204" s="193">
        <f>(((U204*'Appendix K'!$C$24*1000)-('Appendix K'!$E$50+'Appendix K'!$F$50+'Appendix K'!$H$50+'Appendix K'!$G$50))/((1+$Y$16)^AR$34))</f>
        <v>-431477.38403847371</v>
      </c>
      <c r="AS204" s="209">
        <f t="shared" si="20"/>
        <v>137783064.54520214</v>
      </c>
      <c r="AU204" s="199">
        <f t="shared" si="19"/>
        <v>4.7561742074717486E-9</v>
      </c>
    </row>
    <row r="205" spans="1:47" x14ac:dyDescent="0.35">
      <c r="A205">
        <v>171</v>
      </c>
      <c r="B205" s="70">
        <v>56</v>
      </c>
      <c r="C205" s="70">
        <v>70.865300589640455</v>
      </c>
      <c r="D205" s="70">
        <v>63.941571846001899</v>
      </c>
      <c r="E205" s="70">
        <v>91.248810182951047</v>
      </c>
      <c r="F205" s="70">
        <v>108.46666402664033</v>
      </c>
      <c r="G205" s="70">
        <v>133.68497527063261</v>
      </c>
      <c r="H205" s="70">
        <v>136.603438029464</v>
      </c>
      <c r="I205" s="70">
        <v>231.64749654471854</v>
      </c>
      <c r="J205" s="70">
        <v>230.13254970530022</v>
      </c>
      <c r="K205" s="70">
        <v>165.99175678518827</v>
      </c>
      <c r="L205" s="70">
        <v>192.93410296421311</v>
      </c>
      <c r="M205" s="70">
        <v>275.37585628328333</v>
      </c>
      <c r="N205" s="70">
        <v>350.1158541036076</v>
      </c>
      <c r="O205" s="70">
        <v>416.15296187266813</v>
      </c>
      <c r="P205" s="70">
        <v>404.10765000637275</v>
      </c>
      <c r="Q205" s="70">
        <v>429.67171038310659</v>
      </c>
      <c r="R205" s="70">
        <v>493.85634690938679</v>
      </c>
      <c r="S205" s="70">
        <v>357.82687096599295</v>
      </c>
      <c r="T205" s="70">
        <v>500</v>
      </c>
      <c r="U205" s="70">
        <v>500</v>
      </c>
      <c r="V205" s="70">
        <v>500</v>
      </c>
      <c r="X205" s="193">
        <f>((0-('Appendix K'!$I$30))/(1+$Y$16)^0)</f>
        <v>-33594902.4440751</v>
      </c>
      <c r="Y205" s="193">
        <f>(((B205*'Appendix K'!$C$5*1000)-('Appendix K'!$E$31+'Appendix K'!$F$31+'Appendix K'!$H$31+'Appendix K'!$G$31))/((1+$Y$16)^1))</f>
        <v>34971064.972647354</v>
      </c>
      <c r="Z205" s="193">
        <f>+(((C205*'Appendix K'!$C$6*1000)-('Appendix K'!$E$32+'Appendix K'!$F$32+'Appendix K'!$H$32+'Appendix K'!$G$32))/((1+$Y$16)^2))</f>
        <v>14414539.277086185</v>
      </c>
      <c r="AA205" s="193">
        <f>(((D205*'Appendix K'!$C$7*1000)-('Appendix K'!$E$33+'Appendix K'!$F$33+'Appendix K'!$H$33+'Appendix K'!$G$33))/((1+$Y$16)^3))</f>
        <v>5179651.4893627837</v>
      </c>
      <c r="AB205" s="193">
        <f>(((E205*'Appendix K'!$C$8*1000)-('Appendix K'!$E$34+'Appendix K'!$F$34+'Appendix K'!$H$34+'Appendix K'!$G$34))/((1+$Y$16)^4))</f>
        <v>16707696.000789275</v>
      </c>
      <c r="AC205" s="193">
        <f>(((F205*'Appendix K'!$C$9*1000)-('Appendix K'!$E$35+'Appendix K'!$F$35+'Appendix K'!$H$35+'Appendix K'!$G$35))/((1+$Y$16)^AC$34))</f>
        <v>25846040.455894813</v>
      </c>
      <c r="AD205" s="193">
        <f>(((G205*'Appendix K'!$C$10*1000)-('Appendix K'!$E$36+'Appendix K'!$F$36+'Appendix K'!$H$36+'Appendix K'!$G$36))/((1+$Y$16)^AD$34))</f>
        <v>18478653.797070466</v>
      </c>
      <c r="AE205" s="193">
        <f>(((H205*'Appendix K'!$C$11*1000)-('Appendix K'!$E$37+'Appendix K'!$F$37+'Appendix K'!$H$37+'Appendix K'!$G$37))/((1+$Y$16)^AE$34))</f>
        <v>11404562.034579851</v>
      </c>
      <c r="AF205" s="193">
        <f>(((I205*'Appendix K'!$C$12*1000)-('Appendix K'!$E$38+'Appendix K'!$F$38+'Appendix K'!$H$38+'Appendix K'!$G$38))/((1+$Y$16)^AF$34))</f>
        <v>13213957.829998517</v>
      </c>
      <c r="AG205" s="193">
        <f>(((J205*'Appendix K'!$C$13*1000)-('Appendix K'!$E$39+'Appendix K'!$F$39+'Appendix K'!$H$39+'Appendix K'!$G$39))/((1+$Y$16)^AG$34))</f>
        <v>8775510.4141596686</v>
      </c>
      <c r="AH205" s="193">
        <f>(((K205*'Appendix K'!$C$14*1000)-('Appendix K'!$E$40+'Appendix K'!$F$40+'Appendix K'!$H$40+'Appendix K'!$G$40))/((1+$Y$16)^AH$34))</f>
        <v>3962264.4353214283</v>
      </c>
      <c r="AI205" s="193">
        <f>(((L205*'Appendix K'!$C$15*1000)-('Appendix K'!$E$41+'Appendix K'!$F$41+'Appendix K'!$H$41+'Appendix K'!$G$41))/((1+$Y$16)^AI$34))</f>
        <v>3538752.9378730301</v>
      </c>
      <c r="AJ205" s="193">
        <f>(((M205*'Appendix K'!$C$16*1000)-('Appendix K'!$E$42+'Appendix K'!$F$42+'Appendix K'!$H$42+'Appendix K'!$G$42))/((1+$Y$16)^AJ$34))</f>
        <v>4137495.3218601546</v>
      </c>
      <c r="AK205" s="193">
        <f>(((N205*'Appendix K'!$C$17*1000)-('Appendix K'!$E$43+'Appendix K'!$F$43+'Appendix K'!$H$43))/((1+$Y$16)^AK$34))</f>
        <v>4374885.4661039794</v>
      </c>
      <c r="AL205" s="193">
        <f>(((O205*'Appendix K'!$C$18*1000)-('Appendix K'!$E$44+'Appendix K'!$F$44+'Appendix K'!$H$44+'Appendix K'!$G$44))/((1+$Y$16)^AL$34))</f>
        <v>3798194.3853003285</v>
      </c>
      <c r="AM205" s="193">
        <f>(((P205*'Appendix K'!$C$19*1000)-('Appendix K'!$E$45+'Appendix K'!$F$45+'Appendix K'!$H$45+'Appendix K'!$G$45))/((1+$Y$16)^AM$34))</f>
        <v>2718799.4810013939</v>
      </c>
      <c r="AN205" s="193">
        <f>(((Q205*'Appendix K'!$C$20*1000)-('Appendix K'!$E$46+'Appendix K'!$F$46+'Appendix K'!$H$46+'Appendix K'!$G$46))/((1+$Y$16)^AN$34))</f>
        <v>2193488.8493448421</v>
      </c>
      <c r="AO205" s="193">
        <f>(((R205*'Appendix K'!$C$21*1000)-('Appendix K'!$E$47+'Appendix K'!$F$47+'Appendix K'!$H$47+'Appendix K'!$G$47))/((1+$Y$16)^AO$34))</f>
        <v>2075746.6461225501</v>
      </c>
      <c r="AP205" s="193">
        <f>(((S205*'Appendix K'!$C$22*1000)-('Appendix K'!$E$48+'Appendix K'!$F$48+'Appendix K'!$H$48+'Appendix K'!$G$48))/((1+$Y$16)^AP$34))</f>
        <v>949437.05202327925</v>
      </c>
      <c r="AQ205" s="193">
        <f>(((T205*'Appendix K'!$C$23*1000)-('Appendix K'!$E$49+'Appendix K'!$F$49+'Appendix K'!$H$49+'Appendix K'!$G$49))/((1+$Y$16)^AQ$34))</f>
        <v>1263386.3652054211</v>
      </c>
      <c r="AR205" s="193">
        <f>(((U205*'Appendix K'!$C$24*1000)-('Appendix K'!$E$50+'Appendix K'!$F$50+'Appendix K'!$H$50+'Appendix K'!$G$50))/((1+$Y$16)^AR$34))</f>
        <v>980725.14012097823</v>
      </c>
      <c r="AS205" s="209">
        <f t="shared" si="20"/>
        <v>145389949.9077912</v>
      </c>
      <c r="AU205" s="199">
        <f t="shared" si="19"/>
        <v>4.1869577851675741E-9</v>
      </c>
    </row>
    <row r="206" spans="1:47" x14ac:dyDescent="0.35">
      <c r="A206">
        <v>172</v>
      </c>
      <c r="B206" s="70">
        <v>56</v>
      </c>
      <c r="C206" s="70">
        <v>73.432218171649779</v>
      </c>
      <c r="D206" s="70">
        <v>58.009355391738765</v>
      </c>
      <c r="E206" s="70">
        <v>71.791430064989711</v>
      </c>
      <c r="F206" s="70">
        <v>115.72413808920265</v>
      </c>
      <c r="G206" s="70">
        <v>120.36420712862842</v>
      </c>
      <c r="H206" s="70">
        <v>127.51558226561605</v>
      </c>
      <c r="I206" s="70">
        <v>137.09081361305186</v>
      </c>
      <c r="J206" s="70">
        <v>229.5761494537802</v>
      </c>
      <c r="K206" s="70">
        <v>175.35695654018022</v>
      </c>
      <c r="L206" s="70">
        <v>190.36953535890379</v>
      </c>
      <c r="M206" s="70">
        <v>253.72080711290218</v>
      </c>
      <c r="N206" s="70">
        <v>427.92694351885211</v>
      </c>
      <c r="O206" s="70">
        <v>500</v>
      </c>
      <c r="P206" s="70">
        <v>500</v>
      </c>
      <c r="Q206" s="70">
        <v>500</v>
      </c>
      <c r="R206" s="70">
        <v>500</v>
      </c>
      <c r="S206" s="70">
        <v>500</v>
      </c>
      <c r="T206" s="70">
        <v>500</v>
      </c>
      <c r="U206" s="70">
        <v>500</v>
      </c>
      <c r="V206" s="70">
        <v>500</v>
      </c>
      <c r="X206" s="193">
        <f>((0-('Appendix K'!$I$30))/(1+$Y$16)^0)</f>
        <v>-33594902.4440751</v>
      </c>
      <c r="Y206" s="193">
        <f>(((B206*'Appendix K'!$C$5*1000)-('Appendix K'!$E$31+'Appendix K'!$F$31+'Appendix K'!$H$31+'Appendix K'!$G$31))/((1+$Y$16)^1))</f>
        <v>34971064.972647354</v>
      </c>
      <c r="Z206" s="193">
        <f>+(((C206*'Appendix K'!$C$6*1000)-('Appendix K'!$E$32+'Appendix K'!$F$32+'Appendix K'!$H$32+'Appendix K'!$G$32))/((1+$Y$16)^2))</f>
        <v>15062986.560611662</v>
      </c>
      <c r="AA206" s="193">
        <f>(((D206*'Appendix K'!$C$7*1000)-('Appendix K'!$E$33+'Appendix K'!$F$33+'Appendix K'!$H$33+'Appendix K'!$G$33))/((1+$Y$16)^3))</f>
        <v>4424036.1756982366</v>
      </c>
      <c r="AB206" s="193">
        <f>(((E206*'Appendix K'!$C$8*1000)-('Appendix K'!$E$34+'Appendix K'!$F$34+'Appendix K'!$H$34+'Appendix K'!$G$34))/((1+$Y$16)^4))</f>
        <v>12442816.394103486</v>
      </c>
      <c r="AC206" s="193">
        <f>(((F206*'Appendix K'!$C$9*1000)-('Appendix K'!$E$35+'Appendix K'!$F$35+'Appendix K'!$H$35+'Appendix K'!$G$35))/((1+$Y$16)^AC$34))</f>
        <v>27775065.665444538</v>
      </c>
      <c r="AD206" s="193">
        <f>(((G206*'Appendix K'!$C$10*1000)-('Appendix K'!$E$36+'Appendix K'!$F$36+'Appendix K'!$H$36+'Appendix K'!$G$36))/((1+$Y$16)^AD$34))</f>
        <v>16386707.730817448</v>
      </c>
      <c r="AE206" s="193">
        <f>(((H206*'Appendix K'!$C$11*1000)-('Appendix K'!$E$37+'Appendix K'!$F$37+'Appendix K'!$H$37+'Appendix K'!$G$37))/((1+$Y$16)^AE$34))</f>
        <v>10498160.84948569</v>
      </c>
      <c r="AF206" s="193">
        <f>(((I206*'Appendix K'!$C$12*1000)-('Appendix K'!$E$38+'Appendix K'!$F$38+'Appendix K'!$H$38+'Appendix K'!$G$38))/((1+$Y$16)^AF$34))</f>
        <v>7005136.5359444581</v>
      </c>
      <c r="AG206" s="193">
        <f>(((J206*'Appendix K'!$C$13*1000)-('Appendix K'!$E$39+'Appendix K'!$F$39+'Appendix K'!$H$39+'Appendix K'!$G$39))/((1+$Y$16)^AG$34))</f>
        <v>8749905.4685076065</v>
      </c>
      <c r="AH206" s="193">
        <f>(((K206*'Appendix K'!$C$14*1000)-('Appendix K'!$E$40+'Appendix K'!$F$40+'Appendix K'!$H$40+'Appendix K'!$G$40))/((1+$Y$16)^AH$34))</f>
        <v>4277932.7914398015</v>
      </c>
      <c r="AI206" s="193">
        <f>(((L206*'Appendix K'!$C$15*1000)-('Appendix K'!$E$41+'Appendix K'!$F$41+'Appendix K'!$H$41+'Appendix K'!$G$41))/((1+$Y$16)^AI$34))</f>
        <v>3471556.4708489869</v>
      </c>
      <c r="AJ206" s="193">
        <f>(((M206*'Appendix K'!$C$16*1000)-('Appendix K'!$E$42+'Appendix K'!$F$42+'Appendix K'!$H$42+'Appendix K'!$G$42))/((1+$Y$16)^AJ$34))</f>
        <v>3703487.7069864566</v>
      </c>
      <c r="AK206" s="193">
        <f>(((N206*'Appendix K'!$C$17*1000)-('Appendix K'!$E$43+'Appendix K'!$F$43+'Appendix K'!$H$43))/((1+$Y$16)^AK$34))</f>
        <v>5570367.0653348584</v>
      </c>
      <c r="AL206" s="193">
        <f>(((O206*'Appendix K'!$C$18*1000)-('Appendix K'!$E$44+'Appendix K'!$F$44+'Appendix K'!$H$44+'Appendix K'!$G$44))/((1+$Y$16)^AL$34))</f>
        <v>4792058.0003928225</v>
      </c>
      <c r="AM206" s="193">
        <f>(((P206*'Appendix K'!$C$19*1000)-('Appendix K'!$E$45+'Appendix K'!$F$45+'Appendix K'!$H$45+'Appendix K'!$G$45))/((1+$Y$16)^AM$34))</f>
        <v>3607599.9540230581</v>
      </c>
      <c r="AN206" s="193">
        <f>(((Q206*'Appendix K'!$C$20*1000)-('Appendix K'!$E$46+'Appendix K'!$F$46+'Appendix K'!$H$46+'Appendix K'!$G$46))/((1+$Y$16)^AN$34))</f>
        <v>2702399.606577659</v>
      </c>
      <c r="AO206" s="193">
        <f>(((R206*'Appendix K'!$C$21*1000)-('Appendix K'!$E$47+'Appendix K'!$F$47+'Appendix K'!$H$47+'Appendix K'!$G$47))/((1+$Y$16)^AO$34))</f>
        <v>2112056.3146391152</v>
      </c>
      <c r="AP206" s="193">
        <f>(((S206*'Appendix K'!$C$22*1000)-('Appendix K'!$E$48+'Appendix K'!$F$48+'Appendix K'!$H$48+'Appendix K'!$G$48))/((1+$Y$16)^AP$34))</f>
        <v>1630406.4380253027</v>
      </c>
      <c r="AQ206" s="193">
        <f>(((T206*'Appendix K'!$C$23*1000)-('Appendix K'!$E$49+'Appendix K'!$F$49+'Appendix K'!$H$49+'Appendix K'!$G$49))/((1+$Y$16)^AQ$34))</f>
        <v>1263386.3652054211</v>
      </c>
      <c r="AR206" s="193">
        <f>(((U206*'Appendix K'!$C$24*1000)-('Appendix K'!$E$50+'Appendix K'!$F$50+'Appendix K'!$H$50+'Appendix K'!$G$50))/((1+$Y$16)^AR$34))</f>
        <v>980725.14012097823</v>
      </c>
      <c r="AS206" s="209">
        <f t="shared" si="20"/>
        <v>137832953.76277983</v>
      </c>
      <c r="AU206" s="199">
        <f t="shared" si="19"/>
        <v>4.7524778711024853E-9</v>
      </c>
    </row>
    <row r="207" spans="1:47" x14ac:dyDescent="0.35">
      <c r="A207">
        <v>173</v>
      </c>
      <c r="B207" s="70">
        <v>56</v>
      </c>
      <c r="C207" s="70">
        <v>82.04459416429286</v>
      </c>
      <c r="D207" s="70">
        <v>52.256281874834798</v>
      </c>
      <c r="E207" s="70">
        <v>65.202892474318318</v>
      </c>
      <c r="F207" s="70">
        <v>30.191834783392899</v>
      </c>
      <c r="G207" s="70">
        <v>31.436252278860213</v>
      </c>
      <c r="H207" s="70">
        <v>20.381879313166163</v>
      </c>
      <c r="I207" s="70">
        <v>26.068738536401352</v>
      </c>
      <c r="J207" s="70">
        <v>27.649801869406964</v>
      </c>
      <c r="K207" s="70">
        <v>16.13287099644279</v>
      </c>
      <c r="L207" s="70">
        <v>21.549285827493303</v>
      </c>
      <c r="M207" s="70">
        <v>33.833467923336457</v>
      </c>
      <c r="N207" s="70">
        <v>35.853537821001808</v>
      </c>
      <c r="O207" s="70">
        <v>42.708668533904344</v>
      </c>
      <c r="P207" s="70">
        <v>54.874998400561836</v>
      </c>
      <c r="Q207" s="70">
        <v>83.977291536543817</v>
      </c>
      <c r="R207" s="70">
        <v>63.003988267649142</v>
      </c>
      <c r="S207" s="70">
        <v>76.566141501380969</v>
      </c>
      <c r="T207" s="70">
        <v>109.85452633277816</v>
      </c>
      <c r="U207" s="70">
        <v>139.46874172660753</v>
      </c>
      <c r="V207" s="70">
        <v>134.40923257189399</v>
      </c>
      <c r="X207" s="193">
        <f>((0-('Appendix K'!$I$30))/(1+$Y$16)^0)</f>
        <v>-33594902.4440751</v>
      </c>
      <c r="Y207" s="193">
        <f>(((B207*'Appendix K'!$C$5*1000)-('Appendix K'!$E$31+'Appendix K'!$F$31+'Appendix K'!$H$31+'Appendix K'!$G$31))/((1+$Y$16)^1))</f>
        <v>34971064.972647354</v>
      </c>
      <c r="Z207" s="193">
        <f>+(((C207*'Appendix K'!$C$6*1000)-('Appendix K'!$E$32+'Appendix K'!$F$32+'Appendix K'!$H$32+'Appendix K'!$G$32))/((1+$Y$16)^2))</f>
        <v>17238620.03488858</v>
      </c>
      <c r="AA207" s="193">
        <f>(((D207*'Appendix K'!$C$7*1000)-('Appendix K'!$E$33+'Appendix K'!$F$33+'Appendix K'!$H$33+'Appendix K'!$G$33))/((1+$Y$16)^3))</f>
        <v>3691239.1708137346</v>
      </c>
      <c r="AB207" s="193">
        <f>(((E207*'Appendix K'!$C$8*1000)-('Appendix K'!$E$34+'Appendix K'!$F$34+'Appendix K'!$H$34+'Appendix K'!$G$34))/((1+$Y$16)^4))</f>
        <v>10998669.266484881</v>
      </c>
      <c r="AC207" s="193">
        <f>(((F207*'Appendix K'!$C$9*1000)-('Appendix K'!$E$35+'Appendix K'!$F$35+'Appendix K'!$H$35+'Appendix K'!$G$35))/((1+$Y$16)^AC$34))</f>
        <v>5040713.7565783886</v>
      </c>
      <c r="AD207" s="193">
        <f>(((G207*'Appendix K'!$C$10*1000)-('Appendix K'!$E$36+'Appendix K'!$F$36+'Appendix K'!$H$36+'Appendix K'!$G$36))/((1+$Y$16)^AD$34))</f>
        <v>2421110.3009451167</v>
      </c>
      <c r="AE207" s="193">
        <f>(((H207*'Appendix K'!$C$11*1000)-('Appendix K'!$E$37+'Appendix K'!$F$37+'Appendix K'!$H$37+'Appendix K'!$G$37))/((1+$Y$16)^AE$34))</f>
        <v>-187100.6514637935</v>
      </c>
      <c r="AF207" s="193">
        <f>(((I207*'Appendix K'!$C$12*1000)-('Appendix K'!$E$38+'Appendix K'!$F$38+'Appendix K'!$H$38+'Appendix K'!$G$38))/((1+$Y$16)^AF$34))</f>
        <v>-284842.36849876208</v>
      </c>
      <c r="AG207" s="193">
        <f>(((J207*'Appendix K'!$C$13*1000)-('Appendix K'!$E$39+'Appendix K'!$F$39+'Appendix K'!$H$39+'Appendix K'!$G$39))/((1+$Y$16)^AG$34))</f>
        <v>-542529.5034267233</v>
      </c>
      <c r="AH207" s="193">
        <f>(((K207*'Appendix K'!$C$14*1000)-('Appendix K'!$E$40+'Appendix K'!$F$40+'Appendix K'!$H$40+'Appendix K'!$G$40))/((1+$Y$16)^AH$34))</f>
        <v>-1088958.1081645223</v>
      </c>
      <c r="AI207" s="193">
        <f>(((L207*'Appendix K'!$C$15*1000)-('Appendix K'!$E$41+'Appendix K'!$F$41+'Appendix K'!$H$41+'Appendix K'!$G$41))/((1+$Y$16)^AI$34))</f>
        <v>-951849.76228860847</v>
      </c>
      <c r="AJ207" s="193">
        <f>(((M207*'Appendix K'!$C$16*1000)-('Appendix K'!$E$42+'Appendix K'!$F$42+'Appendix K'!$H$42+'Appendix K'!$G$42))/((1+$Y$16)^AJ$34))</f>
        <v>-703465.09518571803</v>
      </c>
      <c r="AK207" s="193">
        <f>(((N207*'Appendix K'!$C$17*1000)-('Appendix K'!$E$43+'Appendix K'!$F$43+'Appendix K'!$H$43))/((1+$Y$16)^AK$34))</f>
        <v>-453408.53762866883</v>
      </c>
      <c r="AL207" s="193">
        <f>(((O207*'Appendix K'!$C$18*1000)-('Appendix K'!$E$44+'Appendix K'!$F$44+'Appendix K'!$H$44+'Appendix K'!$G$44))/((1+$Y$16)^AL$34))</f>
        <v>-628350.71042131155</v>
      </c>
      <c r="AM207" s="193">
        <f>(((P207*'Appendix K'!$C$19*1000)-('Appendix K'!$E$45+'Appendix K'!$F$45+'Appendix K'!$H$45+'Appendix K'!$G$45))/((1+$Y$16)^AM$34))</f>
        <v>-518144.29983704496</v>
      </c>
      <c r="AN207" s="193">
        <f>(((Q207*'Appendix K'!$C$20*1000)-('Appendix K'!$E$46+'Appendix K'!$F$46+'Appendix K'!$H$46+'Appendix K'!$G$46))/((1+$Y$16)^AN$34))</f>
        <v>-308030.94339733152</v>
      </c>
      <c r="AO207" s="193">
        <f>(((R207*'Appendix K'!$C$21*1000)-('Appendix K'!$E$47+'Appendix K'!$F$47+'Appendix K'!$H$47+'Appendix K'!$G$47))/((1+$Y$16)^AO$34))</f>
        <v>-470638.3940360382</v>
      </c>
      <c r="AP207" s="193">
        <f>(((S207*'Appendix K'!$C$22*1000)-('Appendix K'!$E$48+'Appendix K'!$F$48+'Appendix K'!$H$48+'Appendix K'!$G$48))/((1+$Y$16)^AP$34))</f>
        <v>-397722.90394973091</v>
      </c>
      <c r="AQ207" s="193">
        <f>(((T207*'Appendix K'!$C$23*1000)-('Appendix K'!$E$49+'Appendix K'!$F$49+'Appendix K'!$H$49+'Appendix K'!$G$49))/((1+$Y$16)^AQ$34))</f>
        <v>-263543.13892529381</v>
      </c>
      <c r="AR207" s="193">
        <f>(((U207*'Appendix K'!$C$24*1000)-('Appendix K'!$E$50+'Appendix K'!$F$50+'Appendix K'!$H$50+'Appendix K'!$G$50))/((1+$Y$16)^AR$34))</f>
        <v>-180195.61319368111</v>
      </c>
      <c r="AS207" s="209">
        <f t="shared" si="20"/>
        <v>40766515.058282949</v>
      </c>
      <c r="AU207" s="199">
        <f t="shared" si="19"/>
        <v>4.9997104585040905E-9</v>
      </c>
    </row>
    <row r="208" spans="1:47" x14ac:dyDescent="0.35">
      <c r="A208">
        <v>174</v>
      </c>
      <c r="B208" s="70">
        <v>56</v>
      </c>
      <c r="C208" s="70">
        <v>81.672645483641574</v>
      </c>
      <c r="D208" s="70">
        <v>50.698042329026649</v>
      </c>
      <c r="E208" s="70">
        <v>17.802150693769953</v>
      </c>
      <c r="F208" s="70">
        <v>17.333898343881742</v>
      </c>
      <c r="G208" s="70">
        <v>16.635945051090069</v>
      </c>
      <c r="H208" s="70">
        <v>17.778183161546139</v>
      </c>
      <c r="I208" s="70">
        <v>10.422959187080327</v>
      </c>
      <c r="J208" s="70">
        <v>15.452065383262873</v>
      </c>
      <c r="K208" s="70">
        <v>20.503355161667287</v>
      </c>
      <c r="L208" s="70">
        <v>16.853126028729058</v>
      </c>
      <c r="M208" s="70">
        <v>15.196808684608628</v>
      </c>
      <c r="N208" s="70">
        <v>16.686959473832264</v>
      </c>
      <c r="O208" s="70">
        <v>21.231339327810794</v>
      </c>
      <c r="P208" s="70">
        <v>31.688887543175522</v>
      </c>
      <c r="Q208" s="70">
        <v>19.319371257135835</v>
      </c>
      <c r="R208" s="70">
        <v>27.162107371941836</v>
      </c>
      <c r="S208" s="70">
        <v>20.801856612177943</v>
      </c>
      <c r="T208" s="70">
        <v>21.824073923099107</v>
      </c>
      <c r="U208" s="70">
        <v>14.585354721180787</v>
      </c>
      <c r="V208" s="70">
        <v>13.060958099259931</v>
      </c>
      <c r="X208" s="193">
        <f>((0-('Appendix K'!$I$30))/(1+$Y$16)^0)</f>
        <v>-33594902.4440751</v>
      </c>
      <c r="Y208" s="193">
        <f>(((B208*'Appendix K'!$C$5*1000)-('Appendix K'!$E$31+'Appendix K'!$F$31+'Appendix K'!$H$31+'Appendix K'!$G$31))/((1+$Y$16)^1))</f>
        <v>34971064.972647354</v>
      </c>
      <c r="Z208" s="193">
        <f>+(((C208*'Appendix K'!$C$6*1000)-('Appendix K'!$E$32+'Appendix K'!$F$32+'Appendix K'!$H$32+'Appendix K'!$G$32))/((1+$Y$16)^2))</f>
        <v>17144659.43667163</v>
      </c>
      <c r="AA208" s="193">
        <f>(((D208*'Appendix K'!$C$7*1000)-('Appendix K'!$E$33+'Appendix K'!$F$33+'Appendix K'!$H$33+'Appendix K'!$G$33))/((1+$Y$16)^3))</f>
        <v>3492758.6075625098</v>
      </c>
      <c r="AB208" s="193">
        <f>(((E208*'Appendix K'!$C$8*1000)-('Appendix K'!$E$34+'Appendix K'!$F$34+'Appendix K'!$H$34+'Appendix K'!$G$34))/((1+$Y$16)^4))</f>
        <v>608860.58021549555</v>
      </c>
      <c r="AC208" s="193">
        <f>(((F208*'Appendix K'!$C$9*1000)-('Appendix K'!$E$35+'Appendix K'!$F$35+'Appendix K'!$H$35+'Appendix K'!$G$35))/((1+$Y$16)^AC$34))</f>
        <v>1623094.4415397332</v>
      </c>
      <c r="AD208" s="193">
        <f>(((G208*'Appendix K'!$C$10*1000)-('Appendix K'!$E$36+'Appendix K'!$F$36+'Appendix K'!$H$36+'Appendix K'!$G$36))/((1+$Y$16)^AD$34))</f>
        <v>96811.570240569519</v>
      </c>
      <c r="AE208" s="193">
        <f>(((H208*'Appendix K'!$C$11*1000)-('Appendix K'!$E$37+'Appendix K'!$F$37+'Appendix K'!$H$37+'Appendix K'!$G$37))/((1+$Y$16)^AE$34))</f>
        <v>-446787.13183705095</v>
      </c>
      <c r="AF208" s="193">
        <f>(((I208*'Appendix K'!$C$12*1000)-('Appendix K'!$E$38+'Appendix K'!$F$38+'Appendix K'!$H$38+'Appendix K'!$G$38))/((1+$Y$16)^AF$34))</f>
        <v>-1312182.2134924491</v>
      </c>
      <c r="AG208" s="193">
        <f>(((J208*'Appendix K'!$C$13*1000)-('Appendix K'!$E$39+'Appendix K'!$F$39+'Appendix K'!$H$39+'Appendix K'!$G$39))/((1+$Y$16)^AG$34))</f>
        <v>-1103856.3161891033</v>
      </c>
      <c r="AH208" s="193">
        <f>(((K208*'Appendix K'!$C$14*1000)-('Appendix K'!$E$40+'Appendix K'!$F$40+'Appendix K'!$H$40+'Appendix K'!$G$40))/((1+$Y$16)^AH$34))</f>
        <v>-941644.26671203028</v>
      </c>
      <c r="AI208" s="193">
        <f>(((L208*'Appendix K'!$C$15*1000)-('Appendix K'!$E$41+'Appendix K'!$F$41+'Appendix K'!$H$41+'Appendix K'!$G$41))/((1+$Y$16)^AI$34))</f>
        <v>-1074897.9308781174</v>
      </c>
      <c r="AJ208" s="193">
        <f>(((M208*'Appendix K'!$C$16*1000)-('Appendix K'!$E$42+'Appendix K'!$F$42+'Appendix K'!$H$42+'Appendix K'!$G$42))/((1+$Y$16)^AJ$34))</f>
        <v>-1076978.5405616439</v>
      </c>
      <c r="AK208" s="193">
        <f>(((N208*'Appendix K'!$C$17*1000)-('Appendix K'!$E$43+'Appendix K'!$F$43+'Appendix K'!$H$43))/((1+$Y$16)^AK$34))</f>
        <v>-747881.88206392981</v>
      </c>
      <c r="AL208" s="193">
        <f>(((O208*'Appendix K'!$C$18*1000)-('Appendix K'!$E$44+'Appendix K'!$F$44+'Appendix K'!$H$44+'Appendix K'!$G$44))/((1+$Y$16)^AL$34))</f>
        <v>-882927.81325091899</v>
      </c>
      <c r="AM208" s="193">
        <f>(((P208*'Appendix K'!$C$19*1000)-('Appendix K'!$E$45+'Appendix K'!$F$45+'Appendix K'!$H$45+'Appendix K'!$G$45))/((1+$Y$16)^AM$34))</f>
        <v>-733050.14268005837</v>
      </c>
      <c r="AN208" s="193">
        <f>(((Q208*'Appendix K'!$C$20*1000)-('Appendix K'!$E$46+'Appendix K'!$F$46+'Appendix K'!$H$46+'Appendix K'!$G$46))/((1+$Y$16)^AN$34))</f>
        <v>-775909.67825267976</v>
      </c>
      <c r="AO208" s="193">
        <f>(((R208*'Appendix K'!$C$21*1000)-('Appendix K'!$E$47+'Appendix K'!$F$47+'Appendix K'!$H$47+'Appendix K'!$G$47))/((1+$Y$16)^AO$34))</f>
        <v>-682467.86994211178</v>
      </c>
      <c r="AP208" s="193">
        <f>(((S208*'Appendix K'!$C$22*1000)-('Appendix K'!$E$48+'Appendix K'!$F$48+'Appendix K'!$H$48+'Appendix K'!$G$48))/((1+$Y$16)^AP$34))</f>
        <v>-664818.17785876442</v>
      </c>
      <c r="AQ208" s="193">
        <f>(((T208*'Appendix K'!$C$23*1000)-('Appendix K'!$E$49+'Appendix K'!$F$49+'Appendix K'!$H$49+'Appendix K'!$G$49))/((1+$Y$16)^AQ$34))</f>
        <v>-608071.79328298953</v>
      </c>
      <c r="AR208" s="193">
        <f>(((U208*'Appendix K'!$C$24*1000)-('Appendix K'!$E$50+'Appendix K'!$F$50+'Appendix K'!$H$50+'Appendix K'!$G$50))/((1+$Y$16)^AR$34))</f>
        <v>-582323.6184411135</v>
      </c>
      <c r="AS208" s="209">
        <f t="shared" si="20"/>
        <v>24342347.164802201</v>
      </c>
      <c r="AU208" s="199">
        <f t="shared" si="19"/>
        <v>3.7756947479139213E-9</v>
      </c>
    </row>
    <row r="209" spans="1:47" x14ac:dyDescent="0.35">
      <c r="A209">
        <v>175</v>
      </c>
      <c r="B209" s="70">
        <v>56</v>
      </c>
      <c r="C209" s="70">
        <v>68.641370660972783</v>
      </c>
      <c r="D209" s="70">
        <v>83.384725573372094</v>
      </c>
      <c r="E209" s="70">
        <v>97.633518919088758</v>
      </c>
      <c r="F209" s="70">
        <v>92.930627747327165</v>
      </c>
      <c r="G209" s="70">
        <v>119.29201401051711</v>
      </c>
      <c r="H209" s="70">
        <v>124.63863334658942</v>
      </c>
      <c r="I209" s="70">
        <v>55.054398530562011</v>
      </c>
      <c r="J209" s="70">
        <v>63.227492077799354</v>
      </c>
      <c r="K209" s="70">
        <v>65.772620544388104</v>
      </c>
      <c r="L209" s="70">
        <v>73.726856975352973</v>
      </c>
      <c r="M209" s="70">
        <v>50.87149869804238</v>
      </c>
      <c r="N209" s="70">
        <v>63.702645060557884</v>
      </c>
      <c r="O209" s="70">
        <v>76.659997982289099</v>
      </c>
      <c r="P209" s="70">
        <v>67.221283914469652</v>
      </c>
      <c r="Q209" s="70">
        <v>97.09556509018546</v>
      </c>
      <c r="R209" s="70">
        <v>172.52719123770419</v>
      </c>
      <c r="S209" s="70">
        <v>78.220045026093231</v>
      </c>
      <c r="T209" s="70">
        <v>66.76703018043338</v>
      </c>
      <c r="U209" s="70">
        <v>70.983915508727364</v>
      </c>
      <c r="V209" s="70">
        <v>57.892468894489298</v>
      </c>
      <c r="X209" s="193">
        <f>((0-('Appendix K'!$I$30))/(1+$Y$16)^0)</f>
        <v>-33594902.4440751</v>
      </c>
      <c r="Y209" s="193">
        <f>(((B209*'Appendix K'!$C$5*1000)-('Appendix K'!$E$31+'Appendix K'!$F$31+'Appendix K'!$H$31+'Appendix K'!$G$31))/((1+$Y$16)^1))</f>
        <v>34971064.972647354</v>
      </c>
      <c r="Z209" s="193">
        <f>+(((C209*'Appendix K'!$C$6*1000)-('Appendix K'!$E$32+'Appendix K'!$F$32+'Appendix K'!$H$32+'Appendix K'!$G$32))/((1+$Y$16)^2))</f>
        <v>13852736.540955205</v>
      </c>
      <c r="AA209" s="193">
        <f>(((D209*'Appendix K'!$C$7*1000)-('Appendix K'!$E$33+'Appendix K'!$F$33+'Appendix K'!$H$33+'Appendix K'!$G$33))/((1+$Y$16)^3))</f>
        <v>7656220.7136325566</v>
      </c>
      <c r="AB209" s="193">
        <f>(((E209*'Appendix K'!$C$8*1000)-('Appendix K'!$E$34+'Appendix K'!$F$34+'Appendix K'!$H$34+'Appendix K'!$G$34))/((1+$Y$16)^4))</f>
        <v>18107165.709367666</v>
      </c>
      <c r="AC209" s="193">
        <f>(((F209*'Appendix K'!$C$9*1000)-('Appendix K'!$E$35+'Appendix K'!$F$35+'Appendix K'!$H$35+'Appendix K'!$G$35))/((1+$Y$16)^AC$34))</f>
        <v>21716586.408808187</v>
      </c>
      <c r="AD209" s="193">
        <f>(((G209*'Appendix K'!$C$10*1000)-('Appendix K'!$E$36+'Appendix K'!$F$36+'Appendix K'!$H$36+'Appendix K'!$G$36))/((1+$Y$16)^AD$34))</f>
        <v>16218326.286760643</v>
      </c>
      <c r="AE209" s="193">
        <f>(((H209*'Appendix K'!$C$11*1000)-('Appendix K'!$E$37+'Appendix K'!$F$37+'Appendix K'!$H$37+'Appendix K'!$G$37))/((1+$Y$16)^AE$34))</f>
        <v>10211220.786018291</v>
      </c>
      <c r="AF209" s="193">
        <f>(((I209*'Appendix K'!$C$12*1000)-('Appendix K'!$E$38+'Appendix K'!$F$38+'Appendix K'!$H$38+'Appendix K'!$G$38))/((1+$Y$16)^AF$34))</f>
        <v>1618426.4160461894</v>
      </c>
      <c r="AG209" s="193">
        <f>(((J209*'Appendix K'!$C$13*1000)-('Appendix K'!$E$39+'Appendix K'!$F$39+'Appendix K'!$H$39+'Appendix K'!$G$39))/((1+$Y$16)^AG$34))</f>
        <v>1094717.822977629</v>
      </c>
      <c r="AH209" s="193">
        <f>(((K209*'Appendix K'!$C$14*1000)-('Appendix K'!$E$40+'Appendix K'!$F$40+'Appendix K'!$H$40+'Appendix K'!$G$40))/((1+$Y$16)^AH$34))</f>
        <v>584225.43814213749</v>
      </c>
      <c r="AI209" s="193">
        <f>(((L209*'Appendix K'!$C$15*1000)-('Appendix K'!$E$41+'Appendix K'!$F$41+'Appendix K'!$H$41+'Appendix K'!$G$41))/((1+$Y$16)^AI$34))</f>
        <v>415300.17432180961</v>
      </c>
      <c r="AJ209" s="193">
        <f>(((M209*'Appendix K'!$C$16*1000)-('Appendix K'!$E$42+'Appendix K'!$F$42+'Appendix K'!$H$42+'Appendix K'!$G$42))/((1+$Y$16)^AJ$34))</f>
        <v>-361991.14883288014</v>
      </c>
      <c r="AK209" s="193">
        <f>(((N209*'Appendix K'!$C$17*1000)-('Appendix K'!$E$43+'Appendix K'!$F$43+'Appendix K'!$H$43))/((1+$Y$16)^AK$34))</f>
        <v>-25537.709574511431</v>
      </c>
      <c r="AL209" s="193">
        <f>(((O209*'Appendix K'!$C$18*1000)-('Appendix K'!$E$44+'Appendix K'!$F$44+'Appendix K'!$H$44+'Appendix K'!$G$44))/((1+$Y$16)^AL$34))</f>
        <v>-225915.61221873507</v>
      </c>
      <c r="AM209" s="193">
        <f>(((P209*'Appendix K'!$C$19*1000)-('Appendix K'!$E$45+'Appendix K'!$F$45+'Appendix K'!$H$45+'Appendix K'!$G$45))/((1+$Y$16)^AM$34))</f>
        <v>-403709.89077781298</v>
      </c>
      <c r="AN209" s="193">
        <f>(((Q209*'Appendix K'!$C$20*1000)-('Appendix K'!$E$46+'Appendix K'!$F$46+'Appendix K'!$H$46+'Appendix K'!$G$46))/((1+$Y$16)^AN$34))</f>
        <v>-213104.27072921983</v>
      </c>
      <c r="AO209" s="193">
        <f>(((R209*'Appendix K'!$C$21*1000)-('Appendix K'!$E$47+'Appendix K'!$F$47+'Appendix K'!$H$47+'Appendix K'!$G$47))/((1+$Y$16)^AO$34))</f>
        <v>176655.83564485816</v>
      </c>
      <c r="AP209" s="193">
        <f>(((S209*'Appendix K'!$C$22*1000)-('Appendix K'!$E$48+'Appendix K'!$F$48+'Appendix K'!$H$48+'Appendix K'!$G$48))/((1+$Y$16)^AP$34))</f>
        <v>-389801.17024813592</v>
      </c>
      <c r="AQ209" s="193">
        <f>(((T209*'Appendix K'!$C$23*1000)-('Appendix K'!$E$49+'Appendix K'!$F$49+'Appendix K'!$H$49+'Appendix K'!$G$49))/((1+$Y$16)^AQ$34))</f>
        <v>-432176.56818366173</v>
      </c>
      <c r="AR209" s="193">
        <f>(((U209*'Appendix K'!$C$24*1000)-('Appendix K'!$E$50+'Appendix K'!$F$50+'Appendix K'!$H$50+'Appendix K'!$G$50))/((1+$Y$16)^AR$34))</f>
        <v>-400718.67248191527</v>
      </c>
      <c r="AS209" s="209">
        <f t="shared" si="20"/>
        <v>93027744.661247432</v>
      </c>
      <c r="AU209" s="199">
        <f t="shared" si="19"/>
        <v>6.997796656126144E-9</v>
      </c>
    </row>
    <row r="210" spans="1:47" x14ac:dyDescent="0.35">
      <c r="A210">
        <v>176</v>
      </c>
      <c r="B210" s="70">
        <v>56</v>
      </c>
      <c r="C210" s="70">
        <v>67.230136014060989</v>
      </c>
      <c r="D210" s="70">
        <v>60.004787571175996</v>
      </c>
      <c r="E210" s="70">
        <v>2.3128234349538559</v>
      </c>
      <c r="F210" s="70">
        <v>2.3717626774409095</v>
      </c>
      <c r="G210" s="70">
        <v>3.5466721181169509</v>
      </c>
      <c r="H210" s="70">
        <v>2.6015854420957529</v>
      </c>
      <c r="I210" s="70">
        <v>2.775852091312764</v>
      </c>
      <c r="J210" s="70">
        <v>3.8512148022628145</v>
      </c>
      <c r="K210" s="70">
        <v>4.9396854531251613</v>
      </c>
      <c r="L210" s="70">
        <v>4.9478729519852491</v>
      </c>
      <c r="M210" s="70">
        <v>4.5129506096603595</v>
      </c>
      <c r="N210" s="70">
        <v>9.5435642293877692</v>
      </c>
      <c r="O210" s="70">
        <v>9.7799977482875011</v>
      </c>
      <c r="P210" s="70">
        <v>11.700039357406945</v>
      </c>
      <c r="Q210" s="70">
        <v>8.281320641424557</v>
      </c>
      <c r="R210" s="70">
        <v>5.663019724977592</v>
      </c>
      <c r="S210" s="70">
        <v>5.1306285573764292</v>
      </c>
      <c r="T210" s="70">
        <v>7.3083002914515713</v>
      </c>
      <c r="U210" s="70">
        <v>8.9625760116626694</v>
      </c>
      <c r="V210" s="70">
        <v>9.8196072172145819</v>
      </c>
      <c r="X210" s="193">
        <f>((0-('Appendix K'!$I$30))/(1+$Y$16)^0)</f>
        <v>-33594902.4440751</v>
      </c>
      <c r="Y210" s="193">
        <f>(((B210*'Appendix K'!$C$5*1000)-('Appendix K'!$E$31+'Appendix K'!$F$31+'Appendix K'!$H$31+'Appendix K'!$G$31))/((1+$Y$16)^1))</f>
        <v>34971064.972647354</v>
      </c>
      <c r="Z210" s="193">
        <f>+(((C210*'Appendix K'!$C$6*1000)-('Appendix K'!$E$32+'Appendix K'!$F$32+'Appendix K'!$H$32+'Appendix K'!$G$32))/((1+$Y$16)^2))</f>
        <v>13496234.532624004</v>
      </c>
      <c r="AA210" s="193">
        <f>(((D210*'Appendix K'!$C$7*1000)-('Appendix K'!$E$33+'Appendix K'!$F$33+'Appendix K'!$H$33+'Appendix K'!$G$33))/((1+$Y$16)^3))</f>
        <v>4678204.0948540261</v>
      </c>
      <c r="AB210" s="193">
        <f>(((E210*'Appendix K'!$C$8*1000)-('Appendix K'!$E$34+'Appendix K'!$F$34+'Appendix K'!$H$34+'Appendix K'!$G$34))/((1+$Y$16)^4))</f>
        <v>-2786258.1637733858</v>
      </c>
      <c r="AC210" s="193">
        <f>(((F210*'Appendix K'!$C$9*1000)-('Appendix K'!$E$35+'Appendix K'!$F$35+'Appendix K'!$H$35+'Appendix K'!$G$35))/((1+$Y$16)^AC$34))</f>
        <v>-2353817.7238311078</v>
      </c>
      <c r="AD210" s="193">
        <f>(((G210*'Appendix K'!$C$10*1000)-('Appendix K'!$E$36+'Appendix K'!$F$36+'Appendix K'!$H$36+'Appendix K'!$G$36))/((1+$Y$16)^AD$34))</f>
        <v>-1958779.5736291169</v>
      </c>
      <c r="AE210" s="193">
        <f>(((H210*'Appendix K'!$C$11*1000)-('Appendix K'!$E$37+'Appendix K'!$F$37+'Appendix K'!$H$37+'Appendix K'!$G$37))/((1+$Y$16)^AE$34))</f>
        <v>-1960465.0021802096</v>
      </c>
      <c r="AF210" s="193">
        <f>(((I210*'Appendix K'!$C$12*1000)-('Appendix K'!$E$38+'Appendix K'!$F$38+'Appendix K'!$H$38+'Appendix K'!$G$38))/((1+$Y$16)^AF$34))</f>
        <v>-1814309.8252280001</v>
      </c>
      <c r="AG210" s="193">
        <f>(((J210*'Appendix K'!$C$13*1000)-('Appendix K'!$E$39+'Appendix K'!$F$39+'Appendix K'!$H$39+'Appendix K'!$G$39))/((1+$Y$16)^AG$34))</f>
        <v>-1637715.0767355752</v>
      </c>
      <c r="AH210" s="193">
        <f>(((K210*'Appendix K'!$C$14*1000)-('Appendix K'!$E$40+'Appendix K'!$F$40+'Appendix K'!$H$40+'Appendix K'!$G$40))/((1+$Y$16)^AH$34))</f>
        <v>-1466241.5161669671</v>
      </c>
      <c r="AI210" s="193">
        <f>(((L210*'Appendix K'!$C$15*1000)-('Appendix K'!$E$41+'Appendix K'!$F$41+'Appendix K'!$H$41+'Appendix K'!$G$41))/((1+$Y$16)^AI$34))</f>
        <v>-1386837.8244212253</v>
      </c>
      <c r="AJ210" s="193">
        <f>(((M210*'Appendix K'!$C$16*1000)-('Appendix K'!$E$42+'Appendix K'!$F$42+'Appendix K'!$H$42+'Appendix K'!$G$42))/((1+$Y$16)^AJ$34))</f>
        <v>-1291103.002911031</v>
      </c>
      <c r="AK210" s="193">
        <f>(((N210*'Appendix K'!$C$17*1000)-('Appendix K'!$E$43+'Appendix K'!$F$43+'Appendix K'!$H$43))/((1+$Y$16)^AK$34))</f>
        <v>-857632.2741345705</v>
      </c>
      <c r="AL210" s="193">
        <f>(((O210*'Appendix K'!$C$18*1000)-('Appendix K'!$E$44+'Appendix K'!$F$44+'Appendix K'!$H$44+'Appendix K'!$G$44))/((1+$Y$16)^AL$34))</f>
        <v>-1018663.9345746144</v>
      </c>
      <c r="AM210" s="193">
        <f>(((P210*'Appendix K'!$C$19*1000)-('Appendix K'!$E$45+'Appendix K'!$F$45+'Appendix K'!$H$45+'Appendix K'!$G$45))/((1+$Y$16)^AM$34))</f>
        <v>-918321.41535040189</v>
      </c>
      <c r="AN210" s="193">
        <f>(((Q210*'Appendix K'!$C$20*1000)-('Appendix K'!$E$46+'Appendix K'!$F$46+'Appendix K'!$H$46+'Appendix K'!$G$46))/((1+$Y$16)^AN$34))</f>
        <v>-855783.40656053333</v>
      </c>
      <c r="AO210" s="193">
        <f>(((R210*'Appendix K'!$C$21*1000)-('Appendix K'!$E$47+'Appendix K'!$F$47+'Appendix K'!$H$47+'Appendix K'!$G$47))/((1+$Y$16)^AO$34))</f>
        <v>-809529.85315573879</v>
      </c>
      <c r="AP210" s="193">
        <f>(((S210*'Appendix K'!$C$22*1000)-('Appendix K'!$E$48+'Appendix K'!$F$48+'Appendix K'!$H$48+'Appendix K'!$G$48))/((1+$Y$16)^AP$34))</f>
        <v>-739878.96198079968</v>
      </c>
      <c r="AQ210" s="193">
        <f>(((T210*'Appendix K'!$C$23*1000)-('Appendix K'!$E$49+'Appendix K'!$F$49+'Appendix K'!$H$49+'Appendix K'!$G$49))/((1+$Y$16)^AQ$34))</f>
        <v>-664882.81514390372</v>
      </c>
      <c r="AR210" s="193">
        <f>(((U210*'Appendix K'!$C$24*1000)-('Appendix K'!$E$50+'Appendix K'!$F$50+'Appendix K'!$H$50+'Appendix K'!$G$50))/((1+$Y$16)^AR$34))</f>
        <v>-600429.12342960329</v>
      </c>
      <c r="AS210" s="209">
        <f t="shared" si="20"/>
        <v>19550601.156050287</v>
      </c>
      <c r="AU210" s="199">
        <f t="shared" si="19"/>
        <v>3.4242411208214708E-9</v>
      </c>
    </row>
    <row r="211" spans="1:47" x14ac:dyDescent="0.35">
      <c r="A211">
        <v>177</v>
      </c>
      <c r="B211" s="70">
        <v>56</v>
      </c>
      <c r="C211" s="70">
        <v>19.791560098152047</v>
      </c>
      <c r="D211" s="70">
        <v>9.3486055789519611</v>
      </c>
      <c r="E211" s="70">
        <v>14.830763057910819</v>
      </c>
      <c r="F211" s="70">
        <v>28.225850754440636</v>
      </c>
      <c r="G211" s="70">
        <v>29.283806786953523</v>
      </c>
      <c r="H211" s="70">
        <v>36.175601979596351</v>
      </c>
      <c r="I211" s="70">
        <v>40.751465478030994</v>
      </c>
      <c r="J211" s="70">
        <v>39.19328087138657</v>
      </c>
      <c r="K211" s="70">
        <v>30.633696179185602</v>
      </c>
      <c r="L211" s="70">
        <v>24.641660711041517</v>
      </c>
      <c r="M211" s="70">
        <v>27.854595136378045</v>
      </c>
      <c r="N211" s="70">
        <v>25.999587200435393</v>
      </c>
      <c r="O211" s="70">
        <v>33.355266513539803</v>
      </c>
      <c r="P211" s="70">
        <v>37.10566881390374</v>
      </c>
      <c r="Q211" s="70">
        <v>35.073484695506153</v>
      </c>
      <c r="R211" s="70">
        <v>42.332253693591653</v>
      </c>
      <c r="S211" s="70">
        <v>61.24485325492698</v>
      </c>
      <c r="T211" s="70">
        <v>74.170970776660312</v>
      </c>
      <c r="U211" s="70">
        <v>87.624804973718739</v>
      </c>
      <c r="V211" s="70">
        <v>97.383162647532203</v>
      </c>
      <c r="X211" s="193">
        <f>((0-('Appendix K'!$I$30))/(1+$Y$16)^0)</f>
        <v>-33594902.4440751</v>
      </c>
      <c r="Y211" s="193">
        <f>(((B211*'Appendix K'!$C$5*1000)-('Appendix K'!$E$31+'Appendix K'!$F$31+'Appendix K'!$H$31+'Appendix K'!$G$31))/((1+$Y$16)^1))</f>
        <v>34971064.972647354</v>
      </c>
      <c r="Z211" s="193">
        <f>+(((C211*'Appendix K'!$C$6*1000)-('Appendix K'!$E$32+'Appendix K'!$F$32+'Appendix K'!$H$32+'Appendix K'!$G$32))/((1+$Y$16)^2))</f>
        <v>1512438.9084150589</v>
      </c>
      <c r="AA211" s="193">
        <f>(((D211*'Appendix K'!$C$7*1000)-('Appendix K'!$E$33+'Appendix K'!$F$33+'Appendix K'!$H$33+'Appendix K'!$G$33))/((1+$Y$16)^3))</f>
        <v>-1774120.6205726345</v>
      </c>
      <c r="AB211" s="193">
        <f>(((E211*'Appendix K'!$C$8*1000)-('Appendix K'!$E$34+'Appendix K'!$F$34+'Appendix K'!$H$34+'Appendix K'!$G$34))/((1+$Y$16)^4))</f>
        <v>-42440.389129072064</v>
      </c>
      <c r="AC211" s="193">
        <f>(((F211*'Appendix K'!$C$9*1000)-('Appendix K'!$E$35+'Appendix K'!$F$35+'Appendix K'!$H$35+'Appendix K'!$G$35))/((1+$Y$16)^AC$34))</f>
        <v>4518158.2888317918</v>
      </c>
      <c r="AD211" s="193">
        <f>(((G211*'Appendix K'!$C$10*1000)-('Appendix K'!$E$36+'Appendix K'!$F$36+'Appendix K'!$H$36+'Appendix K'!$G$36))/((1+$Y$16)^AD$34))</f>
        <v>2083081.7554726051</v>
      </c>
      <c r="AE211" s="193">
        <f>(((H211*'Appendix K'!$C$11*1000)-('Appendix K'!$E$37+'Appendix K'!$F$37+'Appendix K'!$H$37+'Appendix K'!$G$37))/((1+$Y$16)^AE$34))</f>
        <v>1388127.7977869716</v>
      </c>
      <c r="AF211" s="193">
        <f>(((I211*'Appendix K'!$C$12*1000)-('Appendix K'!$E$38+'Appendix K'!$F$38+'Appendix K'!$H$38+'Appendix K'!$G$38))/((1+$Y$16)^AF$34))</f>
        <v>679261.11804011953</v>
      </c>
      <c r="AG211" s="193">
        <f>(((J211*'Appendix K'!$C$13*1000)-('Appendix K'!$E$39+'Appendix K'!$F$39+'Appendix K'!$H$39+'Appendix K'!$G$39))/((1+$Y$16)^AG$34))</f>
        <v>-11310.921706157185</v>
      </c>
      <c r="AH211" s="193">
        <f>(((K211*'Appendix K'!$C$14*1000)-('Appendix K'!$E$40+'Appendix K'!$F$40+'Appendix K'!$H$40+'Appendix K'!$G$40))/((1+$Y$16)^AH$34))</f>
        <v>-600185.65615607309</v>
      </c>
      <c r="AI211" s="193">
        <f>(((L211*'Appendix K'!$C$15*1000)-('Appendix K'!$E$41+'Appendix K'!$F$41+'Appendix K'!$H$41+'Appendix K'!$G$41))/((1+$Y$16)^AI$34))</f>
        <v>-870823.75757025718</v>
      </c>
      <c r="AJ211" s="193">
        <f>(((M211*'Appendix K'!$C$16*1000)-('Appendix K'!$E$42+'Appendix K'!$F$42+'Appendix K'!$H$42+'Appendix K'!$G$42))/((1+$Y$16)^AJ$34))</f>
        <v>-823292.86826001073</v>
      </c>
      <c r="AK211" s="193">
        <f>(((N211*'Appendix K'!$C$17*1000)-('Appendix K'!$E$43+'Appendix K'!$F$43+'Appendix K'!$H$43))/((1+$Y$16)^AK$34))</f>
        <v>-604803.62456481077</v>
      </c>
      <c r="AL211" s="193">
        <f>(((O211*'Appendix K'!$C$18*1000)-('Appendix K'!$E$44+'Appendix K'!$F$44+'Appendix K'!$H$44+'Appendix K'!$G$44))/((1+$Y$16)^AL$34))</f>
        <v>-739219.33682712284</v>
      </c>
      <c r="AM211" s="193">
        <f>(((P211*'Appendix K'!$C$19*1000)-('Appendix K'!$E$45+'Appendix K'!$F$45+'Appendix K'!$H$45+'Appendix K'!$G$45))/((1+$Y$16)^AM$34))</f>
        <v>-682843.4499042728</v>
      </c>
      <c r="AN211" s="193">
        <f>(((Q211*'Appendix K'!$C$20*1000)-('Appendix K'!$E$46+'Appendix K'!$F$46+'Appendix K'!$H$46+'Appendix K'!$G$46))/((1+$Y$16)^AN$34))</f>
        <v>-661909.49648902589</v>
      </c>
      <c r="AO211" s="193">
        <f>(((R211*'Appendix K'!$C$21*1000)-('Appendix K'!$E$47+'Appendix K'!$F$47+'Appendix K'!$H$47+'Appendix K'!$G$47))/((1+$Y$16)^AO$34))</f>
        <v>-592810.6291827854</v>
      </c>
      <c r="AP211" s="193">
        <f>(((S211*'Appendix K'!$C$22*1000)-('Appendix K'!$E$48+'Appendix K'!$F$48+'Appendix K'!$H$48+'Appendix K'!$G$48))/((1+$Y$16)^AP$34))</f>
        <v>-471107.57460329845</v>
      </c>
      <c r="AQ211" s="193">
        <f>(((T211*'Appendix K'!$C$23*1000)-('Appendix K'!$E$49+'Appendix K'!$F$49+'Appendix K'!$H$49+'Appendix K'!$G$49))/((1+$Y$16)^AQ$34))</f>
        <v>-403199.44014743343</v>
      </c>
      <c r="AR211" s="193">
        <f>(((U211*'Appendix K'!$C$24*1000)-('Appendix K'!$E$50+'Appendix K'!$F$50+'Appendix K'!$H$50+'Appendix K'!$G$50))/((1+$Y$16)^AR$34))</f>
        <v>-347134.54214591457</v>
      </c>
      <c r="AS211" s="209">
        <f t="shared" si="20"/>
        <v>11557230.397118807</v>
      </c>
      <c r="AU211" s="199">
        <f t="shared" si="19"/>
        <v>2.8634526780731345E-9</v>
      </c>
    </row>
    <row r="212" spans="1:47" x14ac:dyDescent="0.35">
      <c r="A212">
        <v>178</v>
      </c>
      <c r="B212" s="70">
        <v>56</v>
      </c>
      <c r="C212" s="70">
        <v>33.660195530418349</v>
      </c>
      <c r="D212" s="70">
        <v>37.727224906773039</v>
      </c>
      <c r="E212" s="70">
        <v>46.326703252920979</v>
      </c>
      <c r="F212" s="70">
        <v>48.069182342648745</v>
      </c>
      <c r="G212" s="70">
        <v>52.843322291752287</v>
      </c>
      <c r="H212" s="70">
        <v>73.902752978014774</v>
      </c>
      <c r="I212" s="70">
        <v>72.759188400046568</v>
      </c>
      <c r="J212" s="70">
        <v>94.460184303343127</v>
      </c>
      <c r="K212" s="70">
        <v>113.17780041275074</v>
      </c>
      <c r="L212" s="70">
        <v>191.97303355467699</v>
      </c>
      <c r="M212" s="70">
        <v>127.45350700419431</v>
      </c>
      <c r="N212" s="70">
        <v>110.59355396284501</v>
      </c>
      <c r="O212" s="70">
        <v>144.03962674388703</v>
      </c>
      <c r="P212" s="70">
        <v>117.18125623789871</v>
      </c>
      <c r="Q212" s="70">
        <v>115.05391429625679</v>
      </c>
      <c r="R212" s="70">
        <v>186.21714256478617</v>
      </c>
      <c r="S212" s="70">
        <v>247.17168787634665</v>
      </c>
      <c r="T212" s="70">
        <v>287.1776868341953</v>
      </c>
      <c r="U212" s="70">
        <v>240.85272977363704</v>
      </c>
      <c r="V212" s="70">
        <v>253.46269343267312</v>
      </c>
      <c r="X212" s="193">
        <f>((0-('Appendix K'!$I$30))/(1+$Y$16)^0)</f>
        <v>-33594902.4440751</v>
      </c>
      <c r="Y212" s="193">
        <f>(((B212*'Appendix K'!$C$5*1000)-('Appendix K'!$E$31+'Appendix K'!$F$31+'Appendix K'!$H$31+'Appendix K'!$G$31))/((1+$Y$16)^1))</f>
        <v>34971064.972647354</v>
      </c>
      <c r="Z212" s="193">
        <f>+(((C212*'Appendix K'!$C$6*1000)-('Appendix K'!$E$32+'Appendix K'!$F$32+'Appendix K'!$H$32+'Appendix K'!$G$32))/((1+$Y$16)^2))</f>
        <v>5015893.4155982258</v>
      </c>
      <c r="AA212" s="193">
        <f>(((D212*'Appendix K'!$C$7*1000)-('Appendix K'!$E$33+'Appendix K'!$F$33+'Appendix K'!$H$33+'Appendix K'!$G$33))/((1+$Y$16)^3))</f>
        <v>1840602.3940180156</v>
      </c>
      <c r="AB212" s="193">
        <f>(((E212*'Appendix K'!$C$8*1000)-('Appendix K'!$E$34+'Appendix K'!$F$34+'Appendix K'!$H$34+'Appendix K'!$G$34))/((1+$Y$16)^4))</f>
        <v>6861181.3840353377</v>
      </c>
      <c r="AC212" s="193">
        <f>(((F212*'Appendix K'!$C$9*1000)-('Appendix K'!$E$35+'Appendix K'!$F$35+'Appendix K'!$H$35+'Appendix K'!$G$35))/((1+$Y$16)^AC$34))</f>
        <v>9792484.6653553192</v>
      </c>
      <c r="AD212" s="193">
        <f>(((G212*'Appendix K'!$C$10*1000)-('Appendix K'!$E$36+'Appendix K'!$F$36+'Appendix K'!$H$36+'Appendix K'!$G$36))/((1+$Y$16)^AD$34))</f>
        <v>5782961.1661561681</v>
      </c>
      <c r="AE212" s="193">
        <f>(((H212*'Appendix K'!$C$11*1000)-('Appendix K'!$E$37+'Appendix K'!$F$37+'Appendix K'!$H$37+'Appendix K'!$G$37))/((1+$Y$16)^AE$34))</f>
        <v>5150944.3811251819</v>
      </c>
      <c r="AF212" s="193">
        <f>(((I212*'Appendix K'!$C$12*1000)-('Appendix K'!$E$38+'Appendix K'!$F$38+'Appendix K'!$H$38+'Appendix K'!$G$38))/((1+$Y$16)^AF$34))</f>
        <v>2780965.8890927271</v>
      </c>
      <c r="AG212" s="193">
        <f>(((J212*'Appendix K'!$C$13*1000)-('Appendix K'!$E$39+'Appendix K'!$F$39+'Appendix K'!$H$39+'Appendix K'!$G$39))/((1+$Y$16)^AG$34))</f>
        <v>2532012.9802281461</v>
      </c>
      <c r="AH212" s="193">
        <f>(((K212*'Appendix K'!$C$14*1000)-('Appendix K'!$E$40+'Appendix K'!$F$40+'Appendix K'!$H$40+'Appendix K'!$G$40))/((1+$Y$16)^AH$34))</f>
        <v>2182089.4017554508</v>
      </c>
      <c r="AI212" s="193">
        <f>(((L212*'Appendix K'!$C$15*1000)-('Appendix K'!$E$41+'Appendix K'!$F$41+'Appendix K'!$H$41+'Appendix K'!$G$41))/((1+$Y$16)^AI$34))</f>
        <v>3513571.1221345747</v>
      </c>
      <c r="AJ212" s="193">
        <f>(((M212*'Appendix K'!$C$16*1000)-('Appendix K'!$E$42+'Appendix K'!$F$42+'Appendix K'!$H$42+'Appendix K'!$G$42))/((1+$Y$16)^AJ$34))</f>
        <v>1172855.274543114</v>
      </c>
      <c r="AK212" s="193">
        <f>(((N212*'Appendix K'!$C$17*1000)-('Appendix K'!$E$43+'Appendix K'!$F$43+'Appendix K'!$H$43))/((1+$Y$16)^AK$34))</f>
        <v>694889.40672946768</v>
      </c>
      <c r="AL212" s="193">
        <f>(((O212*'Appendix K'!$C$18*1000)-('Appendix K'!$E$44+'Appendix K'!$F$44+'Appendix K'!$H$44+'Appendix K'!$G$44))/((1+$Y$16)^AL$34))</f>
        <v>572754.95409150003</v>
      </c>
      <c r="AM212" s="193">
        <f>(((P212*'Appendix K'!$C$19*1000)-('Appendix K'!$E$45+'Appendix K'!$F$45+'Appendix K'!$H$45+'Appendix K'!$G$45))/((1+$Y$16)^AM$34))</f>
        <v>59355.693037412995</v>
      </c>
      <c r="AN212" s="193">
        <f>(((Q212*'Appendix K'!$C$20*1000)-('Appendix K'!$E$46+'Appendix K'!$F$46+'Appendix K'!$H$46+'Appendix K'!$G$46))/((1+$Y$16)^AN$34))</f>
        <v>-83153.760871834995</v>
      </c>
      <c r="AO212" s="193">
        <f>(((R212*'Appendix K'!$C$21*1000)-('Appendix K'!$E$47+'Appendix K'!$F$47+'Appendix K'!$H$47+'Appendix K'!$G$47))/((1+$Y$16)^AO$34))</f>
        <v>257564.96045428608</v>
      </c>
      <c r="AP212" s="193">
        <f>(((S212*'Appendix K'!$C$22*1000)-('Appendix K'!$E$48+'Appendix K'!$F$48+'Appendix K'!$H$48+'Appendix K'!$G$48))/((1+$Y$16)^AP$34))</f>
        <v>419429.78132113465</v>
      </c>
      <c r="AQ212" s="193">
        <f>(((T212*'Appendix K'!$C$23*1000)-('Appendix K'!$E$49+'Appendix K'!$F$49+'Appendix K'!$H$49+'Appendix K'!$G$49))/((1+$Y$16)^AQ$34))</f>
        <v>430454.31538393447</v>
      </c>
      <c r="AR212" s="193">
        <f>(((U212*'Appendix K'!$C$24*1000)-('Appendix K'!$E$50+'Appendix K'!$F$50+'Appendix K'!$H$50+'Appendix K'!$G$50))/((1+$Y$16)^AR$34))</f>
        <v>146263.66898137622</v>
      </c>
      <c r="AS212" s="209">
        <f t="shared" si="20"/>
        <v>50582437.382613651</v>
      </c>
      <c r="AU212" s="199">
        <f t="shared" si="19"/>
        <v>5.6814757065551822E-9</v>
      </c>
    </row>
    <row r="213" spans="1:47" x14ac:dyDescent="0.35">
      <c r="A213">
        <v>179</v>
      </c>
      <c r="B213" s="70">
        <v>56</v>
      </c>
      <c r="C213" s="70">
        <v>51.209392783907688</v>
      </c>
      <c r="D213" s="70">
        <v>27.047850771750959</v>
      </c>
      <c r="E213" s="70">
        <v>31.65013531220632</v>
      </c>
      <c r="F213" s="70">
        <v>27.387040982425859</v>
      </c>
      <c r="G213" s="70">
        <v>27.696877484980366</v>
      </c>
      <c r="H213" s="70">
        <v>21.933369027072832</v>
      </c>
      <c r="I213" s="70">
        <v>19.19482687939205</v>
      </c>
      <c r="J213" s="70">
        <v>14.218597980824072</v>
      </c>
      <c r="K213" s="70">
        <v>19.636776424879571</v>
      </c>
      <c r="L213" s="70">
        <v>29.861720309175805</v>
      </c>
      <c r="M213" s="70">
        <v>31.520984670603603</v>
      </c>
      <c r="N213" s="70">
        <v>29.267603755319278</v>
      </c>
      <c r="O213" s="70">
        <v>43.276981938640859</v>
      </c>
      <c r="P213" s="70">
        <v>56.18870184425991</v>
      </c>
      <c r="Q213" s="70">
        <v>56.461057610658074</v>
      </c>
      <c r="R213" s="70">
        <v>62.912309696133477</v>
      </c>
      <c r="S213" s="70">
        <v>81.845981344387553</v>
      </c>
      <c r="T213" s="70">
        <v>65.73174969671544</v>
      </c>
      <c r="U213" s="70">
        <v>90.850446989720012</v>
      </c>
      <c r="V213" s="70">
        <v>72.814309802517045</v>
      </c>
      <c r="X213" s="193">
        <f>((0-('Appendix K'!$I$30))/(1+$Y$16)^0)</f>
        <v>-33594902.4440751</v>
      </c>
      <c r="Y213" s="193">
        <f>(((B213*'Appendix K'!$C$5*1000)-('Appendix K'!$E$31+'Appendix K'!$F$31+'Appendix K'!$H$31+'Appendix K'!$G$31))/((1+$Y$16)^1))</f>
        <v>34971064.972647354</v>
      </c>
      <c r="Z213" s="193">
        <f>+(((C213*'Appendix K'!$C$6*1000)-('Appendix K'!$E$32+'Appendix K'!$F$32+'Appendix K'!$H$32+'Appendix K'!$G$32))/((1+$Y$16)^2))</f>
        <v>9449120.787927866</v>
      </c>
      <c r="AA213" s="193">
        <f>(((D213*'Appendix K'!$C$7*1000)-('Appendix K'!$E$33+'Appendix K'!$F$33+'Appendix K'!$H$33+'Appendix K'!$G$33))/((1+$Y$16)^3))</f>
        <v>480318.47670129547</v>
      </c>
      <c r="AB213" s="193">
        <f>(((E213*'Appendix K'!$C$8*1000)-('Appendix K'!$E$34+'Appendix K'!$F$34+'Appendix K'!$H$34+'Appendix K'!$G$34))/((1+$Y$16)^4))</f>
        <v>3644212.0424788473</v>
      </c>
      <c r="AC213" s="193">
        <f>(((F213*'Appendix K'!$C$9*1000)-('Appendix K'!$E$35+'Appendix K'!$F$35+'Appendix K'!$H$35+'Appendix K'!$G$35))/((1+$Y$16)^AC$34))</f>
        <v>4295203.9685979709</v>
      </c>
      <c r="AD213" s="193">
        <f>(((G213*'Appendix K'!$C$10*1000)-('Appendix K'!$E$36+'Appendix K'!$F$36+'Appendix K'!$H$36+'Appendix K'!$G$36))/((1+$Y$16)^AD$34))</f>
        <v>1833864.1071137078</v>
      </c>
      <c r="AE213" s="193">
        <f>(((H213*'Appendix K'!$C$11*1000)-('Appendix K'!$E$37+'Appendix K'!$F$37+'Appendix K'!$H$37+'Appendix K'!$G$37))/((1+$Y$16)^AE$34))</f>
        <v>-32358.746234548242</v>
      </c>
      <c r="AF213" s="193">
        <f>(((I213*'Appendix K'!$C$12*1000)-('Appendix K'!$E$38+'Appendix K'!$F$38+'Appendix K'!$H$38+'Appendix K'!$G$38))/((1+$Y$16)^AF$34))</f>
        <v>-736200.09114993131</v>
      </c>
      <c r="AG213" s="193">
        <f>(((J213*'Appendix K'!$C$13*1000)-('Appendix K'!$E$39+'Appendix K'!$F$39+'Appendix K'!$H$39+'Appendix K'!$G$39))/((1+$Y$16)^AG$34))</f>
        <v>-1160619.1693991036</v>
      </c>
      <c r="AH213" s="193">
        <f>(((K213*'Appendix K'!$C$14*1000)-('Appendix K'!$E$40+'Appendix K'!$F$40+'Appendix K'!$H$40+'Appendix K'!$G$40))/((1+$Y$16)^AH$34))</f>
        <v>-970853.62608988059</v>
      </c>
      <c r="AI213" s="193">
        <f>(((L213*'Appendix K'!$C$15*1000)-('Appendix K'!$E$41+'Appendix K'!$F$41+'Appendix K'!$H$41+'Appendix K'!$G$41))/((1+$Y$16)^AI$34))</f>
        <v>-734048.43453982426</v>
      </c>
      <c r="AJ213" s="193">
        <f>(((M213*'Appendix K'!$C$16*1000)-('Appendix K'!$E$42+'Appendix K'!$F$42+'Appendix K'!$H$42+'Appendix K'!$G$42))/((1+$Y$16)^AJ$34))</f>
        <v>-749811.57692572195</v>
      </c>
      <c r="AK213" s="193">
        <f>(((N213*'Appendix K'!$C$17*1000)-('Appendix K'!$E$43+'Appendix K'!$F$43+'Appendix K'!$H$43))/((1+$Y$16)^AK$34))</f>
        <v>-554594.15330941719</v>
      </c>
      <c r="AL213" s="193">
        <f>(((O213*'Appendix K'!$C$18*1000)-('Appendix K'!$E$44+'Appendix K'!$F$44+'Appendix K'!$H$44+'Appendix K'!$G$44))/((1+$Y$16)^AL$34))</f>
        <v>-621614.32440754201</v>
      </c>
      <c r="AM213" s="193">
        <f>(((P213*'Appendix K'!$C$19*1000)-('Appendix K'!$E$45+'Appendix K'!$F$45+'Appendix K'!$H$45+'Appendix K'!$G$45))/((1+$Y$16)^AM$34))</f>
        <v>-505967.93496282259</v>
      </c>
      <c r="AN213" s="193">
        <f>(((Q213*'Appendix K'!$C$20*1000)-('Appendix K'!$E$46+'Appendix K'!$F$46+'Appendix K'!$H$46+'Appendix K'!$G$46))/((1+$Y$16)^AN$34))</f>
        <v>-507144.38010536903</v>
      </c>
      <c r="AO213" s="193">
        <f>(((R213*'Appendix K'!$C$21*1000)-('Appendix K'!$E$47+'Appendix K'!$F$47+'Appendix K'!$H$47+'Appendix K'!$G$47))/((1+$Y$16)^AO$34))</f>
        <v>-471180.22452234797</v>
      </c>
      <c r="AP213" s="193">
        <f>(((S213*'Appendix K'!$C$22*1000)-('Appendix K'!$E$48+'Appendix K'!$F$48+'Appendix K'!$H$48+'Appendix K'!$G$48))/((1+$Y$16)^AP$34))</f>
        <v>-372433.95293268451</v>
      </c>
      <c r="AQ213" s="193">
        <f>(((T213*'Appendix K'!$C$23*1000)-('Appendix K'!$E$49+'Appendix K'!$F$49+'Appendix K'!$H$49+'Appendix K'!$G$49))/((1+$Y$16)^AQ$34))</f>
        <v>-436228.39095833269</v>
      </c>
      <c r="AR213" s="193">
        <f>(((U213*'Appendix K'!$C$24*1000)-('Appendix K'!$E$50+'Appendix K'!$F$50+'Appendix K'!$H$50+'Appendix K'!$G$50))/((1+$Y$16)^AR$34))</f>
        <v>-336747.88447558304</v>
      </c>
      <c r="AS213" s="209">
        <f t="shared" si="20"/>
        <v>21078881.911391936</v>
      </c>
      <c r="AU213" s="199">
        <f t="shared" si="19"/>
        <v>3.5353633224867576E-9</v>
      </c>
    </row>
    <row r="214" spans="1:47" x14ac:dyDescent="0.35">
      <c r="A214">
        <v>180</v>
      </c>
      <c r="B214" s="70">
        <v>56</v>
      </c>
      <c r="C214" s="70">
        <v>36.573349269159735</v>
      </c>
      <c r="D214" s="70">
        <v>61.176050730065398</v>
      </c>
      <c r="E214" s="70">
        <v>81.985060876881732</v>
      </c>
      <c r="F214" s="70">
        <v>79.142855616907312</v>
      </c>
      <c r="G214" s="70">
        <v>86.478342408151207</v>
      </c>
      <c r="H214" s="70">
        <v>85.451973365958324</v>
      </c>
      <c r="I214" s="70">
        <v>90.202375520341974</v>
      </c>
      <c r="J214" s="70">
        <v>93.709938822931036</v>
      </c>
      <c r="K214" s="70">
        <v>64.445742465204546</v>
      </c>
      <c r="L214" s="70">
        <v>58.673944731384559</v>
      </c>
      <c r="M214" s="70">
        <v>51.806898630193309</v>
      </c>
      <c r="N214" s="70">
        <v>66.297835489165408</v>
      </c>
      <c r="O214" s="70">
        <v>68.280255829862398</v>
      </c>
      <c r="P214" s="70">
        <v>76.520297737344634</v>
      </c>
      <c r="Q214" s="70">
        <v>98.750485603919785</v>
      </c>
      <c r="R214" s="70">
        <v>104.17614530257643</v>
      </c>
      <c r="S214" s="70">
        <v>134.31008965075992</v>
      </c>
      <c r="T214" s="70">
        <v>51.109111292498042</v>
      </c>
      <c r="U214" s="70">
        <v>66.543423306610364</v>
      </c>
      <c r="V214" s="70">
        <v>67.475848773773805</v>
      </c>
      <c r="X214" s="193">
        <f>((0-('Appendix K'!$I$30))/(1+$Y$16)^0)</f>
        <v>-33594902.4440751</v>
      </c>
      <c r="Y214" s="193">
        <f>(((B214*'Appendix K'!$C$5*1000)-('Appendix K'!$E$31+'Appendix K'!$F$31+'Appendix K'!$H$31+'Appendix K'!$G$31))/((1+$Y$16)^1))</f>
        <v>34971064.972647354</v>
      </c>
      <c r="Z214" s="193">
        <f>+(((C214*'Appendix K'!$C$6*1000)-('Appendix K'!$E$32+'Appendix K'!$F$32+'Appendix K'!$H$32+'Appendix K'!$G$32))/((1+$Y$16)^2))</f>
        <v>5751805.8740341747</v>
      </c>
      <c r="AA214" s="193">
        <f>(((D214*'Appendix K'!$C$7*1000)-('Appendix K'!$E$33+'Appendix K'!$F$33+'Appendix K'!$H$33+'Appendix K'!$G$33))/((1+$Y$16)^3))</f>
        <v>4827393.5902157351</v>
      </c>
      <c r="AB214" s="193">
        <f>(((E214*'Appendix K'!$C$8*1000)-('Appendix K'!$E$34+'Appendix K'!$F$34+'Appendix K'!$H$34+'Appendix K'!$G$34))/((1+$Y$16)^4))</f>
        <v>14677166.954361608</v>
      </c>
      <c r="AC214" s="193">
        <f>(((F214*'Appendix K'!$C$9*1000)-('Appendix K'!$E$35+'Appendix K'!$F$35+'Appendix K'!$H$35+'Appendix K'!$G$35))/((1+$Y$16)^AC$34))</f>
        <v>18051818.227230046</v>
      </c>
      <c r="AD214" s="193">
        <f>(((G214*'Appendix K'!$C$10*1000)-('Appendix K'!$E$36+'Appendix K'!$F$36+'Appendix K'!$H$36+'Appendix K'!$G$36))/((1+$Y$16)^AD$34))</f>
        <v>11065137.634566305</v>
      </c>
      <c r="AE214" s="193">
        <f>(((H214*'Appendix K'!$C$11*1000)-('Appendix K'!$E$37+'Appendix K'!$F$37+'Appendix K'!$H$37+'Appendix K'!$G$37))/((1+$Y$16)^AE$34))</f>
        <v>6302836.2375286408</v>
      </c>
      <c r="AF214" s="193">
        <f>(((I214*'Appendix K'!$C$12*1000)-('Appendix K'!$E$38+'Appendix K'!$F$38+'Appendix K'!$H$38+'Appendix K'!$G$38))/((1+$Y$16)^AF$34))</f>
        <v>3926327.8907074207</v>
      </c>
      <c r="AG214" s="193">
        <f>(((J214*'Appendix K'!$C$13*1000)-('Appendix K'!$E$39+'Appendix K'!$F$39+'Appendix K'!$H$39+'Appendix K'!$G$39))/((1+$Y$16)^AG$34))</f>
        <v>2497487.4840602726</v>
      </c>
      <c r="AH214" s="193">
        <f>(((K214*'Appendix K'!$C$14*1000)-('Appendix K'!$E$40+'Appendix K'!$F$40+'Appendix K'!$H$40+'Appendix K'!$G$40))/((1+$Y$16)^AH$34))</f>
        <v>539500.98666398111</v>
      </c>
      <c r="AI214" s="193">
        <f>(((L214*'Appendix K'!$C$15*1000)-('Appendix K'!$E$41+'Appendix K'!$F$41+'Appendix K'!$H$41+'Appendix K'!$G$41))/((1+$Y$16)^AI$34))</f>
        <v>20885.724445911939</v>
      </c>
      <c r="AJ214" s="193">
        <f>(((M214*'Appendix K'!$C$16*1000)-('Appendix K'!$E$42+'Appendix K'!$F$42+'Appendix K'!$H$42+'Appendix K'!$G$42))/((1+$Y$16)^AJ$34))</f>
        <v>-343243.98782152974</v>
      </c>
      <c r="AK214" s="193">
        <f>(((N214*'Appendix K'!$C$17*1000)-('Appendix K'!$E$43+'Appendix K'!$F$43+'Appendix K'!$H$43))/((1+$Y$16)^AK$34))</f>
        <v>14334.530066597703</v>
      </c>
      <c r="AL214" s="193">
        <f>(((O214*'Appendix K'!$C$18*1000)-('Appendix K'!$E$44+'Appendix K'!$F$44+'Appendix K'!$H$44+'Appendix K'!$G$44))/((1+$Y$16)^AL$34))</f>
        <v>-325243.16170839273</v>
      </c>
      <c r="AM214" s="193">
        <f>(((P214*'Appendix K'!$C$19*1000)-('Appendix K'!$E$45+'Appendix K'!$F$45+'Appendix K'!$H$45+'Appendix K'!$G$45))/((1+$Y$16)^AM$34))</f>
        <v>-317519.82572094921</v>
      </c>
      <c r="AN214" s="193">
        <f>(((Q214*'Appendix K'!$C$20*1000)-('Appendix K'!$E$46+'Appendix K'!$F$46+'Appendix K'!$H$46+'Appendix K'!$G$46))/((1+$Y$16)^AN$34))</f>
        <v>-201128.90695466343</v>
      </c>
      <c r="AO214" s="193">
        <f>(((R214*'Appendix K'!$C$21*1000)-('Appendix K'!$E$47+'Appendix K'!$F$47+'Appendix K'!$H$47+'Appendix K'!$G$47))/((1+$Y$16)^AO$34))</f>
        <v>-227306.39725805208</v>
      </c>
      <c r="AP214" s="193">
        <f>(((S214*'Appendix K'!$C$22*1000)-('Appendix K'!$E$48+'Appendix K'!$F$48+'Appendix K'!$H$48+'Appendix K'!$G$48))/((1+$Y$16)^AP$34))</f>
        <v>-121145.59863340996</v>
      </c>
      <c r="AQ214" s="193">
        <f>(((T214*'Appendix K'!$C$23*1000)-('Appendix K'!$E$49+'Appendix K'!$F$49+'Appendix K'!$H$49+'Appendix K'!$G$49))/((1+$Y$16)^AQ$34))</f>
        <v>-493457.65418100206</v>
      </c>
      <c r="AR214" s="193">
        <f>(((U214*'Appendix K'!$C$24*1000)-('Appendix K'!$E$50+'Appendix K'!$F$50+'Appendix K'!$H$50+'Appendix K'!$G$50))/((1+$Y$16)^AR$34))</f>
        <v>-415017.18179025495</v>
      </c>
      <c r="AS214" s="209">
        <f t="shared" si="20"/>
        <v>69050857.662452936</v>
      </c>
      <c r="AU214" s="199">
        <f t="shared" si="19"/>
        <v>6.6633781117489777E-9</v>
      </c>
    </row>
    <row r="215" spans="1:47" x14ac:dyDescent="0.35">
      <c r="A215">
        <v>181</v>
      </c>
      <c r="B215" s="70">
        <v>56</v>
      </c>
      <c r="C215" s="70">
        <v>76.935553970240704</v>
      </c>
      <c r="D215" s="70">
        <v>90.926472035821334</v>
      </c>
      <c r="E215" s="70">
        <v>82.118161304008339</v>
      </c>
      <c r="F215" s="70">
        <v>100.41762450484379</v>
      </c>
      <c r="G215" s="70">
        <v>124.19402249316133</v>
      </c>
      <c r="H215" s="70">
        <v>118.82668052287482</v>
      </c>
      <c r="I215" s="70">
        <v>147.58366162304907</v>
      </c>
      <c r="J215" s="70">
        <v>180.46146504394585</v>
      </c>
      <c r="K215" s="70">
        <v>127.31316807361974</v>
      </c>
      <c r="L215" s="70">
        <v>140.49210379509549</v>
      </c>
      <c r="M215" s="70">
        <v>160.15591355651136</v>
      </c>
      <c r="N215" s="70">
        <v>238.37437343014824</v>
      </c>
      <c r="O215" s="70">
        <v>248.25440702638568</v>
      </c>
      <c r="P215" s="70">
        <v>318.70213144909701</v>
      </c>
      <c r="Q215" s="70">
        <v>304.89286101307812</v>
      </c>
      <c r="R215" s="70">
        <v>241.09585795141919</v>
      </c>
      <c r="S215" s="70">
        <v>117.94734564674989</v>
      </c>
      <c r="T215" s="70">
        <v>94.736674359248326</v>
      </c>
      <c r="U215" s="70">
        <v>100.6924460553619</v>
      </c>
      <c r="V215" s="70">
        <v>68.187469613151677</v>
      </c>
      <c r="X215" s="193">
        <f>((0-('Appendix K'!$I$30))/(1+$Y$16)^0)</f>
        <v>-33594902.4440751</v>
      </c>
      <c r="Y215" s="193">
        <f>(((B215*'Appendix K'!$C$5*1000)-('Appendix K'!$E$31+'Appendix K'!$F$31+'Appendix K'!$H$31+'Appendix K'!$G$31))/((1+$Y$16)^1))</f>
        <v>34971064.972647354</v>
      </c>
      <c r="Z215" s="193">
        <f>+(((C215*'Appendix K'!$C$6*1000)-('Appendix K'!$E$32+'Appendix K'!$F$32+'Appendix K'!$H$32+'Appendix K'!$G$32))/((1+$Y$16)^2))</f>
        <v>15947989.101322608</v>
      </c>
      <c r="AA215" s="193">
        <f>(((D215*'Appendix K'!$C$7*1000)-('Appendix K'!$E$33+'Appendix K'!$F$33+'Appendix K'!$H$33+'Appendix K'!$G$33))/((1+$Y$16)^3))</f>
        <v>8616849.7066469248</v>
      </c>
      <c r="AB215" s="193">
        <f>(((E215*'Appendix K'!$C$8*1000)-('Appendix K'!$E$34+'Appendix K'!$F$34+'Appendix K'!$H$34+'Appendix K'!$G$34))/((1+$Y$16)^4))</f>
        <v>14706341.349570623</v>
      </c>
      <c r="AC215" s="193">
        <f>(((F215*'Appendix K'!$C$9*1000)-('Appendix K'!$E$35+'Appendix K'!$F$35+'Appendix K'!$H$35+'Appendix K'!$G$35))/((1+$Y$16)^AC$34))</f>
        <v>23706618.390261456</v>
      </c>
      <c r="AD215" s="193">
        <f>(((G215*'Appendix K'!$C$10*1000)-('Appendix K'!$E$36+'Appendix K'!$F$36+'Appendix K'!$H$36+'Appendix K'!$G$36))/((1+$Y$16)^AD$34))</f>
        <v>16988157.069241606</v>
      </c>
      <c r="AE215" s="193">
        <f>(((H215*'Appendix K'!$C$11*1000)-('Appendix K'!$E$37+'Appendix K'!$F$37+'Appendix K'!$H$37+'Appendix K'!$G$37))/((1+$Y$16)^AE$34))</f>
        <v>9631550.3924714942</v>
      </c>
      <c r="AF215" s="193">
        <f>(((I215*'Appendix K'!$C$12*1000)-('Appendix K'!$E$38+'Appendix K'!$F$38+'Appendix K'!$H$38+'Appendix K'!$G$38))/((1+$Y$16)^AF$34))</f>
        <v>7694122.402832618</v>
      </c>
      <c r="AG215" s="193">
        <f>(((J215*'Appendix K'!$C$13*1000)-('Appendix K'!$E$39+'Appendix K'!$F$39+'Appendix K'!$H$39+'Appendix K'!$G$39))/((1+$Y$16)^AG$34))</f>
        <v>6489700.1188577209</v>
      </c>
      <c r="AH215" s="193">
        <f>(((K215*'Appendix K'!$C$14*1000)-('Appendix K'!$E$40+'Appendix K'!$F$40+'Appendix K'!$H$40+'Appendix K'!$G$40))/((1+$Y$16)^AH$34))</f>
        <v>2658543.5500246226</v>
      </c>
      <c r="AI215" s="193">
        <f>(((L215*'Appendix K'!$C$15*1000)-('Appendix K'!$E$41+'Appendix K'!$F$41+'Appendix K'!$H$41+'Appendix K'!$G$41))/((1+$Y$16)^AI$34))</f>
        <v>2164674.4926228281</v>
      </c>
      <c r="AJ215" s="193">
        <f>(((M215*'Appendix K'!$C$16*1000)-('Appendix K'!$E$42+'Appendix K'!$F$42+'Appendix K'!$H$42+'Appendix K'!$G$42))/((1+$Y$16)^AJ$34))</f>
        <v>1828272.5565234227</v>
      </c>
      <c r="AK215" s="193">
        <f>(((N215*'Appendix K'!$C$17*1000)-('Appendix K'!$E$43+'Appendix K'!$F$43+'Appendix K'!$H$43))/((1+$Y$16)^AK$34))</f>
        <v>2658100.8147151754</v>
      </c>
      <c r="AL215" s="193">
        <f>(((O215*'Appendix K'!$C$18*1000)-('Appendix K'!$E$44+'Appendix K'!$F$44+'Appendix K'!$H$44+'Appendix K'!$G$44))/((1+$Y$16)^AL$34))</f>
        <v>1808043.4102006194</v>
      </c>
      <c r="AM215" s="193">
        <f>(((P215*'Appendix K'!$C$19*1000)-('Appendix K'!$E$45+'Appendix K'!$F$45+'Appendix K'!$H$45+'Appendix K'!$G$45))/((1+$Y$16)^AM$34))</f>
        <v>1927198.6359140452</v>
      </c>
      <c r="AN215" s="193">
        <f>(((Q215*'Appendix K'!$C$20*1000)-('Appendix K'!$E$46+'Appendix K'!$F$46+'Appendix K'!$H$46+'Appendix K'!$G$46))/((1+$Y$16)^AN$34))</f>
        <v>1290562.031908246</v>
      </c>
      <c r="AO215" s="193">
        <f>(((R215*'Appendix K'!$C$21*1000)-('Appendix K'!$E$47+'Appendix K'!$F$47+'Appendix K'!$H$47+'Appendix K'!$G$47))/((1+$Y$16)^AO$34))</f>
        <v>581904.23139197123</v>
      </c>
      <c r="AP215" s="193">
        <f>(((S215*'Appendix K'!$C$22*1000)-('Appendix K'!$E$48+'Appendix K'!$F$48+'Appendix K'!$H$48+'Appendix K'!$G$48))/((1+$Y$16)^AP$34))</f>
        <v>-199518.55007245266</v>
      </c>
      <c r="AQ215" s="193">
        <f>(((T215*'Appendix K'!$C$23*1000)-('Appendix K'!$E$49+'Appendix K'!$F$49+'Appendix K'!$H$49+'Appendix K'!$G$49))/((1+$Y$16)^AQ$34))</f>
        <v>-322710.54128032684</v>
      </c>
      <c r="AR215" s="193">
        <f>(((U215*'Appendix K'!$C$24*1000)-('Appendix K'!$E$50+'Appendix K'!$F$50+'Appendix K'!$H$50+'Appendix K'!$G$50))/((1+$Y$16)^AR$34))</f>
        <v>-305056.37172263628</v>
      </c>
      <c r="AS215" s="209">
        <f t="shared" si="20"/>
        <v>120074790.78307822</v>
      </c>
      <c r="AU215" s="199">
        <f t="shared" si="19"/>
        <v>5.9690498224137025E-9</v>
      </c>
    </row>
    <row r="216" spans="1:47" x14ac:dyDescent="0.35">
      <c r="A216">
        <v>182</v>
      </c>
      <c r="B216" s="70">
        <v>56</v>
      </c>
      <c r="C216" s="70">
        <v>63.136936270344549</v>
      </c>
      <c r="D216" s="70">
        <v>87.383573546237429</v>
      </c>
      <c r="E216" s="70">
        <v>84.855959322627385</v>
      </c>
      <c r="F216" s="70">
        <v>96.796826798634953</v>
      </c>
      <c r="G216" s="70">
        <v>100.34819681792152</v>
      </c>
      <c r="H216" s="70">
        <v>131.81229551304642</v>
      </c>
      <c r="I216" s="70">
        <v>114.11854088603815</v>
      </c>
      <c r="J216" s="70">
        <v>84.853523503680563</v>
      </c>
      <c r="K216" s="70">
        <v>77.626121855974318</v>
      </c>
      <c r="L216" s="70">
        <v>75.572111209260243</v>
      </c>
      <c r="M216" s="70">
        <v>86.001068272285323</v>
      </c>
      <c r="N216" s="70">
        <v>133.35987169382864</v>
      </c>
      <c r="O216" s="70">
        <v>130.4431846269587</v>
      </c>
      <c r="P216" s="70">
        <v>173.8951033123148</v>
      </c>
      <c r="Q216" s="70">
        <v>105.6399122874875</v>
      </c>
      <c r="R216" s="70">
        <v>120.41740594861029</v>
      </c>
      <c r="S216" s="70">
        <v>118.00773755074675</v>
      </c>
      <c r="T216" s="70">
        <v>127.63343576798214</v>
      </c>
      <c r="U216" s="70">
        <v>123.69492389926657</v>
      </c>
      <c r="V216" s="70">
        <v>85.263988472231915</v>
      </c>
      <c r="X216" s="193">
        <f>((0-('Appendix K'!$I$30))/(1+$Y$16)^0)</f>
        <v>-33594902.4440751</v>
      </c>
      <c r="Y216" s="193">
        <f>(((B216*'Appendix K'!$C$5*1000)-('Appendix K'!$E$31+'Appendix K'!$F$31+'Appendix K'!$H$31+'Appendix K'!$G$31))/((1+$Y$16)^1))</f>
        <v>34971064.972647354</v>
      </c>
      <c r="Z216" s="193">
        <f>+(((C216*'Appendix K'!$C$6*1000)-('Appendix K'!$E$32+'Appendix K'!$F$32+'Appendix K'!$H$32+'Appendix K'!$G$32))/((1+$Y$16)^2))</f>
        <v>12462222.270858103</v>
      </c>
      <c r="AA216" s="193">
        <f>(((D216*'Appendix K'!$C$7*1000)-('Appendix K'!$E$33+'Appendix K'!$F$33+'Appendix K'!$H$33+'Appendix K'!$G$33))/((1+$Y$16)^3))</f>
        <v>8165573.4637571806</v>
      </c>
      <c r="AB216" s="193">
        <f>(((E216*'Appendix K'!$C$8*1000)-('Appendix K'!$E$34+'Appendix K'!$F$34+'Appendix K'!$H$34+'Appendix K'!$G$34))/((1+$Y$16)^4))</f>
        <v>15306441.613123296</v>
      </c>
      <c r="AC216" s="193">
        <f>(((F216*'Appendix K'!$C$9*1000)-('Appendix K'!$E$35+'Appendix K'!$F$35+'Appendix K'!$H$35+'Appendix K'!$G$35))/((1+$Y$16)^AC$34))</f>
        <v>22744216.045623839</v>
      </c>
      <c r="AD216" s="193">
        <f>(((G216*'Appendix K'!$C$10*1000)-('Appendix K'!$E$36+'Appendix K'!$F$36+'Appendix K'!$H$36+'Appendix K'!$G$36))/((1+$Y$16)^AD$34))</f>
        <v>13243314.378032669</v>
      </c>
      <c r="AE216" s="193">
        <f>(((H216*'Appendix K'!$C$11*1000)-('Appendix K'!$E$37+'Appendix K'!$F$37+'Appendix K'!$H$37+'Appendix K'!$G$37))/((1+$Y$16)^AE$34))</f>
        <v>10926704.840574699</v>
      </c>
      <c r="AF216" s="193">
        <f>(((I216*'Appendix K'!$C$12*1000)-('Appendix K'!$E$38+'Appendix K'!$F$38+'Appendix K'!$H$38+'Appendix K'!$G$38))/((1+$Y$16)^AF$34))</f>
        <v>5496721.3540860247</v>
      </c>
      <c r="AG216" s="193">
        <f>(((J216*'Appendix K'!$C$13*1000)-('Appendix K'!$E$39+'Appendix K'!$F$39+'Appendix K'!$H$39+'Appendix K'!$G$39))/((1+$Y$16)^AG$34))</f>
        <v>2089924.7047444601</v>
      </c>
      <c r="AH216" s="193">
        <f>(((K216*'Appendix K'!$C$14*1000)-('Appendix K'!$E$40+'Appendix K'!$F$40+'Appendix K'!$H$40+'Appendix K'!$G$40))/((1+$Y$16)^AH$34))</f>
        <v>983765.79725523875</v>
      </c>
      <c r="AI216" s="193">
        <f>(((L216*'Appendix K'!$C$15*1000)-('Appendix K'!$E$41+'Appendix K'!$F$41+'Appendix K'!$H$41+'Appendix K'!$G$41))/((1+$Y$16)^AI$34))</f>
        <v>463649.28589251777</v>
      </c>
      <c r="AJ216" s="193">
        <f>(((M216*'Appendix K'!$C$16*1000)-('Appendix K'!$E$42+'Appendix K'!$F$42+'Appendix K'!$H$42+'Appendix K'!$G$42))/((1+$Y$16)^AJ$34))</f>
        <v>342071.01156666077</v>
      </c>
      <c r="AK216" s="193">
        <f>(((N216*'Appendix K'!$C$17*1000)-('Appendix K'!$E$43+'Appendix K'!$F$43+'Appendix K'!$H$43))/((1+$Y$16)^AK$34))</f>
        <v>1044668.7779498174</v>
      </c>
      <c r="AL216" s="193">
        <f>(((O216*'Appendix K'!$C$18*1000)-('Appendix K'!$E$44+'Appendix K'!$F$44+'Appendix K'!$H$44+'Appendix K'!$G$44))/((1+$Y$16)^AL$34))</f>
        <v>411592.324897549</v>
      </c>
      <c r="AM216" s="193">
        <f>(((P216*'Appendix K'!$C$19*1000)-('Appendix K'!$E$45+'Appendix K'!$F$45+'Appendix K'!$H$45+'Appendix K'!$G$45))/((1+$Y$16)^AM$34))</f>
        <v>585021.13047813938</v>
      </c>
      <c r="AN216" s="193">
        <f>(((Q216*'Appendix K'!$C$20*1000)-('Appendix K'!$E$46+'Appendix K'!$F$46+'Appendix K'!$H$46+'Appendix K'!$G$46))/((1+$Y$16)^AN$34))</f>
        <v>-151275.52121851675</v>
      </c>
      <c r="AO216" s="193">
        <f>(((R216*'Appendix K'!$C$21*1000)-('Appendix K'!$E$47+'Appendix K'!$F$47+'Appendix K'!$H$47+'Appendix K'!$G$47))/((1+$Y$16)^AO$34))</f>
        <v>-131318.75250486229</v>
      </c>
      <c r="AP216" s="193">
        <f>(((S216*'Appendix K'!$C$22*1000)-('Appendix K'!$E$48+'Appendix K'!$F$48+'Appendix K'!$H$48+'Appendix K'!$G$48))/((1+$Y$16)^AP$34))</f>
        <v>-199229.28980179771</v>
      </c>
      <c r="AQ216" s="193">
        <f>(((T216*'Appendix K'!$C$23*1000)-('Appendix K'!$E$49+'Appendix K'!$F$49+'Appendix K'!$H$49+'Appendix K'!$G$49))/((1+$Y$16)^AQ$34))</f>
        <v>-193961.0389134498</v>
      </c>
      <c r="AR216" s="193">
        <f>(((U216*'Appendix K'!$C$24*1000)-('Appendix K'!$E$50+'Appendix K'!$F$50+'Appendix K'!$H$50+'Appendix K'!$G$50))/((1+$Y$16)^AR$34))</f>
        <v>-230987.74856208975</v>
      </c>
      <c r="AS216" s="209">
        <f t="shared" si="20"/>
        <v>95642049.527412415</v>
      </c>
      <c r="AU216" s="199">
        <f t="shared" si="19"/>
        <v>6.9597413275013179E-9</v>
      </c>
    </row>
    <row r="217" spans="1:47" x14ac:dyDescent="0.35">
      <c r="A217">
        <v>183</v>
      </c>
      <c r="B217" s="70">
        <v>56</v>
      </c>
      <c r="C217" s="70">
        <v>64.097642435093405</v>
      </c>
      <c r="D217" s="70">
        <v>59.0243247221632</v>
      </c>
      <c r="E217" s="70">
        <v>61.719285023481071</v>
      </c>
      <c r="F217" s="70">
        <v>70.167520609297526</v>
      </c>
      <c r="G217" s="70">
        <v>76.993264013178774</v>
      </c>
      <c r="H217" s="70">
        <v>84.221248548608386</v>
      </c>
      <c r="I217" s="70">
        <v>82.488056915440325</v>
      </c>
      <c r="J217" s="70">
        <v>68.794119564713725</v>
      </c>
      <c r="K217" s="70">
        <v>88.991503672392554</v>
      </c>
      <c r="L217" s="70">
        <v>97.741611240544287</v>
      </c>
      <c r="M217" s="70">
        <v>144.34705562853364</v>
      </c>
      <c r="N217" s="70">
        <v>171.92982729590727</v>
      </c>
      <c r="O217" s="70">
        <v>194.42639762952393</v>
      </c>
      <c r="P217" s="70">
        <v>196.36125963254557</v>
      </c>
      <c r="Q217" s="70">
        <v>246.34327380477947</v>
      </c>
      <c r="R217" s="70">
        <v>225.95592462062388</v>
      </c>
      <c r="S217" s="70">
        <v>107.95828119405188</v>
      </c>
      <c r="T217" s="70">
        <v>160.53950157689519</v>
      </c>
      <c r="U217" s="70">
        <v>219.12746854930927</v>
      </c>
      <c r="V217" s="70">
        <v>276.97539872664584</v>
      </c>
      <c r="X217" s="193">
        <f>((0-('Appendix K'!$I$30))/(1+$Y$16)^0)</f>
        <v>-33594902.4440751</v>
      </c>
      <c r="Y217" s="193">
        <f>(((B217*'Appendix K'!$C$5*1000)-('Appendix K'!$E$31+'Appendix K'!$F$31+'Appendix K'!$H$31+'Appendix K'!$G$31))/((1+$Y$16)^1))</f>
        <v>34971064.972647354</v>
      </c>
      <c r="Z217" s="193">
        <f>+(((C217*'Appendix K'!$C$6*1000)-('Appendix K'!$E$32+'Appendix K'!$F$32+'Appendix K'!$H$32+'Appendix K'!$G$32))/((1+$Y$16)^2))</f>
        <v>12704913.079150414</v>
      </c>
      <c r="AA217" s="193">
        <f>(((D217*'Appendix K'!$C$7*1000)-('Appendix K'!$E$33+'Appendix K'!$F$33+'Appendix K'!$H$33+'Appendix K'!$G$33))/((1+$Y$16)^3))</f>
        <v>4553317.7646088051</v>
      </c>
      <c r="AB217" s="193">
        <f>(((E217*'Appendix K'!$C$8*1000)-('Appendix K'!$E$34+'Appendix K'!$F$34+'Appendix K'!$H$34+'Appendix K'!$G$34))/((1+$Y$16)^4))</f>
        <v>10235094.402618205</v>
      </c>
      <c r="AC217" s="193">
        <f>(((F217*'Appendix K'!$C$9*1000)-('Appendix K'!$E$35+'Appendix K'!$F$35+'Appendix K'!$H$35+'Appendix K'!$G$35))/((1+$Y$16)^AC$34))</f>
        <v>15666188.276012463</v>
      </c>
      <c r="AD217" s="193">
        <f>(((G217*'Appendix K'!$C$10*1000)-('Appendix K'!$E$36+'Appendix K'!$F$36+'Appendix K'!$H$36+'Appendix K'!$G$36))/((1+$Y$16)^AD$34))</f>
        <v>9575563.4429777768</v>
      </c>
      <c r="AE217" s="193">
        <f>(((H217*'Appendix K'!$C$11*1000)-('Appendix K'!$E$37+'Appendix K'!$F$37+'Appendix K'!$H$37+'Appendix K'!$G$37))/((1+$Y$16)^AE$34))</f>
        <v>6180086.6624959428</v>
      </c>
      <c r="AF217" s="193">
        <f>(((I217*'Appendix K'!$C$12*1000)-('Appendix K'!$E$38+'Appendix K'!$F$38+'Appendix K'!$H$38+'Appendix K'!$G$38))/((1+$Y$16)^AF$34))</f>
        <v>3419787.008157169</v>
      </c>
      <c r="AG217" s="193">
        <f>(((J217*'Appendix K'!$C$13*1000)-('Appendix K'!$E$39+'Appendix K'!$F$39+'Appendix K'!$H$39+'Appendix K'!$G$39))/((1+$Y$16)^AG$34))</f>
        <v>1350888.0778945612</v>
      </c>
      <c r="AH217" s="193">
        <f>(((K217*'Appendix K'!$C$14*1000)-('Appendix K'!$E$40+'Appendix K'!$F$40+'Appendix K'!$H$40+'Appendix K'!$G$40))/((1+$Y$16)^AH$34))</f>
        <v>1366853.3435442597</v>
      </c>
      <c r="AI217" s="193">
        <f>(((L217*'Appendix K'!$C$15*1000)-('Appendix K'!$E$41+'Appendix K'!$F$41+'Appendix K'!$H$41+'Appendix K'!$G$41))/((1+$Y$16)^AI$34))</f>
        <v>1044531.6438805045</v>
      </c>
      <c r="AJ217" s="193">
        <f>(((M217*'Appendix K'!$C$16*1000)-('Appendix K'!$E$42+'Appendix K'!$F$42+'Appendix K'!$H$42+'Appendix K'!$G$42))/((1+$Y$16)^AJ$34))</f>
        <v>1511433.5288576172</v>
      </c>
      <c r="AK217" s="193">
        <f>(((N217*'Appendix K'!$C$17*1000)-('Appendix K'!$E$43+'Appendix K'!$F$43+'Appendix K'!$H$43))/((1+$Y$16)^AK$34))</f>
        <v>1637253.6209581112</v>
      </c>
      <c r="AL217" s="193">
        <f>(((O217*'Appendix K'!$C$18*1000)-('Appendix K'!$E$44+'Appendix K'!$F$44+'Appendix K'!$H$44+'Appendix K'!$G$44))/((1+$Y$16)^AL$34))</f>
        <v>1170004.1758134114</v>
      </c>
      <c r="AM217" s="193">
        <f>(((P217*'Appendix K'!$C$19*1000)-('Appendix K'!$E$45+'Appendix K'!$F$45+'Appendix K'!$H$45+'Appendix K'!$G$45))/((1+$Y$16)^AM$34))</f>
        <v>793253.90781362832</v>
      </c>
      <c r="AN217" s="193">
        <f>(((Q217*'Appendix K'!$C$20*1000)-('Appendix K'!$E$46+'Appendix K'!$F$46+'Appendix K'!$H$46+'Appendix K'!$G$46))/((1+$Y$16)^AN$34))</f>
        <v>866884.51999721094</v>
      </c>
      <c r="AO217" s="193">
        <f>(((R217*'Appendix K'!$C$21*1000)-('Appendix K'!$E$47+'Appendix K'!$F$47+'Appendix K'!$H$47+'Appendix K'!$G$47))/((1+$Y$16)^AO$34))</f>
        <v>492425.55274652742</v>
      </c>
      <c r="AP217" s="193">
        <f>(((S217*'Appendix K'!$C$22*1000)-('Appendix K'!$E$48+'Appendix K'!$F$48+'Appendix K'!$H$48+'Appendix K'!$G$48))/((1+$Y$16)^AP$34))</f>
        <v>-247363.36528687592</v>
      </c>
      <c r="AQ217" s="193">
        <f>(((T217*'Appendix K'!$C$23*1000)-('Appendix K'!$E$49+'Appendix K'!$F$49+'Appendix K'!$H$49+'Appendix K'!$G$49))/((1+$Y$16)^AQ$34))</f>
        <v>-65175.121506258707</v>
      </c>
      <c r="AR217" s="193">
        <f>(((U217*'Appendix K'!$C$24*1000)-('Appendix K'!$E$50+'Appendix K'!$F$50+'Appendix K'!$H$50+'Appendix K'!$G$50))/((1+$Y$16)^AR$34))</f>
        <v>76307.719122019233</v>
      </c>
      <c r="AS217" s="209">
        <f t="shared" si="20"/>
        <v>74020949.25522086</v>
      </c>
      <c r="AU217" s="199">
        <f t="shared" si="19"/>
        <v>6.8308050848615666E-9</v>
      </c>
    </row>
    <row r="218" spans="1:47" x14ac:dyDescent="0.35">
      <c r="A218">
        <v>184</v>
      </c>
      <c r="B218" s="70">
        <v>56</v>
      </c>
      <c r="C218" s="70">
        <v>71.860211024558851</v>
      </c>
      <c r="D218" s="70">
        <v>79.333228348879956</v>
      </c>
      <c r="E218" s="70">
        <v>90.232145954008857</v>
      </c>
      <c r="F218" s="70">
        <v>110.88053171313564</v>
      </c>
      <c r="G218" s="70">
        <v>154.4017495004484</v>
      </c>
      <c r="H218" s="70">
        <v>176.54484723931483</v>
      </c>
      <c r="I218" s="70">
        <v>289.80686993067047</v>
      </c>
      <c r="J218" s="70">
        <v>291.0815683857474</v>
      </c>
      <c r="K218" s="70">
        <v>394.7702007677189</v>
      </c>
      <c r="L218" s="70">
        <v>396.1222634652014</v>
      </c>
      <c r="M218" s="70">
        <v>500</v>
      </c>
      <c r="N218" s="70">
        <v>420.35069804866305</v>
      </c>
      <c r="O218" s="70">
        <v>289.31810043786612</v>
      </c>
      <c r="P218" s="70">
        <v>355.96184576503998</v>
      </c>
      <c r="Q218" s="70">
        <v>431.44972892101202</v>
      </c>
      <c r="R218" s="70">
        <v>500</v>
      </c>
      <c r="S218" s="70">
        <v>500</v>
      </c>
      <c r="T218" s="70">
        <v>500</v>
      </c>
      <c r="U218" s="70">
        <v>500</v>
      </c>
      <c r="V218" s="70">
        <v>500</v>
      </c>
      <c r="X218" s="193">
        <f>((0-('Appendix K'!$I$30))/(1+$Y$16)^0)</f>
        <v>-33594902.4440751</v>
      </c>
      <c r="Y218" s="193">
        <f>(((B218*'Appendix K'!$C$5*1000)-('Appendix K'!$E$31+'Appendix K'!$F$31+'Appendix K'!$H$31+'Appendix K'!$G$31))/((1+$Y$16)^1))</f>
        <v>34971064.972647354</v>
      </c>
      <c r="Z218" s="193">
        <f>+(((C218*'Appendix K'!$C$6*1000)-('Appendix K'!$E$32+'Appendix K'!$F$32+'Appendix K'!$H$32+'Appendix K'!$G$32))/((1+$Y$16)^2))</f>
        <v>14665870.669023195</v>
      </c>
      <c r="AA218" s="193">
        <f>(((D218*'Appendix K'!$C$7*1000)-('Appendix K'!$E$33+'Appendix K'!$F$33+'Appendix K'!$H$33+'Appendix K'!$G$33))/((1+$Y$16)^3))</f>
        <v>7140161.7718021991</v>
      </c>
      <c r="AB218" s="193">
        <f>(((E218*'Appendix K'!$C$8*1000)-('Appendix K'!$E$34+'Appendix K'!$F$34+'Appendix K'!$H$34+'Appendix K'!$G$34))/((1+$Y$16)^4))</f>
        <v>16484852.508470392</v>
      </c>
      <c r="AC218" s="193">
        <f>(((F218*'Appendix K'!$C$9*1000)-('Appendix K'!$E$35+'Appendix K'!$F$35+'Appendix K'!$H$35+'Appendix K'!$G$35))/((1+$Y$16)^AC$34))</f>
        <v>26487642.696512796</v>
      </c>
      <c r="AD218" s="193">
        <f>(((G218*'Appendix K'!$C$10*1000)-('Appendix K'!$E$36+'Appendix K'!$F$36+'Appendix K'!$H$36+'Appendix K'!$G$36))/((1+$Y$16)^AD$34))</f>
        <v>21732097.884792168</v>
      </c>
      <c r="AE218" s="193">
        <f>(((H218*'Appendix K'!$C$11*1000)-('Appendix K'!$E$37+'Appendix K'!$F$37+'Appendix K'!$H$37+'Appendix K'!$G$37))/((1+$Y$16)^AE$34))</f>
        <v>15388223.481558042</v>
      </c>
      <c r="AF218" s="193">
        <f>(((I218*'Appendix K'!$C$12*1000)-('Appendix K'!$E$38+'Appendix K'!$F$38+'Appendix K'!$H$38+'Appendix K'!$G$38))/((1+$Y$16)^AF$34))</f>
        <v>17032843.441589784</v>
      </c>
      <c r="AG218" s="193">
        <f>(((J218*'Appendix K'!$C$13*1000)-('Appendix K'!$E$39+'Appendix K'!$F$39+'Appendix K'!$H$39+'Appendix K'!$G$39))/((1+$Y$16)^AG$34))</f>
        <v>11580319.194522595</v>
      </c>
      <c r="AH218" s="193">
        <f>(((K218*'Appendix K'!$C$14*1000)-('Appendix K'!$E$40+'Appendix K'!$F$40+'Appendix K'!$H$40+'Appendix K'!$G$40))/((1+$Y$16)^AH$34))</f>
        <v>11673591.178650141</v>
      </c>
      <c r="AI218" s="193">
        <f>(((L218*'Appendix K'!$C$15*1000)-('Appendix K'!$E$41+'Appendix K'!$F$41+'Appendix K'!$H$41+'Appendix K'!$G$41))/((1+$Y$16)^AI$34))</f>
        <v>8862662.7067222167</v>
      </c>
      <c r="AJ218" s="193">
        <f>(((M218*'Appendix K'!$C$16*1000)-('Appendix K'!$E$42+'Appendix K'!$F$42+'Appendix K'!$H$42+'Appendix K'!$G$42))/((1+$Y$16)^AJ$34))</f>
        <v>8639382.5302660316</v>
      </c>
      <c r="AK218" s="193">
        <f>(((N218*'Appendix K'!$C$17*1000)-('Appendix K'!$E$43+'Appendix K'!$F$43+'Appendix K'!$H$43))/((1+$Y$16)^AK$34))</f>
        <v>5453966.4067792036</v>
      </c>
      <c r="AL218" s="193">
        <f>(((O218*'Appendix K'!$C$18*1000)-('Appendix K'!$E$44+'Appendix K'!$F$44+'Appendix K'!$H$44+'Appendix K'!$G$44))/((1+$Y$16)^AL$34))</f>
        <v>2294783.4512859872</v>
      </c>
      <c r="AM218" s="193">
        <f>(((P218*'Appendix K'!$C$19*1000)-('Appendix K'!$E$45+'Appendix K'!$F$45+'Appendix K'!$H$45+'Appendix K'!$G$45))/((1+$Y$16)^AM$34))</f>
        <v>2272548.9345652205</v>
      </c>
      <c r="AN218" s="193">
        <f>(((Q218*'Appendix K'!$C$20*1000)-('Appendix K'!$E$46+'Appendix K'!$F$46+'Appendix K'!$H$46+'Appendix K'!$G$46))/((1+$Y$16)^AN$34))</f>
        <v>2206354.9771211403</v>
      </c>
      <c r="AO218" s="193">
        <f>(((R218*'Appendix K'!$C$21*1000)-('Appendix K'!$E$47+'Appendix K'!$F$47+'Appendix K'!$H$47+'Appendix K'!$G$47))/((1+$Y$16)^AO$34))</f>
        <v>2112056.3146391152</v>
      </c>
      <c r="AP218" s="193">
        <f>(((S218*'Appendix K'!$C$22*1000)-('Appendix K'!$E$48+'Appendix K'!$F$48+'Appendix K'!$H$48+'Appendix K'!$G$48))/((1+$Y$16)^AP$34))</f>
        <v>1630406.4380253027</v>
      </c>
      <c r="AQ218" s="193">
        <f>(((T218*'Appendix K'!$C$23*1000)-('Appendix K'!$E$49+'Appendix K'!$F$49+'Appendix K'!$H$49+'Appendix K'!$G$49))/((1+$Y$16)^AQ$34))</f>
        <v>1263386.3652054211</v>
      </c>
      <c r="AR218" s="193">
        <f>(((U218*'Appendix K'!$C$24*1000)-('Appendix K'!$E$50+'Appendix K'!$F$50+'Appendix K'!$H$50+'Appendix K'!$G$50))/((1+$Y$16)^AR$34))</f>
        <v>980725.14012097823</v>
      </c>
      <c r="AS218" s="209">
        <f t="shared" si="20"/>
        <v>179278038.62022415</v>
      </c>
      <c r="AU218" s="199">
        <f t="shared" si="19"/>
        <v>1.907520775121935E-9</v>
      </c>
    </row>
    <row r="219" spans="1:47" x14ac:dyDescent="0.35">
      <c r="A219">
        <v>185</v>
      </c>
      <c r="B219" s="70">
        <v>56</v>
      </c>
      <c r="C219" s="70">
        <v>58.027381676893221</v>
      </c>
      <c r="D219" s="70">
        <v>80.411679830351645</v>
      </c>
      <c r="E219" s="70">
        <v>49.125122173502874</v>
      </c>
      <c r="F219" s="70">
        <v>66.584526991073957</v>
      </c>
      <c r="G219" s="70">
        <v>82.050184774246162</v>
      </c>
      <c r="H219" s="70">
        <v>72.927236917123707</v>
      </c>
      <c r="I219" s="70">
        <v>95.570273823114121</v>
      </c>
      <c r="J219" s="70">
        <v>97.907867151616529</v>
      </c>
      <c r="K219" s="70">
        <v>75.097958705616605</v>
      </c>
      <c r="L219" s="70">
        <v>89.579811649388319</v>
      </c>
      <c r="M219" s="70">
        <v>76.691278977092409</v>
      </c>
      <c r="N219" s="70">
        <v>98.369541937681703</v>
      </c>
      <c r="O219" s="70">
        <v>103.07727933970068</v>
      </c>
      <c r="P219" s="70">
        <v>117.55888833499449</v>
      </c>
      <c r="Q219" s="70">
        <v>79.602949660737224</v>
      </c>
      <c r="R219" s="70">
        <v>104.31619232034365</v>
      </c>
      <c r="S219" s="70">
        <v>110.79813480489172</v>
      </c>
      <c r="T219" s="70">
        <v>159.53037409349835</v>
      </c>
      <c r="U219" s="70">
        <v>129.60525140555529</v>
      </c>
      <c r="V219" s="70">
        <v>119.85501471726744</v>
      </c>
      <c r="X219" s="193">
        <f>((0-('Appendix K'!$I$30))/(1+$Y$16)^0)</f>
        <v>-33594902.4440751</v>
      </c>
      <c r="Y219" s="193">
        <f>(((B219*'Appendix K'!$C$5*1000)-('Appendix K'!$E$31+'Appendix K'!$F$31+'Appendix K'!$H$31+'Appendix K'!$G$31))/((1+$Y$16)^1))</f>
        <v>34971064.972647354</v>
      </c>
      <c r="Z219" s="193">
        <f>+(((C219*'Appendix K'!$C$6*1000)-('Appendix K'!$E$32+'Appendix K'!$F$32+'Appendix K'!$H$32+'Appendix K'!$G$32))/((1+$Y$16)^2))</f>
        <v>11171461.391206065</v>
      </c>
      <c r="AA219" s="193">
        <f>(((D219*'Appendix K'!$C$7*1000)-('Appendix K'!$E$33+'Appendix K'!$F$33+'Appendix K'!$H$33+'Appendix K'!$G$33))/((1+$Y$16)^3))</f>
        <v>7277529.3915994531</v>
      </c>
      <c r="AB219" s="193">
        <f>(((E219*'Appendix K'!$C$8*1000)-('Appendix K'!$E$34+'Appendix K'!$F$34+'Appendix K'!$H$34+'Appendix K'!$G$34))/((1+$Y$16)^4))</f>
        <v>7474569.1943673231</v>
      </c>
      <c r="AC219" s="193">
        <f>(((F219*'Appendix K'!$C$9*1000)-('Appendix K'!$E$35+'Appendix K'!$F$35+'Appendix K'!$H$35+'Appendix K'!$G$35))/((1+$Y$16)^AC$34))</f>
        <v>14713834.198598258</v>
      </c>
      <c r="AD219" s="193">
        <f>(((G219*'Appendix K'!$C$10*1000)-('Appendix K'!$E$36+'Appendix K'!$F$36+'Appendix K'!$H$36+'Appendix K'!$G$36))/((1+$Y$16)^AD$34))</f>
        <v>10369722.261800708</v>
      </c>
      <c r="AE219" s="193">
        <f>(((H219*'Appendix K'!$C$11*1000)-('Appendix K'!$E$37+'Appendix K'!$F$37+'Appendix K'!$H$37+'Appendix K'!$G$37))/((1+$Y$16)^AE$34))</f>
        <v>5053648.7223200006</v>
      </c>
      <c r="AF219" s="193">
        <f>(((I219*'Appendix K'!$C$12*1000)-('Appendix K'!$E$38+'Appendix K'!$F$38+'Appendix K'!$H$38+'Appendix K'!$G$38))/((1+$Y$16)^AF$34))</f>
        <v>4278797.1213661749</v>
      </c>
      <c r="AG219" s="193">
        <f>(((J219*'Appendix K'!$C$13*1000)-('Appendix K'!$E$39+'Appendix K'!$F$39+'Appendix K'!$H$39+'Appendix K'!$G$39))/((1+$Y$16)^AG$34))</f>
        <v>2690671.6647172878</v>
      </c>
      <c r="AH219" s="193">
        <f>(((K219*'Appendix K'!$C$14*1000)-('Appendix K'!$E$40+'Appendix K'!$F$40+'Appendix K'!$H$40+'Appendix K'!$G$40))/((1+$Y$16)^AH$34))</f>
        <v>898550.19838378066</v>
      </c>
      <c r="AI219" s="193">
        <f>(((L219*'Appendix K'!$C$15*1000)-('Appendix K'!$E$41+'Appendix K'!$F$41+'Appendix K'!$H$41+'Appendix K'!$G$41))/((1+$Y$16)^AI$34))</f>
        <v>830677.23195214209</v>
      </c>
      <c r="AJ219" s="193">
        <f>(((M219*'Appendix K'!$C$16*1000)-('Appendix K'!$E$42+'Appendix K'!$F$42+'Appendix K'!$H$42+'Appendix K'!$G$42))/((1+$Y$16)^AJ$34))</f>
        <v>155485.45291968185</v>
      </c>
      <c r="AK219" s="193">
        <f>(((N219*'Appendix K'!$C$17*1000)-('Appendix K'!$E$43+'Appendix K'!$F$43+'Appendix K'!$H$43))/((1+$Y$16)^AK$34))</f>
        <v>507080.93939297704</v>
      </c>
      <c r="AL219" s="193">
        <f>(((O219*'Appendix K'!$C$18*1000)-('Appendix K'!$E$44+'Appendix K'!$F$44+'Appendix K'!$H$44+'Appendix K'!$G$44))/((1+$Y$16)^AL$34))</f>
        <v>87216.197051868163</v>
      </c>
      <c r="AM219" s="193">
        <f>(((P219*'Appendix K'!$C$19*1000)-('Appendix K'!$E$45+'Appendix K'!$F$45+'Appendix K'!$H$45+'Appendix K'!$G$45))/((1+$Y$16)^AM$34))</f>
        <v>62855.863661547257</v>
      </c>
      <c r="AN219" s="193">
        <f>(((Q219*'Appendix K'!$C$20*1000)-('Appendix K'!$E$46+'Appendix K'!$F$46+'Appendix K'!$H$46+'Appendix K'!$G$46))/((1+$Y$16)^AN$34))</f>
        <v>-339684.62996554875</v>
      </c>
      <c r="AO219" s="193">
        <f>(((R219*'Appendix K'!$C$21*1000)-('Appendix K'!$E$47+'Appendix K'!$F$47+'Appendix K'!$H$47+'Appendix K'!$G$47))/((1+$Y$16)^AO$34))</f>
        <v>-226478.70391064769</v>
      </c>
      <c r="AP219" s="193">
        <f>(((S219*'Appendix K'!$C$22*1000)-('Appendix K'!$E$48+'Appendix K'!$F$48+'Appendix K'!$H$48+'Appendix K'!$G$48))/((1+$Y$16)^AP$34))</f>
        <v>-233761.26351948307</v>
      </c>
      <c r="AQ219" s="193">
        <f>(((T219*'Appendix K'!$C$23*1000)-('Appendix K'!$E$49+'Appendix K'!$F$49+'Appendix K'!$H$49+'Appendix K'!$G$49))/((1+$Y$16)^AQ$34))</f>
        <v>-69124.588133012658</v>
      </c>
      <c r="AR219" s="193">
        <f>(((U219*'Appendix K'!$C$24*1000)-('Appendix K'!$E$50+'Appendix K'!$F$50+'Appendix K'!$H$50+'Appendix K'!$G$50))/((1+$Y$16)^AR$34))</f>
        <v>-211956.32839120959</v>
      </c>
      <c r="AS219" s="209">
        <f t="shared" si="20"/>
        <v>66948262.357909523</v>
      </c>
      <c r="AU219" s="199">
        <f t="shared" si="19"/>
        <v>6.5785840702560297E-9</v>
      </c>
    </row>
    <row r="220" spans="1:47" x14ac:dyDescent="0.35">
      <c r="A220">
        <v>186</v>
      </c>
      <c r="B220" s="70">
        <v>56</v>
      </c>
      <c r="C220" s="70">
        <v>76.384899814280772</v>
      </c>
      <c r="D220" s="70">
        <v>85.952574657596415</v>
      </c>
      <c r="E220" s="70">
        <v>62.565960725581952</v>
      </c>
      <c r="F220" s="70">
        <v>64.145416335217561</v>
      </c>
      <c r="G220" s="70">
        <v>48.610423116834014</v>
      </c>
      <c r="H220" s="70">
        <v>60.700463087481964</v>
      </c>
      <c r="I220" s="70">
        <v>28.526953320850964</v>
      </c>
      <c r="J220" s="70">
        <v>29.32349116231498</v>
      </c>
      <c r="K220" s="70">
        <v>38.680726625227635</v>
      </c>
      <c r="L220" s="70">
        <v>47.969095562970104</v>
      </c>
      <c r="M220" s="70">
        <v>51.579158504577656</v>
      </c>
      <c r="N220" s="70">
        <v>49.966304350990271</v>
      </c>
      <c r="O220" s="70">
        <v>72.394998349377119</v>
      </c>
      <c r="P220" s="70">
        <v>95.787658243726838</v>
      </c>
      <c r="Q220" s="70">
        <v>168.09318730931454</v>
      </c>
      <c r="R220" s="70">
        <v>198.21420581332677</v>
      </c>
      <c r="S220" s="70">
        <v>249.6936135347317</v>
      </c>
      <c r="T220" s="70">
        <v>324.38854758543539</v>
      </c>
      <c r="U220" s="70">
        <v>343.79451735636638</v>
      </c>
      <c r="V220" s="70">
        <v>303.01947184376462</v>
      </c>
      <c r="X220" s="193">
        <f>((0-('Appendix K'!$I$30))/(1+$Y$16)^0)</f>
        <v>-33594902.4440751</v>
      </c>
      <c r="Y220" s="193">
        <f>(((B220*'Appendix K'!$C$5*1000)-('Appendix K'!$E$31+'Appendix K'!$F$31+'Appendix K'!$H$31+'Appendix K'!$G$31))/((1+$Y$16)^1))</f>
        <v>34971064.972647354</v>
      </c>
      <c r="Z220" s="193">
        <f>+(((C220*'Appendix K'!$C$6*1000)-('Appendix K'!$E$32+'Appendix K'!$F$32+'Appendix K'!$H$32+'Appendix K'!$G$32))/((1+$Y$16)^2))</f>
        <v>15808884.443620775</v>
      </c>
      <c r="AA220" s="193">
        <f>(((D220*'Appendix K'!$C$7*1000)-('Appendix K'!$E$33+'Appendix K'!$F$33+'Appendix K'!$H$33+'Appendix K'!$G$33))/((1+$Y$16)^3))</f>
        <v>7983300.1629714286</v>
      </c>
      <c r="AB220" s="193">
        <f>(((E220*'Appendix K'!$C$8*1000)-('Appendix K'!$E$34+'Appendix K'!$F$34+'Appendix K'!$H$34+'Appendix K'!$G$34))/((1+$Y$16)^4))</f>
        <v>10420677.965948664</v>
      </c>
      <c r="AC220" s="193">
        <f>(((F220*'Appendix K'!$C$9*1000)-('Appendix K'!$E$35+'Appendix K'!$F$35+'Appendix K'!$H$35+'Appendix K'!$G$35))/((1+$Y$16)^AC$34))</f>
        <v>14065522.416362667</v>
      </c>
      <c r="AD220" s="193">
        <f>(((G220*'Appendix K'!$C$10*1000)-('Appendix K'!$E$36+'Appendix K'!$F$36+'Appendix K'!$H$36+'Appendix K'!$G$36))/((1+$Y$16)^AD$34))</f>
        <v>5118209.9533568397</v>
      </c>
      <c r="AE220" s="193">
        <f>(((H220*'Appendix K'!$C$11*1000)-('Appendix K'!$E$37+'Appendix K'!$F$37+'Appendix K'!$H$37+'Appendix K'!$G$37))/((1+$Y$16)^AE$34))</f>
        <v>3834179.2922315663</v>
      </c>
      <c r="AF220" s="193">
        <f>(((I220*'Appendix K'!$C$12*1000)-('Appendix K'!$E$38+'Appendix K'!$F$38+'Appendix K'!$H$38+'Appendix K'!$G$38))/((1+$Y$16)^AF$34))</f>
        <v>-123430.0195685533</v>
      </c>
      <c r="AG220" s="193">
        <f>(((J220*'Appendix K'!$C$13*1000)-('Appendix K'!$E$39+'Appendix K'!$F$39+'Appendix K'!$H$39+'Appendix K'!$G$39))/((1+$Y$16)^AG$34))</f>
        <v>-465508.10872699542</v>
      </c>
      <c r="AH220" s="193">
        <f>(((K220*'Appendix K'!$C$14*1000)-('Appendix K'!$E$40+'Appendix K'!$F$40+'Appendix K'!$H$40+'Appendix K'!$G$40))/((1+$Y$16)^AH$34))</f>
        <v>-328948.20911896217</v>
      </c>
      <c r="AI220" s="193">
        <f>(((L220*'Appendix K'!$C$15*1000)-('Appendix K'!$E$41+'Appendix K'!$F$41+'Appendix K'!$H$41+'Appendix K'!$G$41))/((1+$Y$16)^AI$34))</f>
        <v>-259601.34193265138</v>
      </c>
      <c r="AJ220" s="193">
        <f>(((M220*'Appendix K'!$C$16*1000)-('Appendix K'!$E$42+'Appendix K'!$F$42+'Appendix K'!$H$42+'Appendix K'!$G$42))/((1+$Y$16)^AJ$34))</f>
        <v>-347808.32512465969</v>
      </c>
      <c r="AK220" s="193">
        <f>(((N220*'Appendix K'!$C$17*1000)-('Appendix K'!$E$43+'Appendix K'!$F$43+'Appendix K'!$H$43))/((1+$Y$16)^AK$34))</f>
        <v>-236581.43974797515</v>
      </c>
      <c r="AL220" s="193">
        <f>(((O220*'Appendix K'!$C$18*1000)-('Appendix K'!$E$44+'Appendix K'!$F$44+'Appendix K'!$H$44+'Appendix K'!$G$44))/((1+$Y$16)^AL$34))</f>
        <v>-276469.90785285027</v>
      </c>
      <c r="AM220" s="193">
        <f>(((P220*'Appendix K'!$C$19*1000)-('Appendix K'!$E$45+'Appendix K'!$F$45+'Appendix K'!$H$45+'Appendix K'!$G$45))/((1+$Y$16)^AM$34))</f>
        <v>-138935.82884226719</v>
      </c>
      <c r="AN220" s="193">
        <f>(((Q220*'Appendix K'!$C$20*1000)-('Appendix K'!$E$46+'Appendix K'!$F$46+'Appendix K'!$H$46+'Appendix K'!$G$46))/((1+$Y$16)^AN$34))</f>
        <v>300649.92238551477</v>
      </c>
      <c r="AO220" s="193">
        <f>(((R220*'Appendix K'!$C$21*1000)-('Appendix K'!$E$47+'Appendix K'!$F$47+'Appendix K'!$H$47+'Appendix K'!$G$47))/((1+$Y$16)^AO$34))</f>
        <v>328468.9296891914</v>
      </c>
      <c r="AP220" s="193">
        <f>(((S220*'Appendix K'!$C$22*1000)-('Appendix K'!$E$48+'Appendix K'!$F$48+'Appendix K'!$H$48+'Appendix K'!$G$48))/((1+$Y$16)^AP$34))</f>
        <v>431509.09742539236</v>
      </c>
      <c r="AQ220" s="193">
        <f>(((T220*'Appendix K'!$C$23*1000)-('Appendix K'!$E$49+'Appendix K'!$F$49+'Appendix K'!$H$49+'Appendix K'!$G$49))/((1+$Y$16)^AQ$34))</f>
        <v>576088.09813962481</v>
      </c>
      <c r="AR220" s="193">
        <f>(((U220*'Appendix K'!$C$24*1000)-('Appendix K'!$E$50+'Appendix K'!$F$50+'Appendix K'!$H$50+'Appendix K'!$G$50))/((1+$Y$16)^AR$34))</f>
        <v>477739.109309152</v>
      </c>
      <c r="AS220" s="209">
        <f t="shared" si="20"/>
        <v>60721391.920013063</v>
      </c>
      <c r="AU220" s="199">
        <f t="shared" si="19"/>
        <v>6.2829473866358331E-9</v>
      </c>
    </row>
    <row r="221" spans="1:47" x14ac:dyDescent="0.35">
      <c r="A221">
        <v>187</v>
      </c>
      <c r="B221" s="70">
        <v>56</v>
      </c>
      <c r="C221" s="70">
        <v>51.660982082149552</v>
      </c>
      <c r="D221" s="70">
        <v>11.86114406861806</v>
      </c>
      <c r="E221" s="70">
        <v>13.931644225052635</v>
      </c>
      <c r="F221" s="70">
        <v>13.948223122654838</v>
      </c>
      <c r="G221" s="70">
        <v>20.401500096755655</v>
      </c>
      <c r="H221" s="70">
        <v>17.067072124848195</v>
      </c>
      <c r="I221" s="70">
        <v>11.136090284707963</v>
      </c>
      <c r="J221" s="70">
        <v>10.649912217884831</v>
      </c>
      <c r="K221" s="70">
        <v>10.439026969570296</v>
      </c>
      <c r="L221" s="70">
        <v>12.830928217357865</v>
      </c>
      <c r="M221" s="70">
        <v>9.9118443519262041</v>
      </c>
      <c r="N221" s="70">
        <v>9.5362168431794547</v>
      </c>
      <c r="O221" s="70">
        <v>5.7290069172845959</v>
      </c>
      <c r="P221" s="70">
        <v>6.1903156493489195</v>
      </c>
      <c r="Q221" s="70">
        <v>7.3660438841464719</v>
      </c>
      <c r="R221" s="70">
        <v>11.423025010440639</v>
      </c>
      <c r="S221" s="70">
        <v>19.762814213016256</v>
      </c>
      <c r="T221" s="70">
        <v>21.396522036922871</v>
      </c>
      <c r="U221" s="70">
        <v>25.867885391881487</v>
      </c>
      <c r="V221" s="70">
        <v>25.91458883256864</v>
      </c>
      <c r="X221" s="193">
        <f>((0-('Appendix K'!$I$30))/(1+$Y$16)^0)</f>
        <v>-33594902.4440751</v>
      </c>
      <c r="Y221" s="193">
        <f>(((B221*'Appendix K'!$C$5*1000)-('Appendix K'!$E$31+'Appendix K'!$F$31+'Appendix K'!$H$31+'Appendix K'!$G$31))/((1+$Y$16)^1))</f>
        <v>34971064.972647354</v>
      </c>
      <c r="Z221" s="193">
        <f>+(((C221*'Appendix K'!$C$6*1000)-('Appendix K'!$E$32+'Appendix K'!$F$32+'Appendix K'!$H$32+'Appendix K'!$G$32))/((1+$Y$16)^2))</f>
        <v>9563199.9682515636</v>
      </c>
      <c r="AA221" s="193">
        <f>(((D221*'Appendix K'!$C$7*1000)-('Appendix K'!$E$33+'Appendix K'!$F$33+'Appendix K'!$H$33+'Appendix K'!$G$33))/((1+$Y$16)^3))</f>
        <v>-1454086.3511556874</v>
      </c>
      <c r="AB221" s="193">
        <f>(((E221*'Appendix K'!$C$8*1000)-('Appendix K'!$E$34+'Appendix K'!$F$34+'Appendix K'!$H$34+'Appendix K'!$G$34))/((1+$Y$16)^4))</f>
        <v>-239519.00665087358</v>
      </c>
      <c r="AC221" s="193">
        <f>(((F221*'Appendix K'!$C$9*1000)-('Appendix K'!$E$35+'Appendix K'!$F$35+'Appendix K'!$H$35+'Appendix K'!$G$35))/((1+$Y$16)^AC$34))</f>
        <v>723187.28420175903</v>
      </c>
      <c r="AD221" s="193">
        <f>(((G221*'Appendix K'!$C$10*1000)-('Appendix K'!$E$36+'Appendix K'!$F$36+'Appendix K'!$H$36+'Appendix K'!$G$36))/((1+$Y$16)^AD$34))</f>
        <v>688169.21426410275</v>
      </c>
      <c r="AE221" s="193">
        <f>(((H221*'Appendix K'!$C$11*1000)-('Appendix K'!$E$37+'Appendix K'!$F$37+'Appendix K'!$H$37+'Appendix K'!$G$37))/((1+$Y$16)^AE$34))</f>
        <v>-517711.66047675716</v>
      </c>
      <c r="AF221" s="193">
        <f>(((I221*'Appendix K'!$C$12*1000)-('Appendix K'!$E$38+'Appendix K'!$F$38+'Appendix K'!$H$38+'Appendix K'!$G$38))/((1+$Y$16)^AF$34))</f>
        <v>-1265356.2948252049</v>
      </c>
      <c r="AG221" s="193">
        <f>(((J221*'Appendix K'!$C$13*1000)-('Appendix K'!$E$39+'Appendix K'!$F$39+'Appendix K'!$H$39+'Appendix K'!$G$39))/((1+$Y$16)^AG$34))</f>
        <v>-1324846.2788580335</v>
      </c>
      <c r="AH221" s="193">
        <f>(((K221*'Appendix K'!$C$14*1000)-('Appendix K'!$E$40+'Appendix K'!$F$40+'Appendix K'!$H$40+'Appendix K'!$G$40))/((1+$Y$16)^AH$34))</f>
        <v>-1280877.8142016742</v>
      </c>
      <c r="AI221" s="193">
        <f>(((L221*'Appendix K'!$C$15*1000)-('Appendix K'!$E$41+'Appendix K'!$F$41+'Appendix K'!$H$41+'Appendix K'!$G$41))/((1+$Y$16)^AI$34))</f>
        <v>-1180287.035082832</v>
      </c>
      <c r="AJ221" s="193">
        <f>(((M221*'Appendix K'!$C$16*1000)-('Appendix K'!$E$42+'Appendix K'!$F$42+'Appendix K'!$H$42+'Appendix K'!$G$42))/((1+$Y$16)^AJ$34))</f>
        <v>-1182899.092700464</v>
      </c>
      <c r="AK221" s="193">
        <f>(((N221*'Appendix K'!$C$17*1000)-('Appendix K'!$E$43+'Appendix K'!$F$43+'Appendix K'!$H$43))/((1+$Y$16)^AK$34))</f>
        <v>-857745.15862289339</v>
      </c>
      <c r="AL221" s="193">
        <f>(((O221*'Appendix K'!$C$18*1000)-('Appendix K'!$E$44+'Appendix K'!$F$44+'Appendix K'!$H$44+'Appendix K'!$G$44))/((1+$Y$16)^AL$34))</f>
        <v>-1066681.5209071564</v>
      </c>
      <c r="AM221" s="193">
        <f>(((P221*'Appendix K'!$C$19*1000)-('Appendix K'!$E$45+'Appendix K'!$F$45+'Appendix K'!$H$45+'Appendix K'!$G$45))/((1+$Y$16)^AM$34))</f>
        <v>-969389.5666499174</v>
      </c>
      <c r="AN221" s="193">
        <f>(((Q221*'Appendix K'!$C$20*1000)-('Appendix K'!$E$46+'Appendix K'!$F$46+'Appendix K'!$H$46+'Appendix K'!$G$46))/((1+$Y$16)^AN$34))</f>
        <v>-862406.54769138352</v>
      </c>
      <c r="AO221" s="193">
        <f>(((R221*'Appendix K'!$C$21*1000)-('Appendix K'!$E$47+'Appendix K'!$F$47+'Appendix K'!$H$47+'Appendix K'!$G$47))/((1+$Y$16)^AO$34))</f>
        <v>-775487.58555303654</v>
      </c>
      <c r="AP221" s="193">
        <f>(((S221*'Appendix K'!$C$22*1000)-('Appendix K'!$E$48+'Appendix K'!$F$48+'Appendix K'!$H$48+'Appendix K'!$G$48))/((1+$Y$16)^AP$34))</f>
        <v>-669794.89933485969</v>
      </c>
      <c r="AQ221" s="193">
        <f>(((T221*'Appendix K'!$C$23*1000)-('Appendix K'!$E$49+'Appendix K'!$F$49+'Appendix K'!$H$49+'Appendix K'!$G$49))/((1+$Y$16)^AQ$34))</f>
        <v>-609745.12190939323</v>
      </c>
      <c r="AR221" s="193">
        <f>(((U221*'Appendix K'!$C$24*1000)-('Appendix K'!$E$50+'Appendix K'!$F$50+'Appendix K'!$H$50+'Appendix K'!$G$50))/((1+$Y$16)^AR$34))</f>
        <v>-545993.55355782609</v>
      </c>
      <c r="AS221" s="209">
        <f t="shared" si="20"/>
        <v>12350718.995289676</v>
      </c>
      <c r="AU221" s="199">
        <f t="shared" si="19"/>
        <v>2.9173316085431271E-9</v>
      </c>
    </row>
    <row r="222" spans="1:47" x14ac:dyDescent="0.35">
      <c r="A222">
        <v>188</v>
      </c>
      <c r="B222" s="70">
        <v>56</v>
      </c>
      <c r="C222" s="70">
        <v>79.039752177166505</v>
      </c>
      <c r="D222" s="70">
        <v>72.746173358887134</v>
      </c>
      <c r="E222" s="70">
        <v>83.063294102316092</v>
      </c>
      <c r="F222" s="70">
        <v>107.06796146359261</v>
      </c>
      <c r="G222" s="70">
        <v>94.989466384681933</v>
      </c>
      <c r="H222" s="70">
        <v>90.038199046087357</v>
      </c>
      <c r="I222" s="70">
        <v>93.623217001155069</v>
      </c>
      <c r="J222" s="70">
        <v>117.18108599310125</v>
      </c>
      <c r="K222" s="70">
        <v>182.50586378756327</v>
      </c>
      <c r="L222" s="70">
        <v>160.95898407249049</v>
      </c>
      <c r="M222" s="70">
        <v>158.65831954081131</v>
      </c>
      <c r="N222" s="70">
        <v>155.61824591563456</v>
      </c>
      <c r="O222" s="70">
        <v>203.62429477143317</v>
      </c>
      <c r="P222" s="70">
        <v>300.67260849304165</v>
      </c>
      <c r="Q222" s="70">
        <v>436.96552942375081</v>
      </c>
      <c r="R222" s="70">
        <v>441.28583048042174</v>
      </c>
      <c r="S222" s="70">
        <v>447.17234542763026</v>
      </c>
      <c r="T222" s="70">
        <v>500</v>
      </c>
      <c r="U222" s="70">
        <v>401.98165983334695</v>
      </c>
      <c r="V222" s="70">
        <v>500</v>
      </c>
      <c r="X222" s="193">
        <f>((0-('Appendix K'!$I$30))/(1+$Y$16)^0)</f>
        <v>-33594902.4440751</v>
      </c>
      <c r="Y222" s="193">
        <f>(((B222*'Appendix K'!$C$5*1000)-('Appendix K'!$E$31+'Appendix K'!$F$31+'Appendix K'!$H$31+'Appendix K'!$G$31))/((1+$Y$16)^1))</f>
        <v>34971064.972647354</v>
      </c>
      <c r="Z222" s="193">
        <f>+(((C222*'Appendix K'!$C$6*1000)-('Appendix K'!$E$32+'Appendix K'!$F$32+'Appendix K'!$H$32+'Appendix K'!$G$32))/((1+$Y$16)^2))</f>
        <v>16479545.556755099</v>
      </c>
      <c r="AA222" s="193">
        <f>(((D222*'Appendix K'!$C$7*1000)-('Appendix K'!$E$33+'Appendix K'!$F$33+'Appendix K'!$H$33+'Appendix K'!$G$33))/((1+$Y$16)^3))</f>
        <v>6301136.48323368</v>
      </c>
      <c r="AB222" s="193">
        <f>(((E222*'Appendix K'!$C$8*1000)-('Appendix K'!$E$34+'Appendix K'!$F$34+'Appendix K'!$H$34+'Appendix K'!$G$34))/((1+$Y$16)^4))</f>
        <v>14913505.807101659</v>
      </c>
      <c r="AC222" s="193">
        <f>(((F222*'Appendix K'!$C$9*1000)-('Appendix K'!$E$35+'Appendix K'!$F$35+'Appendix K'!$H$35+'Appendix K'!$G$35))/((1+$Y$16)^AC$34))</f>
        <v>25474267.510993887</v>
      </c>
      <c r="AD222" s="193">
        <f>(((G222*'Appendix K'!$C$10*1000)-('Appendix K'!$E$36+'Appendix K'!$F$36+'Appendix K'!$H$36+'Appendix K'!$G$36))/((1+$Y$16)^AD$34))</f>
        <v>12401758.17568597</v>
      </c>
      <c r="AE222" s="193">
        <f>(((H222*'Appendix K'!$C$11*1000)-('Appendix K'!$E$37+'Appendix K'!$F$37+'Appendix K'!$H$37+'Appendix K'!$G$37))/((1+$Y$16)^AE$34))</f>
        <v>6760255.5121736955</v>
      </c>
      <c r="AF222" s="193">
        <f>(((I222*'Appendix K'!$C$12*1000)-('Appendix K'!$E$38+'Appendix K'!$F$38+'Appendix K'!$H$38+'Appendix K'!$G$38))/((1+$Y$16)^AF$34))</f>
        <v>4150948.6448534271</v>
      </c>
      <c r="AG222" s="193">
        <f>(((J222*'Appendix K'!$C$13*1000)-('Appendix K'!$E$39+'Appendix K'!$F$39+'Appendix K'!$H$39+'Appendix K'!$G$39))/((1+$Y$16)^AG$34))</f>
        <v>3577604.622832241</v>
      </c>
      <c r="AH222" s="193">
        <f>(((K222*'Appendix K'!$C$14*1000)-('Appendix K'!$E$40+'Appendix K'!$F$40+'Appendix K'!$H$40+'Appendix K'!$G$40))/((1+$Y$16)^AH$34))</f>
        <v>4518897.6248509903</v>
      </c>
      <c r="AI222" s="193">
        <f>(((L222*'Appendix K'!$C$15*1000)-('Appendix K'!$E$41+'Appendix K'!$F$41+'Appendix K'!$H$41+'Appendix K'!$G$41))/((1+$Y$16)^AI$34))</f>
        <v>2700945.0291443695</v>
      </c>
      <c r="AJ222" s="193">
        <f>(((M222*'Appendix K'!$C$16*1000)-('Appendix K'!$E$42+'Appendix K'!$F$42+'Appendix K'!$H$42+'Appendix K'!$G$42))/((1+$Y$16)^AJ$34))</f>
        <v>1798257.9764737918</v>
      </c>
      <c r="AK222" s="193">
        <f>(((N222*'Appendix K'!$C$17*1000)-('Appendix K'!$E$43+'Appendix K'!$F$43+'Appendix K'!$H$43))/((1+$Y$16)^AK$34))</f>
        <v>1386644.1571783556</v>
      </c>
      <c r="AL222" s="193">
        <f>(((O222*'Appendix K'!$C$18*1000)-('Appendix K'!$E$44+'Appendix K'!$F$44+'Appendix K'!$H$44+'Appendix K'!$G$44))/((1+$Y$16)^AL$34))</f>
        <v>1279029.5571372509</v>
      </c>
      <c r="AM222" s="193">
        <f>(((P222*'Appendix K'!$C$19*1000)-('Appendix K'!$E$45+'Appendix K'!$F$45+'Appendix K'!$H$45+'Appendix K'!$G$45))/((1+$Y$16)^AM$34))</f>
        <v>1760087.8232917464</v>
      </c>
      <c r="AN222" s="193">
        <f>(((Q222*'Appendix K'!$C$20*1000)-('Appendix K'!$E$46+'Appendix K'!$F$46+'Appendix K'!$H$46+'Appendix K'!$G$46))/((1+$Y$16)^AN$34))</f>
        <v>2246268.5058858106</v>
      </c>
      <c r="AO222" s="193">
        <f>(((R222*'Appendix K'!$C$21*1000)-('Appendix K'!$E$47+'Appendix K'!$F$47+'Appendix K'!$H$47+'Appendix K'!$G$47))/((1+$Y$16)^AO$34))</f>
        <v>1765049.0860345962</v>
      </c>
      <c r="AP222" s="193">
        <f>(((S222*'Appendix K'!$C$22*1000)-('Appendix K'!$E$48+'Appendix K'!$F$48+'Appendix K'!$H$48+'Appendix K'!$G$48))/((1+$Y$16)^AP$34))</f>
        <v>1377376.7991441831</v>
      </c>
      <c r="AQ222" s="193">
        <f>(((T222*'Appendix K'!$C$23*1000)-('Appendix K'!$E$49+'Appendix K'!$F$49+'Appendix K'!$H$49+'Appendix K'!$G$49))/((1+$Y$16)^AQ$34))</f>
        <v>1263386.3652054211</v>
      </c>
      <c r="AR222" s="193">
        <f>(((U222*'Appendix K'!$C$24*1000)-('Appendix K'!$E$50+'Appendix K'!$F$50+'Appendix K'!$H$50+'Appendix K'!$G$50))/((1+$Y$16)^AR$34))</f>
        <v>665103.33842234523</v>
      </c>
      <c r="AS222" s="209">
        <f t="shared" si="20"/>
        <v>112196231.10497075</v>
      </c>
      <c r="AU222" s="199">
        <f t="shared" si="19"/>
        <v>6.4003359033566995E-9</v>
      </c>
    </row>
    <row r="223" spans="1:47" x14ac:dyDescent="0.35">
      <c r="A223">
        <v>189</v>
      </c>
      <c r="B223" s="70">
        <v>56</v>
      </c>
      <c r="C223" s="70">
        <v>67.494552047128451</v>
      </c>
      <c r="D223" s="70">
        <v>126.37239477363173</v>
      </c>
      <c r="E223" s="70">
        <v>91.764780080631795</v>
      </c>
      <c r="F223" s="70">
        <v>89.681186253685681</v>
      </c>
      <c r="G223" s="70">
        <v>68.645336560325603</v>
      </c>
      <c r="H223" s="70">
        <v>72.227665991684049</v>
      </c>
      <c r="I223" s="70">
        <v>69.389296685141929</v>
      </c>
      <c r="J223" s="70">
        <v>81.773649772032172</v>
      </c>
      <c r="K223" s="70">
        <v>93.358800695742005</v>
      </c>
      <c r="L223" s="70">
        <v>104.86897117824438</v>
      </c>
      <c r="M223" s="70">
        <v>117.80131434559398</v>
      </c>
      <c r="N223" s="70">
        <v>162.61033353938598</v>
      </c>
      <c r="O223" s="70">
        <v>243.40433321624346</v>
      </c>
      <c r="P223" s="70">
        <v>260.21825505637179</v>
      </c>
      <c r="Q223" s="70">
        <v>293.5009894881041</v>
      </c>
      <c r="R223" s="70">
        <v>291.94621661777592</v>
      </c>
      <c r="S223" s="70">
        <v>399.43668280328916</v>
      </c>
      <c r="T223" s="70">
        <v>467.49084210336923</v>
      </c>
      <c r="U223" s="70">
        <v>319.97147644908978</v>
      </c>
      <c r="V223" s="70">
        <v>395.01153603842801</v>
      </c>
      <c r="X223" s="193">
        <f>((0-('Appendix K'!$I$30))/(1+$Y$16)^0)</f>
        <v>-33594902.4440751</v>
      </c>
      <c r="Y223" s="193">
        <f>(((B223*'Appendix K'!$C$5*1000)-('Appendix K'!$E$31+'Appendix K'!$F$31+'Appendix K'!$H$31+'Appendix K'!$G$31))/((1+$Y$16)^1))</f>
        <v>34971064.972647354</v>
      </c>
      <c r="Z223" s="193">
        <f>+(((C223*'Appendix K'!$C$6*1000)-('Appendix K'!$E$32+'Appendix K'!$F$32+'Appendix K'!$H$32+'Appendix K'!$G$32))/((1+$Y$16)^2))</f>
        <v>13563030.544917068</v>
      </c>
      <c r="AA223" s="193">
        <f>(((D223*'Appendix K'!$C$7*1000)-('Appendix K'!$E$33+'Appendix K'!$F$33+'Appendix K'!$H$33+'Appendix K'!$G$33))/((1+$Y$16)^3))</f>
        <v>13131769.591003504</v>
      </c>
      <c r="AB223" s="193">
        <f>(((E223*'Appendix K'!$C$8*1000)-('Appendix K'!$E$34+'Appendix K'!$F$34+'Appendix K'!$H$34+'Appendix K'!$G$34))/((1+$Y$16)^4))</f>
        <v>16820791.879111096</v>
      </c>
      <c r="AC223" s="193">
        <f>(((F223*'Appendix K'!$C$9*1000)-('Appendix K'!$E$35+'Appendix K'!$F$35+'Appendix K'!$H$35+'Appendix K'!$G$35))/((1+$Y$16)^AC$34))</f>
        <v>20852889.962337073</v>
      </c>
      <c r="AD223" s="193">
        <f>(((G223*'Appendix K'!$C$10*1000)-('Appendix K'!$E$36+'Appendix K'!$F$36+'Appendix K'!$H$36+'Appendix K'!$G$36))/((1+$Y$16)^AD$34))</f>
        <v>8264571.9288101653</v>
      </c>
      <c r="AE223" s="193">
        <f>(((H223*'Appendix K'!$C$11*1000)-('Appendix K'!$E$37+'Appendix K'!$F$37+'Appendix K'!$H$37+'Appendix K'!$G$37))/((1+$Y$16)^AE$34))</f>
        <v>4983875.1770137055</v>
      </c>
      <c r="AF223" s="193">
        <f>(((I223*'Appendix K'!$C$12*1000)-('Appendix K'!$E$38+'Appendix K'!$F$38+'Appendix K'!$H$38+'Appendix K'!$G$38))/((1+$Y$16)^AF$34))</f>
        <v>2559690.6202333411</v>
      </c>
      <c r="AG223" s="193">
        <f>(((J223*'Appendix K'!$C$13*1000)-('Appendix K'!$E$39+'Appendix K'!$F$39+'Appendix K'!$H$39+'Appendix K'!$G$39))/((1+$Y$16)^AG$34))</f>
        <v>1948192.2031888964</v>
      </c>
      <c r="AH223" s="193">
        <f>(((K223*'Appendix K'!$C$14*1000)-('Appendix K'!$E$40+'Appendix K'!$F$40+'Appendix K'!$H$40+'Appendix K'!$G$40))/((1+$Y$16)^AH$34))</f>
        <v>1514059.7575138647</v>
      </c>
      <c r="AI223" s="193">
        <f>(((L223*'Appendix K'!$C$15*1000)-('Appendix K'!$E$41+'Appendix K'!$F$41+'Appendix K'!$H$41+'Appendix K'!$G$41))/((1+$Y$16)^AI$34))</f>
        <v>1231281.8024766855</v>
      </c>
      <c r="AJ223" s="193">
        <f>(((M223*'Appendix K'!$C$16*1000)-('Appendix K'!$E$42+'Appendix K'!$F$42+'Appendix K'!$H$42+'Appendix K'!$G$42))/((1+$Y$16)^AJ$34))</f>
        <v>979407.31323392142</v>
      </c>
      <c r="AK223" s="193">
        <f>(((N223*'Appendix K'!$C$17*1000)-('Appendix K'!$E$43+'Appendix K'!$F$43+'Appendix K'!$H$43))/((1+$Y$16)^AK$34))</f>
        <v>1494069.8744793541</v>
      </c>
      <c r="AL223" s="193">
        <f>(((O223*'Appendix K'!$C$18*1000)-('Appendix K'!$E$44+'Appendix K'!$F$44+'Appendix K'!$H$44+'Appendix K'!$G$44))/((1+$Y$16)^AL$34))</f>
        <v>1750554.058184474</v>
      </c>
      <c r="AM223" s="193">
        <f>(((P223*'Appendix K'!$C$19*1000)-('Appendix K'!$E$45+'Appendix K'!$F$45+'Appendix K'!$H$45+'Appendix K'!$G$45))/((1+$Y$16)^AM$34))</f>
        <v>1385127.2714574521</v>
      </c>
      <c r="AN223" s="193">
        <f>(((Q223*'Appendix K'!$C$20*1000)-('Appendix K'!$E$46+'Appendix K'!$F$46+'Appendix K'!$H$46+'Appendix K'!$G$46))/((1+$Y$16)^AN$34))</f>
        <v>1208127.9787604373</v>
      </c>
      <c r="AO223" s="193">
        <f>(((R223*'Appendix K'!$C$21*1000)-('Appendix K'!$E$47+'Appendix K'!$F$47+'Appendix K'!$H$47+'Appendix K'!$G$47))/((1+$Y$16)^AO$34))</f>
        <v>882435.46905981086</v>
      </c>
      <c r="AP223" s="193">
        <f>(((S223*'Appendix K'!$C$22*1000)-('Appendix K'!$E$48+'Appendix K'!$F$48+'Appendix K'!$H$48+'Appendix K'!$G$48))/((1+$Y$16)^AP$34))</f>
        <v>1148736.3725842393</v>
      </c>
      <c r="AQ223" s="193">
        <f>(((T223*'Appendix K'!$C$23*1000)-('Appendix K'!$E$49+'Appendix K'!$F$49+'Appendix K'!$H$49+'Appendix K'!$G$49))/((1+$Y$16)^AQ$34))</f>
        <v>1136153.8437558713</v>
      </c>
      <c r="AR223" s="193">
        <f>(((U223*'Appendix K'!$C$24*1000)-('Appendix K'!$E$50+'Appendix K'!$F$50+'Appendix K'!$H$50+'Appendix K'!$G$50))/((1+$Y$16)^AR$34))</f>
        <v>401028.2500933074</v>
      </c>
      <c r="AS223" s="209">
        <f t="shared" si="20"/>
        <v>96631956.426786542</v>
      </c>
      <c r="AU223" s="199">
        <f t="shared" si="19"/>
        <v>6.9415398239084412E-9</v>
      </c>
    </row>
    <row r="224" spans="1:47" x14ac:dyDescent="0.35">
      <c r="A224">
        <v>190</v>
      </c>
      <c r="B224" s="70">
        <v>56</v>
      </c>
      <c r="C224" s="70">
        <v>54.642345223763499</v>
      </c>
      <c r="D224" s="70">
        <v>67.826589388787852</v>
      </c>
      <c r="E224" s="70">
        <v>80.310782147899715</v>
      </c>
      <c r="F224" s="70">
        <v>71.209242099468355</v>
      </c>
      <c r="G224" s="70">
        <v>77.100745954779001</v>
      </c>
      <c r="H224" s="70">
        <v>83.9836129431053</v>
      </c>
      <c r="I224" s="70">
        <v>134.87474310826204</v>
      </c>
      <c r="J224" s="70">
        <v>150.49216397239525</v>
      </c>
      <c r="K224" s="70">
        <v>194.8828379674097</v>
      </c>
      <c r="L224" s="70">
        <v>248.48048989723765</v>
      </c>
      <c r="M224" s="70">
        <v>261.4174223704743</v>
      </c>
      <c r="N224" s="70">
        <v>159.31947525721642</v>
      </c>
      <c r="O224" s="70">
        <v>129.79631263398824</v>
      </c>
      <c r="P224" s="70">
        <v>116.18742289936506</v>
      </c>
      <c r="Q224" s="70">
        <v>142.48853859976037</v>
      </c>
      <c r="R224" s="70">
        <v>253.39567304301252</v>
      </c>
      <c r="S224" s="70">
        <v>267.51384659503287</v>
      </c>
      <c r="T224" s="70">
        <v>330.95208235009187</v>
      </c>
      <c r="U224" s="70">
        <v>221.85534367638616</v>
      </c>
      <c r="V224" s="70">
        <v>120.01056747923965</v>
      </c>
      <c r="X224" s="193">
        <f>((0-('Appendix K'!$I$30))/(1+$Y$16)^0)</f>
        <v>-33594902.4440751</v>
      </c>
      <c r="Y224" s="193">
        <f>(((B224*'Appendix K'!$C$5*1000)-('Appendix K'!$E$31+'Appendix K'!$F$31+'Appendix K'!$H$31+'Appendix K'!$G$31))/((1+$Y$16)^1))</f>
        <v>34971064.972647354</v>
      </c>
      <c r="Z224" s="193">
        <f>+(((C224*'Appendix K'!$C$6*1000)-('Appendix K'!$E$32+'Appendix K'!$F$32+'Appendix K'!$H$32+'Appendix K'!$G$32))/((1+$Y$16)^2))</f>
        <v>10316343.288447002</v>
      </c>
      <c r="AA224" s="193">
        <f>(((D224*'Appendix K'!$C$7*1000)-('Appendix K'!$E$33+'Appendix K'!$F$33+'Appendix K'!$H$33+'Appendix K'!$G$33))/((1+$Y$16)^3))</f>
        <v>5674505.1029855376</v>
      </c>
      <c r="AB224" s="193">
        <f>(((E224*'Appendix K'!$C$8*1000)-('Appendix K'!$E$34+'Appendix K'!$F$34+'Appendix K'!$H$34+'Appendix K'!$G$34))/((1+$Y$16)^4))</f>
        <v>14310180.383515328</v>
      </c>
      <c r="AC224" s="193">
        <f>(((F224*'Appendix K'!$C$9*1000)-('Appendix K'!$E$35+'Appendix K'!$F$35+'Appendix K'!$H$35+'Appendix K'!$G$35))/((1+$Y$16)^AC$34))</f>
        <v>15943076.212303584</v>
      </c>
      <c r="AD224" s="193">
        <f>(((G224*'Appendix K'!$C$10*1000)-('Appendix K'!$E$36+'Appendix K'!$F$36+'Appendix K'!$H$36+'Appendix K'!$G$36))/((1+$Y$16)^AD$34))</f>
        <v>9592442.8318033237</v>
      </c>
      <c r="AE224" s="193">
        <f>(((H224*'Appendix K'!$C$11*1000)-('Appendix K'!$E$37+'Appendix K'!$F$37+'Appendix K'!$H$37+'Appendix K'!$G$37))/((1+$Y$16)^AE$34))</f>
        <v>6156385.4506759429</v>
      </c>
      <c r="AF224" s="193">
        <f>(((I224*'Appendix K'!$C$12*1000)-('Appendix K'!$E$38+'Appendix K'!$F$38+'Appendix K'!$H$38+'Appendix K'!$G$38))/((1+$Y$16)^AF$34))</f>
        <v>6859623.9681103295</v>
      </c>
      <c r="AG224" s="193">
        <f>(((J224*'Appendix K'!$C$13*1000)-('Appendix K'!$E$39+'Appendix K'!$F$39+'Appendix K'!$H$39+'Appendix K'!$G$39))/((1+$Y$16)^AG$34))</f>
        <v>5110544.8739219802</v>
      </c>
      <c r="AH224" s="193">
        <f>(((K224*'Appendix K'!$C$14*1000)-('Appendix K'!$E$40+'Appendix K'!$F$40+'Appendix K'!$H$40+'Appendix K'!$G$40))/((1+$Y$16)^AH$34))</f>
        <v>4936082.4362042258</v>
      </c>
      <c r="AI224" s="193">
        <f>(((L224*'Appendix K'!$C$15*1000)-('Appendix K'!$E$41+'Appendix K'!$F$41+'Appendix K'!$H$41+'Appendix K'!$G$41))/((1+$Y$16)^AI$34))</f>
        <v>4994172.147771176</v>
      </c>
      <c r="AJ224" s="193">
        <f>(((M224*'Appendix K'!$C$16*1000)-('Appendix K'!$E$42+'Appendix K'!$F$42+'Appendix K'!$H$42+'Appendix K'!$G$42))/((1+$Y$16)^AJ$34))</f>
        <v>3857742.246159161</v>
      </c>
      <c r="AK224" s="193">
        <f>(((N224*'Appendix K'!$C$17*1000)-('Appendix K'!$E$43+'Appendix K'!$F$43+'Appendix K'!$H$43))/((1+$Y$16)^AK$34))</f>
        <v>1443509.4652680741</v>
      </c>
      <c r="AL224" s="193">
        <f>(((O224*'Appendix K'!$C$18*1000)-('Appendix K'!$E$44+'Appendix K'!$F$44+'Appendix K'!$H$44+'Appendix K'!$G$44))/((1+$Y$16)^AL$34))</f>
        <v>403924.76082141098</v>
      </c>
      <c r="AM224" s="193">
        <f>(((P224*'Appendix K'!$C$19*1000)-('Appendix K'!$E$45+'Appendix K'!$F$45+'Appendix K'!$H$45+'Appendix K'!$G$45))/((1+$Y$16)^AM$34))</f>
        <v>50144.118376325736</v>
      </c>
      <c r="AN224" s="193">
        <f>(((Q224*'Appendix K'!$C$20*1000)-('Appendix K'!$E$46+'Appendix K'!$F$46+'Appendix K'!$H$46+'Appendix K'!$G$46))/((1+$Y$16)^AN$34))</f>
        <v>115369.13090826196</v>
      </c>
      <c r="AO224" s="193">
        <f>(((R224*'Appendix K'!$C$21*1000)-('Appendix K'!$E$47+'Appendix K'!$F$47+'Appendix K'!$H$47+'Appendix K'!$G$47))/((1+$Y$16)^AO$34))</f>
        <v>654597.49746735394</v>
      </c>
      <c r="AP224" s="193">
        <f>(((S224*'Appendix K'!$C$22*1000)-('Appendix K'!$E$48+'Appendix K'!$F$48+'Appendix K'!$H$48+'Appendix K'!$G$48))/((1+$Y$16)^AP$34))</f>
        <v>516863.01238764683</v>
      </c>
      <c r="AQ224" s="193">
        <f>(((T224*'Appendix K'!$C$23*1000)-('Appendix K'!$E$49+'Appendix K'!$F$49+'Appendix K'!$H$49+'Appendix K'!$G$49))/((1+$Y$16)^AQ$34))</f>
        <v>601776.09290049714</v>
      </c>
      <c r="AR224" s="193">
        <f>(((U224*'Appendix K'!$C$24*1000)-('Appendix K'!$E$50+'Appendix K'!$F$50+'Appendix K'!$H$50+'Appendix K'!$G$50))/((1+$Y$16)^AR$34))</f>
        <v>85091.553463154138</v>
      </c>
      <c r="AS224" s="209">
        <f t="shared" si="20"/>
        <v>92998537.102062583</v>
      </c>
      <c r="AU224" s="199">
        <f t="shared" si="19"/>
        <v>6.9981391068906086E-9</v>
      </c>
    </row>
    <row r="225" spans="1:47" x14ac:dyDescent="0.35">
      <c r="A225">
        <v>191</v>
      </c>
      <c r="B225" s="70">
        <v>56</v>
      </c>
      <c r="C225" s="70">
        <v>101.00474117358371</v>
      </c>
      <c r="D225" s="70">
        <v>104.2763252526665</v>
      </c>
      <c r="E225" s="70">
        <v>189.17964438565264</v>
      </c>
      <c r="F225" s="70">
        <v>179.91861212977236</v>
      </c>
      <c r="G225" s="70">
        <v>159.87751293662021</v>
      </c>
      <c r="H225" s="70">
        <v>113.1601743445467</v>
      </c>
      <c r="I225" s="70">
        <v>172.1928563573895</v>
      </c>
      <c r="J225" s="70">
        <v>253.13262634669877</v>
      </c>
      <c r="K225" s="70">
        <v>215.65046983575593</v>
      </c>
      <c r="L225" s="70">
        <v>104.71576048876167</v>
      </c>
      <c r="M225" s="70">
        <v>146.36062541086818</v>
      </c>
      <c r="N225" s="70">
        <v>174.19060149390344</v>
      </c>
      <c r="O225" s="70">
        <v>173.36580671036629</v>
      </c>
      <c r="P225" s="70">
        <v>181.88409223246416</v>
      </c>
      <c r="Q225" s="70">
        <v>92.135580134221044</v>
      </c>
      <c r="R225" s="70">
        <v>110.76973170259727</v>
      </c>
      <c r="S225" s="70">
        <v>84.518025981131871</v>
      </c>
      <c r="T225" s="70">
        <v>104.08988491120962</v>
      </c>
      <c r="U225" s="70">
        <v>95.997856391167602</v>
      </c>
      <c r="V225" s="70">
        <v>85.276323571591035</v>
      </c>
      <c r="X225" s="193">
        <f>((0-('Appendix K'!$I$30))/(1+$Y$16)^0)</f>
        <v>-33594902.4440751</v>
      </c>
      <c r="Y225" s="193">
        <f>(((B225*'Appendix K'!$C$5*1000)-('Appendix K'!$E$31+'Appendix K'!$F$31+'Appendix K'!$H$31+'Appendix K'!$G$31))/((1+$Y$16)^1))</f>
        <v>34971064.972647354</v>
      </c>
      <c r="Z225" s="193">
        <f>+(((C225*'Appendix K'!$C$6*1000)-('Appendix K'!$E$32+'Appendix K'!$F$32+'Appendix K'!$H$32+'Appendix K'!$G$32))/((1+$Y$16)^2))</f>
        <v>22028277.447182436</v>
      </c>
      <c r="AA225" s="193">
        <f>(((D225*'Appendix K'!$C$7*1000)-('Appendix K'!$E$33+'Appendix K'!$F$33+'Appendix K'!$H$33+'Appendix K'!$G$33))/((1+$Y$16)^3))</f>
        <v>10317285.55614681</v>
      </c>
      <c r="AB225" s="193">
        <f>(((E225*'Appendix K'!$C$8*1000)-('Appendix K'!$E$34+'Appendix K'!$F$34+'Appendix K'!$H$34+'Appendix K'!$G$34))/((1+$Y$16)^4))</f>
        <v>38173238.387519941</v>
      </c>
      <c r="AC225" s="193">
        <f>(((F225*'Appendix K'!$C$9*1000)-('Appendix K'!$E$35+'Appendix K'!$F$35+'Appendix K'!$H$35+'Appendix K'!$G$35))/((1+$Y$16)^AC$34))</f>
        <v>44837856.062014557</v>
      </c>
      <c r="AD225" s="193">
        <f>(((G225*'Appendix K'!$C$10*1000)-('Appendix K'!$E$36+'Appendix K'!$F$36+'Appendix K'!$H$36+'Appendix K'!$G$36))/((1+$Y$16)^AD$34))</f>
        <v>22592033.412377164</v>
      </c>
      <c r="AE225" s="193">
        <f>(((H225*'Appendix K'!$C$11*1000)-('Appendix K'!$E$37+'Appendix K'!$F$37+'Appendix K'!$H$37+'Appendix K'!$G$37))/((1+$Y$16)^AE$34))</f>
        <v>9066386.5024577659</v>
      </c>
      <c r="AF225" s="193">
        <f>(((I225*'Appendix K'!$C$12*1000)-('Appendix K'!$E$38+'Appendix K'!$F$38+'Appendix K'!$H$38+'Appendix K'!$G$38))/((1+$Y$16)^AF$34))</f>
        <v>9310021.8565657362</v>
      </c>
      <c r="AG225" s="193">
        <f>(((J225*'Appendix K'!$C$13*1000)-('Appendix K'!$E$39+'Appendix K'!$F$39+'Appendix K'!$H$39+'Appendix K'!$G$39))/((1+$Y$16)^AG$34))</f>
        <v>9833949.3900362458</v>
      </c>
      <c r="AH225" s="193">
        <f>(((K225*'Appendix K'!$C$14*1000)-('Appendix K'!$E$40+'Appendix K'!$F$40+'Appendix K'!$H$40+'Appendix K'!$G$40))/((1+$Y$16)^AH$34))</f>
        <v>5636087.1754366178</v>
      </c>
      <c r="AI225" s="193">
        <f>(((L225*'Appendix K'!$C$15*1000)-('Appendix K'!$E$41+'Appendix K'!$F$41+'Appendix K'!$H$41+'Appendix K'!$G$41))/((1+$Y$16)^AI$34))</f>
        <v>1227267.3959068446</v>
      </c>
      <c r="AJ225" s="193">
        <f>(((M225*'Appendix K'!$C$16*1000)-('Appendix K'!$E$42+'Appendix K'!$F$42+'Appendix K'!$H$42+'Appendix K'!$G$42))/((1+$Y$16)^AJ$34))</f>
        <v>1551789.2265859817</v>
      </c>
      <c r="AK225" s="193">
        <f>(((N225*'Appendix K'!$C$17*1000)-('Appendix K'!$E$43+'Appendix K'!$F$43+'Appendix K'!$H$43))/((1+$Y$16)^AK$34))</f>
        <v>1671987.9239222703</v>
      </c>
      <c r="AL225" s="193">
        <f>(((O225*'Appendix K'!$C$18*1000)-('Appendix K'!$E$44+'Appendix K'!$F$44+'Appendix K'!$H$44+'Appendix K'!$G$44))/((1+$Y$16)^AL$34))</f>
        <v>920366.79452498246</v>
      </c>
      <c r="AM225" s="193">
        <f>(((P225*'Appendix K'!$C$19*1000)-('Appendix K'!$E$45+'Appendix K'!$F$45+'Appendix K'!$H$45+'Appendix K'!$G$45))/((1+$Y$16)^AM$34))</f>
        <v>659068.92607044126</v>
      </c>
      <c r="AN225" s="193">
        <f>(((Q225*'Appendix K'!$C$20*1000)-('Appendix K'!$E$46+'Appendix K'!$F$46+'Appendix K'!$H$46+'Appendix K'!$G$46))/((1+$Y$16)^AN$34))</f>
        <v>-248995.79764610506</v>
      </c>
      <c r="AO225" s="193">
        <f>(((R225*'Appendix K'!$C$21*1000)-('Appendix K'!$E$47+'Appendix K'!$F$47+'Appendix K'!$H$47+'Appendix K'!$G$47))/((1+$Y$16)^AO$34))</f>
        <v>-188337.57317423809</v>
      </c>
      <c r="AP225" s="193">
        <f>(((S225*'Appendix K'!$C$22*1000)-('Appendix K'!$E$48+'Appendix K'!$F$48+'Appendix K'!$H$48+'Appendix K'!$G$48))/((1+$Y$16)^AP$34))</f>
        <v>-359635.60905422521</v>
      </c>
      <c r="AQ225" s="193">
        <f>(((T225*'Appendix K'!$C$23*1000)-('Appendix K'!$E$49+'Appendix K'!$F$49+'Appendix K'!$H$49+'Appendix K'!$G$49))/((1+$Y$16)^AQ$34))</f>
        <v>-286104.46966326097</v>
      </c>
      <c r="AR225" s="193">
        <f>(((U225*'Appendix K'!$C$24*1000)-('Appendix K'!$E$50+'Appendix K'!$F$50+'Appendix K'!$H$50+'Appendix K'!$G$50))/((1+$Y$16)^AR$34))</f>
        <v>-320173.0819783858</v>
      </c>
      <c r="AS225" s="209">
        <f t="shared" si="20"/>
        <v>179201778.58532003</v>
      </c>
      <c r="AU225" s="199">
        <f t="shared" si="19"/>
        <v>1.9116635523187538E-9</v>
      </c>
    </row>
    <row r="226" spans="1:47" x14ac:dyDescent="0.35">
      <c r="A226">
        <v>192</v>
      </c>
      <c r="B226" s="70">
        <v>56</v>
      </c>
      <c r="C226" s="70">
        <v>64.245503658775704</v>
      </c>
      <c r="D226" s="70">
        <v>36.759200878914953</v>
      </c>
      <c r="E226" s="70">
        <v>38.280449459060385</v>
      </c>
      <c r="F226" s="70">
        <v>34.101698407167611</v>
      </c>
      <c r="G226" s="70">
        <v>53.41420217391962</v>
      </c>
      <c r="H226" s="70">
        <v>62.893009270303814</v>
      </c>
      <c r="I226" s="70">
        <v>69.509117619401621</v>
      </c>
      <c r="J226" s="70">
        <v>94.28660704508475</v>
      </c>
      <c r="K226" s="70">
        <v>74.398566445298471</v>
      </c>
      <c r="L226" s="70">
        <v>44.910044575667754</v>
      </c>
      <c r="M226" s="70">
        <v>14.841959232003845</v>
      </c>
      <c r="N226" s="70">
        <v>12.846067381195535</v>
      </c>
      <c r="O226" s="70">
        <v>6.1282422574848496</v>
      </c>
      <c r="P226" s="70">
        <v>7.6279264754349212</v>
      </c>
      <c r="Q226" s="70">
        <v>8.4557070765192552</v>
      </c>
      <c r="R226" s="70">
        <v>7.8308779233181243</v>
      </c>
      <c r="S226" s="70">
        <v>9.1007107322288174</v>
      </c>
      <c r="T226" s="70">
        <v>6.8180805632677863</v>
      </c>
      <c r="U226" s="70">
        <v>5.2775463041619606</v>
      </c>
      <c r="V226" s="70">
        <v>6.2647136513317276</v>
      </c>
      <c r="X226" s="193">
        <f>((0-('Appendix K'!$I$30))/(1+$Y$16)^0)</f>
        <v>-33594902.4440751</v>
      </c>
      <c r="Y226" s="193">
        <f>(((B226*'Appendix K'!$C$5*1000)-('Appendix K'!$E$31+'Appendix K'!$F$31+'Appendix K'!$H$31+'Appendix K'!$G$31))/((1+$Y$16)^1))</f>
        <v>34971064.972647354</v>
      </c>
      <c r="Z226" s="193">
        <f>+(((C226*'Appendix K'!$C$6*1000)-('Appendix K'!$E$32+'Appendix K'!$F$32+'Appendix K'!$H$32+'Appendix K'!$G$32))/((1+$Y$16)^2))</f>
        <v>12742265.353141418</v>
      </c>
      <c r="AA226" s="193">
        <f>(((D226*'Appendix K'!$C$7*1000)-('Appendix K'!$E$33+'Appendix K'!$F$33+'Appendix K'!$H$33+'Appendix K'!$G$33))/((1+$Y$16)^3))</f>
        <v>1717300.4570296656</v>
      </c>
      <c r="AB226" s="193">
        <f>(((E226*'Appendix K'!$C$8*1000)-('Appendix K'!$E$34+'Appendix K'!$F$34+'Appendix K'!$H$34+'Appendix K'!$G$34))/((1+$Y$16)^4))</f>
        <v>5097516.2087851278</v>
      </c>
      <c r="AC226" s="193">
        <f>(((F226*'Appendix K'!$C$9*1000)-('Appendix K'!$E$35+'Appendix K'!$F$35+'Appendix K'!$H$35+'Appendix K'!$G$35))/((1+$Y$16)^AC$34))</f>
        <v>6079949.3681900688</v>
      </c>
      <c r="AD226" s="193">
        <f>(((G226*'Appendix K'!$C$10*1000)-('Appendix K'!$E$36+'Appendix K'!$F$36+'Appendix K'!$H$36+'Appendix K'!$G$36))/((1+$Y$16)^AD$34))</f>
        <v>5872614.3986928957</v>
      </c>
      <c r="AE226" s="193">
        <f>(((H226*'Appendix K'!$C$11*1000)-('Appendix K'!$E$37+'Appendix K'!$F$37+'Appendix K'!$H$37+'Appendix K'!$G$37))/((1+$Y$16)^AE$34))</f>
        <v>4052858.6496207006</v>
      </c>
      <c r="AF226" s="193">
        <f>(((I226*'Appendix K'!$C$12*1000)-('Appendix K'!$E$38+'Appendix K'!$F$38+'Appendix K'!$H$38+'Appendix K'!$G$38))/((1+$Y$16)^AF$34))</f>
        <v>2567558.3535869173</v>
      </c>
      <c r="AG226" s="193">
        <f>(((J226*'Appendix K'!$C$13*1000)-('Appendix K'!$E$39+'Appendix K'!$F$39+'Appendix K'!$H$39+'Appendix K'!$G$39))/((1+$Y$16)^AG$34))</f>
        <v>2524025.1400860935</v>
      </c>
      <c r="AH226" s="193">
        <f>(((K226*'Appendix K'!$C$14*1000)-('Appendix K'!$E$40+'Appendix K'!$F$40+'Appendix K'!$H$40+'Appendix K'!$G$40))/((1+$Y$16)^AH$34))</f>
        <v>874976.11444831989</v>
      </c>
      <c r="AI226" s="193">
        <f>(((L226*'Appendix K'!$C$15*1000)-('Appendix K'!$E$41+'Appendix K'!$F$41+'Appendix K'!$H$41+'Appendix K'!$G$41))/((1+$Y$16)^AI$34))</f>
        <v>-339754.19825336937</v>
      </c>
      <c r="AJ226" s="193">
        <f>(((M226*'Appendix K'!$C$16*1000)-('Appendix K'!$E$42+'Appendix K'!$F$42+'Appendix K'!$H$42+'Appendix K'!$G$42))/((1+$Y$16)^AJ$34))</f>
        <v>-1084090.3860879466</v>
      </c>
      <c r="AK226" s="193">
        <f>(((N226*'Appendix K'!$C$17*1000)-('Appendix K'!$E$43+'Appendix K'!$F$43+'Appendix K'!$H$43))/((1+$Y$16)^AK$34))</f>
        <v>-806892.95434020367</v>
      </c>
      <c r="AL226" s="193">
        <f>(((O226*'Appendix K'!$C$18*1000)-('Appendix K'!$E$44+'Appendix K'!$F$44+'Appendix K'!$H$44+'Appendix K'!$G$44))/((1+$Y$16)^AL$34))</f>
        <v>-1061949.2669439153</v>
      </c>
      <c r="AM226" s="193">
        <f>(((P226*'Appendix K'!$C$19*1000)-('Appendix K'!$E$45+'Appendix K'!$F$45+'Appendix K'!$H$45+'Appendix K'!$G$45))/((1+$Y$16)^AM$34))</f>
        <v>-956064.73748125869</v>
      </c>
      <c r="AN226" s="193">
        <f>(((Q226*'Appendix K'!$C$20*1000)-('Appendix K'!$E$46+'Appendix K'!$F$46+'Appendix K'!$H$46+'Appendix K'!$G$46))/((1+$Y$16)^AN$34))</f>
        <v>-854521.5084933599</v>
      </c>
      <c r="AO226" s="193">
        <f>(((R226*'Appendix K'!$C$21*1000)-('Appendix K'!$E$47+'Appendix K'!$F$47+'Appendix K'!$H$47+'Appendix K'!$G$47))/((1+$Y$16)^AO$34))</f>
        <v>-796717.57169848529</v>
      </c>
      <c r="AP226" s="193">
        <f>(((S226*'Appendix K'!$C$22*1000)-('Appendix K'!$E$48+'Appendix K'!$F$48+'Appendix K'!$H$48+'Appendix K'!$G$48))/((1+$Y$16)^AP$34))</f>
        <v>-720863.38259983144</v>
      </c>
      <c r="AQ226" s="193">
        <f>(((T226*'Appendix K'!$C$23*1000)-('Appendix K'!$E$49+'Appendix K'!$F$49+'Appendix K'!$H$49+'Appendix K'!$G$49))/((1+$Y$16)^AQ$34))</f>
        <v>-666801.40966054611</v>
      </c>
      <c r="AR226" s="193">
        <f>(((U226*'Appendix K'!$C$24*1000)-('Appendix K'!$E$50+'Appendix K'!$F$50+'Appendix K'!$H$50+'Appendix K'!$G$50))/((1+$Y$16)^AR$34))</f>
        <v>-612295.02233808173</v>
      </c>
      <c r="AS226" s="209">
        <f t="shared" si="20"/>
        <v>42905226.572153471</v>
      </c>
      <c r="AU226" s="199">
        <f t="shared" si="19"/>
        <v>5.1540411492792627E-9</v>
      </c>
    </row>
    <row r="227" spans="1:47" x14ac:dyDescent="0.35">
      <c r="A227">
        <v>193</v>
      </c>
      <c r="B227" s="70">
        <v>56</v>
      </c>
      <c r="C227" s="70">
        <v>41.193052888985861</v>
      </c>
      <c r="D227" s="70">
        <v>50.104516246427352</v>
      </c>
      <c r="E227" s="70">
        <v>32.362515271514241</v>
      </c>
      <c r="F227" s="70">
        <v>47.527266311311635</v>
      </c>
      <c r="G227" s="70">
        <v>34.654942999407965</v>
      </c>
      <c r="H227" s="70">
        <v>54.096872841975902</v>
      </c>
      <c r="I227" s="70">
        <v>56.537150335191605</v>
      </c>
      <c r="J227" s="70">
        <v>69.437338767427292</v>
      </c>
      <c r="K227" s="70">
        <v>91.08839856345466</v>
      </c>
      <c r="L227" s="70">
        <v>94.920178258223586</v>
      </c>
      <c r="M227" s="70">
        <v>74.011556711641049</v>
      </c>
      <c r="N227" s="70">
        <v>65.905625756581074</v>
      </c>
      <c r="O227" s="70">
        <v>65.912444873895723</v>
      </c>
      <c r="P227" s="70">
        <v>93.641563290629051</v>
      </c>
      <c r="Q227" s="70">
        <v>119.09248018811613</v>
      </c>
      <c r="R227" s="70">
        <v>145.16241785161961</v>
      </c>
      <c r="S227" s="70">
        <v>151.54960620305079</v>
      </c>
      <c r="T227" s="70">
        <v>112.23728636957759</v>
      </c>
      <c r="U227" s="70">
        <v>94.059703985833181</v>
      </c>
      <c r="V227" s="70">
        <v>51.449927387694188</v>
      </c>
      <c r="X227" s="193">
        <f>((0-('Appendix K'!$I$30))/(1+$Y$16)^0)</f>
        <v>-33594902.4440751</v>
      </c>
      <c r="Y227" s="193">
        <f>(((B227*'Appendix K'!$C$5*1000)-('Appendix K'!$E$31+'Appendix K'!$F$31+'Appendix K'!$H$31+'Appendix K'!$G$31))/((1+$Y$16)^1))</f>
        <v>34971064.972647354</v>
      </c>
      <c r="Z227" s="193">
        <f>+(((C227*'Appendix K'!$C$6*1000)-('Appendix K'!$E$32+'Appendix K'!$F$32+'Appendix K'!$H$32+'Appendix K'!$G$32))/((1+$Y$16)^2))</f>
        <v>6918822.0197665039</v>
      </c>
      <c r="AA227" s="193">
        <f>(((D227*'Appendix K'!$C$7*1000)-('Appendix K'!$E$33+'Appendix K'!$F$33+'Appendix K'!$H$33+'Appendix K'!$G$33))/((1+$Y$16)^3))</f>
        <v>3417158.298550006</v>
      </c>
      <c r="AB227" s="193">
        <f>(((E227*'Appendix K'!$C$8*1000)-('Appendix K'!$E$34+'Appendix K'!$F$34+'Appendix K'!$H$34+'Appendix K'!$G$34))/((1+$Y$16)^4))</f>
        <v>3800359.208348284</v>
      </c>
      <c r="AC227" s="193">
        <f>(((F227*'Appendix K'!$C$9*1000)-('Appendix K'!$E$35+'Appendix K'!$F$35+'Appendix K'!$H$35+'Appendix K'!$G$35))/((1+$Y$16)^AC$34))</f>
        <v>9648444.235186791</v>
      </c>
      <c r="AD227" s="193">
        <f>(((G227*'Appendix K'!$C$10*1000)-('Appendix K'!$E$36+'Appendix K'!$F$36+'Appendix K'!$H$36+'Appendix K'!$G$36))/((1+$Y$16)^AD$34))</f>
        <v>2926586.2104088413</v>
      </c>
      <c r="AE227" s="193">
        <f>(((H227*'Appendix K'!$C$11*1000)-('Appendix K'!$E$37+'Appendix K'!$F$37+'Appendix K'!$H$37+'Appendix K'!$G$37))/((1+$Y$16)^AE$34))</f>
        <v>3175552.8593370635</v>
      </c>
      <c r="AF227" s="193">
        <f>(((I227*'Appendix K'!$C$12*1000)-('Appendix K'!$E$38+'Appendix K'!$F$38+'Appendix K'!$H$38+'Appendix K'!$G$38))/((1+$Y$16)^AF$34))</f>
        <v>1715787.4982346832</v>
      </c>
      <c r="AG227" s="193">
        <f>(((J227*'Appendix K'!$C$13*1000)-('Appendix K'!$E$39+'Appendix K'!$F$39+'Appendix K'!$H$39+'Appendix K'!$G$39))/((1+$Y$16)^AG$34))</f>
        <v>1380488.339006687</v>
      </c>
      <c r="AH227" s="193">
        <f>(((K227*'Appendix K'!$C$14*1000)-('Appendix K'!$E$40+'Appendix K'!$F$40+'Appendix K'!$H$40+'Appendix K'!$G$40))/((1+$Y$16)^AH$34))</f>
        <v>1437532.3872946892</v>
      </c>
      <c r="AI227" s="193">
        <f>(((L227*'Appendix K'!$C$15*1000)-('Appendix K'!$E$41+'Appendix K'!$F$41+'Appendix K'!$H$41+'Appendix K'!$G$41))/((1+$Y$16)^AI$34))</f>
        <v>970604.82363815361</v>
      </c>
      <c r="AJ227" s="193">
        <f>(((M227*'Appendix K'!$C$16*1000)-('Appendix K'!$E$42+'Appendix K'!$F$42+'Appendix K'!$H$42+'Appendix K'!$G$42))/((1+$Y$16)^AJ$34))</f>
        <v>101778.81573766057</v>
      </c>
      <c r="AK227" s="193">
        <f>(((N227*'Appendix K'!$C$17*1000)-('Appendix K'!$E$43+'Appendix K'!$F$43+'Appendix K'!$H$43))/((1+$Y$16)^AK$34))</f>
        <v>8308.6599513288547</v>
      </c>
      <c r="AL227" s="193">
        <f>(((O227*'Appendix K'!$C$18*1000)-('Appendix K'!$E$44+'Appendix K'!$F$44+'Appendix K'!$H$44+'Appendix K'!$G$44))/((1+$Y$16)^AL$34))</f>
        <v>-353309.5217028737</v>
      </c>
      <c r="AM227" s="193">
        <f>(((P227*'Appendix K'!$C$19*1000)-('Appendix K'!$E$45+'Appendix K'!$F$45+'Appendix K'!$H$45+'Appendix K'!$G$45))/((1+$Y$16)^AM$34))</f>
        <v>-158827.40736328036</v>
      </c>
      <c r="AN227" s="193">
        <f>(((Q227*'Appendix K'!$C$20*1000)-('Appendix K'!$E$46+'Appendix K'!$F$46+'Appendix K'!$H$46+'Appendix K'!$G$46))/((1+$Y$16)^AN$34))</f>
        <v>-53929.822150210486</v>
      </c>
      <c r="AO227" s="193">
        <f>(((R227*'Appendix K'!$C$21*1000)-('Appendix K'!$E$47+'Appendix K'!$F$47+'Appendix K'!$H$47+'Appendix K'!$G$47))/((1+$Y$16)^AO$34))</f>
        <v>14927.001671833439</v>
      </c>
      <c r="AP227" s="193">
        <f>(((S227*'Appendix K'!$C$22*1000)-('Appendix K'!$E$48+'Appendix K'!$F$48+'Appendix K'!$H$48+'Appendix K'!$G$48))/((1+$Y$16)^AP$34))</f>
        <v>-38573.152761608239</v>
      </c>
      <c r="AQ227" s="193">
        <f>(((T227*'Appendix K'!$C$23*1000)-('Appendix K'!$E$49+'Appendix K'!$F$49+'Appendix K'!$H$49+'Appendix K'!$G$49))/((1+$Y$16)^AQ$34))</f>
        <v>-254217.62614347454</v>
      </c>
      <c r="AR227" s="193">
        <f>(((U227*'Appendix K'!$C$24*1000)-('Appendix K'!$E$50+'Appendix K'!$F$50+'Appendix K'!$H$50+'Appendix K'!$G$50))/((1+$Y$16)^AR$34))</f>
        <v>-326413.98702838074</v>
      </c>
      <c r="AS227" s="209">
        <f t="shared" si="20"/>
        <v>36892512.885704793</v>
      </c>
      <c r="AU227" s="199">
        <f t="shared" ref="AU227:AU290" si="21">_xlfn.NORM.DIST(AS227,$Y$17,$Y$19,FALSE)</f>
        <v>4.7147511094592343E-9</v>
      </c>
    </row>
    <row r="228" spans="1:47" x14ac:dyDescent="0.35">
      <c r="A228">
        <v>194</v>
      </c>
      <c r="B228" s="70">
        <v>56</v>
      </c>
      <c r="C228" s="70">
        <v>44.559137360707325</v>
      </c>
      <c r="D228" s="70">
        <v>40.524825171489795</v>
      </c>
      <c r="E228" s="70">
        <v>45.944659410064617</v>
      </c>
      <c r="F228" s="70">
        <v>53.626465931345827</v>
      </c>
      <c r="G228" s="70">
        <v>70.152218463290097</v>
      </c>
      <c r="H228" s="70">
        <v>83.545615676239066</v>
      </c>
      <c r="I228" s="70">
        <v>106.2335340744892</v>
      </c>
      <c r="J228" s="70">
        <v>101.76750039207475</v>
      </c>
      <c r="K228" s="70">
        <v>97.209218361430331</v>
      </c>
      <c r="L228" s="70">
        <v>108.22899390643965</v>
      </c>
      <c r="M228" s="70">
        <v>83.096752604234382</v>
      </c>
      <c r="N228" s="70">
        <v>89.326066333534541</v>
      </c>
      <c r="O228" s="70">
        <v>83.149224129617437</v>
      </c>
      <c r="P228" s="70">
        <v>58.288925221417173</v>
      </c>
      <c r="Q228" s="70">
        <v>79.88777783365363</v>
      </c>
      <c r="R228" s="70">
        <v>96.953327488888903</v>
      </c>
      <c r="S228" s="70">
        <v>110.17292884252707</v>
      </c>
      <c r="T228" s="70">
        <v>115.98582483756704</v>
      </c>
      <c r="U228" s="70">
        <v>121.3319272479648</v>
      </c>
      <c r="V228" s="70">
        <v>120.67931721877537</v>
      </c>
      <c r="X228" s="193">
        <f>((0-('Appendix K'!$I$30))/(1+$Y$16)^0)</f>
        <v>-33594902.4440751</v>
      </c>
      <c r="Y228" s="193">
        <f>(((B228*'Appendix K'!$C$5*1000)-('Appendix K'!$E$31+'Appendix K'!$F$31+'Appendix K'!$H$31+'Appendix K'!$G$31))/((1+$Y$16)^1))</f>
        <v>34971064.972647354</v>
      </c>
      <c r="Z228" s="193">
        <f>+(((C228*'Appendix K'!$C$6*1000)-('Appendix K'!$E$32+'Appendix K'!$F$32+'Appendix K'!$H$32+'Appendix K'!$G$32))/((1+$Y$16)^2))</f>
        <v>7769152.5278837495</v>
      </c>
      <c r="AA228" s="193">
        <f>(((D228*'Appendix K'!$C$7*1000)-('Appendix K'!$E$33+'Appendix K'!$F$33+'Appendix K'!$H$33+'Appendix K'!$G$33))/((1+$Y$16)^3))</f>
        <v>2196946.370646318</v>
      </c>
      <c r="AB228" s="193">
        <f>(((E228*'Appendix K'!$C$8*1000)-('Appendix K'!$E$34+'Appendix K'!$F$34+'Appendix K'!$H$34+'Appendix K'!$G$34))/((1+$Y$16)^4))</f>
        <v>6777440.8709559897</v>
      </c>
      <c r="AC228" s="193">
        <f>(((F228*'Appendix K'!$C$9*1000)-('Appendix K'!$E$35+'Appendix K'!$F$35+'Appendix K'!$H$35+'Appendix K'!$G$35))/((1+$Y$16)^AC$34))</f>
        <v>11269601.9167298</v>
      </c>
      <c r="AD228" s="193">
        <f>(((G228*'Appendix K'!$C$10*1000)-('Appendix K'!$E$36+'Appendix K'!$F$36+'Appendix K'!$H$36+'Appendix K'!$G$36))/((1+$Y$16)^AD$34))</f>
        <v>8501218.6173201371</v>
      </c>
      <c r="AE228" s="193">
        <f>(((H228*'Appendix K'!$C$11*1000)-('Appendix K'!$E$37+'Appendix K'!$F$37+'Appendix K'!$H$37+'Appendix K'!$G$37))/((1+$Y$16)^AE$34))</f>
        <v>6112700.6418418447</v>
      </c>
      <c r="AF228" s="193">
        <f>(((I228*'Appendix K'!$C$12*1000)-('Appendix K'!$E$38+'Appendix K'!$F$38+'Appendix K'!$H$38+'Appendix K'!$G$38))/((1+$Y$16)^AF$34))</f>
        <v>4978972.6696203714</v>
      </c>
      <c r="AG228" s="193">
        <f>(((J228*'Appendix K'!$C$13*1000)-('Appendix K'!$E$39+'Appendix K'!$F$39+'Appendix K'!$H$39+'Appendix K'!$G$39))/((1+$Y$16)^AG$34))</f>
        <v>2868287.8665231876</v>
      </c>
      <c r="AH228" s="193">
        <f>(((K228*'Appendix K'!$C$14*1000)-('Appendix K'!$E$40+'Appendix K'!$F$40+'Appendix K'!$H$40+'Appendix K'!$G$40))/((1+$Y$16)^AH$34))</f>
        <v>1643843.9635847602</v>
      </c>
      <c r="AI228" s="193">
        <f>(((L228*'Appendix K'!$C$15*1000)-('Appendix K'!$E$41+'Appendix K'!$F$41+'Appendix K'!$H$41+'Appendix K'!$G$41))/((1+$Y$16)^AI$34))</f>
        <v>1319320.6812287134</v>
      </c>
      <c r="AJ228" s="193">
        <f>(((M228*'Appendix K'!$C$16*1000)-('Appendix K'!$E$42+'Appendix K'!$F$42+'Appendix K'!$H$42+'Appendix K'!$G$42))/((1+$Y$16)^AJ$34))</f>
        <v>283863.10328561411</v>
      </c>
      <c r="AK228" s="193">
        <f>(((N228*'Appendix K'!$C$17*1000)-('Appendix K'!$E$43+'Appendix K'!$F$43+'Appendix K'!$H$43))/((1+$Y$16)^AK$34))</f>
        <v>368137.90750511893</v>
      </c>
      <c r="AL228" s="193">
        <f>(((O228*'Appendix K'!$C$18*1000)-('Appendix K'!$E$44+'Appendix K'!$F$44+'Appendix K'!$H$44+'Appendix K'!$G$44))/((1+$Y$16)^AL$34))</f>
        <v>-148996.90522586202</v>
      </c>
      <c r="AM228" s="193">
        <f>(((P228*'Appendix K'!$C$19*1000)-('Appendix K'!$E$45+'Appendix K'!$F$45+'Appendix K'!$H$45+'Appendix K'!$G$45))/((1+$Y$16)^AM$34))</f>
        <v>-486501.52777609095</v>
      </c>
      <c r="AN228" s="193">
        <f>(((Q228*'Appendix K'!$C$20*1000)-('Appendix K'!$E$46+'Appendix K'!$F$46+'Appendix K'!$H$46+'Appendix K'!$G$46))/((1+$Y$16)^AN$34))</f>
        <v>-337623.55152969115</v>
      </c>
      <c r="AO228" s="193">
        <f>(((R228*'Appendix K'!$C$21*1000)-('Appendix K'!$E$47+'Appendix K'!$F$47+'Appendix K'!$H$47+'Appendix K'!$G$47))/((1+$Y$16)^AO$34))</f>
        <v>-269994.04851414799</v>
      </c>
      <c r="AP228" s="193">
        <f>(((S228*'Appendix K'!$C$22*1000)-('Appendix K'!$E$48+'Appendix K'!$F$48+'Appendix K'!$H$48+'Appendix K'!$G$48))/((1+$Y$16)^AP$34))</f>
        <v>-236755.82460995761</v>
      </c>
      <c r="AQ228" s="193">
        <f>(((T228*'Appendix K'!$C$23*1000)-('Appendix K'!$E$49+'Appendix K'!$F$49+'Appendix K'!$H$49+'Appendix K'!$G$49))/((1+$Y$16)^AQ$34))</f>
        <v>-239546.80623022301</v>
      </c>
      <c r="AR228" s="193">
        <f>(((U228*'Appendix K'!$C$24*1000)-('Appendix K'!$E$50+'Appendix K'!$F$50+'Appendix K'!$H$50+'Appendix K'!$G$50))/((1+$Y$16)^AR$34))</f>
        <v>-238596.66398775048</v>
      </c>
      <c r="AS228" s="209">
        <f t="shared" ref="AS228:AS291" si="22">SUMIF(Y228:AR228,"&gt;0")+X228</f>
        <v>55465649.665697865</v>
      </c>
      <c r="AU228" s="199">
        <f t="shared" si="21"/>
        <v>5.9874212603385777E-9</v>
      </c>
    </row>
    <row r="229" spans="1:47" x14ac:dyDescent="0.35">
      <c r="A229">
        <v>195</v>
      </c>
      <c r="B229" s="70">
        <v>56</v>
      </c>
      <c r="C229" s="70">
        <v>64.723703092120815</v>
      </c>
      <c r="D229" s="70">
        <v>80.651637664580392</v>
      </c>
      <c r="E229" s="70">
        <v>107.34412282915656</v>
      </c>
      <c r="F229" s="70">
        <v>108.34030727736487</v>
      </c>
      <c r="G229" s="70">
        <v>64.800558181686924</v>
      </c>
      <c r="H229" s="70">
        <v>51.236481738832985</v>
      </c>
      <c r="I229" s="70">
        <v>68.348397758798086</v>
      </c>
      <c r="J229" s="70">
        <v>67.61905669584462</v>
      </c>
      <c r="K229" s="70">
        <v>99.601969875894056</v>
      </c>
      <c r="L229" s="70">
        <v>84.998613438030063</v>
      </c>
      <c r="M229" s="70">
        <v>73.44574203966431</v>
      </c>
      <c r="N229" s="70">
        <v>116.96220770429957</v>
      </c>
      <c r="O229" s="70">
        <v>92.598894483461422</v>
      </c>
      <c r="P229" s="70">
        <v>127.83207944238013</v>
      </c>
      <c r="Q229" s="70">
        <v>163.29889142273839</v>
      </c>
      <c r="R229" s="70">
        <v>173.89105716315402</v>
      </c>
      <c r="S229" s="70">
        <v>265.65092475726641</v>
      </c>
      <c r="T229" s="70">
        <v>389.09853828736914</v>
      </c>
      <c r="U229" s="70">
        <v>398.52820974756946</v>
      </c>
      <c r="V229" s="70">
        <v>500</v>
      </c>
      <c r="X229" s="193">
        <f>((0-('Appendix K'!$I$30))/(1+$Y$16)^0)</f>
        <v>-33594902.4440751</v>
      </c>
      <c r="Y229" s="193">
        <f>(((B229*'Appendix K'!$C$5*1000)-('Appendix K'!$E$31+'Appendix K'!$F$31+'Appendix K'!$H$31+'Appendix K'!$G$31))/((1+$Y$16)^1))</f>
        <v>34971064.972647354</v>
      </c>
      <c r="Z229" s="193">
        <f>+(((C229*'Appendix K'!$C$6*1000)-('Appendix K'!$E$32+'Appendix K'!$F$32+'Appendix K'!$H$32+'Appendix K'!$G$32))/((1+$Y$16)^2))</f>
        <v>12863066.708708638</v>
      </c>
      <c r="AA229" s="193">
        <f>(((D229*'Appendix K'!$C$7*1000)-('Appendix K'!$E$33+'Appendix K'!$F$33+'Appendix K'!$H$33+'Appendix K'!$G$33))/((1+$Y$16)^3))</f>
        <v>7308093.9901057528</v>
      </c>
      <c r="AB229" s="193">
        <f>(((E229*'Appendix K'!$C$8*1000)-('Appendix K'!$E$34+'Appendix K'!$F$34+'Appendix K'!$H$34+'Appendix K'!$G$34))/((1+$Y$16)^4))</f>
        <v>20235641.194431622</v>
      </c>
      <c r="AC229" s="193">
        <f>(((F229*'Appendix K'!$C$9*1000)-('Appendix K'!$E$35+'Appendix K'!$F$35+'Appendix K'!$H$35+'Appendix K'!$G$35))/((1+$Y$16)^AC$34))</f>
        <v>25812455.030353095</v>
      </c>
      <c r="AD229" s="193">
        <f>(((G229*'Appendix K'!$C$10*1000)-('Appendix K'!$E$36+'Appendix K'!$F$36+'Appendix K'!$H$36+'Appendix K'!$G$36))/((1+$Y$16)^AD$34))</f>
        <v>7660772.7395242434</v>
      </c>
      <c r="AE229" s="193">
        <f>(((H229*'Appendix K'!$C$11*1000)-('Appendix K'!$E$37+'Appendix K'!$F$37+'Appendix K'!$H$37+'Appendix K'!$G$37))/((1+$Y$16)^AE$34))</f>
        <v>2890264.2331646164</v>
      </c>
      <c r="AF229" s="193">
        <f>(((I229*'Appendix K'!$C$12*1000)-('Appendix K'!$E$38+'Appendix K'!$F$38+'Appendix K'!$H$38+'Appendix K'!$G$38))/((1+$Y$16)^AF$34))</f>
        <v>2491342.6704272744</v>
      </c>
      <c r="AG229" s="193">
        <f>(((J229*'Appendix K'!$C$13*1000)-('Appendix K'!$E$39+'Appendix K'!$F$39+'Appendix K'!$H$39+'Appendix K'!$G$39))/((1+$Y$16)^AG$34))</f>
        <v>1296812.9389762073</v>
      </c>
      <c r="AH229" s="193">
        <f>(((K229*'Appendix K'!$C$14*1000)-('Appendix K'!$E$40+'Appendix K'!$F$40+'Appendix K'!$H$40+'Appendix K'!$G$40))/((1+$Y$16)^AH$34))</f>
        <v>1724495.306527863</v>
      </c>
      <c r="AI229" s="193">
        <f>(((L229*'Appendix K'!$C$15*1000)-('Appendix K'!$E$41+'Appendix K'!$F$41+'Appendix K'!$H$41+'Appendix K'!$G$41))/((1+$Y$16)^AI$34))</f>
        <v>710641.27193189249</v>
      </c>
      <c r="AJ229" s="193">
        <f>(((M229*'Appendix K'!$C$16*1000)-('Appendix K'!$E$42+'Appendix K'!$F$42+'Appendix K'!$H$42+'Appendix K'!$G$42))/((1+$Y$16)^AJ$34))</f>
        <v>90438.833347731677</v>
      </c>
      <c r="AK229" s="193">
        <f>(((N229*'Appendix K'!$C$17*1000)-('Appendix K'!$E$43+'Appendix K'!$F$43+'Appendix K'!$H$43))/((1+$Y$16)^AK$34))</f>
        <v>792736.74978813203</v>
      </c>
      <c r="AL229" s="193">
        <f>(((O229*'Appendix K'!$C$18*1000)-('Appendix K'!$E$44+'Appendix K'!$F$44+'Appendix K'!$H$44+'Appendix K'!$G$44))/((1+$Y$16)^AL$34))</f>
        <v>-36987.181936157256</v>
      </c>
      <c r="AM229" s="193">
        <f>(((P229*'Appendix K'!$C$19*1000)-('Appendix K'!$E$45+'Appendix K'!$F$45+'Appendix K'!$H$45+'Appendix K'!$G$45))/((1+$Y$16)^AM$34))</f>
        <v>158075.31668666465</v>
      </c>
      <c r="AN229" s="193">
        <f>(((Q229*'Appendix K'!$C$20*1000)-('Appendix K'!$E$46+'Appendix K'!$F$46+'Appendix K'!$H$46+'Appendix K'!$G$46))/((1+$Y$16)^AN$34))</f>
        <v>265957.3575111719</v>
      </c>
      <c r="AO229" s="193">
        <f>(((R229*'Appendix K'!$C$21*1000)-('Appendix K'!$E$47+'Appendix K'!$F$47+'Appendix K'!$H$47+'Appendix K'!$G$47))/((1+$Y$16)^AO$34))</f>
        <v>184716.43394422889</v>
      </c>
      <c r="AP229" s="193">
        <f>(((S229*'Appendix K'!$C$22*1000)-('Appendix K'!$E$48+'Appendix K'!$F$48+'Appendix K'!$H$48+'Appendix K'!$G$48))/((1+$Y$16)^AP$34))</f>
        <v>507940.13962924993</v>
      </c>
      <c r="AQ229" s="193">
        <f>(((T229*'Appendix K'!$C$23*1000)-('Appendix K'!$E$49+'Appendix K'!$F$49+'Appendix K'!$H$49+'Appendix K'!$G$49))/((1+$Y$16)^AQ$34))</f>
        <v>829346.43556451506</v>
      </c>
      <c r="AR229" s="193">
        <f>(((U229*'Appendix K'!$C$24*1000)-('Appendix K'!$E$50+'Appendix K'!$F$50+'Appendix K'!$H$50+'Appendix K'!$G$50))/((1+$Y$16)^AR$34))</f>
        <v>653983.13238441187</v>
      </c>
      <c r="AS229" s="209">
        <f t="shared" si="22"/>
        <v>87852943.011579573</v>
      </c>
      <c r="AU229" s="199">
        <f t="shared" si="21"/>
        <v>7.029612946709472E-9</v>
      </c>
    </row>
    <row r="230" spans="1:47" x14ac:dyDescent="0.35">
      <c r="A230">
        <v>196</v>
      </c>
      <c r="B230" s="70">
        <v>56</v>
      </c>
      <c r="C230" s="70">
        <v>66.369099922677108</v>
      </c>
      <c r="D230" s="70">
        <v>65.246603619340959</v>
      </c>
      <c r="E230" s="70">
        <v>47.742763230997419</v>
      </c>
      <c r="F230" s="70">
        <v>61.503827184436425</v>
      </c>
      <c r="G230" s="70">
        <v>74.331328791782767</v>
      </c>
      <c r="H230" s="70">
        <v>87.76263532219518</v>
      </c>
      <c r="I230" s="70">
        <v>77.439196668104685</v>
      </c>
      <c r="J230" s="70">
        <v>111.39379700016417</v>
      </c>
      <c r="K230" s="70">
        <v>106.8294402284282</v>
      </c>
      <c r="L230" s="70">
        <v>80.824211843680928</v>
      </c>
      <c r="M230" s="70">
        <v>165.57022259451949</v>
      </c>
      <c r="N230" s="70">
        <v>170.15678097020688</v>
      </c>
      <c r="O230" s="70">
        <v>294.39331473761149</v>
      </c>
      <c r="P230" s="70">
        <v>472.1559292641316</v>
      </c>
      <c r="Q230" s="70">
        <v>414.14255532359795</v>
      </c>
      <c r="R230" s="70">
        <v>484.32065176665918</v>
      </c>
      <c r="S230" s="70">
        <v>500</v>
      </c>
      <c r="T230" s="70">
        <v>500</v>
      </c>
      <c r="U230" s="70">
        <v>466.02306800051571</v>
      </c>
      <c r="V230" s="70">
        <v>213.46543967306889</v>
      </c>
      <c r="X230" s="193">
        <f>((0-('Appendix K'!$I$30))/(1+$Y$16)^0)</f>
        <v>-33594902.4440751</v>
      </c>
      <c r="Y230" s="193">
        <f>(((B230*'Appendix K'!$C$5*1000)-('Appendix K'!$E$31+'Appendix K'!$F$31+'Appendix K'!$H$31+'Appendix K'!$G$31))/((1+$Y$16)^1))</f>
        <v>34971064.972647354</v>
      </c>
      <c r="Z230" s="193">
        <f>+(((C230*'Appendix K'!$C$6*1000)-('Appendix K'!$E$32+'Appendix K'!$F$32+'Appendix K'!$H$32+'Appendix K'!$G$32))/((1+$Y$16)^2))</f>
        <v>13278722.089533322</v>
      </c>
      <c r="AA230" s="193">
        <f>(((D230*'Appendix K'!$C$7*1000)-('Appendix K'!$E$33+'Appendix K'!$F$33+'Appendix K'!$H$33+'Appendix K'!$G$33))/((1+$Y$16)^3))</f>
        <v>5345879.744915585</v>
      </c>
      <c r="AB230" s="193">
        <f>(((E230*'Appendix K'!$C$8*1000)-('Appendix K'!$E$34+'Appendix K'!$F$34+'Appendix K'!$H$34+'Appendix K'!$G$34))/((1+$Y$16)^4))</f>
        <v>7171568.7684482671</v>
      </c>
      <c r="AC230" s="193">
        <f>(((F230*'Appendix K'!$C$9*1000)-('Appendix K'!$E$35+'Appendix K'!$F$35+'Appendix K'!$H$35+'Appendix K'!$G$35))/((1+$Y$16)^AC$34))</f>
        <v>13363392.168124376</v>
      </c>
      <c r="AD230" s="193">
        <f>(((G230*'Appendix K'!$C$10*1000)-('Appendix K'!$E$36+'Appendix K'!$F$36+'Appendix K'!$H$36+'Appendix K'!$G$36))/((1+$Y$16)^AD$34))</f>
        <v>9157522.6171292849</v>
      </c>
      <c r="AE230" s="193">
        <f>(((H230*'Appendix K'!$C$11*1000)-('Appendix K'!$E$37+'Appendix K'!$F$37+'Appendix K'!$H$37+'Appendix K'!$G$37))/((1+$Y$16)^AE$34))</f>
        <v>6533296.1820863718</v>
      </c>
      <c r="AF230" s="193">
        <f>(((I230*'Appendix K'!$C$12*1000)-('Appendix K'!$E$38+'Appendix K'!$F$38+'Appendix K'!$H$38+'Appendix K'!$G$38))/((1+$Y$16)^AF$34))</f>
        <v>3088266.5905361897</v>
      </c>
      <c r="AG230" s="193">
        <f>(((J230*'Appendix K'!$C$13*1000)-('Appendix K'!$E$39+'Appendix K'!$F$39+'Appendix K'!$H$39+'Appendix K'!$G$39))/((1+$Y$16)^AG$34))</f>
        <v>3311279.7609506659</v>
      </c>
      <c r="AH230" s="193">
        <f>(((K230*'Appendix K'!$C$14*1000)-('Appendix K'!$E$40+'Appendix K'!$F$40+'Appendix K'!$H$40+'Appendix K'!$G$40))/((1+$Y$16)^AH$34))</f>
        <v>1968108.2293448735</v>
      </c>
      <c r="AI230" s="193">
        <f>(((L230*'Appendix K'!$C$15*1000)-('Appendix K'!$E$41+'Appendix K'!$F$41+'Appendix K'!$H$41+'Appendix K'!$G$41))/((1+$Y$16)^AI$34))</f>
        <v>601264.14399068605</v>
      </c>
      <c r="AJ230" s="193">
        <f>(((M230*'Appendix K'!$C$16*1000)-('Appendix K'!$E$42+'Appendix K'!$F$42+'Appendix K'!$H$42+'Appendix K'!$G$42))/((1+$Y$16)^AJ$34))</f>
        <v>1936785.4180406823</v>
      </c>
      <c r="AK230" s="193">
        <f>(((N230*'Appendix K'!$C$17*1000)-('Appendix K'!$E$43+'Appendix K'!$F$43+'Appendix K'!$H$43))/((1+$Y$16)^AK$34))</f>
        <v>1610012.7190135682</v>
      </c>
      <c r="AL230" s="193">
        <f>(((O230*'Appendix K'!$C$18*1000)-('Appendix K'!$E$44+'Appendix K'!$F$44+'Appendix K'!$H$44+'Appendix K'!$G$44))/((1+$Y$16)^AL$34))</f>
        <v>2354941.4597734665</v>
      </c>
      <c r="AM230" s="193">
        <f>(((P230*'Appendix K'!$C$19*1000)-('Appendix K'!$E$45+'Appendix K'!$F$45+'Appendix K'!$H$45+'Appendix K'!$G$45))/((1+$Y$16)^AM$34))</f>
        <v>3349520.7303672275</v>
      </c>
      <c r="AN230" s="193">
        <f>(((Q230*'Appendix K'!$C$20*1000)-('Appendix K'!$E$46+'Appendix K'!$F$46+'Appendix K'!$H$46+'Appendix K'!$G$46))/((1+$Y$16)^AN$34))</f>
        <v>2081116.5152020531</v>
      </c>
      <c r="AO230" s="193">
        <f>(((R230*'Appendix K'!$C$21*1000)-('Appendix K'!$E$47+'Appendix K'!$F$47+'Appendix K'!$H$47+'Appendix K'!$G$47))/((1+$Y$16)^AO$34))</f>
        <v>2019389.6343250466</v>
      </c>
      <c r="AP230" s="193">
        <f>(((S230*'Appendix K'!$C$22*1000)-('Appendix K'!$E$48+'Appendix K'!$F$48+'Appendix K'!$H$48+'Appendix K'!$G$48))/((1+$Y$16)^AP$34))</f>
        <v>1630406.4380253027</v>
      </c>
      <c r="AQ230" s="193">
        <f>(((T230*'Appendix K'!$C$23*1000)-('Appendix K'!$E$49+'Appendix K'!$F$49+'Appendix K'!$H$49+'Appendix K'!$G$49))/((1+$Y$16)^AQ$34))</f>
        <v>1263386.3652054211</v>
      </c>
      <c r="AR230" s="193">
        <f>(((U230*'Appendix K'!$C$24*1000)-('Appendix K'!$E$50+'Appendix K'!$F$50+'Appendix K'!$H$50+'Appendix K'!$G$50))/((1+$Y$16)^AR$34))</f>
        <v>871318.46708778664</v>
      </c>
      <c r="AS230" s="209">
        <f t="shared" si="22"/>
        <v>82312340.570672423</v>
      </c>
      <c r="AU230" s="199">
        <f t="shared" si="21"/>
        <v>6.999030965077535E-9</v>
      </c>
    </row>
    <row r="231" spans="1:47" x14ac:dyDescent="0.35">
      <c r="A231">
        <v>197</v>
      </c>
      <c r="B231" s="70">
        <v>56</v>
      </c>
      <c r="C231" s="70">
        <v>57.790670135585195</v>
      </c>
      <c r="D231" s="70">
        <v>43.161895219991351</v>
      </c>
      <c r="E231" s="70">
        <v>35.275809345051961</v>
      </c>
      <c r="F231" s="70">
        <v>26.94574770862441</v>
      </c>
      <c r="G231" s="70">
        <v>23.046233725997507</v>
      </c>
      <c r="H231" s="70">
        <v>24.951588958562073</v>
      </c>
      <c r="I231" s="70">
        <v>26.175961527454184</v>
      </c>
      <c r="J231" s="70">
        <v>31.867037022591909</v>
      </c>
      <c r="K231" s="70">
        <v>52.15364964715026</v>
      </c>
      <c r="L231" s="70">
        <v>52.446701918555675</v>
      </c>
      <c r="M231" s="70">
        <v>43.819548870022849</v>
      </c>
      <c r="N231" s="70">
        <v>33.858680864610236</v>
      </c>
      <c r="O231" s="70">
        <v>35.380261953585169</v>
      </c>
      <c r="P231" s="70">
        <v>8.4631355166950897</v>
      </c>
      <c r="Q231" s="70">
        <v>8.2809475791606957</v>
      </c>
      <c r="R231" s="70">
        <v>12.92065179894732</v>
      </c>
      <c r="S231" s="70">
        <v>22.170199254133902</v>
      </c>
      <c r="T231" s="70">
        <v>17.613880401440671</v>
      </c>
      <c r="U231" s="70">
        <v>8.9299225694917048</v>
      </c>
      <c r="V231" s="70">
        <v>7.445413518517638</v>
      </c>
      <c r="X231" s="193">
        <f>((0-('Appendix K'!$I$30))/(1+$Y$16)^0)</f>
        <v>-33594902.4440751</v>
      </c>
      <c r="Y231" s="193">
        <f>(((B231*'Appendix K'!$C$5*1000)-('Appendix K'!$E$31+'Appendix K'!$F$31+'Appendix K'!$H$31+'Appendix K'!$G$31))/((1+$Y$16)^1))</f>
        <v>34971064.972647354</v>
      </c>
      <c r="Z231" s="193">
        <f>+(((C231*'Appendix K'!$C$6*1000)-('Appendix K'!$E$32+'Appendix K'!$F$32+'Appendix K'!$H$32+'Appendix K'!$G$32))/((1+$Y$16)^2))</f>
        <v>11111664.007364793</v>
      </c>
      <c r="AA231" s="193">
        <f>(((D231*'Appendix K'!$C$7*1000)-('Appendix K'!$E$33+'Appendix K'!$F$33+'Appendix K'!$H$33+'Appendix K'!$G$33))/((1+$Y$16)^3))</f>
        <v>2532842.8314745319</v>
      </c>
      <c r="AB231" s="193">
        <f>(((E231*'Appendix K'!$C$8*1000)-('Appendix K'!$E$34+'Appendix K'!$F$34+'Appendix K'!$H$34+'Appendix K'!$G$34))/((1+$Y$16)^4))</f>
        <v>4438926.6006273758</v>
      </c>
      <c r="AC231" s="193">
        <f>(((F231*'Appendix K'!$C$9*1000)-('Appendix K'!$E$35+'Appendix K'!$F$35+'Appendix K'!$H$35+'Appendix K'!$G$35))/((1+$Y$16)^AC$34))</f>
        <v>4177908.9093763363</v>
      </c>
      <c r="AD231" s="193">
        <f>(((G231*'Appendix K'!$C$10*1000)-('Appendix K'!$E$36+'Appendix K'!$F$36+'Appendix K'!$H$36+'Appendix K'!$G$36))/((1+$Y$16)^AD$34))</f>
        <v>1103508.6341083362</v>
      </c>
      <c r="AE231" s="193">
        <f>(((H231*'Appendix K'!$C$11*1000)-('Appendix K'!$E$37+'Appendix K'!$F$37+'Appendix K'!$H$37+'Appendix K'!$G$37))/((1+$Y$16)^AE$34))</f>
        <v>268671.35303920129</v>
      </c>
      <c r="AF231" s="193">
        <f>(((I231*'Appendix K'!$C$12*1000)-('Appendix K'!$E$38+'Appendix K'!$F$38+'Appendix K'!$H$38+'Appendix K'!$G$38))/((1+$Y$16)^AF$34))</f>
        <v>-277801.84667184792</v>
      </c>
      <c r="AG231" s="193">
        <f>(((J231*'Appendix K'!$C$13*1000)-('Appendix K'!$E$39+'Appendix K'!$F$39+'Appendix K'!$H$39+'Appendix K'!$G$39))/((1+$Y$16)^AG$34))</f>
        <v>-348456.84331508493</v>
      </c>
      <c r="AH231" s="193">
        <f>(((K231*'Appendix K'!$C$14*1000)-('Appendix K'!$E$40+'Appendix K'!$F$40+'Appendix K'!$H$40+'Appendix K'!$G$40))/((1+$Y$16)^AH$34))</f>
        <v>125177.23120309188</v>
      </c>
      <c r="AI231" s="193">
        <f>(((L231*'Appendix K'!$C$15*1000)-('Appendix K'!$E$41+'Appendix K'!$F$41+'Appendix K'!$H$41+'Appendix K'!$G$41))/((1+$Y$16)^AI$34))</f>
        <v>-142279.68225136655</v>
      </c>
      <c r="AJ231" s="193">
        <f>(((M231*'Appendix K'!$C$16*1000)-('Appendix K'!$E$42+'Appendix K'!$F$42+'Appendix K'!$H$42+'Appendix K'!$G$42))/((1+$Y$16)^AJ$34))</f>
        <v>-503325.38922120968</v>
      </c>
      <c r="AK231" s="193">
        <f>(((N231*'Appendix K'!$C$17*1000)-('Appendix K'!$E$43+'Appendix K'!$F$43+'Appendix K'!$H$43))/((1+$Y$16)^AK$34))</f>
        <v>-484057.31535927102</v>
      </c>
      <c r="AL231" s="193">
        <f>(((O231*'Appendix K'!$C$18*1000)-('Appendix K'!$E$44+'Appendix K'!$F$44+'Appendix K'!$H$44+'Appendix K'!$G$44))/((1+$Y$16)^AL$34))</f>
        <v>-715216.47001705156</v>
      </c>
      <c r="AM231" s="193">
        <f>(((P231*'Appendix K'!$C$19*1000)-('Appendix K'!$E$45+'Appendix K'!$F$45+'Appendix K'!$H$45+'Appendix K'!$G$45))/((1+$Y$16)^AM$34))</f>
        <v>-948323.40888733719</v>
      </c>
      <c r="AN231" s="193">
        <f>(((Q231*'Appendix K'!$C$20*1000)-('Appendix K'!$E$46+'Appendix K'!$F$46+'Appendix K'!$H$46+'Appendix K'!$G$46))/((1+$Y$16)^AN$34))</f>
        <v>-855786.10611998849</v>
      </c>
      <c r="AO231" s="193">
        <f>(((R231*'Appendix K'!$C$21*1000)-('Appendix K'!$E$47+'Appendix K'!$F$47+'Appendix K'!$H$47+'Appendix K'!$G$47))/((1+$Y$16)^AO$34))</f>
        <v>-766636.44577509421</v>
      </c>
      <c r="AP231" s="193">
        <f>(((S231*'Appendix K'!$C$22*1000)-('Appendix K'!$E$48+'Appendix K'!$F$48+'Appendix K'!$H$48+'Appendix K'!$G$48))/((1+$Y$16)^AP$34))</f>
        <v>-658264.20064053603</v>
      </c>
      <c r="AQ231" s="193">
        <f>(((T231*'Appendix K'!$C$23*1000)-('Appendix K'!$E$49+'Appendix K'!$F$49+'Appendix K'!$H$49+'Appendix K'!$G$49))/((1+$Y$16)^AQ$34))</f>
        <v>-624549.41288957663</v>
      </c>
      <c r="AR231" s="193">
        <f>(((U231*'Appendix K'!$C$24*1000)-('Appendix K'!$E$50+'Appendix K'!$F$50+'Appendix K'!$H$50+'Appendix K'!$G$50))/((1+$Y$16)^AR$34))</f>
        <v>-600534.26842830598</v>
      </c>
      <c r="AS231" s="209">
        <f t="shared" si="22"/>
        <v>25134862.095765926</v>
      </c>
      <c r="AU231" s="199">
        <f t="shared" si="21"/>
        <v>3.8345683124204534E-9</v>
      </c>
    </row>
    <row r="232" spans="1:47" x14ac:dyDescent="0.35">
      <c r="A232">
        <v>198</v>
      </c>
      <c r="B232" s="70">
        <v>56</v>
      </c>
      <c r="C232" s="70">
        <v>40.442292802259082</v>
      </c>
      <c r="D232" s="70">
        <v>38.472555562059028</v>
      </c>
      <c r="E232" s="70">
        <v>37.390047074581801</v>
      </c>
      <c r="F232" s="70">
        <v>49.66630659983624</v>
      </c>
      <c r="G232" s="70">
        <v>54.779703709576076</v>
      </c>
      <c r="H232" s="70">
        <v>78.420000032860656</v>
      </c>
      <c r="I232" s="70">
        <v>101.31546211601329</v>
      </c>
      <c r="J232" s="70">
        <v>53.586797320822811</v>
      </c>
      <c r="K232" s="70">
        <v>58.775933823977326</v>
      </c>
      <c r="L232" s="70">
        <v>80.491555302450465</v>
      </c>
      <c r="M232" s="70">
        <v>51.107720292987551</v>
      </c>
      <c r="N232" s="70">
        <v>62.728095136698144</v>
      </c>
      <c r="O232" s="70">
        <v>50.723966273107294</v>
      </c>
      <c r="P232" s="70">
        <v>71.403436217626663</v>
      </c>
      <c r="Q232" s="70">
        <v>91.547456837296224</v>
      </c>
      <c r="R232" s="70">
        <v>157.25695828820352</v>
      </c>
      <c r="S232" s="70">
        <v>144.92544949751374</v>
      </c>
      <c r="T232" s="70">
        <v>139.71481798487503</v>
      </c>
      <c r="U232" s="70">
        <v>178.3952843609477</v>
      </c>
      <c r="V232" s="70">
        <v>255.89572462321883</v>
      </c>
      <c r="X232" s="193">
        <f>((0-('Appendix K'!$I$30))/(1+$Y$16)^0)</f>
        <v>-33594902.4440751</v>
      </c>
      <c r="Y232" s="193">
        <f>(((B232*'Appendix K'!$C$5*1000)-('Appendix K'!$E$31+'Appendix K'!$F$31+'Appendix K'!$H$31+'Appendix K'!$G$31))/((1+$Y$16)^1))</f>
        <v>34971064.972647354</v>
      </c>
      <c r="Z232" s="193">
        <f>+(((C232*'Appendix K'!$C$6*1000)-('Appendix K'!$E$32+'Appendix K'!$F$32+'Appendix K'!$H$32+'Appendix K'!$G$32))/((1+$Y$16)^2))</f>
        <v>6729167.1815163977</v>
      </c>
      <c r="AA232" s="193">
        <f>(((D232*'Appendix K'!$C$7*1000)-('Appendix K'!$E$33+'Appendix K'!$F$33+'Appendix K'!$H$33+'Appendix K'!$G$33))/((1+$Y$16)^3))</f>
        <v>1935538.7910999192</v>
      </c>
      <c r="AB232" s="193">
        <f>(((E232*'Appendix K'!$C$8*1000)-('Appendix K'!$E$34+'Appendix K'!$F$34+'Appendix K'!$H$34+'Appendix K'!$G$34))/((1+$Y$16)^4))</f>
        <v>4902348.1569567285</v>
      </c>
      <c r="AC232" s="193">
        <f>(((F232*'Appendix K'!$C$9*1000)-('Appendix K'!$E$35+'Appendix K'!$F$35+'Appendix K'!$H$35+'Appendix K'!$G$35))/((1+$Y$16)^AC$34))</f>
        <v>10216997.784980621</v>
      </c>
      <c r="AD232" s="193">
        <f>(((G232*'Appendix K'!$C$10*1000)-('Appendix K'!$E$36+'Appendix K'!$F$36+'Appendix K'!$H$36+'Appendix K'!$G$36))/((1+$Y$16)^AD$34))</f>
        <v>6087058.1556539871</v>
      </c>
      <c r="AE232" s="193">
        <f>(((H232*'Appendix K'!$C$11*1000)-('Appendix K'!$E$37+'Appendix K'!$F$37+'Appendix K'!$H$37+'Appendix K'!$G$37))/((1+$Y$16)^AE$34))</f>
        <v>5601483.8912440967</v>
      </c>
      <c r="AF232" s="193">
        <f>(((I232*'Appendix K'!$C$12*1000)-('Appendix K'!$E$38+'Appendix K'!$F$38+'Appendix K'!$H$38+'Appendix K'!$G$38))/((1+$Y$16)^AF$34))</f>
        <v>4656040.1284742057</v>
      </c>
      <c r="AG232" s="193">
        <f>(((J232*'Appendix K'!$C$13*1000)-('Appendix K'!$E$39+'Appendix K'!$F$39+'Appendix K'!$H$39+'Appendix K'!$G$39))/((1+$Y$16)^AG$34))</f>
        <v>651063.34110749909</v>
      </c>
      <c r="AH232" s="193">
        <f>(((K232*'Appendix K'!$C$14*1000)-('Appendix K'!$E$40+'Appendix K'!$F$40+'Appendix K'!$H$40+'Appendix K'!$G$40))/((1+$Y$16)^AH$34))</f>
        <v>348391.42999617604</v>
      </c>
      <c r="AI232" s="193">
        <f>(((L232*'Appendix K'!$C$15*1000)-('Appendix K'!$E$41+'Appendix K'!$F$41+'Appendix K'!$H$41+'Appendix K'!$G$41))/((1+$Y$16)^AI$34))</f>
        <v>592547.9205396655</v>
      </c>
      <c r="AJ232" s="193">
        <f>(((M232*'Appendix K'!$C$16*1000)-('Appendix K'!$E$42+'Appendix K'!$F$42+'Appendix K'!$H$42+'Appendix K'!$G$42))/((1+$Y$16)^AJ$34))</f>
        <v>-357256.82704967039</v>
      </c>
      <c r="AK232" s="193">
        <f>(((N232*'Appendix K'!$C$17*1000)-('Appendix K'!$E$43+'Appendix K'!$F$43+'Appendix K'!$H$43))/((1+$Y$16)^AK$34))</f>
        <v>-40510.594676900371</v>
      </c>
      <c r="AL232" s="193">
        <f>(((O232*'Appendix K'!$C$18*1000)-('Appendix K'!$E$44+'Appendix K'!$F$44+'Appendix K'!$H$44+'Appendix K'!$G$44))/((1+$Y$16)^AL$34))</f>
        <v>-533343.02780013834</v>
      </c>
      <c r="AM232" s="193">
        <f>(((P232*'Appendix K'!$C$19*1000)-('Appendix K'!$E$45+'Appendix K'!$F$45+'Appendix K'!$H$45+'Appendix K'!$G$45))/((1+$Y$16)^AM$34))</f>
        <v>-364946.64276541548</v>
      </c>
      <c r="AN232" s="193">
        <f>(((Q232*'Appendix K'!$C$20*1000)-('Appendix K'!$E$46+'Appendix K'!$F$46+'Appendix K'!$H$46+'Appendix K'!$G$46))/((1+$Y$16)^AN$34))</f>
        <v>-253251.58538123535</v>
      </c>
      <c r="AO232" s="193">
        <f>(((R232*'Appendix K'!$C$21*1000)-('Appendix K'!$E$47+'Appendix K'!$F$47+'Appendix K'!$H$47+'Appendix K'!$G$47))/((1+$Y$16)^AO$34))</f>
        <v>86407.071857358416</v>
      </c>
      <c r="AP232" s="193">
        <f>(((S232*'Appendix K'!$C$22*1000)-('Appendix K'!$E$48+'Appendix K'!$F$48+'Appendix K'!$H$48+'Appendix K'!$G$48))/((1+$Y$16)^AP$34))</f>
        <v>-70301.00425646962</v>
      </c>
      <c r="AQ232" s="193">
        <f>(((T232*'Appendix K'!$C$23*1000)-('Appendix K'!$E$49+'Appendix K'!$F$49+'Appendix K'!$H$49+'Appendix K'!$G$49))/((1+$Y$16)^AQ$34))</f>
        <v>-146677.60182969988</v>
      </c>
      <c r="AR232" s="193">
        <f>(((U232*'Appendix K'!$C$24*1000)-('Appendix K'!$E$50+'Appendix K'!$F$50+'Appendix K'!$H$50+'Appendix K'!$G$50))/((1+$Y$16)^AR$34))</f>
        <v>-54851.055233813022</v>
      </c>
      <c r="AS232" s="209">
        <f t="shared" si="22"/>
        <v>43183206.381998919</v>
      </c>
      <c r="AU232" s="199">
        <f t="shared" si="21"/>
        <v>5.1739074522538877E-9</v>
      </c>
    </row>
    <row r="233" spans="1:47" x14ac:dyDescent="0.35">
      <c r="A233">
        <v>199</v>
      </c>
      <c r="B233" s="70">
        <v>56</v>
      </c>
      <c r="C233" s="70">
        <v>81.892716812701607</v>
      </c>
      <c r="D233" s="70">
        <v>95.97687963966618</v>
      </c>
      <c r="E233" s="70">
        <v>93.474577793864086</v>
      </c>
      <c r="F233" s="70">
        <v>99.478847340138444</v>
      </c>
      <c r="G233" s="70">
        <v>162.06372247517251</v>
      </c>
      <c r="H233" s="70">
        <v>196.15905166886478</v>
      </c>
      <c r="I233" s="70">
        <v>150.30793209971907</v>
      </c>
      <c r="J233" s="70">
        <v>221.40442911087052</v>
      </c>
      <c r="K233" s="70">
        <v>237.42163846954944</v>
      </c>
      <c r="L233" s="70">
        <v>412.94320497722833</v>
      </c>
      <c r="M233" s="70">
        <v>500</v>
      </c>
      <c r="N233" s="70">
        <v>500</v>
      </c>
      <c r="O233" s="70">
        <v>500</v>
      </c>
      <c r="P233" s="70">
        <v>500</v>
      </c>
      <c r="Q233" s="70">
        <v>500</v>
      </c>
      <c r="R233" s="70">
        <v>500</v>
      </c>
      <c r="S233" s="70">
        <v>296.52483567170265</v>
      </c>
      <c r="T233" s="70">
        <v>291.31096614126358</v>
      </c>
      <c r="U233" s="70">
        <v>405.41216938095158</v>
      </c>
      <c r="V233" s="70">
        <v>361.33675183648808</v>
      </c>
      <c r="X233" s="193">
        <f>((0-('Appendix K'!$I$30))/(1+$Y$16)^0)</f>
        <v>-33594902.4440751</v>
      </c>
      <c r="Y233" s="193">
        <f>(((B233*'Appendix K'!$C$5*1000)-('Appendix K'!$E$31+'Appendix K'!$F$31+'Appendix K'!$H$31+'Appendix K'!$G$31))/((1+$Y$16)^1))</f>
        <v>34971064.972647354</v>
      </c>
      <c r="Z233" s="193">
        <f>+(((C233*'Appendix K'!$C$6*1000)-('Appendix K'!$E$32+'Appendix K'!$F$32+'Appendix K'!$H$32+'Appendix K'!$G$32))/((1+$Y$16)^2))</f>
        <v>17200253.218299441</v>
      </c>
      <c r="AA233" s="193">
        <f>(((D233*'Appendix K'!$C$7*1000)-('Appendix K'!$E$33+'Appendix K'!$F$33+'Appendix K'!$H$33+'Appendix K'!$G$33))/((1+$Y$16)^3))</f>
        <v>9260144.73054488</v>
      </c>
      <c r="AB233" s="193">
        <f>(((E233*'Appendix K'!$C$8*1000)-('Appendix K'!$E$34+'Appendix K'!$F$34+'Appendix K'!$H$34+'Appendix K'!$G$34))/((1+$Y$16)^4))</f>
        <v>17195563.886160031</v>
      </c>
      <c r="AC233" s="193">
        <f>(((F233*'Appendix K'!$C$9*1000)-('Appendix K'!$E$35+'Appendix K'!$F$35+'Appendix K'!$H$35+'Appendix K'!$G$35))/((1+$Y$16)^AC$34))</f>
        <v>23457092.894027453</v>
      </c>
      <c r="AD233" s="193">
        <f>(((G233*'Appendix K'!$C$10*1000)-('Appendix K'!$E$36+'Appendix K'!$F$36+'Appendix K'!$H$36+'Appendix K'!$G$36))/((1+$Y$16)^AD$34))</f>
        <v>22935364.397154078</v>
      </c>
      <c r="AE233" s="193">
        <f>(((H233*'Appendix K'!$C$11*1000)-('Appendix K'!$E$37+'Appendix K'!$F$37+'Appendix K'!$H$37+'Appendix K'!$G$37))/((1+$Y$16)^AE$34))</f>
        <v>17344497.722875401</v>
      </c>
      <c r="AF233" s="193">
        <f>(((I233*'Appendix K'!$C$12*1000)-('Appendix K'!$E$38+'Appendix K'!$F$38+'Appendix K'!$H$38+'Appendix K'!$G$38))/((1+$Y$16)^AF$34))</f>
        <v>7873004.6142415693</v>
      </c>
      <c r="AG233" s="193">
        <f>(((J233*'Appendix K'!$C$13*1000)-('Appendix K'!$E$39+'Appendix K'!$F$39+'Appendix K'!$H$39+'Appendix K'!$G$39))/((1+$Y$16)^AG$34))</f>
        <v>8373851.6211334178</v>
      </c>
      <c r="AH233" s="193">
        <f>(((K233*'Appendix K'!$C$14*1000)-('Appendix K'!$E$40+'Appendix K'!$F$40+'Appendix K'!$H$40+'Appendix K'!$G$40))/((1+$Y$16)^AH$34))</f>
        <v>6369917.6535043456</v>
      </c>
      <c r="AI233" s="193">
        <f>(((L233*'Appendix K'!$C$15*1000)-('Appendix K'!$E$41+'Appendix K'!$F$41+'Appendix K'!$H$41+'Appendix K'!$G$41))/((1+$Y$16)^AI$34))</f>
        <v>9303402.8296521921</v>
      </c>
      <c r="AJ233" s="193">
        <f>(((M233*'Appendix K'!$C$16*1000)-('Appendix K'!$E$42+'Appendix K'!$F$42+'Appendix K'!$H$42+'Appendix K'!$G$42))/((1+$Y$16)^AJ$34))</f>
        <v>8639382.5302660316</v>
      </c>
      <c r="AK233" s="193">
        <f>(((N233*'Appendix K'!$C$17*1000)-('Appendix K'!$E$43+'Appendix K'!$F$43+'Appendix K'!$H$43))/((1+$Y$16)^AK$34))</f>
        <v>6677690.1149291173</v>
      </c>
      <c r="AL233" s="193">
        <f>(((O233*'Appendix K'!$C$18*1000)-('Appendix K'!$E$44+'Appendix K'!$F$44+'Appendix K'!$H$44+'Appendix K'!$G$44))/((1+$Y$16)^AL$34))</f>
        <v>4792058.0003928225</v>
      </c>
      <c r="AM233" s="193">
        <f>(((P233*'Appendix K'!$C$19*1000)-('Appendix K'!$E$45+'Appendix K'!$F$45+'Appendix K'!$H$45+'Appendix K'!$G$45))/((1+$Y$16)^AM$34))</f>
        <v>3607599.9540230581</v>
      </c>
      <c r="AN233" s="193">
        <f>(((Q233*'Appendix K'!$C$20*1000)-('Appendix K'!$E$46+'Appendix K'!$F$46+'Appendix K'!$H$46+'Appendix K'!$G$46))/((1+$Y$16)^AN$34))</f>
        <v>2702399.606577659</v>
      </c>
      <c r="AO233" s="193">
        <f>(((R233*'Appendix K'!$C$21*1000)-('Appendix K'!$E$47+'Appendix K'!$F$47+'Appendix K'!$H$47+'Appendix K'!$G$47))/((1+$Y$16)^AO$34))</f>
        <v>2112056.3146391152</v>
      </c>
      <c r="AP233" s="193">
        <f>(((S233*'Appendix K'!$C$22*1000)-('Appendix K'!$E$48+'Appendix K'!$F$48+'Appendix K'!$H$48+'Appendix K'!$G$48))/((1+$Y$16)^AP$34))</f>
        <v>655817.50788957661</v>
      </c>
      <c r="AQ233" s="193">
        <f>(((T233*'Appendix K'!$C$23*1000)-('Appendix K'!$E$49+'Appendix K'!$F$49+'Appendix K'!$H$49+'Appendix K'!$G$49))/((1+$Y$16)^AQ$34))</f>
        <v>446630.91244515969</v>
      </c>
      <c r="AR233" s="193">
        <f>(((U233*'Appendix K'!$C$24*1000)-('Appendix K'!$E$50+'Appendix K'!$F$50+'Appendix K'!$H$50+'Appendix K'!$G$50))/((1+$Y$16)^AR$34))</f>
        <v>676149.67528459395</v>
      </c>
      <c r="AS233" s="209">
        <f t="shared" si="22"/>
        <v>170999040.71261215</v>
      </c>
      <c r="AU233" s="199">
        <f t="shared" si="21"/>
        <v>2.3887824013383282E-9</v>
      </c>
    </row>
    <row r="234" spans="1:47" x14ac:dyDescent="0.35">
      <c r="A234">
        <v>200</v>
      </c>
      <c r="B234" s="70">
        <v>56</v>
      </c>
      <c r="C234" s="70">
        <v>29.969859786572897</v>
      </c>
      <c r="D234" s="70">
        <v>40.746252784079019</v>
      </c>
      <c r="E234" s="70">
        <v>35.430494787244029</v>
      </c>
      <c r="F234" s="70">
        <v>39.943572723525676</v>
      </c>
      <c r="G234" s="70">
        <v>0.84526799779467154</v>
      </c>
      <c r="H234" s="70">
        <v>0.9763753427708618</v>
      </c>
      <c r="I234" s="70">
        <v>0.96831824551131818</v>
      </c>
      <c r="J234" s="70">
        <v>1.0367362775848636</v>
      </c>
      <c r="K234" s="70">
        <v>1.2258770241693888</v>
      </c>
      <c r="L234" s="70">
        <v>0.78377942118703514</v>
      </c>
      <c r="M234" s="70">
        <v>0.65947011886267459</v>
      </c>
      <c r="N234" s="70">
        <v>0.9058816010290095</v>
      </c>
      <c r="O234" s="70">
        <v>0.96369070583867278</v>
      </c>
      <c r="P234" s="70">
        <v>1.5160455868131979</v>
      </c>
      <c r="Q234" s="70">
        <v>1.7063526870400332</v>
      </c>
      <c r="R234" s="70">
        <v>1.8951181630119018</v>
      </c>
      <c r="S234" s="70">
        <v>1.7755439314490045</v>
      </c>
      <c r="T234" s="70">
        <v>2.446980985189489</v>
      </c>
      <c r="U234" s="70">
        <v>1.5323614703124866</v>
      </c>
      <c r="V234" s="70">
        <v>1.9404792027617075</v>
      </c>
      <c r="X234" s="193">
        <f>((0-('Appendix K'!$I$30))/(1+$Y$16)^0)</f>
        <v>-33594902.4440751</v>
      </c>
      <c r="Y234" s="193">
        <f>(((B234*'Appendix K'!$C$5*1000)-('Appendix K'!$E$31+'Appendix K'!$F$31+'Appendix K'!$H$31+'Appendix K'!$G$31))/((1+$Y$16)^1))</f>
        <v>34971064.972647354</v>
      </c>
      <c r="Z234" s="193">
        <f>+(((C234*'Appendix K'!$C$6*1000)-('Appendix K'!$E$32+'Appendix K'!$F$32+'Appendix K'!$H$32+'Appendix K'!$G$32))/((1+$Y$16)^2))</f>
        <v>4083651.4904327192</v>
      </c>
      <c r="AA234" s="193">
        <f>(((D234*'Appendix K'!$C$7*1000)-('Appendix K'!$E$33+'Appendix K'!$F$33+'Appendix K'!$H$33+'Appendix K'!$G$33))/((1+$Y$16)^3))</f>
        <v>2225150.6845365092</v>
      </c>
      <c r="AB234" s="193">
        <f>(((E234*'Appendix K'!$C$8*1000)-('Appendix K'!$E$34+'Appendix K'!$F$34+'Appendix K'!$H$34+'Appendix K'!$G$34))/((1+$Y$16)^4))</f>
        <v>4472832.2335469453</v>
      </c>
      <c r="AC234" s="193">
        <f>(((F234*'Appendix K'!$C$9*1000)-('Appendix K'!$E$35+'Appendix K'!$F$35+'Appendix K'!$H$35+'Appendix K'!$G$35))/((1+$Y$16)^AC$34))</f>
        <v>7632710.3880892005</v>
      </c>
      <c r="AD234" s="193">
        <f>(((G234*'Appendix K'!$C$10*1000)-('Appendix K'!$E$36+'Appendix K'!$F$36+'Appendix K'!$H$36+'Appendix K'!$G$36))/((1+$Y$16)^AD$34))</f>
        <v>-2383018.7513269908</v>
      </c>
      <c r="AE234" s="193">
        <f>(((H234*'Appendix K'!$C$11*1000)-('Appendix K'!$E$37+'Appendix K'!$F$37+'Appendix K'!$H$37+'Appendix K'!$G$37))/((1+$Y$16)^AE$34))</f>
        <v>-2122559.6038479796</v>
      </c>
      <c r="AF234" s="193">
        <f>(((I234*'Appendix K'!$C$12*1000)-('Appendix K'!$E$38+'Appendix K'!$F$38+'Appendix K'!$H$38+'Appendix K'!$G$38))/((1+$Y$16)^AF$34))</f>
        <v>-1932996.8844985303</v>
      </c>
      <c r="AG234" s="193">
        <f>(((J234*'Appendix K'!$C$13*1000)-('Appendix K'!$E$39+'Appendix K'!$F$39+'Appendix K'!$H$39+'Appendix K'!$G$39))/((1+$Y$16)^AG$34))</f>
        <v>-1767234.3741593431</v>
      </c>
      <c r="AH234" s="193">
        <f>(((K234*'Appendix K'!$C$14*1000)-('Appendix K'!$E$40+'Appendix K'!$F$40+'Appendix K'!$H$40+'Appendix K'!$G$40))/((1+$Y$16)^AH$34))</f>
        <v>-1591421.0993447993</v>
      </c>
      <c r="AI234" s="193">
        <f>(((L234*'Appendix K'!$C$15*1000)-('Appendix K'!$E$41+'Appendix K'!$F$41+'Appendix K'!$H$41+'Appendix K'!$G$41))/((1+$Y$16)^AI$34))</f>
        <v>-1495944.8618212244</v>
      </c>
      <c r="AJ234" s="193">
        <f>(((M234*'Appendix K'!$C$16*1000)-('Appendix K'!$E$42+'Appendix K'!$F$42+'Appendix K'!$H$42+'Appendix K'!$G$42))/((1+$Y$16)^AJ$34))</f>
        <v>-1368333.9463097153</v>
      </c>
      <c r="AK234" s="193">
        <f>(((N234*'Appendix K'!$C$17*1000)-('Appendix K'!$E$43+'Appendix K'!$F$43+'Appendix K'!$H$43))/((1+$Y$16)^AK$34))</f>
        <v>-990340.74435136258</v>
      </c>
      <c r="AL234" s="193">
        <f>(((O234*'Appendix K'!$C$18*1000)-('Appendix K'!$E$44+'Appendix K'!$F$44+'Appendix K'!$H$44+'Appendix K'!$G$44))/((1+$Y$16)^AL$34))</f>
        <v>-1123166.2161658513</v>
      </c>
      <c r="AM234" s="193">
        <f>(((P234*'Appendix K'!$C$19*1000)-('Appendix K'!$E$45+'Appendix K'!$F$45+'Appendix K'!$H$45+'Appendix K'!$G$45))/((1+$Y$16)^AM$34))</f>
        <v>-1012714.1221842103</v>
      </c>
      <c r="AN234" s="193">
        <f>(((Q234*'Appendix K'!$C$20*1000)-('Appendix K'!$E$46+'Appendix K'!$F$46+'Appendix K'!$H$46+'Appendix K'!$G$46))/((1+$Y$16)^AN$34))</f>
        <v>-903361.30072907824</v>
      </c>
      <c r="AO234" s="193">
        <f>(((R234*'Appendix K'!$C$21*1000)-('Appendix K'!$E$47+'Appendix K'!$F$47+'Appendix K'!$H$47+'Appendix K'!$G$47))/((1+$Y$16)^AO$34))</f>
        <v>-831798.56766487216</v>
      </c>
      <c r="AP234" s="193">
        <f>(((S234*'Appendix K'!$C$22*1000)-('Appendix K'!$E$48+'Appendix K'!$F$48+'Appendix K'!$H$48+'Appendix K'!$G$48))/((1+$Y$16)^AP$34))</f>
        <v>-755948.87570659351</v>
      </c>
      <c r="AQ234" s="193">
        <f>(((T234*'Appendix K'!$C$23*1000)-('Appendix K'!$E$49+'Appendix K'!$F$49+'Appendix K'!$H$49+'Appendix K'!$G$49))/((1+$Y$16)^AQ$34))</f>
        <v>-683908.77437895373</v>
      </c>
      <c r="AR234" s="193">
        <f>(((U234*'Appendix K'!$C$24*1000)-('Appendix K'!$E$50+'Appendix K'!$F$50+'Appendix K'!$H$50+'Appendix K'!$G$50))/((1+$Y$16)^AR$34))</f>
        <v>-624354.6224388812</v>
      </c>
      <c r="AS234" s="209">
        <f t="shared" si="22"/>
        <v>19790507.325177625</v>
      </c>
      <c r="AU234" s="199">
        <f t="shared" si="21"/>
        <v>3.4416160243578013E-9</v>
      </c>
    </row>
    <row r="235" spans="1:47" x14ac:dyDescent="0.35">
      <c r="A235">
        <v>201</v>
      </c>
      <c r="B235" s="70">
        <v>56</v>
      </c>
      <c r="C235" s="70">
        <v>88.913500466506633</v>
      </c>
      <c r="D235" s="70">
        <v>64.542029841555944</v>
      </c>
      <c r="E235" s="70">
        <v>87.691744909341566</v>
      </c>
      <c r="F235" s="70">
        <v>90.862660918379532</v>
      </c>
      <c r="G235" s="70">
        <v>148.22875766665953</v>
      </c>
      <c r="H235" s="70">
        <v>140.68139860401845</v>
      </c>
      <c r="I235" s="70">
        <v>215.60930583319083</v>
      </c>
      <c r="J235" s="70">
        <v>233.63957652736485</v>
      </c>
      <c r="K235" s="70">
        <v>115.02181446641919</v>
      </c>
      <c r="L235" s="70">
        <v>182.24821285338317</v>
      </c>
      <c r="M235" s="70">
        <v>166.74527045642614</v>
      </c>
      <c r="N235" s="70">
        <v>163.51333983999649</v>
      </c>
      <c r="O235" s="70">
        <v>194.1074842416669</v>
      </c>
      <c r="P235" s="70">
        <v>243.77943464075935</v>
      </c>
      <c r="Q235" s="70">
        <v>491.60235174724437</v>
      </c>
      <c r="R235" s="70">
        <v>491.57676696213127</v>
      </c>
      <c r="S235" s="70">
        <v>452.70977631896761</v>
      </c>
      <c r="T235" s="70">
        <v>500</v>
      </c>
      <c r="U235" s="70">
        <v>475.86383171599914</v>
      </c>
      <c r="V235" s="70">
        <v>493.44354233947769</v>
      </c>
      <c r="X235" s="193">
        <f>((0-('Appendix K'!$I$30))/(1+$Y$16)^0)</f>
        <v>-33594902.4440751</v>
      </c>
      <c r="Y235" s="193">
        <f>(((B235*'Appendix K'!$C$5*1000)-('Appendix K'!$E$31+'Appendix K'!$F$31+'Appendix K'!$H$31+'Appendix K'!$G$31))/((1+$Y$16)^1))</f>
        <v>34971064.972647354</v>
      </c>
      <c r="Z235" s="193">
        <f>+(((C235*'Appendix K'!$C$6*1000)-('Appendix K'!$E$32+'Appendix K'!$F$32+'Appendix K'!$H$32+'Appendix K'!$G$32))/((1+$Y$16)^2))</f>
        <v>18973823.246584602</v>
      </c>
      <c r="AA235" s="193">
        <f>(((D235*'Appendix K'!$C$7*1000)-('Appendix K'!$E$33+'Appendix K'!$F$33+'Appendix K'!$H$33+'Appendix K'!$G$33))/((1+$Y$16)^3))</f>
        <v>5256134.7499030996</v>
      </c>
      <c r="AB235" s="193">
        <f>(((E235*'Appendix K'!$C$8*1000)-('Appendix K'!$E$34+'Appendix K'!$F$34+'Appendix K'!$H$34+'Appendix K'!$G$34))/((1+$Y$16)^4))</f>
        <v>15928019.854612572</v>
      </c>
      <c r="AC235" s="193">
        <f>(((F235*'Appendix K'!$C$9*1000)-('Appendix K'!$E$35+'Appendix K'!$F$35+'Appendix K'!$H$35+'Appendix K'!$G$35))/((1+$Y$16)^AC$34))</f>
        <v>21166924.072964553</v>
      </c>
      <c r="AD235" s="193">
        <f>(((G235*'Appendix K'!$C$10*1000)-('Appendix K'!$E$36+'Appendix K'!$F$36+'Appendix K'!$H$36+'Appendix K'!$G$36))/((1+$Y$16)^AD$34))</f>
        <v>20762666.854536004</v>
      </c>
      <c r="AE235" s="193">
        <f>(((H235*'Appendix K'!$C$11*1000)-('Appendix K'!$E$37+'Appendix K'!$F$37+'Appendix K'!$H$37+'Appendix K'!$G$37))/((1+$Y$16)^AE$34))</f>
        <v>11811288.152774574</v>
      </c>
      <c r="AF235" s="193">
        <f>(((I235*'Appendix K'!$C$12*1000)-('Appendix K'!$E$38+'Appendix K'!$F$38+'Appendix K'!$H$38+'Appendix K'!$G$38))/((1+$Y$16)^AF$34))</f>
        <v>12160851.302564643</v>
      </c>
      <c r="AG235" s="193">
        <f>(((J235*'Appendix K'!$C$13*1000)-('Appendix K'!$E$39+'Appendix K'!$F$39+'Appendix K'!$H$39+'Appendix K'!$G$39))/((1+$Y$16)^AG$34))</f>
        <v>8936900.0449766591</v>
      </c>
      <c r="AH235" s="193">
        <f>(((K235*'Appendix K'!$C$14*1000)-('Appendix K'!$E$40+'Appendix K'!$F$40+'Appendix K'!$H$40+'Appendix K'!$G$40))/((1+$Y$16)^AH$34))</f>
        <v>2244244.7107941522</v>
      </c>
      <c r="AI235" s="193">
        <f>(((L235*'Appendix K'!$C$15*1000)-('Appendix K'!$E$41+'Appendix K'!$F$41+'Appendix K'!$H$41+'Appendix K'!$G$41))/((1+$Y$16)^AI$34))</f>
        <v>3258762.6342567918</v>
      </c>
      <c r="AJ235" s="193">
        <f>(((M235*'Appendix K'!$C$16*1000)-('Appendix K'!$E$42+'Appendix K'!$F$42+'Appendix K'!$H$42+'Appendix K'!$G$42))/((1+$Y$16)^AJ$34))</f>
        <v>1960335.5709817372</v>
      </c>
      <c r="AK235" s="193">
        <f>(((N235*'Appendix K'!$C$17*1000)-('Appendix K'!$E$43+'Appendix K'!$F$43+'Appendix K'!$H$43))/((1+$Y$16)^AK$34))</f>
        <v>1507943.570690037</v>
      </c>
      <c r="AL235" s="193">
        <f>(((O235*'Appendix K'!$C$18*1000)-('Appendix K'!$E$44+'Appendix K'!$F$44+'Appendix K'!$H$44+'Appendix K'!$G$44))/((1+$Y$16)^AL$34))</f>
        <v>1166224.0015862</v>
      </c>
      <c r="AM235" s="193">
        <f>(((P235*'Appendix K'!$C$19*1000)-('Appendix K'!$E$45+'Appendix K'!$F$45+'Appendix K'!$H$45+'Appendix K'!$G$45))/((1+$Y$16)^AM$34))</f>
        <v>1232760.2540438052</v>
      </c>
      <c r="AN235" s="193">
        <f>(((Q235*'Appendix K'!$C$20*1000)-('Appendix K'!$E$46+'Appendix K'!$F$46+'Appendix K'!$H$46+'Appendix K'!$G$46))/((1+$Y$16)^AN$34))</f>
        <v>2641632.4024473578</v>
      </c>
      <c r="AO235" s="193">
        <f>(((R235*'Appendix K'!$C$21*1000)-('Appendix K'!$E$47+'Appendix K'!$F$47+'Appendix K'!$H$47+'Appendix K'!$G$47))/((1+$Y$16)^AO$34))</f>
        <v>2062274.0767861856</v>
      </c>
      <c r="AP235" s="193">
        <f>(((S235*'Appendix K'!$C$22*1000)-('Appendix K'!$E$48+'Appendix K'!$F$48+'Appendix K'!$H$48+'Appendix K'!$G$48))/((1+$Y$16)^AP$34))</f>
        <v>1403899.5389876643</v>
      </c>
      <c r="AQ235" s="193">
        <f>(((T235*'Appendix K'!$C$23*1000)-('Appendix K'!$E$49+'Appendix K'!$F$49+'Appendix K'!$H$49+'Appendix K'!$G$49))/((1+$Y$16)^AQ$34))</f>
        <v>1263386.3652054211</v>
      </c>
      <c r="AR235" s="193">
        <f>(((U235*'Appendix K'!$C$24*1000)-('Appendix K'!$E$50+'Appendix K'!$F$50+'Appendix K'!$H$50+'Appendix K'!$G$50))/((1+$Y$16)^AR$34))</f>
        <v>903006.00197860994</v>
      </c>
      <c r="AS235" s="209">
        <f t="shared" si="22"/>
        <v>136017239.93524691</v>
      </c>
      <c r="AU235" s="199">
        <f t="shared" si="21"/>
        <v>4.8864412013082563E-9</v>
      </c>
    </row>
    <row r="236" spans="1:47" x14ac:dyDescent="0.35">
      <c r="A236">
        <v>202</v>
      </c>
      <c r="B236" s="70">
        <v>56</v>
      </c>
      <c r="C236" s="70">
        <v>85.640903488944645</v>
      </c>
      <c r="D236" s="70">
        <v>99.769909269013567</v>
      </c>
      <c r="E236" s="70">
        <v>103.73557133573384</v>
      </c>
      <c r="F236" s="70">
        <v>170.47881342302048</v>
      </c>
      <c r="G236" s="70">
        <v>100.19644276416113</v>
      </c>
      <c r="H236" s="70">
        <v>94.012924416401773</v>
      </c>
      <c r="I236" s="70">
        <v>118.29455017555547</v>
      </c>
      <c r="J236" s="70">
        <v>87.811747524400246</v>
      </c>
      <c r="K236" s="70">
        <v>24.690536260029525</v>
      </c>
      <c r="L236" s="70">
        <v>25.399812452292014</v>
      </c>
      <c r="M236" s="70">
        <v>44.892836968637454</v>
      </c>
      <c r="N236" s="70">
        <v>73.676225754967319</v>
      </c>
      <c r="O236" s="70">
        <v>105.74045547241906</v>
      </c>
      <c r="P236" s="70">
        <v>136.79238743833389</v>
      </c>
      <c r="Q236" s="70">
        <v>174.55574489703167</v>
      </c>
      <c r="R236" s="70">
        <v>144.54410095527339</v>
      </c>
      <c r="S236" s="70">
        <v>139.05512755541309</v>
      </c>
      <c r="T236" s="70">
        <v>160.63223894518711</v>
      </c>
      <c r="U236" s="70">
        <v>195.74849812066839</v>
      </c>
      <c r="V236" s="70">
        <v>244.47926268542099</v>
      </c>
      <c r="X236" s="193">
        <f>((0-('Appendix K'!$I$30))/(1+$Y$16)^0)</f>
        <v>-33594902.4440751</v>
      </c>
      <c r="Y236" s="193">
        <f>(((B236*'Appendix K'!$C$5*1000)-('Appendix K'!$E$31+'Appendix K'!$F$31+'Appendix K'!$H$31+'Appendix K'!$G$31))/((1+$Y$16)^1))</f>
        <v>34971064.972647354</v>
      </c>
      <c r="Z236" s="193">
        <f>+(((C236*'Appendix K'!$C$6*1000)-('Appendix K'!$E$32+'Appendix K'!$F$32+'Appendix K'!$H$32+'Appendix K'!$G$32))/((1+$Y$16)^2))</f>
        <v>18147109.278420251</v>
      </c>
      <c r="AA236" s="193">
        <f>(((D236*'Appendix K'!$C$7*1000)-('Appendix K'!$E$33+'Appendix K'!$F$33+'Appendix K'!$H$33+'Appendix K'!$G$33))/((1+$Y$16)^3))</f>
        <v>9743281.395434875</v>
      </c>
      <c r="AB236" s="193">
        <f>(((E236*'Appendix K'!$C$8*1000)-('Appendix K'!$E$34+'Appendix K'!$F$34+'Appendix K'!$H$34+'Appendix K'!$G$34))/((1+$Y$16)^4))</f>
        <v>19444679.740182836</v>
      </c>
      <c r="AC236" s="193">
        <f>(((F236*'Appendix K'!$C$9*1000)-('Appendix K'!$E$35+'Appendix K'!$F$35+'Appendix K'!$H$35+'Appendix K'!$G$35))/((1+$Y$16)^AC$34))</f>
        <v>42328772.388903879</v>
      </c>
      <c r="AD236" s="193">
        <f>(((G236*'Appendix K'!$C$10*1000)-('Appendix K'!$E$36+'Appendix K'!$F$36+'Appendix K'!$H$36+'Appendix K'!$G$36))/((1+$Y$16)^AD$34))</f>
        <v>13219482.321771516</v>
      </c>
      <c r="AE236" s="193">
        <f>(((H236*'Appendix K'!$C$11*1000)-('Appendix K'!$E$37+'Appendix K'!$F$37+'Appendix K'!$H$37+'Appendix K'!$G$37))/((1+$Y$16)^AE$34))</f>
        <v>7156685.1958850669</v>
      </c>
      <c r="AF236" s="193">
        <f>(((I236*'Appendix K'!$C$12*1000)-('Appendix K'!$E$38+'Appendix K'!$F$38+'Appendix K'!$H$38+'Appendix K'!$G$38))/((1+$Y$16)^AF$34))</f>
        <v>5770928.2593733035</v>
      </c>
      <c r="AG236" s="193">
        <f>(((J236*'Appendix K'!$C$13*1000)-('Appendix K'!$E$39+'Appendix K'!$F$39+'Appendix K'!$H$39+'Appendix K'!$G$39))/((1+$Y$16)^AG$34))</f>
        <v>2226059.0164566338</v>
      </c>
      <c r="AH236" s="193">
        <f>(((K236*'Appendix K'!$C$14*1000)-('Appendix K'!$E$40+'Appendix K'!$F$40+'Appendix K'!$H$40+'Appendix K'!$G$40))/((1+$Y$16)^AH$34))</f>
        <v>-800508.93498721614</v>
      </c>
      <c r="AI236" s="193">
        <f>(((L236*'Appendix K'!$C$15*1000)-('Appendix K'!$E$41+'Appendix K'!$F$41+'Appendix K'!$H$41+'Appendix K'!$G$41))/((1+$Y$16)^AI$34))</f>
        <v>-850958.76419878611</v>
      </c>
      <c r="AJ236" s="193">
        <f>(((M236*'Appendix K'!$C$16*1000)-('Appendix K'!$E$42+'Appendix K'!$F$42+'Appendix K'!$H$42+'Appendix K'!$G$42))/((1+$Y$16)^AJ$34))</f>
        <v>-481814.69191976142</v>
      </c>
      <c r="AK236" s="193">
        <f>(((N236*'Appendix K'!$C$17*1000)-('Appendix K'!$E$43+'Appendix K'!$F$43+'Appendix K'!$H$43))/((1+$Y$16)^AK$34))</f>
        <v>127695.36154960083</v>
      </c>
      <c r="AL236" s="193">
        <f>(((O236*'Appendix K'!$C$18*1000)-('Appendix K'!$E$44+'Appendix K'!$F$44+'Appendix K'!$H$44+'Appendix K'!$G$44))/((1+$Y$16)^AL$34))</f>
        <v>118783.60739821814</v>
      </c>
      <c r="AM236" s="193">
        <f>(((P236*'Appendix K'!$C$19*1000)-('Appendix K'!$E$45+'Appendix K'!$F$45+'Appendix K'!$H$45+'Appendix K'!$G$45))/((1+$Y$16)^AM$34))</f>
        <v>241126.00827731568</v>
      </c>
      <c r="AN236" s="193">
        <f>(((Q236*'Appendix K'!$C$20*1000)-('Appendix K'!$E$46+'Appendix K'!$F$46+'Appendix K'!$H$46+'Appendix K'!$G$46))/((1+$Y$16)^AN$34))</f>
        <v>347414.39076007047</v>
      </c>
      <c r="AO236" s="193">
        <f>(((R236*'Appendix K'!$C$21*1000)-('Appendix K'!$E$47+'Appendix K'!$F$47+'Appendix K'!$H$47+'Appendix K'!$G$47))/((1+$Y$16)^AO$34))</f>
        <v>11272.680502751722</v>
      </c>
      <c r="AP236" s="193">
        <f>(((S236*'Appendix K'!$C$22*1000)-('Appendix K'!$E$48+'Appendix K'!$F$48+'Appendix K'!$H$48+'Appendix K'!$G$48))/((1+$Y$16)^AP$34))</f>
        <v>-98418.198804465414</v>
      </c>
      <c r="AQ236" s="193">
        <f>(((T236*'Appendix K'!$C$23*1000)-('Appendix K'!$E$49+'Appendix K'!$F$49+'Appendix K'!$H$49+'Appendix K'!$G$49))/((1+$Y$16)^AQ$34))</f>
        <v>-64812.171188139313</v>
      </c>
      <c r="AR236" s="193">
        <f>(((U236*'Appendix K'!$C$24*1000)-('Appendix K'!$E$50+'Appendix K'!$F$50+'Appendix K'!$H$50+'Appendix K'!$G$50))/((1+$Y$16)^AR$34))</f>
        <v>1026.7792897297279</v>
      </c>
      <c r="AS236" s="209">
        <f t="shared" si="22"/>
        <v>120260478.95277825</v>
      </c>
      <c r="AU236" s="199">
        <f t="shared" si="21"/>
        <v>5.9578582470254873E-9</v>
      </c>
    </row>
    <row r="237" spans="1:47" x14ac:dyDescent="0.35">
      <c r="A237">
        <v>203</v>
      </c>
      <c r="B237" s="70">
        <v>56</v>
      </c>
      <c r="C237" s="70">
        <v>50.884849466825649</v>
      </c>
      <c r="D237" s="70">
        <v>68.60555933585934</v>
      </c>
      <c r="E237" s="70">
        <v>100.60107635532609</v>
      </c>
      <c r="F237" s="70">
        <v>123.28123293453073</v>
      </c>
      <c r="G237" s="70">
        <v>138.57852208033023</v>
      </c>
      <c r="H237" s="70">
        <v>140.97913879238635</v>
      </c>
      <c r="I237" s="70">
        <v>103.85217262749941</v>
      </c>
      <c r="J237" s="70">
        <v>100.34630131286282</v>
      </c>
      <c r="K237" s="70">
        <v>160.60765761524692</v>
      </c>
      <c r="L237" s="70">
        <v>237.45222790901011</v>
      </c>
      <c r="M237" s="70">
        <v>310.51765893044745</v>
      </c>
      <c r="N237" s="70">
        <v>426.35251583066241</v>
      </c>
      <c r="O237" s="70">
        <v>500</v>
      </c>
      <c r="P237" s="70">
        <v>490.30048856414186</v>
      </c>
      <c r="Q237" s="70">
        <v>500</v>
      </c>
      <c r="R237" s="70">
        <v>500</v>
      </c>
      <c r="S237" s="70">
        <v>500</v>
      </c>
      <c r="T237" s="70">
        <v>378.35981821301982</v>
      </c>
      <c r="U237" s="70">
        <v>389.80450998031671</v>
      </c>
      <c r="V237" s="70">
        <v>209.96463077805726</v>
      </c>
      <c r="X237" s="193">
        <f>((0-('Appendix K'!$I$30))/(1+$Y$16)^0)</f>
        <v>-33594902.4440751</v>
      </c>
      <c r="Y237" s="193">
        <f>(((B237*'Appendix K'!$C$5*1000)-('Appendix K'!$E$31+'Appendix K'!$F$31+'Appendix K'!$H$31+'Appendix K'!$G$31))/((1+$Y$16)^1))</f>
        <v>34971064.972647354</v>
      </c>
      <c r="Z237" s="193">
        <f>+(((C237*'Appendix K'!$C$6*1000)-('Appendix K'!$E$32+'Appendix K'!$F$32+'Appendix K'!$H$32+'Appendix K'!$G$32))/((1+$Y$16)^2))</f>
        <v>9367135.5953283198</v>
      </c>
      <c r="AA237" s="193">
        <f>(((D237*'Appendix K'!$C$7*1000)-('Appendix K'!$E$33+'Appendix K'!$F$33+'Appendix K'!$H$33+'Appendix K'!$G$33))/((1+$Y$16)^3))</f>
        <v>5773726.3005648479</v>
      </c>
      <c r="AB237" s="193">
        <f>(((E237*'Appendix K'!$C$8*1000)-('Appendix K'!$E$34+'Appendix K'!$F$34+'Appendix K'!$H$34+'Appendix K'!$G$34))/((1+$Y$16)^4))</f>
        <v>18757627.134017237</v>
      </c>
      <c r="AC237" s="193">
        <f>(((F237*'Appendix K'!$C$9*1000)-('Appendix K'!$E$35+'Appendix K'!$F$35+'Appendix K'!$H$35+'Appendix K'!$G$35))/((1+$Y$16)^AC$34))</f>
        <v>29783729.60856434</v>
      </c>
      <c r="AD237" s="193">
        <f>(((G237*'Appendix K'!$C$10*1000)-('Appendix K'!$E$36+'Appendix K'!$F$36+'Appendix K'!$H$36+'Appendix K'!$G$36))/((1+$Y$16)^AD$34))</f>
        <v>19247155.724995453</v>
      </c>
      <c r="AE237" s="193">
        <f>(((H237*'Appendix K'!$C$11*1000)-('Appendix K'!$E$37+'Appendix K'!$F$37+'Appendix K'!$H$37+'Appendix K'!$G$37))/((1+$Y$16)^AE$34))</f>
        <v>11840984.053171715</v>
      </c>
      <c r="AF237" s="193">
        <f>(((I237*'Appendix K'!$C$12*1000)-('Appendix K'!$E$38+'Appendix K'!$F$38+'Appendix K'!$H$38+'Appendix K'!$G$38))/((1+$Y$16)^AF$34))</f>
        <v>4822606.697353825</v>
      </c>
      <c r="AG237" s="193">
        <f>(((J237*'Appendix K'!$C$13*1000)-('Appendix K'!$E$39+'Appendix K'!$F$39+'Appendix K'!$H$39+'Appendix K'!$G$39))/((1+$Y$16)^AG$34))</f>
        <v>2802885.8019400518</v>
      </c>
      <c r="AH237" s="193">
        <f>(((K237*'Appendix K'!$C$14*1000)-('Appendix K'!$E$40+'Appendix K'!$F$40+'Appendix K'!$H$40+'Appendix K'!$G$40))/((1+$Y$16)^AH$34))</f>
        <v>3780785.1525920075</v>
      </c>
      <c r="AI237" s="193">
        <f>(((L237*'Appendix K'!$C$15*1000)-('Appendix K'!$E$41+'Appendix K'!$F$41+'Appendix K'!$H$41+'Appendix K'!$G$41))/((1+$Y$16)^AI$34))</f>
        <v>4705211.0607285714</v>
      </c>
      <c r="AJ237" s="193">
        <f>(((M237*'Appendix K'!$C$16*1000)-('Appendix K'!$E$42+'Appendix K'!$F$42+'Appendix K'!$H$42+'Appendix K'!$G$42))/((1+$Y$16)^AJ$34))</f>
        <v>4841802.6558799148</v>
      </c>
      <c r="AK237" s="193">
        <f>(((N237*'Appendix K'!$C$17*1000)-('Appendix K'!$E$43+'Appendix K'!$F$43+'Appendix K'!$H$43))/((1+$Y$16)^AK$34))</f>
        <v>5546177.7197711943</v>
      </c>
      <c r="AL237" s="193">
        <f>(((O237*'Appendix K'!$C$18*1000)-('Appendix K'!$E$44+'Appendix K'!$F$44+'Appendix K'!$H$44+'Appendix K'!$G$44))/((1+$Y$16)^AL$34))</f>
        <v>4792058.0003928225</v>
      </c>
      <c r="AM237" s="193">
        <f>(((P237*'Appendix K'!$C$19*1000)-('Appendix K'!$E$45+'Appendix K'!$F$45+'Appendix K'!$H$45+'Appendix K'!$G$45))/((1+$Y$16)^AM$34))</f>
        <v>3517697.784008008</v>
      </c>
      <c r="AN237" s="193">
        <f>(((Q237*'Appendix K'!$C$20*1000)-('Appendix K'!$E$46+'Appendix K'!$F$46+'Appendix K'!$H$46+'Appendix K'!$G$46))/((1+$Y$16)^AN$34))</f>
        <v>2702399.606577659</v>
      </c>
      <c r="AO237" s="193">
        <f>(((R237*'Appendix K'!$C$21*1000)-('Appendix K'!$E$47+'Appendix K'!$F$47+'Appendix K'!$H$47+'Appendix K'!$G$47))/((1+$Y$16)^AO$34))</f>
        <v>2112056.3146391152</v>
      </c>
      <c r="AP237" s="193">
        <f>(((S237*'Appendix K'!$C$22*1000)-('Appendix K'!$E$48+'Appendix K'!$F$48+'Appendix K'!$H$48+'Appendix K'!$G$48))/((1+$Y$16)^AP$34))</f>
        <v>1630406.4380253027</v>
      </c>
      <c r="AQ237" s="193">
        <f>(((T237*'Appendix K'!$C$23*1000)-('Appendix K'!$E$49+'Appendix K'!$F$49+'Appendix K'!$H$49+'Appendix K'!$G$49))/((1+$Y$16)^AQ$34))</f>
        <v>787317.83437635668</v>
      </c>
      <c r="AR237" s="193">
        <f>(((U237*'Appendix K'!$C$24*1000)-('Appendix K'!$E$50+'Appendix K'!$F$50+'Appendix K'!$H$50+'Appendix K'!$G$50))/((1+$Y$16)^AR$34))</f>
        <v>625892.57470574824</v>
      </c>
      <c r="AS237" s="209">
        <f t="shared" si="22"/>
        <v>138813818.58620477</v>
      </c>
      <c r="AU237" s="199">
        <f t="shared" si="21"/>
        <v>4.6796508010180061E-9</v>
      </c>
    </row>
    <row r="238" spans="1:47" x14ac:dyDescent="0.35">
      <c r="A238">
        <v>204</v>
      </c>
      <c r="B238" s="70">
        <v>56</v>
      </c>
      <c r="C238" s="70">
        <v>36.850512169926589</v>
      </c>
      <c r="D238" s="70">
        <v>33.878959538308088</v>
      </c>
      <c r="E238" s="70">
        <v>39.716840967948734</v>
      </c>
      <c r="F238" s="70">
        <v>24.937016500244269</v>
      </c>
      <c r="G238" s="70">
        <v>20.623030355653789</v>
      </c>
      <c r="H238" s="70">
        <v>40.741962010998407</v>
      </c>
      <c r="I238" s="70">
        <v>47.727323830207652</v>
      </c>
      <c r="J238" s="70">
        <v>32.4933739515158</v>
      </c>
      <c r="K238" s="70">
        <v>48.173686037303938</v>
      </c>
      <c r="L238" s="70">
        <v>48.66734658821899</v>
      </c>
      <c r="M238" s="70">
        <v>71.262429194226655</v>
      </c>
      <c r="N238" s="70">
        <v>76.296762629158437</v>
      </c>
      <c r="O238" s="70">
        <v>88.875437008626761</v>
      </c>
      <c r="P238" s="70">
        <v>96.755655963952805</v>
      </c>
      <c r="Q238" s="70">
        <v>62.646151939463437</v>
      </c>
      <c r="R238" s="70">
        <v>98.979408610903278</v>
      </c>
      <c r="S238" s="70">
        <v>89.329950685426212</v>
      </c>
      <c r="T238" s="70">
        <v>100.23449366798414</v>
      </c>
      <c r="U238" s="70">
        <v>64.251315086623109</v>
      </c>
      <c r="V238" s="70">
        <v>46.798571594746427</v>
      </c>
      <c r="X238" s="193">
        <f>((0-('Appendix K'!$I$30))/(1+$Y$16)^0)</f>
        <v>-33594902.4440751</v>
      </c>
      <c r="Y238" s="193">
        <f>(((B238*'Appendix K'!$C$5*1000)-('Appendix K'!$E$31+'Appendix K'!$F$31+'Appendix K'!$H$31+'Appendix K'!$G$31))/((1+$Y$16)^1))</f>
        <v>34971064.972647354</v>
      </c>
      <c r="Z238" s="193">
        <f>+(((C238*'Appendix K'!$C$6*1000)-('Appendix K'!$E$32+'Appendix K'!$F$32+'Appendix K'!$H$32+'Appendix K'!$G$32))/((1+$Y$16)^2))</f>
        <v>5821821.9631193662</v>
      </c>
      <c r="AA238" s="193">
        <f>(((D238*'Appendix K'!$C$7*1000)-('Appendix K'!$E$33+'Appendix K'!$F$33+'Appendix K'!$H$33+'Appendix K'!$G$33))/((1+$Y$16)^3))</f>
        <v>1350430.0839082946</v>
      </c>
      <c r="AB238" s="193">
        <f>(((E238*'Appendix K'!$C$8*1000)-('Appendix K'!$E$34+'Appendix K'!$F$34+'Appendix K'!$H$34+'Appendix K'!$G$34))/((1+$Y$16)^4))</f>
        <v>5412360.0786347762</v>
      </c>
      <c r="AC238" s="193">
        <f>(((F238*'Appendix K'!$C$9*1000)-('Appendix K'!$E$35+'Appendix K'!$F$35+'Appendix K'!$H$35+'Appendix K'!$G$35))/((1+$Y$16)^AC$34))</f>
        <v>3643991.3084629271</v>
      </c>
      <c r="AD238" s="193">
        <f>(((G238*'Appendix K'!$C$10*1000)-('Appendix K'!$E$36+'Appendix K'!$F$36+'Appendix K'!$H$36+'Appendix K'!$G$36))/((1+$Y$16)^AD$34))</f>
        <v>722959.20150189835</v>
      </c>
      <c r="AE238" s="193">
        <f>(((H238*'Appendix K'!$C$11*1000)-('Appendix K'!$E$37+'Appendix K'!$F$37+'Appendix K'!$H$37+'Appendix K'!$G$37))/((1+$Y$16)^AE$34))</f>
        <v>1843565.7197327008</v>
      </c>
      <c r="AF238" s="193">
        <f>(((I238*'Appendix K'!$C$12*1000)-('Appendix K'!$E$38+'Appendix K'!$F$38+'Appendix K'!$H$38+'Appendix K'!$G$38))/((1+$Y$16)^AF$34))</f>
        <v>1137312.9081245863</v>
      </c>
      <c r="AG238" s="193">
        <f>(((J238*'Appendix K'!$C$13*1000)-('Appendix K'!$E$39+'Appendix K'!$F$39+'Appendix K'!$H$39+'Appendix K'!$G$39))/((1+$Y$16)^AG$34))</f>
        <v>-319633.48642197647</v>
      </c>
      <c r="AH238" s="193">
        <f>(((K238*'Appendix K'!$C$14*1000)-('Appendix K'!$E$40+'Appendix K'!$F$40+'Appendix K'!$H$40+'Appendix K'!$G$40))/((1+$Y$16)^AH$34))</f>
        <v>-8973.5187007169698</v>
      </c>
      <c r="AI238" s="193">
        <f>(((L238*'Appendix K'!$C$15*1000)-('Appendix K'!$E$41+'Appendix K'!$F$41+'Appendix K'!$H$41+'Appendix K'!$G$41))/((1+$Y$16)^AI$34))</f>
        <v>-241305.85933531055</v>
      </c>
      <c r="AJ238" s="193">
        <f>(((M238*'Appendix K'!$C$16*1000)-('Appendix K'!$E$42+'Appendix K'!$F$42+'Appendix K'!$H$42+'Appendix K'!$G$42))/((1+$Y$16)^AJ$34))</f>
        <v>46681.16772822522</v>
      </c>
      <c r="AK238" s="193">
        <f>(((N238*'Appendix K'!$C$17*1000)-('Appendix K'!$E$43+'Appendix K'!$F$43+'Appendix K'!$H$43))/((1+$Y$16)^AK$34))</f>
        <v>167957.02138169808</v>
      </c>
      <c r="AL238" s="193">
        <f>(((O238*'Appendix K'!$C$18*1000)-('Appendix K'!$E$44+'Appendix K'!$F$44+'Appendix K'!$H$44+'Appendix K'!$G$44))/((1+$Y$16)^AL$34))</f>
        <v>-81122.419020650632</v>
      </c>
      <c r="AM238" s="193">
        <f>(((P238*'Appendix K'!$C$19*1000)-('Appendix K'!$E$45+'Appendix K'!$F$45+'Appendix K'!$H$45+'Appendix K'!$G$45))/((1+$Y$16)^AM$34))</f>
        <v>-129963.71759796135</v>
      </c>
      <c r="AN238" s="193">
        <f>(((Q238*'Appendix K'!$C$20*1000)-('Appendix K'!$E$46+'Appendix K'!$F$46+'Appendix K'!$H$46+'Appendix K'!$G$46))/((1+$Y$16)^AN$34))</f>
        <v>-462387.69605155062</v>
      </c>
      <c r="AO238" s="193">
        <f>(((R238*'Appendix K'!$C$21*1000)-('Appendix K'!$E$47+'Appendix K'!$F$47+'Appendix K'!$H$47+'Appendix K'!$G$47))/((1+$Y$16)^AO$34))</f>
        <v>-258019.68524151912</v>
      </c>
      <c r="AP238" s="193">
        <f>(((S238*'Appendix K'!$C$22*1000)-('Appendix K'!$E$48+'Appendix K'!$F$48+'Appendix K'!$H$48+'Appendix K'!$G$48))/((1+$Y$16)^AP$34))</f>
        <v>-336587.8402273361</v>
      </c>
      <c r="AQ238" s="193">
        <f>(((T238*'Appendix K'!$C$23*1000)-('Appendix K'!$E$49+'Appendix K'!$F$49+'Appendix K'!$H$49+'Appendix K'!$G$49))/((1+$Y$16)^AQ$34))</f>
        <v>-301193.48398377438</v>
      </c>
      <c r="AR238" s="193">
        <f>(((U238*'Appendix K'!$C$24*1000)-('Appendix K'!$E$50+'Appendix K'!$F$50+'Appendix K'!$H$50+'Appendix K'!$G$50))/((1+$Y$16)^AR$34))</f>
        <v>-422397.83448086999</v>
      </c>
      <c r="AS238" s="209">
        <f t="shared" si="22"/>
        <v>21523241.981166728</v>
      </c>
      <c r="AU238" s="199">
        <f t="shared" si="21"/>
        <v>3.5678590102746174E-9</v>
      </c>
    </row>
    <row r="239" spans="1:47" x14ac:dyDescent="0.35">
      <c r="A239">
        <v>205</v>
      </c>
      <c r="B239" s="70">
        <v>56</v>
      </c>
      <c r="C239" s="70">
        <v>69.701418622534163</v>
      </c>
      <c r="D239" s="70">
        <v>33.615052034087505</v>
      </c>
      <c r="E239" s="70">
        <v>18.343398660032918</v>
      </c>
      <c r="F239" s="70">
        <v>20.399995669388851</v>
      </c>
      <c r="G239" s="70">
        <v>10.159638169673851</v>
      </c>
      <c r="H239" s="70">
        <v>12.641241203558375</v>
      </c>
      <c r="I239" s="70">
        <v>18.663844909994165</v>
      </c>
      <c r="J239" s="70">
        <v>22.322789253935685</v>
      </c>
      <c r="K239" s="70">
        <v>21.282737572565345</v>
      </c>
      <c r="L239" s="70">
        <v>15.807213236385735</v>
      </c>
      <c r="M239" s="70">
        <v>15.23813093843895</v>
      </c>
      <c r="N239" s="70">
        <v>15.058585961712078</v>
      </c>
      <c r="O239" s="70">
        <v>22.682400328472475</v>
      </c>
      <c r="P239" s="70">
        <v>35.618335836750013</v>
      </c>
      <c r="Q239" s="70">
        <v>32.091240893789212</v>
      </c>
      <c r="R239" s="70">
        <v>40.725061356099729</v>
      </c>
      <c r="S239" s="70">
        <v>27.970717597980304</v>
      </c>
      <c r="T239" s="70">
        <v>21.047645595429323</v>
      </c>
      <c r="U239" s="70">
        <v>20.581178310612032</v>
      </c>
      <c r="V239" s="70">
        <v>16.923571409101665</v>
      </c>
      <c r="X239" s="193">
        <f>((0-('Appendix K'!$I$30))/(1+$Y$16)^0)</f>
        <v>-33594902.4440751</v>
      </c>
      <c r="Y239" s="193">
        <f>(((B239*'Appendix K'!$C$5*1000)-('Appendix K'!$E$31+'Appendix K'!$F$31+'Appendix K'!$H$31+'Appendix K'!$G$31))/((1+$Y$16)^1))</f>
        <v>34971064.972647354</v>
      </c>
      <c r="Z239" s="193">
        <f>+(((C239*'Appendix K'!$C$6*1000)-('Appendix K'!$E$32+'Appendix K'!$F$32+'Appendix K'!$H$32+'Appendix K'!$G$32))/((1+$Y$16)^2))</f>
        <v>14120522.78617743</v>
      </c>
      <c r="AA239" s="193">
        <f>(((D239*'Appendix K'!$C$7*1000)-('Appendix K'!$E$33+'Appendix K'!$F$33+'Appendix K'!$H$33+'Appendix K'!$G$33))/((1+$Y$16)^3))</f>
        <v>1316814.8992437571</v>
      </c>
      <c r="AB239" s="193">
        <f>(((E239*'Appendix K'!$C$8*1000)-('Appendix K'!$E$34+'Appendix K'!$F$34+'Appendix K'!$H$34+'Appendix K'!$G$34))/((1+$Y$16)^4))</f>
        <v>727497.17977209308</v>
      </c>
      <c r="AC239" s="193">
        <f>(((F239*'Appendix K'!$C$9*1000)-('Appendix K'!$E$35+'Appendix K'!$F$35+'Appendix K'!$H$35+'Appendix K'!$G$35))/((1+$Y$16)^AC$34))</f>
        <v>2438058.2960227351</v>
      </c>
      <c r="AD239" s="193">
        <f>(((G239*'Appendix K'!$C$10*1000)-('Appendix K'!$E$36+'Appendix K'!$F$36+'Appendix K'!$H$36+'Appendix K'!$G$36))/((1+$Y$16)^AD$34))</f>
        <v>-920253.25364935701</v>
      </c>
      <c r="AE239" s="193">
        <f>(((H239*'Appendix K'!$C$11*1000)-('Appendix K'!$E$37+'Appendix K'!$F$37+'Appendix K'!$H$37+'Appendix K'!$G$37))/((1+$Y$16)^AE$34))</f>
        <v>-959133.54219739139</v>
      </c>
      <c r="AF239" s="193">
        <f>(((I239*'Appendix K'!$C$12*1000)-('Appendix K'!$E$38+'Appendix K'!$F$38+'Appendix K'!$H$38+'Appendix K'!$G$38))/((1+$Y$16)^AF$34))</f>
        <v>-771065.65597456496</v>
      </c>
      <c r="AG239" s="193">
        <f>(((J239*'Appendix K'!$C$13*1000)-('Appendix K'!$E$39+'Appendix K'!$F$39+'Appendix K'!$H$39+'Appendix K'!$G$39))/((1+$Y$16)^AG$34))</f>
        <v>-787672.93773391366</v>
      </c>
      <c r="AH239" s="193">
        <f>(((K239*'Appendix K'!$C$14*1000)-('Appendix K'!$E$40+'Appendix K'!$F$40+'Appendix K'!$H$40+'Appendix K'!$G$40))/((1+$Y$16)^AH$34))</f>
        <v>-915373.99262581812</v>
      </c>
      <c r="AI239" s="193">
        <f>(((L239*'Appendix K'!$C$15*1000)-('Appendix K'!$E$41+'Appendix K'!$F$41+'Appendix K'!$H$41+'Appendix K'!$G$41))/((1+$Y$16)^AI$34))</f>
        <v>-1102302.8019040248</v>
      </c>
      <c r="AJ239" s="193">
        <f>(((M239*'Appendix K'!$C$16*1000)-('Appendix K'!$E$42+'Appendix K'!$F$42+'Appendix K'!$H$42+'Appendix K'!$G$42))/((1+$Y$16)^AJ$34))</f>
        <v>-1076150.3654471475</v>
      </c>
      <c r="AK239" s="193">
        <f>(((N239*'Appendix K'!$C$17*1000)-('Appendix K'!$E$43+'Appendix K'!$F$43+'Appendix K'!$H$43))/((1+$Y$16)^AK$34))</f>
        <v>-772900.04573499726</v>
      </c>
      <c r="AL239" s="193">
        <f>(((O239*'Appendix K'!$C$18*1000)-('Appendix K'!$E$44+'Appendix K'!$F$44+'Appendix K'!$H$44+'Appendix K'!$G$44))/((1+$Y$16)^AL$34))</f>
        <v>-865727.9602322916</v>
      </c>
      <c r="AM239" s="193">
        <f>(((P239*'Appendix K'!$C$19*1000)-('Appendix K'!$E$45+'Appendix K'!$F$45+'Appendix K'!$H$45+'Appendix K'!$G$45))/((1+$Y$16)^AM$34))</f>
        <v>-696629.14035531308</v>
      </c>
      <c r="AN239" s="193">
        <f>(((Q239*'Appendix K'!$C$20*1000)-('Appendix K'!$E$46+'Appendix K'!$F$46+'Appendix K'!$H$46+'Appendix K'!$G$46))/((1+$Y$16)^AN$34))</f>
        <v>-683489.65945974714</v>
      </c>
      <c r="AO239" s="193">
        <f>(((R239*'Appendix K'!$C$21*1000)-('Appendix K'!$E$47+'Appendix K'!$F$47+'Appendix K'!$H$47+'Appendix K'!$G$47))/((1+$Y$16)^AO$34))</f>
        <v>-602309.31346003688</v>
      </c>
      <c r="AP239" s="193">
        <f>(((S239*'Appendix K'!$C$22*1000)-('Appendix K'!$E$48+'Appendix K'!$F$48+'Appendix K'!$H$48+'Appendix K'!$G$48))/((1+$Y$16)^AP$34))</f>
        <v>-630481.34573721781</v>
      </c>
      <c r="AQ239" s="193">
        <f>(((T239*'Appendix K'!$C$23*1000)-('Appendix K'!$E$49+'Appendix K'!$F$49+'Appendix K'!$H$49+'Appendix K'!$G$49))/((1+$Y$16)^AQ$34))</f>
        <v>-611110.5349867394</v>
      </c>
      <c r="AR239" s="193">
        <f>(((U239*'Appendix K'!$C$24*1000)-('Appendix K'!$E$50+'Appendix K'!$F$50+'Appendix K'!$H$50+'Appendix K'!$G$50))/((1+$Y$16)^AR$34))</f>
        <v>-563016.89848701167</v>
      </c>
      <c r="AS239" s="209">
        <f t="shared" si="22"/>
        <v>19979055.689788267</v>
      </c>
      <c r="AU239" s="199">
        <f t="shared" si="21"/>
        <v>3.455289918447461E-9</v>
      </c>
    </row>
    <row r="240" spans="1:47" x14ac:dyDescent="0.35">
      <c r="A240">
        <v>206</v>
      </c>
      <c r="B240" s="70">
        <v>56</v>
      </c>
      <c r="C240" s="70">
        <v>45.501703314866681</v>
      </c>
      <c r="D240" s="70">
        <v>31.588617353654858</v>
      </c>
      <c r="E240" s="70">
        <v>15.567302984100699</v>
      </c>
      <c r="F240" s="70">
        <v>11.668314411856601</v>
      </c>
      <c r="G240" s="70">
        <v>15.498884049667815</v>
      </c>
      <c r="H240" s="70">
        <v>18.14036297781724</v>
      </c>
      <c r="I240" s="70">
        <v>33.44342515941058</v>
      </c>
      <c r="J240" s="70">
        <v>29.571871886391218</v>
      </c>
      <c r="K240" s="70">
        <v>52.364762975204002</v>
      </c>
      <c r="L240" s="70">
        <v>54.31340240866006</v>
      </c>
      <c r="M240" s="70">
        <v>78.428327513859244</v>
      </c>
      <c r="N240" s="70">
        <v>104.64999178792385</v>
      </c>
      <c r="O240" s="70">
        <v>75.640419936707048</v>
      </c>
      <c r="P240" s="70">
        <v>54.462023331481383</v>
      </c>
      <c r="Q240" s="70">
        <v>47.29543400927944</v>
      </c>
      <c r="R240" s="70">
        <v>56.92864395762318</v>
      </c>
      <c r="S240" s="70">
        <v>71.097151887688497</v>
      </c>
      <c r="T240" s="70">
        <v>37.761103969108923</v>
      </c>
      <c r="U240" s="70">
        <v>36.400581569991907</v>
      </c>
      <c r="V240" s="70">
        <v>35.791275549693324</v>
      </c>
      <c r="X240" s="193">
        <f>((0-('Appendix K'!$I$30))/(1+$Y$16)^0)</f>
        <v>-33594902.4440751</v>
      </c>
      <c r="Y240" s="193">
        <f>(((B240*'Appendix K'!$C$5*1000)-('Appendix K'!$E$31+'Appendix K'!$F$31+'Appendix K'!$H$31+'Appendix K'!$G$31))/((1+$Y$16)^1))</f>
        <v>34971064.972647354</v>
      </c>
      <c r="Z240" s="193">
        <f>+(((C240*'Appendix K'!$C$6*1000)-('Appendix K'!$E$32+'Appendix K'!$F$32+'Appendix K'!$H$32+'Appendix K'!$G$32))/((1+$Y$16)^2))</f>
        <v>8007260.808726876</v>
      </c>
      <c r="AA240" s="193">
        <f>(((D240*'Appendix K'!$C$7*1000)-('Appendix K'!$E$33+'Appendix K'!$F$33+'Appendix K'!$H$33+'Appendix K'!$G$33))/((1+$Y$16)^3))</f>
        <v>1058698.0404808843</v>
      </c>
      <c r="AB240" s="193">
        <f>(((E240*'Appendix K'!$C$8*1000)-('Appendix K'!$E$34+'Appendix K'!$F$34+'Appendix K'!$H$34+'Appendix K'!$G$34))/((1+$Y$16)^4))</f>
        <v>119002.42031768107</v>
      </c>
      <c r="AC240" s="193">
        <f>(((F240*'Appendix K'!$C$9*1000)-('Appendix K'!$E$35+'Appendix K'!$F$35+'Appendix K'!$H$35+'Appendix K'!$G$35))/((1+$Y$16)^AC$34))</f>
        <v>117191.12897071232</v>
      </c>
      <c r="AD240" s="193">
        <f>(((G240*'Appendix K'!$C$10*1000)-('Appendix K'!$E$36+'Appendix K'!$F$36+'Appendix K'!$H$36+'Appendix K'!$G$36))/((1+$Y$16)^AD$34))</f>
        <v>-81756.982537883392</v>
      </c>
      <c r="AE240" s="193">
        <f>(((H240*'Appendix K'!$C$11*1000)-('Appendix K'!$E$37+'Appendix K'!$F$37+'Appendix K'!$H$37+'Appendix K'!$G$37))/((1+$Y$16)^AE$34))</f>
        <v>-410664.17574973806</v>
      </c>
      <c r="AF240" s="193">
        <f>(((I240*'Appendix K'!$C$12*1000)-('Appendix K'!$E$38+'Appendix K'!$F$38+'Appendix K'!$H$38+'Appendix K'!$G$38))/((1+$Y$16)^AF$34))</f>
        <v>199397.45382035457</v>
      </c>
      <c r="AG240" s="193">
        <f>(((J240*'Appendix K'!$C$13*1000)-('Appendix K'!$E$39+'Appendix K'!$F$39+'Appendix K'!$H$39+'Appendix K'!$G$39))/((1+$Y$16)^AG$34))</f>
        <v>-454077.89293608192</v>
      </c>
      <c r="AH240" s="193">
        <f>(((K240*'Appendix K'!$C$14*1000)-('Appendix K'!$E$40+'Appendix K'!$F$40+'Appendix K'!$H$40+'Appendix K'!$G$40))/((1+$Y$16)^AH$34))</f>
        <v>132293.12824371623</v>
      </c>
      <c r="AI240" s="193">
        <f>(((L240*'Appendix K'!$C$15*1000)-('Appendix K'!$E$41+'Appendix K'!$F$41+'Appendix K'!$H$41+'Appendix K'!$G$41))/((1+$Y$16)^AI$34))</f>
        <v>-93368.638663598191</v>
      </c>
      <c r="AJ240" s="193">
        <f>(((M240*'Appendix K'!$C$16*1000)-('Appendix K'!$E$42+'Appendix K'!$F$42+'Appendix K'!$H$42+'Appendix K'!$G$42))/((1+$Y$16)^AJ$34))</f>
        <v>190299.14862780162</v>
      </c>
      <c r="AK240" s="193">
        <f>(((N240*'Appendix K'!$C$17*1000)-('Appendix K'!$E$43+'Appendix K'!$F$43+'Appendix K'!$H$43))/((1+$Y$16)^AK$34))</f>
        <v>603573.1269112489</v>
      </c>
      <c r="AL240" s="193">
        <f>(((O240*'Appendix K'!$C$18*1000)-('Appendix K'!$E$44+'Appendix K'!$F$44+'Appendix K'!$H$44+'Appendix K'!$G$44))/((1+$Y$16)^AL$34))</f>
        <v>-238000.97080602654</v>
      </c>
      <c r="AM240" s="193">
        <f>(((P240*'Appendix K'!$C$19*1000)-('Appendix K'!$E$45+'Appendix K'!$F$45+'Appendix K'!$H$45+'Appendix K'!$G$45))/((1+$Y$16)^AM$34))</f>
        <v>-521972.05498924688</v>
      </c>
      <c r="AN240" s="193">
        <f>(((Q240*'Appendix K'!$C$20*1000)-('Appendix K'!$E$46+'Appendix K'!$F$46+'Appendix K'!$H$46+'Appendix K'!$G$46))/((1+$Y$16)^AN$34))</f>
        <v>-573468.82042515941</v>
      </c>
      <c r="AO240" s="193">
        <f>(((R240*'Appendix K'!$C$21*1000)-('Appendix K'!$E$47+'Appendix K'!$F$47+'Appendix K'!$H$47+'Appendix K'!$G$47))/((1+$Y$16)^AO$34))</f>
        <v>-506544.35011257534</v>
      </c>
      <c r="AP240" s="193">
        <f>(((S240*'Appendix K'!$C$22*1000)-('Appendix K'!$E$48+'Appendix K'!$F$48+'Appendix K'!$H$48+'Appendix K'!$G$48))/((1+$Y$16)^AP$34))</f>
        <v>-423917.8292819066</v>
      </c>
      <c r="AQ240" s="193">
        <f>(((T240*'Appendix K'!$C$23*1000)-('Appendix K'!$E$49+'Appendix K'!$F$49+'Appendix K'!$H$49+'Appendix K'!$G$49))/((1+$Y$16)^AQ$34))</f>
        <v>-545698.33766723482</v>
      </c>
      <c r="AR240" s="193">
        <f>(((U240*'Appendix K'!$C$24*1000)-('Appendix K'!$E$50+'Appendix K'!$F$50+'Appendix K'!$H$50+'Appendix K'!$G$50))/((1+$Y$16)^AR$34))</f>
        <v>-512077.97675018595</v>
      </c>
      <c r="AS240" s="209">
        <f t="shared" si="22"/>
        <v>11803877.784671523</v>
      </c>
      <c r="AU240" s="199">
        <f t="shared" si="21"/>
        <v>2.8801532206347041E-9</v>
      </c>
    </row>
    <row r="241" spans="1:47" x14ac:dyDescent="0.35">
      <c r="A241">
        <v>207</v>
      </c>
      <c r="B241" s="70">
        <v>56</v>
      </c>
      <c r="C241" s="70">
        <v>61.353760625118987</v>
      </c>
      <c r="D241" s="70">
        <v>63.584230223387621</v>
      </c>
      <c r="E241" s="70">
        <v>96.608263515445941</v>
      </c>
      <c r="F241" s="70">
        <v>153.22520627263754</v>
      </c>
      <c r="G241" s="70">
        <v>283.19023580217004</v>
      </c>
      <c r="H241" s="70">
        <v>230.57468569082408</v>
      </c>
      <c r="I241" s="70">
        <v>413.05756815217148</v>
      </c>
      <c r="J241" s="70">
        <v>497.7134705713886</v>
      </c>
      <c r="K241" s="70">
        <v>393.38265677982758</v>
      </c>
      <c r="L241" s="70">
        <v>469.10511769698275</v>
      </c>
      <c r="M241" s="70">
        <v>379.65622521662658</v>
      </c>
      <c r="N241" s="70">
        <v>365.38253436797987</v>
      </c>
      <c r="O241" s="70">
        <v>409.86446224837692</v>
      </c>
      <c r="P241" s="70">
        <v>346.86953216557896</v>
      </c>
      <c r="Q241" s="70">
        <v>261.14957533882978</v>
      </c>
      <c r="R241" s="70">
        <v>299.52661920946088</v>
      </c>
      <c r="S241" s="70">
        <v>350.46269175493751</v>
      </c>
      <c r="T241" s="70">
        <v>332.51359700137186</v>
      </c>
      <c r="U241" s="70">
        <v>444.35782296210095</v>
      </c>
      <c r="V241" s="70">
        <v>421.37564591086726</v>
      </c>
      <c r="X241" s="193">
        <f>((0-('Appendix K'!$I$30))/(1+$Y$16)^0)</f>
        <v>-33594902.4440751</v>
      </c>
      <c r="Y241" s="193">
        <f>(((B241*'Appendix K'!$C$5*1000)-('Appendix K'!$E$31+'Appendix K'!$F$31+'Appendix K'!$H$31+'Appendix K'!$G$31))/((1+$Y$16)^1))</f>
        <v>34971064.972647354</v>
      </c>
      <c r="Z241" s="193">
        <f>+(((C241*'Appendix K'!$C$6*1000)-('Appendix K'!$E$32+'Appendix K'!$F$32+'Appendix K'!$H$32+'Appendix K'!$G$32))/((1+$Y$16)^2))</f>
        <v>12011761.604999801</v>
      </c>
      <c r="AA241" s="193">
        <f>(((D241*'Appendix K'!$C$7*1000)-('Appendix K'!$E$33+'Appendix K'!$F$33+'Appendix K'!$H$33+'Appendix K'!$G$33))/((1+$Y$16)^3))</f>
        <v>5134135.1457939241</v>
      </c>
      <c r="AB241" s="193">
        <f>(((E241*'Appendix K'!$C$8*1000)-('Appendix K'!$E$34+'Appendix K'!$F$34+'Appendix K'!$H$34+'Appendix K'!$G$34))/((1+$Y$16)^4))</f>
        <v>17882439.110199042</v>
      </c>
      <c r="AC241" s="193">
        <f>(((F241*'Appendix K'!$C$9*1000)-('Appendix K'!$E$35+'Appendix K'!$F$35+'Appendix K'!$H$35+'Appendix K'!$G$35))/((1+$Y$16)^AC$34))</f>
        <v>37742790.701357163</v>
      </c>
      <c r="AD241" s="193">
        <f>(((G241*'Appendix K'!$C$10*1000)-('Appendix K'!$E$36+'Appendix K'!$F$36+'Appendix K'!$H$36+'Appendix K'!$G$36))/((1+$Y$16)^AD$34))</f>
        <v>41957550.683419749</v>
      </c>
      <c r="AE241" s="193">
        <f>(((H241*'Appendix K'!$C$11*1000)-('Appendix K'!$E$37+'Appendix K'!$F$37+'Appendix K'!$H$37+'Appendix K'!$G$37))/((1+$Y$16)^AE$34))</f>
        <v>20777031.455129817</v>
      </c>
      <c r="AF241" s="193">
        <f>(((I241*'Appendix K'!$C$12*1000)-('Appendix K'!$E$38+'Appendix K'!$F$38+'Appendix K'!$H$38+'Appendix K'!$G$38))/((1+$Y$16)^AF$34))</f>
        <v>25125783.421069648</v>
      </c>
      <c r="AG241" s="193">
        <f>(((J241*'Appendix K'!$C$13*1000)-('Appendix K'!$E$39+'Appendix K'!$F$39+'Appendix K'!$H$39+'Appendix K'!$G$39))/((1+$Y$16)^AG$34))</f>
        <v>21089298.766318507</v>
      </c>
      <c r="AH241" s="193">
        <f>(((K241*'Appendix K'!$C$14*1000)-('Appendix K'!$E$40+'Appendix K'!$F$40+'Appendix K'!$H$40+'Appendix K'!$G$40))/((1+$Y$16)^AH$34))</f>
        <v>11626821.890096942</v>
      </c>
      <c r="AI241" s="193">
        <f>(((L241*'Appendix K'!$C$15*1000)-('Appendix K'!$E$41+'Appendix K'!$F$41+'Appendix K'!$H$41+'Appendix K'!$G$41))/((1+$Y$16)^AI$34))</f>
        <v>10774949.966201529</v>
      </c>
      <c r="AJ241" s="193">
        <f>(((M241*'Appendix K'!$C$16*1000)-('Appendix K'!$E$42+'Appendix K'!$F$42+'Appendix K'!$H$42+'Appendix K'!$G$42))/((1+$Y$16)^AJ$34))</f>
        <v>6227468.6044335468</v>
      </c>
      <c r="AK241" s="193">
        <f>(((N241*'Appendix K'!$C$17*1000)-('Appendix K'!$E$43+'Appendix K'!$F$43+'Appendix K'!$H$43))/((1+$Y$16)^AK$34))</f>
        <v>4609441.1762804575</v>
      </c>
      <c r="AL241" s="193">
        <f>(((O241*'Appendix K'!$C$18*1000)-('Appendix K'!$E$44+'Appendix K'!$F$44+'Appendix K'!$H$44+'Appendix K'!$G$44))/((1+$Y$16)^AL$34))</f>
        <v>3723654.9488492203</v>
      </c>
      <c r="AM241" s="193">
        <f>(((P241*'Appendix K'!$C$19*1000)-('Appendix K'!$E$45+'Appendix K'!$F$45+'Appendix K'!$H$45+'Appendix K'!$G$45))/((1+$Y$16)^AM$34))</f>
        <v>2188274.7184405839</v>
      </c>
      <c r="AN241" s="193">
        <f>(((Q241*'Appendix K'!$C$20*1000)-('Appendix K'!$E$46+'Appendix K'!$F$46+'Appendix K'!$H$46+'Appendix K'!$G$46))/((1+$Y$16)^AN$34))</f>
        <v>974026.12924944225</v>
      </c>
      <c r="AO241" s="193">
        <f>(((R241*'Appendix K'!$C$21*1000)-('Appendix K'!$E$47+'Appendix K'!$F$47+'Appendix K'!$H$47+'Appendix K'!$G$47))/((1+$Y$16)^AO$34))</f>
        <v>927236.48585985217</v>
      </c>
      <c r="AP241" s="193">
        <f>(((S241*'Appendix K'!$C$22*1000)-('Appendix K'!$E$48+'Appendix K'!$F$48+'Appendix K'!$H$48+'Appendix K'!$G$48))/((1+$Y$16)^AP$34))</f>
        <v>914164.70042045414</v>
      </c>
      <c r="AQ241" s="193">
        <f>(((T241*'Appendix K'!$C$23*1000)-('Appendix K'!$E$49+'Appendix K'!$F$49+'Appendix K'!$H$49+'Appendix K'!$G$49))/((1+$Y$16)^AQ$34))</f>
        <v>607887.46148760396</v>
      </c>
      <c r="AR241" s="193">
        <f>(((U241*'Appendix K'!$C$24*1000)-('Appendix K'!$E$50+'Appendix K'!$F$50+'Appendix K'!$H$50+'Appendix K'!$G$50))/((1+$Y$16)^AR$34))</f>
        <v>801555.77102865453</v>
      </c>
      <c r="AS241" s="209">
        <f t="shared" si="22"/>
        <v>226472435.26920822</v>
      </c>
      <c r="AU241" s="199">
        <f t="shared" si="21"/>
        <v>3.5235048831755691E-10</v>
      </c>
    </row>
    <row r="242" spans="1:47" x14ac:dyDescent="0.35">
      <c r="A242">
        <v>208</v>
      </c>
      <c r="B242" s="70">
        <v>56</v>
      </c>
      <c r="C242" s="70">
        <v>78.914409099448761</v>
      </c>
      <c r="D242" s="70">
        <v>98.967665498209072</v>
      </c>
      <c r="E242" s="70">
        <v>108.44153453223878</v>
      </c>
      <c r="F242" s="70">
        <v>84.705738825212904</v>
      </c>
      <c r="G242" s="70">
        <v>119.12206725896409</v>
      </c>
      <c r="H242" s="70">
        <v>138.02157955889768</v>
      </c>
      <c r="I242" s="70">
        <v>231.84875947804471</v>
      </c>
      <c r="J242" s="70">
        <v>189.45286783414804</v>
      </c>
      <c r="K242" s="70">
        <v>250.85155491759588</v>
      </c>
      <c r="L242" s="70">
        <v>332.59473866331837</v>
      </c>
      <c r="M242" s="70">
        <v>420.34246876016709</v>
      </c>
      <c r="N242" s="70">
        <v>500</v>
      </c>
      <c r="O242" s="70">
        <v>306.15719224601924</v>
      </c>
      <c r="P242" s="70">
        <v>294.74232694535851</v>
      </c>
      <c r="Q242" s="70">
        <v>213.86365620582995</v>
      </c>
      <c r="R242" s="70">
        <v>289.71895352644265</v>
      </c>
      <c r="S242" s="70">
        <v>292.66615502115536</v>
      </c>
      <c r="T242" s="70">
        <v>189.84734176189284</v>
      </c>
      <c r="U242" s="70">
        <v>277.46168931474358</v>
      </c>
      <c r="V242" s="70">
        <v>202.80458007584792</v>
      </c>
      <c r="X242" s="193">
        <f>((0-('Appendix K'!$I$30))/(1+$Y$16)^0)</f>
        <v>-33594902.4440751</v>
      </c>
      <c r="Y242" s="193">
        <f>(((B242*'Appendix K'!$C$5*1000)-('Appendix K'!$E$31+'Appendix K'!$F$31+'Appendix K'!$H$31+'Appendix K'!$G$31))/((1+$Y$16)^1))</f>
        <v>34971064.972647354</v>
      </c>
      <c r="Z242" s="193">
        <f>+(((C242*'Appendix K'!$C$6*1000)-('Appendix K'!$E$32+'Appendix K'!$F$32+'Appendix K'!$H$32+'Appendix K'!$G$32))/((1+$Y$16)^2))</f>
        <v>16447881.751565386</v>
      </c>
      <c r="AA242" s="193">
        <f>(((D242*'Appendix K'!$C$7*1000)-('Appendix K'!$E$33+'Appendix K'!$F$33+'Appendix K'!$H$33+'Appendix K'!$G$33))/((1+$Y$16)^3))</f>
        <v>9641095.6975282803</v>
      </c>
      <c r="AB242" s="193">
        <f>(((E242*'Appendix K'!$C$8*1000)-('Appendix K'!$E$34+'Appendix K'!$F$34+'Appendix K'!$H$34+'Appendix K'!$G$34))/((1+$Y$16)^4))</f>
        <v>20476183.793910015</v>
      </c>
      <c r="AC242" s="193">
        <f>(((F242*'Appendix K'!$C$9*1000)-('Appendix K'!$E$35+'Appendix K'!$F$35+'Appendix K'!$H$35+'Appendix K'!$G$35))/((1+$Y$16)^AC$34))</f>
        <v>19530423.848703489</v>
      </c>
      <c r="AD242" s="193">
        <f>(((G242*'Appendix K'!$C$10*1000)-('Appendix K'!$E$36+'Appendix K'!$F$36+'Appendix K'!$H$36+'Appendix K'!$G$36))/((1+$Y$16)^AD$34))</f>
        <v>16191637.177349398</v>
      </c>
      <c r="AE242" s="193">
        <f>(((H242*'Appendix K'!$C$11*1000)-('Appendix K'!$E$37+'Appendix K'!$F$37+'Appendix K'!$H$37+'Appendix K'!$G$37))/((1+$Y$16)^AE$34))</f>
        <v>11546004.10808011</v>
      </c>
      <c r="AF242" s="193">
        <f>(((I242*'Appendix K'!$C$12*1000)-('Appendix K'!$E$38+'Appendix K'!$F$38+'Appendix K'!$H$38+'Appendix K'!$G$38))/((1+$Y$16)^AF$34))</f>
        <v>13227173.242673712</v>
      </c>
      <c r="AG242" s="193">
        <f>(((J242*'Appendix K'!$C$13*1000)-('Appendix K'!$E$39+'Appendix K'!$F$39+'Appendix K'!$H$39+'Appendix K'!$G$39))/((1+$Y$16)^AG$34))</f>
        <v>6903474.8774959473</v>
      </c>
      <c r="AH242" s="193">
        <f>(((K242*'Appendix K'!$C$14*1000)-('Appendix K'!$E$40+'Appendix K'!$F$40+'Appendix K'!$H$40+'Appendix K'!$G$40))/((1+$Y$16)^AH$34))</f>
        <v>6822593.4915933516</v>
      </c>
      <c r="AI242" s="193">
        <f>(((L242*'Appendix K'!$C$15*1000)-('Appendix K'!$E$41+'Appendix K'!$F$41+'Appendix K'!$H$41+'Appendix K'!$G$41))/((1+$Y$16)^AI$34))</f>
        <v>7198122.7598589789</v>
      </c>
      <c r="AJ242" s="193">
        <f>(((M242*'Appendix K'!$C$16*1000)-('Appendix K'!$E$42+'Appendix K'!$F$42+'Appendix K'!$H$42+'Appendix K'!$G$42))/((1+$Y$16)^AJ$34))</f>
        <v>7042896.8853655746</v>
      </c>
      <c r="AK242" s="193">
        <f>(((N242*'Appendix K'!$C$17*1000)-('Appendix K'!$E$43+'Appendix K'!$F$43+'Appendix K'!$H$43))/((1+$Y$16)^AK$34))</f>
        <v>6677690.1149291173</v>
      </c>
      <c r="AL242" s="193">
        <f>(((O242*'Appendix K'!$C$18*1000)-('Appendix K'!$E$44+'Appendix K'!$F$44+'Appendix K'!$H$44+'Appendix K'!$G$44))/((1+$Y$16)^AL$34))</f>
        <v>2494382.1614265912</v>
      </c>
      <c r="AM242" s="193">
        <f>(((P242*'Appendix K'!$C$19*1000)-('Appendix K'!$E$45+'Appendix K'!$F$45+'Appendix K'!$H$45+'Appendix K'!$G$45))/((1+$Y$16)^AM$34))</f>
        <v>1705121.6341736077</v>
      </c>
      <c r="AN242" s="193">
        <f>(((Q242*'Appendix K'!$C$20*1000)-('Appendix K'!$E$46+'Appendix K'!$F$46+'Appendix K'!$H$46+'Appendix K'!$G$46))/((1+$Y$16)^AN$34))</f>
        <v>631854.96251820645</v>
      </c>
      <c r="AO242" s="193">
        <f>(((R242*'Appendix K'!$C$21*1000)-('Appendix K'!$E$47+'Appendix K'!$F$47+'Appendix K'!$H$47+'Appendix K'!$G$47))/((1+$Y$16)^AO$34))</f>
        <v>869272.09812191548</v>
      </c>
      <c r="AP242" s="193">
        <f>(((S242*'Appendix K'!$C$22*1000)-('Appendix K'!$E$48+'Appendix K'!$F$48+'Appendix K'!$H$48+'Appendix K'!$G$48))/((1+$Y$16)^AP$34))</f>
        <v>637335.51054426562</v>
      </c>
      <c r="AQ242" s="193">
        <f>(((T242*'Appendix K'!$C$23*1000)-('Appendix K'!$E$49+'Appendix K'!$F$49+'Appendix K'!$H$49+'Appendix K'!$G$49))/((1+$Y$16)^AQ$34))</f>
        <v>49528.261978311697</v>
      </c>
      <c r="AR242" s="193">
        <f>(((U242*'Appendix K'!$C$24*1000)-('Appendix K'!$E$50+'Appendix K'!$F$50+'Appendix K'!$H$50+'Appendix K'!$G$50))/((1+$Y$16)^AR$34))</f>
        <v>264145.54444499908</v>
      </c>
      <c r="AS242" s="209">
        <f t="shared" si="22"/>
        <v>149732980.4508335</v>
      </c>
      <c r="AU242" s="199">
        <f t="shared" si="21"/>
        <v>3.8618285944507613E-9</v>
      </c>
    </row>
    <row r="243" spans="1:47" x14ac:dyDescent="0.35">
      <c r="A243">
        <v>209</v>
      </c>
      <c r="B243" s="70">
        <v>56</v>
      </c>
      <c r="C243" s="70">
        <v>79.716118732428612</v>
      </c>
      <c r="D243" s="70">
        <v>101.08719771242113</v>
      </c>
      <c r="E243" s="70">
        <v>112.85454686890614</v>
      </c>
      <c r="F243" s="70">
        <v>85.180531654631096</v>
      </c>
      <c r="G243" s="70">
        <v>67.907650199174554</v>
      </c>
      <c r="H243" s="70">
        <v>88.077665264556515</v>
      </c>
      <c r="I243" s="70">
        <v>111.7741478225834</v>
      </c>
      <c r="J243" s="70">
        <v>117.93467015962844</v>
      </c>
      <c r="K243" s="70">
        <v>150.32948429758321</v>
      </c>
      <c r="L243" s="70">
        <v>224.54115701599056</v>
      </c>
      <c r="M243" s="70">
        <v>161.2755350541758</v>
      </c>
      <c r="N243" s="70">
        <v>196.54426823068471</v>
      </c>
      <c r="O243" s="70">
        <v>290.88082440764998</v>
      </c>
      <c r="P243" s="70">
        <v>332.40016433416889</v>
      </c>
      <c r="Q243" s="70">
        <v>458.54212924486376</v>
      </c>
      <c r="R243" s="70">
        <v>224.98556211932055</v>
      </c>
      <c r="S243" s="70">
        <v>239.92394595515978</v>
      </c>
      <c r="T243" s="70">
        <v>209.01763474872456</v>
      </c>
      <c r="U243" s="70">
        <v>159.192173315003</v>
      </c>
      <c r="V243" s="70">
        <v>193.27460925539353</v>
      </c>
      <c r="X243" s="193">
        <f>((0-('Appendix K'!$I$30))/(1+$Y$16)^0)</f>
        <v>-33594902.4440751</v>
      </c>
      <c r="Y243" s="193">
        <f>(((B243*'Appendix K'!$C$5*1000)-('Appendix K'!$E$31+'Appendix K'!$F$31+'Appendix K'!$H$31+'Appendix K'!$G$31))/((1+$Y$16)^1))</f>
        <v>34971064.972647354</v>
      </c>
      <c r="Z243" s="193">
        <f>+(((C243*'Appendix K'!$C$6*1000)-('Appendix K'!$E$32+'Appendix K'!$F$32+'Appendix K'!$H$32+'Appendix K'!$G$32))/((1+$Y$16)^2))</f>
        <v>16650407.31659543</v>
      </c>
      <c r="AA243" s="193">
        <f>(((D243*'Appendix K'!$C$7*1000)-('Appendix K'!$E$33+'Appendix K'!$F$33+'Appendix K'!$H$33+'Appendix K'!$G$33))/((1+$Y$16)^3))</f>
        <v>9911070.8427731935</v>
      </c>
      <c r="AB243" s="193">
        <f>(((E243*'Appendix K'!$C$8*1000)-('Appendix K'!$E$34+'Appendix K'!$F$34+'Appendix K'!$H$34+'Appendix K'!$G$34))/((1+$Y$16)^4))</f>
        <v>21443475.700867809</v>
      </c>
      <c r="AC243" s="193">
        <f>(((F243*'Appendix K'!$C$9*1000)-('Appendix K'!$E$35+'Appendix K'!$F$35+'Appendix K'!$H$35+'Appendix K'!$G$35))/((1+$Y$16)^AC$34))</f>
        <v>19656623.03720431</v>
      </c>
      <c r="AD243" s="193">
        <f>(((G243*'Appendix K'!$C$10*1000)-('Appendix K'!$E$36+'Appendix K'!$F$36+'Appendix K'!$H$36+'Appendix K'!$G$36))/((1+$Y$16)^AD$34))</f>
        <v>8148722.7476753108</v>
      </c>
      <c r="AE243" s="193">
        <f>(((H243*'Appendix K'!$C$11*1000)-('Appendix K'!$E$37+'Appendix K'!$F$37+'Appendix K'!$H$37+'Appendix K'!$G$37))/((1+$Y$16)^AE$34))</f>
        <v>6564716.5215499867</v>
      </c>
      <c r="AF243" s="193">
        <f>(((I243*'Appendix K'!$C$12*1000)-('Appendix K'!$E$38+'Appendix K'!$F$38+'Appendix K'!$H$38+'Appendix K'!$G$38))/((1+$Y$16)^AF$34))</f>
        <v>5342782.8156061005</v>
      </c>
      <c r="AG243" s="193">
        <f>(((J243*'Appendix K'!$C$13*1000)-('Appendix K'!$E$39+'Appendix K'!$F$39+'Appendix K'!$H$39+'Appendix K'!$G$39))/((1+$Y$16)^AG$34))</f>
        <v>3612283.7617712906</v>
      </c>
      <c r="AH243" s="193">
        <f>(((K243*'Appendix K'!$C$14*1000)-('Appendix K'!$E$40+'Appendix K'!$F$40+'Appendix K'!$H$40+'Appendix K'!$G$40))/((1+$Y$16)^AH$34))</f>
        <v>3434343.6286557745</v>
      </c>
      <c r="AI243" s="193">
        <f>(((L243*'Appendix K'!$C$15*1000)-('Appendix K'!$E$41+'Appendix K'!$F$41+'Appendix K'!$H$41+'Appendix K'!$G$41))/((1+$Y$16)^AI$34))</f>
        <v>4366916.8595105</v>
      </c>
      <c r="AJ243" s="193">
        <f>(((M243*'Appendix K'!$C$16*1000)-('Appendix K'!$E$42+'Appendix K'!$F$42+'Appendix K'!$H$42+'Appendix K'!$G$42))/((1+$Y$16)^AJ$34))</f>
        <v>1850711.8616452641</v>
      </c>
      <c r="AK243" s="193">
        <f>(((N243*'Appendix K'!$C$17*1000)-('Appendix K'!$E$43+'Appendix K'!$F$43+'Appendix K'!$H$43))/((1+$Y$16)^AK$34))</f>
        <v>2015427.3675798445</v>
      </c>
      <c r="AL243" s="193">
        <f>(((O243*'Appendix K'!$C$18*1000)-('Appendix K'!$E$44+'Appendix K'!$F$44+'Appendix K'!$H$44+'Appendix K'!$G$44))/((1+$Y$16)^AL$34))</f>
        <v>2313306.8783346852</v>
      </c>
      <c r="AM243" s="193">
        <f>(((P243*'Appendix K'!$C$19*1000)-('Appendix K'!$E$45+'Appendix K'!$F$45+'Appendix K'!$H$45+'Appendix K'!$G$45))/((1+$Y$16)^AM$34))</f>
        <v>2054162.0288075069</v>
      </c>
      <c r="AN243" s="193">
        <f>(((Q243*'Appendix K'!$C$20*1000)-('Appendix K'!$E$46+'Appendix K'!$F$46+'Appendix K'!$H$46+'Appendix K'!$G$46))/((1+$Y$16)^AN$34))</f>
        <v>2402401.4619592144</v>
      </c>
      <c r="AO243" s="193">
        <f>(((R243*'Appendix K'!$C$21*1000)-('Appendix K'!$E$47+'Appendix K'!$F$47+'Appendix K'!$H$47+'Appendix K'!$G$47))/((1+$Y$16)^AO$34))</f>
        <v>486690.60315813654</v>
      </c>
      <c r="AP243" s="193">
        <f>(((S243*'Appendix K'!$C$22*1000)-('Appendix K'!$E$48+'Appendix K'!$F$48+'Appendix K'!$H$48+'Appendix K'!$G$48))/((1+$Y$16)^AP$34))</f>
        <v>384715.13165768649</v>
      </c>
      <c r="AQ243" s="193">
        <f>(((T243*'Appendix K'!$C$23*1000)-('Appendix K'!$E$49+'Appendix K'!$F$49+'Appendix K'!$H$49+'Appendix K'!$G$49))/((1+$Y$16)^AQ$34))</f>
        <v>124555.88100790231</v>
      </c>
      <c r="AR243" s="193">
        <f>(((U243*'Appendix K'!$C$24*1000)-('Appendix K'!$E$50+'Appendix K'!$F$50+'Appendix K'!$H$50+'Appendix K'!$G$50))/((1+$Y$16)^AR$34))</f>
        <v>-116685.61085100744</v>
      </c>
      <c r="AS243" s="209">
        <f t="shared" si="22"/>
        <v>112139476.97493219</v>
      </c>
      <c r="AU243" s="199">
        <f t="shared" si="21"/>
        <v>6.4031054611295224E-9</v>
      </c>
    </row>
    <row r="244" spans="1:47" x14ac:dyDescent="0.35">
      <c r="A244">
        <v>210</v>
      </c>
      <c r="B244" s="70">
        <v>56</v>
      </c>
      <c r="C244" s="70">
        <v>36.301454416365964</v>
      </c>
      <c r="D244" s="70">
        <v>41.600872226589587</v>
      </c>
      <c r="E244" s="70">
        <v>31.480267184487996</v>
      </c>
      <c r="F244" s="70">
        <v>34.233670548940658</v>
      </c>
      <c r="G244" s="70">
        <v>24.863129489252866</v>
      </c>
      <c r="H244" s="70">
        <v>36.511097821678334</v>
      </c>
      <c r="I244" s="70">
        <v>25.052047983235379</v>
      </c>
      <c r="J244" s="70">
        <v>28.547430819651716</v>
      </c>
      <c r="K244" s="70">
        <v>23.221447179255087</v>
      </c>
      <c r="L244" s="70">
        <v>30.470596980084771</v>
      </c>
      <c r="M244" s="70">
        <v>18.834944354289906</v>
      </c>
      <c r="N244" s="70">
        <v>19.658371048321808</v>
      </c>
      <c r="O244" s="70">
        <v>18.921144788539277</v>
      </c>
      <c r="P244" s="70">
        <v>20.155685982317252</v>
      </c>
      <c r="Q244" s="70">
        <v>20.374948588923381</v>
      </c>
      <c r="R244" s="70">
        <v>15.588746510911641</v>
      </c>
      <c r="S244" s="70">
        <v>20.20702568201536</v>
      </c>
      <c r="T244" s="70">
        <v>26.955808126983314</v>
      </c>
      <c r="U244" s="70">
        <v>41.90037599688786</v>
      </c>
      <c r="V244" s="70">
        <v>26.413001053043246</v>
      </c>
      <c r="X244" s="193">
        <f>((0-('Appendix K'!$I$30))/(1+$Y$16)^0)</f>
        <v>-33594902.4440751</v>
      </c>
      <c r="Y244" s="193">
        <f>(((B244*'Appendix K'!$C$5*1000)-('Appendix K'!$E$31+'Appendix K'!$F$31+'Appendix K'!$H$31+'Appendix K'!$G$31))/((1+$Y$16)^1))</f>
        <v>34971064.972647354</v>
      </c>
      <c r="Z244" s="193">
        <f>+(((C244*'Appendix K'!$C$6*1000)-('Appendix K'!$E$32+'Appendix K'!$F$32+'Appendix K'!$H$32+'Appendix K'!$G$32))/((1+$Y$16)^2))</f>
        <v>5683120.5839670617</v>
      </c>
      <c r="AA244" s="193">
        <f>(((D244*'Appendix K'!$C$7*1000)-('Appendix K'!$E$33+'Appendix K'!$F$33+'Appendix K'!$H$33+'Appendix K'!$G$33))/((1+$Y$16)^3))</f>
        <v>2334007.7269413546</v>
      </c>
      <c r="AB244" s="193">
        <f>(((E244*'Appendix K'!$C$8*1000)-('Appendix K'!$E$34+'Appendix K'!$F$34+'Appendix K'!$H$34+'Appendix K'!$G$34))/((1+$Y$16)^4))</f>
        <v>3606978.5038760309</v>
      </c>
      <c r="AC244" s="193">
        <f>(((F244*'Appendix K'!$C$9*1000)-('Appendix K'!$E$35+'Appendix K'!$F$35+'Appendix K'!$H$35+'Appendix K'!$G$35))/((1+$Y$16)^AC$34))</f>
        <v>6115027.3562398944</v>
      </c>
      <c r="AD244" s="193">
        <f>(((G244*'Appendix K'!$C$10*1000)-('Appendix K'!$E$36+'Appendix K'!$F$36+'Appendix K'!$H$36+'Appendix K'!$G$36))/((1+$Y$16)^AD$34))</f>
        <v>1388841.1242632149</v>
      </c>
      <c r="AE244" s="193">
        <f>(((H244*'Appendix K'!$C$11*1000)-('Appendix K'!$E$37+'Appendix K'!$F$37+'Appendix K'!$H$37+'Appendix K'!$G$37))/((1+$Y$16)^AE$34))</f>
        <v>1421589.3575607275</v>
      </c>
      <c r="AF244" s="193">
        <f>(((I244*'Appendix K'!$C$12*1000)-('Appendix K'!$E$38+'Appendix K'!$F$38+'Appendix K'!$H$38+'Appendix K'!$G$38))/((1+$Y$16)^AF$34))</f>
        <v>-351600.7377673022</v>
      </c>
      <c r="AG244" s="193">
        <f>(((J244*'Appendix K'!$C$13*1000)-('Appendix K'!$E$39+'Appendix K'!$F$39+'Appendix K'!$H$39+'Appendix K'!$G$39))/((1+$Y$16)^AG$34))</f>
        <v>-501221.57729989773</v>
      </c>
      <c r="AH244" s="193">
        <f>(((K244*'Appendix K'!$C$14*1000)-('Appendix K'!$E$40+'Appendix K'!$F$40+'Appendix K'!$H$40+'Appendix K'!$G$40))/((1+$Y$16)^AH$34))</f>
        <v>-850026.82539551519</v>
      </c>
      <c r="AI244" s="193">
        <f>(((L244*'Appendix K'!$C$15*1000)-('Appendix K'!$E$41+'Appendix K'!$F$41+'Appendix K'!$H$41+'Appendix K'!$G$41))/((1+$Y$16)^AI$34))</f>
        <v>-718094.72715705156</v>
      </c>
      <c r="AJ244" s="193">
        <f>(((M244*'Appendix K'!$C$16*1000)-('Appendix K'!$E$42+'Appendix K'!$F$42+'Appendix K'!$H$42+'Appendix K'!$G$42))/((1+$Y$16)^AJ$34))</f>
        <v>-1004063.5094221646</v>
      </c>
      <c r="AK244" s="193">
        <f>(((N244*'Appendix K'!$C$17*1000)-('Appendix K'!$E$43+'Appendix K'!$F$43+'Appendix K'!$H$43))/((1+$Y$16)^AK$34))</f>
        <v>-702229.41931421857</v>
      </c>
      <c r="AL244" s="193">
        <f>(((O244*'Appendix K'!$C$18*1000)-('Appendix K'!$E$44+'Appendix K'!$F$44+'Appendix K'!$H$44+'Appendix K'!$G$44))/((1+$Y$16)^AL$34))</f>
        <v>-910311.22890455904</v>
      </c>
      <c r="AM244" s="193">
        <f>(((P244*'Appendix K'!$C$19*1000)-('Appendix K'!$E$45+'Appendix K'!$F$45+'Appendix K'!$H$45+'Appendix K'!$G$45))/((1+$Y$16)^AM$34))</f>
        <v>-839948.29465387331</v>
      </c>
      <c r="AN244" s="193">
        <f>(((Q244*'Appendix K'!$C$20*1000)-('Appendix K'!$E$46+'Appendix K'!$F$46+'Appendix K'!$H$46+'Appendix K'!$G$46))/((1+$Y$16)^AN$34))</f>
        <v>-768271.29173476342</v>
      </c>
      <c r="AO244" s="193">
        <f>(((R244*'Appendix K'!$C$21*1000)-('Appendix K'!$E$47+'Appendix K'!$F$47+'Appendix K'!$H$47+'Appendix K'!$G$47))/((1+$Y$16)^AO$34))</f>
        <v>-750867.7112561739</v>
      </c>
      <c r="AP244" s="193">
        <f>(((S244*'Appendix K'!$C$22*1000)-('Appendix K'!$E$48+'Appendix K'!$F$48+'Appendix K'!$H$48+'Appendix K'!$G$48))/((1+$Y$16)^AP$34))</f>
        <v>-667667.25106999651</v>
      </c>
      <c r="AQ244" s="193">
        <f>(((T244*'Appendix K'!$C$23*1000)-('Appendix K'!$E$49+'Appendix K'!$F$49+'Appendix K'!$H$49+'Appendix K'!$G$49))/((1+$Y$16)^AQ$34))</f>
        <v>-587987.49936663569</v>
      </c>
      <c r="AR244" s="193">
        <f>(((U244*'Appendix K'!$C$24*1000)-('Appendix K'!$E$50+'Appendix K'!$F$50+'Appendix K'!$H$50+'Appendix K'!$G$50))/((1+$Y$16)^AR$34))</f>
        <v>-494368.48459761875</v>
      </c>
      <c r="AS244" s="209">
        <f t="shared" si="22"/>
        <v>21925727.181420527</v>
      </c>
      <c r="AU244" s="199">
        <f t="shared" si="21"/>
        <v>3.5973597847502761E-9</v>
      </c>
    </row>
    <row r="245" spans="1:47" x14ac:dyDescent="0.35">
      <c r="A245">
        <v>211</v>
      </c>
      <c r="B245" s="70">
        <v>56</v>
      </c>
      <c r="C245" s="70">
        <v>77.308130418919944</v>
      </c>
      <c r="D245" s="70">
        <v>34.041094652686589</v>
      </c>
      <c r="E245" s="70">
        <v>36.550126856535073</v>
      </c>
      <c r="F245" s="70">
        <v>37.168470992386304</v>
      </c>
      <c r="G245" s="70">
        <v>24.543993057736799</v>
      </c>
      <c r="H245" s="70">
        <v>38.913219623162455</v>
      </c>
      <c r="I245" s="70">
        <v>58.37232734117822</v>
      </c>
      <c r="J245" s="70">
        <v>60.233258470534473</v>
      </c>
      <c r="K245" s="70">
        <v>83.092290765802773</v>
      </c>
      <c r="L245" s="70">
        <v>81.289434885493833</v>
      </c>
      <c r="M245" s="70">
        <v>115.7496573688376</v>
      </c>
      <c r="N245" s="70">
        <v>117.53215096410587</v>
      </c>
      <c r="O245" s="70">
        <v>139.91425216340969</v>
      </c>
      <c r="P245" s="70">
        <v>144.0000750092853</v>
      </c>
      <c r="Q245" s="70">
        <v>205.7294531512288</v>
      </c>
      <c r="R245" s="70">
        <v>141.35994597329329</v>
      </c>
      <c r="S245" s="70">
        <v>201.25840728001236</v>
      </c>
      <c r="T245" s="70">
        <v>186.90316228663221</v>
      </c>
      <c r="U245" s="70">
        <v>245.41016651925764</v>
      </c>
      <c r="V245" s="70">
        <v>316.88760774347583</v>
      </c>
      <c r="X245" s="193">
        <f>((0-('Appendix K'!$I$30))/(1+$Y$16)^0)</f>
        <v>-33594902.4440751</v>
      </c>
      <c r="Y245" s="193">
        <f>(((B245*'Appendix K'!$C$5*1000)-('Appendix K'!$E$31+'Appendix K'!$F$31+'Appendix K'!$H$31+'Appendix K'!$G$31))/((1+$Y$16)^1))</f>
        <v>34971064.972647354</v>
      </c>
      <c r="Z245" s="193">
        <f>+(((C245*'Appendix K'!$C$6*1000)-('Appendix K'!$E$32+'Appendix K'!$F$32+'Appendix K'!$H$32+'Appendix K'!$G$32))/((1+$Y$16)^2))</f>
        <v>16042108.284480222</v>
      </c>
      <c r="AA245" s="193">
        <f>(((D245*'Appendix K'!$C$7*1000)-('Appendix K'!$E$33+'Appendix K'!$F$33+'Appendix K'!$H$33+'Appendix K'!$G$33))/((1+$Y$16)^3))</f>
        <v>1371082.0234070814</v>
      </c>
      <c r="AB245" s="193">
        <f>(((E245*'Appendix K'!$C$8*1000)-('Appendix K'!$E$34+'Appendix K'!$F$34+'Appendix K'!$H$34+'Appendix K'!$G$34))/((1+$Y$16)^4))</f>
        <v>4718245.333890439</v>
      </c>
      <c r="AC245" s="193">
        <f>(((F245*'Appendix K'!$C$9*1000)-('Appendix K'!$E$35+'Appendix K'!$F$35+'Appendix K'!$H$35+'Appendix K'!$G$35))/((1+$Y$16)^AC$34))</f>
        <v>6895092.7056440618</v>
      </c>
      <c r="AD245" s="193">
        <f>(((G245*'Appendix K'!$C$10*1000)-('Appendix K'!$E$36+'Appendix K'!$F$36+'Appendix K'!$H$36+'Appendix K'!$G$36))/((1+$Y$16)^AD$34))</f>
        <v>1338722.6779851145</v>
      </c>
      <c r="AE245" s="193">
        <f>(((H245*'Appendix K'!$C$11*1000)-('Appendix K'!$E$37+'Appendix K'!$F$37+'Appendix K'!$H$37+'Appendix K'!$G$37))/((1+$Y$16)^AE$34))</f>
        <v>1661171.2902171751</v>
      </c>
      <c r="AF245" s="193">
        <f>(((I245*'Appendix K'!$C$12*1000)-('Appendix K'!$E$38+'Appendix K'!$F$38+'Appendix K'!$H$38+'Appendix K'!$G$38))/((1+$Y$16)^AF$34))</f>
        <v>1836289.6744939999</v>
      </c>
      <c r="AG245" s="193">
        <f>(((J245*'Appendix K'!$C$13*1000)-('Appendix K'!$E$39+'Appendix K'!$F$39+'Appendix K'!$H$39+'Appendix K'!$G$39))/((1+$Y$16)^AG$34))</f>
        <v>956926.38853065378</v>
      </c>
      <c r="AH245" s="193">
        <f>(((K245*'Appendix K'!$C$14*1000)-('Appendix K'!$E$40+'Appendix K'!$F$40+'Appendix K'!$H$40+'Appendix K'!$G$40))/((1+$Y$16)^AH$34))</f>
        <v>1168011.3658680352</v>
      </c>
      <c r="AI245" s="193">
        <f>(((L245*'Appendix K'!$C$15*1000)-('Appendix K'!$E$41+'Appendix K'!$F$41+'Appendix K'!$H$41+'Appendix K'!$G$41))/((1+$Y$16)^AI$34))</f>
        <v>613453.85765753849</v>
      </c>
      <c r="AJ245" s="193">
        <f>(((M245*'Appendix K'!$C$16*1000)-('Appendix K'!$E$42+'Appendix K'!$F$42+'Appendix K'!$H$42+'Appendix K'!$G$42))/((1+$Y$16)^AJ$34))</f>
        <v>938288.27702139143</v>
      </c>
      <c r="AK245" s="193">
        <f>(((N245*'Appendix K'!$C$17*1000)-('Appendix K'!$E$43+'Appendix K'!$F$43+'Appendix K'!$H$43))/((1+$Y$16)^AK$34))</f>
        <v>801493.29959130951</v>
      </c>
      <c r="AL245" s="193">
        <f>(((O245*'Appendix K'!$C$18*1000)-('Appendix K'!$E$44+'Appendix K'!$F$44+'Appendix K'!$H$44+'Appendix K'!$G$44))/((1+$Y$16)^AL$34))</f>
        <v>523855.67528886121</v>
      </c>
      <c r="AM245" s="193">
        <f>(((P245*'Appendix K'!$C$19*1000)-('Appendix K'!$E$45+'Appendix K'!$F$45+'Appendix K'!$H$45+'Appendix K'!$G$45))/((1+$Y$16)^AM$34))</f>
        <v>307932.13121496094</v>
      </c>
      <c r="AN245" s="193">
        <f>(((Q245*'Appendix K'!$C$20*1000)-('Appendix K'!$E$46+'Appendix K'!$F$46+'Appendix K'!$H$46+'Appendix K'!$G$46))/((1+$Y$16)^AN$34))</f>
        <v>572994.10498061322</v>
      </c>
      <c r="AO245" s="193">
        <f>(((R245*'Appendix K'!$C$21*1000)-('Appendix K'!$E$47+'Appendix K'!$F$47+'Appendix K'!$H$47+'Appendix K'!$G$47))/((1+$Y$16)^AO$34))</f>
        <v>-7546.0272263210545</v>
      </c>
      <c r="AP245" s="193">
        <f>(((S245*'Appendix K'!$C$22*1000)-('Appendix K'!$E$48+'Appendix K'!$F$48+'Appendix K'!$H$48+'Appendix K'!$G$48))/((1+$Y$16)^AP$34))</f>
        <v>199518.05320867369</v>
      </c>
      <c r="AQ245" s="193">
        <f>(((T245*'Appendix K'!$C$23*1000)-('Appendix K'!$E$49+'Appendix K'!$F$49+'Appendix K'!$H$49+'Appendix K'!$G$49))/((1+$Y$16)^AQ$34))</f>
        <v>38005.497241417565</v>
      </c>
      <c r="AR245" s="193">
        <f>(((U245*'Appendix K'!$C$24*1000)-('Appendix K'!$E$50+'Appendix K'!$F$50+'Appendix K'!$H$50+'Appendix K'!$G$50))/((1+$Y$16)^AR$34))</f>
        <v>160938.74299645022</v>
      </c>
      <c r="AS245" s="209">
        <f t="shared" si="22"/>
        <v>41520291.912290268</v>
      </c>
      <c r="AU245" s="199">
        <f t="shared" si="21"/>
        <v>5.0543879308935983E-9</v>
      </c>
    </row>
    <row r="246" spans="1:47" x14ac:dyDescent="0.35">
      <c r="A246">
        <v>212</v>
      </c>
      <c r="B246" s="70">
        <v>56</v>
      </c>
      <c r="C246" s="70">
        <v>53.900936436686244</v>
      </c>
      <c r="D246" s="70">
        <v>37.598859354138341</v>
      </c>
      <c r="E246" s="70">
        <v>32.807395894435366</v>
      </c>
      <c r="F246" s="70">
        <v>39.991213824942079</v>
      </c>
      <c r="G246" s="70">
        <v>42.099872214840289</v>
      </c>
      <c r="H246" s="70">
        <v>52.329059671580012</v>
      </c>
      <c r="I246" s="70">
        <v>69.556851209055083</v>
      </c>
      <c r="J246" s="70">
        <v>52.283668187484651</v>
      </c>
      <c r="K246" s="70">
        <v>45.377256959734012</v>
      </c>
      <c r="L246" s="70">
        <v>47.365300021061046</v>
      </c>
      <c r="M246" s="70">
        <v>53.159253268406971</v>
      </c>
      <c r="N246" s="70">
        <v>57.642062841070249</v>
      </c>
      <c r="O246" s="70">
        <v>49.430987859714605</v>
      </c>
      <c r="P246" s="70">
        <v>61.553834849943449</v>
      </c>
      <c r="Q246" s="70">
        <v>74.91933431481155</v>
      </c>
      <c r="R246" s="70">
        <v>111.80355441320282</v>
      </c>
      <c r="S246" s="70">
        <v>182.40587245432081</v>
      </c>
      <c r="T246" s="70">
        <v>161.42622495692063</v>
      </c>
      <c r="U246" s="70">
        <v>225.52978871596406</v>
      </c>
      <c r="V246" s="70">
        <v>271.68841742914844</v>
      </c>
      <c r="X246" s="193">
        <f>((0-('Appendix K'!$I$30))/(1+$Y$16)^0)</f>
        <v>-33594902.4440751</v>
      </c>
      <c r="Y246" s="193">
        <f>(((B246*'Appendix K'!$C$5*1000)-('Appendix K'!$E$31+'Appendix K'!$F$31+'Appendix K'!$H$31+'Appendix K'!$G$31))/((1+$Y$16)^1))</f>
        <v>34971064.972647354</v>
      </c>
      <c r="Z246" s="193">
        <f>+(((C246*'Appendix K'!$C$6*1000)-('Appendix K'!$E$32+'Appendix K'!$F$32+'Appendix K'!$H$32+'Appendix K'!$G$32))/((1+$Y$16)^2))</f>
        <v>10129050.748424808</v>
      </c>
      <c r="AA246" s="193">
        <f>(((D246*'Appendix K'!$C$7*1000)-('Appendix K'!$E$33+'Appendix K'!$F$33+'Appendix K'!$H$33+'Appendix K'!$G$33))/((1+$Y$16)^3))</f>
        <v>1824251.8481359466</v>
      </c>
      <c r="AB246" s="193">
        <f>(((E246*'Appendix K'!$C$8*1000)-('Appendix K'!$E$34+'Appendix K'!$F$34+'Appendix K'!$H$34+'Appendix K'!$G$34))/((1+$Y$16)^4))</f>
        <v>3897872.96840247</v>
      </c>
      <c r="AC246" s="193">
        <f>(((F246*'Appendix K'!$C$9*1000)-('Appendix K'!$E$35+'Appendix K'!$F$35+'Appendix K'!$H$35+'Appendix K'!$G$35))/((1+$Y$16)^AC$34))</f>
        <v>7645373.3180357274</v>
      </c>
      <c r="AD246" s="193">
        <f>(((G246*'Appendix K'!$C$10*1000)-('Appendix K'!$E$36+'Appendix K'!$F$36+'Appendix K'!$H$36+'Appendix K'!$G$36))/((1+$Y$16)^AD$34))</f>
        <v>4095767.3131596153</v>
      </c>
      <c r="AE246" s="193">
        <f>(((H246*'Appendix K'!$C$11*1000)-('Appendix K'!$E$37+'Appendix K'!$F$37+'Appendix K'!$H$37+'Appendix K'!$G$37))/((1+$Y$16)^AE$34))</f>
        <v>2999235.3654958718</v>
      </c>
      <c r="AF246" s="193">
        <f>(((I246*'Appendix K'!$C$12*1000)-('Appendix K'!$E$38+'Appendix K'!$F$38+'Appendix K'!$H$38+'Appendix K'!$G$38))/((1+$Y$16)^AF$34))</f>
        <v>2570692.6569348495</v>
      </c>
      <c r="AG246" s="193">
        <f>(((J246*'Appendix K'!$C$13*1000)-('Appendix K'!$E$39+'Appendix K'!$F$39+'Appendix K'!$H$39+'Appendix K'!$G$39))/((1+$Y$16)^AG$34))</f>
        <v>591094.72940110334</v>
      </c>
      <c r="AH246" s="193">
        <f>(((K246*'Appendix K'!$C$14*1000)-('Appendix K'!$E$40+'Appendix K'!$F$40+'Appendix K'!$H$40+'Appendix K'!$G$40))/((1+$Y$16)^AH$34))</f>
        <v>-103231.43022551808</v>
      </c>
      <c r="AI246" s="193">
        <f>(((L246*'Appendix K'!$C$15*1000)-('Appendix K'!$E$41+'Appendix K'!$F$41+'Appendix K'!$H$41+'Appendix K'!$G$41))/((1+$Y$16)^AI$34))</f>
        <v>-275421.91423386848</v>
      </c>
      <c r="AJ246" s="193">
        <f>(((M246*'Appendix K'!$C$16*1000)-('Appendix K'!$E$42+'Appendix K'!$F$42+'Appendix K'!$H$42+'Appendix K'!$G$42))/((1+$Y$16)^AJ$34))</f>
        <v>-316140.27605544077</v>
      </c>
      <c r="AK246" s="193">
        <f>(((N246*'Appendix K'!$C$17*1000)-('Appendix K'!$E$43+'Appendix K'!$F$43+'Appendix K'!$H$43))/((1+$Y$16)^AK$34))</f>
        <v>-118651.87335852129</v>
      </c>
      <c r="AL246" s="193">
        <f>(((O246*'Appendix K'!$C$18*1000)-('Appendix K'!$E$44+'Appendix K'!$F$44+'Appendix K'!$H$44+'Appendix K'!$G$44))/((1+$Y$16)^AL$34))</f>
        <v>-548669.0813957291</v>
      </c>
      <c r="AM246" s="193">
        <f>(((P246*'Appendix K'!$C$19*1000)-('Appendix K'!$E$45+'Appendix K'!$F$45+'Appendix K'!$H$45+'Appendix K'!$G$45))/((1+$Y$16)^AM$34))</f>
        <v>-456239.9561032725</v>
      </c>
      <c r="AN246" s="193">
        <f>(((Q246*'Appendix K'!$C$20*1000)-('Appendix K'!$E$46+'Appendix K'!$F$46+'Appendix K'!$H$46+'Appendix K'!$G$46))/((1+$Y$16)^AN$34))</f>
        <v>-373576.28644214437</v>
      </c>
      <c r="AO246" s="193">
        <f>(((R246*'Appendix K'!$C$21*1000)-('Appendix K'!$E$47+'Appendix K'!$F$47+'Appendix K'!$H$47+'Appendix K'!$G$47))/((1+$Y$16)^AO$34))</f>
        <v>-182227.56673778471</v>
      </c>
      <c r="AP246" s="193">
        <f>(((S246*'Appendix K'!$C$22*1000)-('Appendix K'!$E$48+'Appendix K'!$F$48+'Appendix K'!$H$48+'Appendix K'!$G$48))/((1+$Y$16)^AP$34))</f>
        <v>109219.70251427374</v>
      </c>
      <c r="AQ246" s="193">
        <f>(((T246*'Appendix K'!$C$23*1000)-('Appendix K'!$E$49+'Appendix K'!$F$49+'Appendix K'!$H$49+'Appendix K'!$G$49))/((1+$Y$16)^AQ$34))</f>
        <v>-61704.713203846302</v>
      </c>
      <c r="AR246" s="193">
        <f>(((U246*'Appendix K'!$C$24*1000)-('Appendix K'!$E$50+'Appendix K'!$F$50+'Appendix K'!$H$50+'Appendix K'!$G$50))/((1+$Y$16)^AR$34))</f>
        <v>96923.369444351047</v>
      </c>
      <c r="AS246" s="209">
        <f t="shared" si="22"/>
        <v>35335644.548521258</v>
      </c>
      <c r="AU246" s="199">
        <f t="shared" si="21"/>
        <v>4.5988205189328575E-9</v>
      </c>
    </row>
    <row r="247" spans="1:47" x14ac:dyDescent="0.35">
      <c r="A247">
        <v>213</v>
      </c>
      <c r="B247" s="70">
        <v>56</v>
      </c>
      <c r="C247" s="70">
        <v>85.56701995168774</v>
      </c>
      <c r="D247" s="70">
        <v>127.60341639766457</v>
      </c>
      <c r="E247" s="70">
        <v>163.75142689376602</v>
      </c>
      <c r="F247" s="70">
        <v>155.89493700242775</v>
      </c>
      <c r="G247" s="70">
        <v>157.33109628372858</v>
      </c>
      <c r="H247" s="70">
        <v>176.10789536466646</v>
      </c>
      <c r="I247" s="70">
        <v>225.65142203359855</v>
      </c>
      <c r="J247" s="70">
        <v>285.01933688730747</v>
      </c>
      <c r="K247" s="70">
        <v>392.11361317043179</v>
      </c>
      <c r="L247" s="70">
        <v>403.30275529086612</v>
      </c>
      <c r="M247" s="70">
        <v>500</v>
      </c>
      <c r="N247" s="70">
        <v>500</v>
      </c>
      <c r="O247" s="70">
        <v>468.73578480563179</v>
      </c>
      <c r="P247" s="70">
        <v>487.48270665093463</v>
      </c>
      <c r="Q247" s="70">
        <v>378.77105968710879</v>
      </c>
      <c r="R247" s="70">
        <v>408.24305084395843</v>
      </c>
      <c r="S247" s="70">
        <v>500</v>
      </c>
      <c r="T247" s="70">
        <v>204.07964932794619</v>
      </c>
      <c r="U247" s="70">
        <v>132.48517478242732</v>
      </c>
      <c r="V247" s="70">
        <v>98.888619892056724</v>
      </c>
      <c r="X247" s="193">
        <f>((0-('Appendix K'!$I$30))/(1+$Y$16)^0)</f>
        <v>-33594902.4440751</v>
      </c>
      <c r="Y247" s="193">
        <f>(((B247*'Appendix K'!$C$5*1000)-('Appendix K'!$E$31+'Appendix K'!$F$31+'Appendix K'!$H$31+'Appendix K'!$G$31))/((1+$Y$16)^1))</f>
        <v>34971064.972647354</v>
      </c>
      <c r="Z247" s="193">
        <f>+(((C247*'Appendix K'!$C$6*1000)-('Appendix K'!$E$32+'Appendix K'!$F$32+'Appendix K'!$H$32+'Appendix K'!$G$32))/((1+$Y$16)^2))</f>
        <v>18128445.033269852</v>
      </c>
      <c r="AA247" s="193">
        <f>(((D247*'Appendix K'!$C$7*1000)-('Appendix K'!$E$33+'Appendix K'!$F$33+'Appendix K'!$H$33+'Appendix K'!$G$33))/((1+$Y$16)^3))</f>
        <v>13288570.813235199</v>
      </c>
      <c r="AB247" s="193">
        <f>(((E247*'Appendix K'!$C$8*1000)-('Appendix K'!$E$34+'Appendix K'!$F$34+'Appendix K'!$H$34+'Appendix K'!$G$34))/((1+$Y$16)^4))</f>
        <v>32599605.886225052</v>
      </c>
      <c r="AC247" s="193">
        <f>(((F247*'Appendix K'!$C$9*1000)-('Appendix K'!$E$35+'Appendix K'!$F$35+'Appendix K'!$H$35+'Appendix K'!$G$35))/((1+$Y$16)^AC$34))</f>
        <v>38452400.937105864</v>
      </c>
      <c r="AD247" s="193">
        <f>(((G247*'Appendix K'!$C$10*1000)-('Appendix K'!$E$36+'Appendix K'!$F$36+'Appendix K'!$H$36+'Appendix K'!$G$36))/((1+$Y$16)^AD$34))</f>
        <v>22192134.079000104</v>
      </c>
      <c r="AE247" s="193">
        <f>(((H247*'Appendix K'!$C$11*1000)-('Appendix K'!$E$37+'Appendix K'!$F$37+'Appendix K'!$H$37+'Appendix K'!$G$37))/((1+$Y$16)^AE$34))</f>
        <v>15344642.937664958</v>
      </c>
      <c r="AF247" s="193">
        <f>(((I247*'Appendix K'!$C$12*1000)-('Appendix K'!$E$38+'Appendix K'!$F$38+'Appendix K'!$H$38+'Appendix K'!$G$38))/((1+$Y$16)^AF$34))</f>
        <v>12820241.024891464</v>
      </c>
      <c r="AG247" s="193">
        <f>(((J247*'Appendix K'!$C$13*1000)-('Appendix K'!$E$39+'Appendix K'!$F$39+'Appendix K'!$H$39+'Appendix K'!$G$39))/((1+$Y$16)^AG$34))</f>
        <v>11301341.772021916</v>
      </c>
      <c r="AH247" s="193">
        <f>(((K247*'Appendix K'!$C$14*1000)-('Appendix K'!$E$40+'Appendix K'!$F$40+'Appendix K'!$H$40+'Appendix K'!$G$40))/((1+$Y$16)^AH$34))</f>
        <v>11584046.837722113</v>
      </c>
      <c r="AI247" s="193">
        <f>(((L247*'Appendix K'!$C$15*1000)-('Appendix K'!$E$41+'Appendix K'!$F$41+'Appendix K'!$H$41+'Appendix K'!$G$41))/((1+$Y$16)^AI$34))</f>
        <v>9050805.0201401878</v>
      </c>
      <c r="AJ247" s="193">
        <f>(((M247*'Appendix K'!$C$16*1000)-('Appendix K'!$E$42+'Appendix K'!$F$42+'Appendix K'!$H$42+'Appendix K'!$G$42))/((1+$Y$16)^AJ$34))</f>
        <v>8639382.5302660316</v>
      </c>
      <c r="AK247" s="193">
        <f>(((N247*'Appendix K'!$C$17*1000)-('Appendix K'!$E$43+'Appendix K'!$F$43+'Appendix K'!$H$43))/((1+$Y$16)^AK$34))</f>
        <v>6677690.1149291173</v>
      </c>
      <c r="AL247" s="193">
        <f>(((O247*'Appendix K'!$C$18*1000)-('Appendix K'!$E$44+'Appendix K'!$F$44+'Appendix K'!$H$44+'Appendix K'!$G$44))/((1+$Y$16)^AL$34))</f>
        <v>4421474.0581321875</v>
      </c>
      <c r="AM247" s="193">
        <f>(((P247*'Appendix K'!$C$19*1000)-('Appendix K'!$E$45+'Appendix K'!$F$45+'Appendix K'!$H$45+'Appendix K'!$G$45))/((1+$Y$16)^AM$34))</f>
        <v>3491580.5192053728</v>
      </c>
      <c r="AN247" s="193">
        <f>(((Q247*'Appendix K'!$C$20*1000)-('Appendix K'!$E$46+'Appendix K'!$F$46+'Appendix K'!$H$46+'Appendix K'!$G$46))/((1+$Y$16)^AN$34))</f>
        <v>1825160.7010214252</v>
      </c>
      <c r="AO247" s="193">
        <f>(((R247*'Appendix K'!$C$21*1000)-('Appendix K'!$E$47+'Appendix K'!$F$47+'Appendix K'!$H$47+'Appendix K'!$G$47))/((1+$Y$16)^AO$34))</f>
        <v>1569762.6078154743</v>
      </c>
      <c r="AP247" s="193">
        <f>(((S247*'Appendix K'!$C$22*1000)-('Appendix K'!$E$48+'Appendix K'!$F$48+'Appendix K'!$H$48+'Appendix K'!$G$48))/((1+$Y$16)^AP$34))</f>
        <v>1630406.4380253027</v>
      </c>
      <c r="AQ247" s="193">
        <f>(((T247*'Appendix K'!$C$23*1000)-('Appendix K'!$E$49+'Appendix K'!$F$49+'Appendix K'!$H$49+'Appendix K'!$G$49))/((1+$Y$16)^AQ$34))</f>
        <v>105229.87022766416</v>
      </c>
      <c r="AR247" s="193">
        <f>(((U247*'Appendix K'!$C$24*1000)-('Appendix K'!$E$50+'Appendix K'!$F$50+'Appendix K'!$H$50+'Appendix K'!$G$50))/((1+$Y$16)^AR$34))</f>
        <v>-202682.8944255159</v>
      </c>
      <c r="AS247" s="209">
        <f t="shared" si="22"/>
        <v>214499083.70947155</v>
      </c>
      <c r="AU247" s="199">
        <f t="shared" si="21"/>
        <v>5.7742749945614888E-10</v>
      </c>
    </row>
    <row r="248" spans="1:47" x14ac:dyDescent="0.35">
      <c r="A248">
        <v>214</v>
      </c>
      <c r="B248" s="70">
        <v>56</v>
      </c>
      <c r="C248" s="70">
        <v>54.342547766096686</v>
      </c>
      <c r="D248" s="70">
        <v>30.807644507187039</v>
      </c>
      <c r="E248" s="70">
        <v>36.410302159769671</v>
      </c>
      <c r="F248" s="70">
        <v>29.551169240610847</v>
      </c>
      <c r="G248" s="70">
        <v>30.765791400756637</v>
      </c>
      <c r="H248" s="70">
        <v>31.459777513651865</v>
      </c>
      <c r="I248" s="70">
        <v>20.583385170883503</v>
      </c>
      <c r="J248" s="70">
        <v>18.022627227158743</v>
      </c>
      <c r="K248" s="70">
        <v>14.252308747287129</v>
      </c>
      <c r="L248" s="70">
        <v>16.170906074598676</v>
      </c>
      <c r="M248" s="70">
        <v>17.02635356624857</v>
      </c>
      <c r="N248" s="70">
        <v>19.715471680427289</v>
      </c>
      <c r="O248" s="70">
        <v>18.356630270921329</v>
      </c>
      <c r="P248" s="70">
        <v>31.357663263732071</v>
      </c>
      <c r="Q248" s="70">
        <v>34.855762511351891</v>
      </c>
      <c r="R248" s="70">
        <v>23.984678810550623</v>
      </c>
      <c r="S248" s="70">
        <v>24.089711758993868</v>
      </c>
      <c r="T248" s="70">
        <v>28.477553780648851</v>
      </c>
      <c r="U248" s="70">
        <v>37.402821341950499</v>
      </c>
      <c r="V248" s="70">
        <v>41.065119668692425</v>
      </c>
      <c r="X248" s="193">
        <f>((0-('Appendix K'!$I$30))/(1+$Y$16)^0)</f>
        <v>-33594902.4440751</v>
      </c>
      <c r="Y248" s="193">
        <f>(((B248*'Appendix K'!$C$5*1000)-('Appendix K'!$E$31+'Appendix K'!$F$31+'Appendix K'!$H$31+'Appendix K'!$G$31))/((1+$Y$16)^1))</f>
        <v>34971064.972647354</v>
      </c>
      <c r="Z248" s="193">
        <f>+(((C248*'Appendix K'!$C$6*1000)-('Appendix K'!$E$32+'Appendix K'!$F$32+'Appendix K'!$H$32+'Appendix K'!$G$32))/((1+$Y$16)^2))</f>
        <v>10240609.323167248</v>
      </c>
      <c r="AA248" s="193">
        <f>(((D248*'Appendix K'!$C$7*1000)-('Appendix K'!$E$33+'Appendix K'!$F$33+'Appendix K'!$H$33+'Appendix K'!$G$33))/((1+$Y$16)^3))</f>
        <v>959221.7238466189</v>
      </c>
      <c r="AB248" s="193">
        <f>(((E248*'Appendix K'!$C$8*1000)-('Appendix K'!$E$34+'Appendix K'!$F$34+'Appendix K'!$H$34+'Appendix K'!$G$34))/((1+$Y$16)^4))</f>
        <v>4687597.0403313646</v>
      </c>
      <c r="AC248" s="193">
        <f>(((F248*'Appendix K'!$C$9*1000)-('Appendix K'!$E$35+'Appendix K'!$F$35+'Appendix K'!$H$35+'Appendix K'!$G$35))/((1+$Y$16)^AC$34))</f>
        <v>4870425.8613323523</v>
      </c>
      <c r="AD248" s="193">
        <f>(((G248*'Appendix K'!$C$10*1000)-('Appendix K'!$E$36+'Appendix K'!$F$36+'Appendix K'!$H$36+'Appendix K'!$G$36))/((1+$Y$16)^AD$34))</f>
        <v>2315818.4753106311</v>
      </c>
      <c r="AE248" s="193">
        <f>(((H248*'Appendix K'!$C$11*1000)-('Appendix K'!$E$37+'Appendix K'!$F$37+'Appendix K'!$H$37+'Appendix K'!$G$37))/((1+$Y$16)^AE$34))</f>
        <v>917782.64754459378</v>
      </c>
      <c r="AF248" s="193">
        <f>(((I248*'Appendix K'!$C$12*1000)-('Appendix K'!$E$38+'Appendix K'!$F$38+'Appendix K'!$H$38+'Appendix K'!$G$38))/((1+$Y$16)^AF$34))</f>
        <v>-645023.9836454218</v>
      </c>
      <c r="AG248" s="193">
        <f>(((J248*'Appendix K'!$C$13*1000)-('Appendix K'!$E$39+'Appendix K'!$F$39+'Appendix K'!$H$39+'Appendix K'!$G$39))/((1+$Y$16)^AG$34))</f>
        <v>-985561.8040489424</v>
      </c>
      <c r="AH248" s="193">
        <f>(((K248*'Appendix K'!$C$14*1000)-('Appendix K'!$E$40+'Appendix K'!$F$40+'Appendix K'!$H$40+'Appendix K'!$G$40))/((1+$Y$16)^AH$34))</f>
        <v>-1152345.3299323029</v>
      </c>
      <c r="AI248" s="193">
        <f>(((L248*'Appendix K'!$C$15*1000)-('Appendix K'!$E$41+'Appendix K'!$F$41+'Appendix K'!$H$41+'Appendix K'!$G$41))/((1+$Y$16)^AI$34))</f>
        <v>-1092773.3694339031</v>
      </c>
      <c r="AJ248" s="193">
        <f>(((M248*'Appendix K'!$C$16*1000)-('Appendix K'!$E$42+'Appendix K'!$F$42+'Appendix K'!$H$42+'Appendix K'!$G$42))/((1+$Y$16)^AJ$34))</f>
        <v>-1040311.0454136309</v>
      </c>
      <c r="AK248" s="193">
        <f>(((N248*'Appendix K'!$C$17*1000)-('Appendix K'!$E$43+'Appendix K'!$F$43+'Appendix K'!$H$43))/((1+$Y$16)^AK$34))</f>
        <v>-701352.13105749886</v>
      </c>
      <c r="AL248" s="193">
        <f>(((O248*'Appendix K'!$C$18*1000)-('Appendix K'!$E$44+'Appendix K'!$F$44+'Appendix K'!$H$44+'Appendix K'!$G$44))/((1+$Y$16)^AL$34))</f>
        <v>-917002.58559148165</v>
      </c>
      <c r="AM248" s="193">
        <f>(((P248*'Appendix K'!$C$19*1000)-('Appendix K'!$E$45+'Appendix K'!$F$45+'Appendix K'!$H$45+'Appendix K'!$G$45))/((1+$Y$16)^AM$34))</f>
        <v>-736120.17168930836</v>
      </c>
      <c r="AN248" s="193">
        <f>(((Q248*'Appendix K'!$C$20*1000)-('Appendix K'!$E$46+'Appendix K'!$F$46+'Appendix K'!$H$46+'Appendix K'!$G$46))/((1+$Y$16)^AN$34))</f>
        <v>-663484.98143552348</v>
      </c>
      <c r="AO248" s="193">
        <f>(((R248*'Appendix K'!$C$21*1000)-('Appendix K'!$E$47+'Appendix K'!$F$47+'Appendix K'!$H$47+'Appendix K'!$G$47))/((1+$Y$16)^AO$34))</f>
        <v>-701246.82378236926</v>
      </c>
      <c r="AP248" s="193">
        <f>(((S248*'Appendix K'!$C$22*1000)-('Appendix K'!$E$48+'Appendix K'!$F$48+'Appendix K'!$H$48+'Appendix K'!$G$48))/((1+$Y$16)^AP$34))</f>
        <v>-649070.2744694025</v>
      </c>
      <c r="AQ248" s="193">
        <f>(((T248*'Appendix K'!$C$23*1000)-('Appendix K'!$E$49+'Appendix K'!$F$49+'Appendix K'!$H$49+'Appendix K'!$G$49))/((1+$Y$16)^AQ$34))</f>
        <v>-582031.77645506733</v>
      </c>
      <c r="AR248" s="193">
        <f>(((U248*'Appendix K'!$C$24*1000)-('Appendix K'!$E$50+'Appendix K'!$F$50+'Appendix K'!$H$50+'Appendix K'!$G$50))/((1+$Y$16)^AR$34))</f>
        <v>-508850.73660286481</v>
      </c>
      <c r="AS248" s="209">
        <f t="shared" si="22"/>
        <v>25367617.600105062</v>
      </c>
      <c r="AU248" s="199">
        <f t="shared" si="21"/>
        <v>3.851890077732743E-9</v>
      </c>
    </row>
    <row r="249" spans="1:47" x14ac:dyDescent="0.35">
      <c r="A249">
        <v>215</v>
      </c>
      <c r="B249" s="70">
        <v>56</v>
      </c>
      <c r="C249" s="70">
        <v>48.276835945440489</v>
      </c>
      <c r="D249" s="70">
        <v>35.75812311921608</v>
      </c>
      <c r="E249" s="70">
        <v>39.040370166854025</v>
      </c>
      <c r="F249" s="70">
        <v>49.88976466110158</v>
      </c>
      <c r="G249" s="70">
        <v>75.203921648834083</v>
      </c>
      <c r="H249" s="70">
        <v>64.722103209145189</v>
      </c>
      <c r="I249" s="70">
        <v>35.36876739238928</v>
      </c>
      <c r="J249" s="70">
        <v>36.422534718145535</v>
      </c>
      <c r="K249" s="70">
        <v>34.648328276987563</v>
      </c>
      <c r="L249" s="70">
        <v>39.659985626487142</v>
      </c>
      <c r="M249" s="70">
        <v>32.52684257337512</v>
      </c>
      <c r="N249" s="70">
        <v>41.503443226823897</v>
      </c>
      <c r="O249" s="70">
        <v>46.274193786071848</v>
      </c>
      <c r="P249" s="70">
        <v>53.516459163162764</v>
      </c>
      <c r="Q249" s="70">
        <v>52.468977348754599</v>
      </c>
      <c r="R249" s="70">
        <v>29.801752535427067</v>
      </c>
      <c r="S249" s="70">
        <v>48.185881151377572</v>
      </c>
      <c r="T249" s="70">
        <v>51.512136359654512</v>
      </c>
      <c r="U249" s="70">
        <v>70.581185410111004</v>
      </c>
      <c r="V249" s="70">
        <v>66.712546692884544</v>
      </c>
      <c r="X249" s="193">
        <f>((0-('Appendix K'!$I$30))/(1+$Y$16)^0)</f>
        <v>-33594902.4440751</v>
      </c>
      <c r="Y249" s="193">
        <f>(((B249*'Appendix K'!$C$5*1000)-('Appendix K'!$E$31+'Appendix K'!$F$31+'Appendix K'!$H$31+'Appendix K'!$G$31))/((1+$Y$16)^1))</f>
        <v>34971064.972647354</v>
      </c>
      <c r="Z249" s="193">
        <f>+(((C249*'Appendix K'!$C$6*1000)-('Appendix K'!$E$32+'Appendix K'!$F$32+'Appendix K'!$H$32+'Appendix K'!$G$32))/((1+$Y$16)^2))</f>
        <v>8708306.7746475544</v>
      </c>
      <c r="AA249" s="193">
        <f>(((D249*'Appendix K'!$C$7*1000)-('Appendix K'!$E$33+'Appendix K'!$F$33+'Appendix K'!$H$33+'Appendix K'!$G$33))/((1+$Y$16)^3))</f>
        <v>1589788.3051671241</v>
      </c>
      <c r="AB249" s="193">
        <f>(((E249*'Appendix K'!$C$8*1000)-('Appendix K'!$E$34+'Appendix K'!$F$34+'Appendix K'!$H$34+'Appendix K'!$G$34))/((1+$Y$16)^4))</f>
        <v>5264083.8715289691</v>
      </c>
      <c r="AC249" s="193">
        <f>(((F249*'Appendix K'!$C$9*1000)-('Appendix K'!$E$35+'Appendix K'!$F$35+'Appendix K'!$H$35+'Appendix K'!$G$35))/((1+$Y$16)^AC$34))</f>
        <v>10276392.586772827</v>
      </c>
      <c r="AD249" s="193">
        <f>(((G249*'Appendix K'!$C$10*1000)-('Appendix K'!$E$36+'Appendix K'!$F$36+'Appendix K'!$H$36+'Appendix K'!$G$36))/((1+$Y$16)^AD$34))</f>
        <v>9294558.0474655367</v>
      </c>
      <c r="AE249" s="193">
        <f>(((H249*'Appendix K'!$C$11*1000)-('Appendix K'!$E$37+'Appendix K'!$F$37+'Appendix K'!$H$37+'Appendix K'!$G$37))/((1+$Y$16)^AE$34))</f>
        <v>4235288.1419999227</v>
      </c>
      <c r="AF249" s="193">
        <f>(((I249*'Appendix K'!$C$12*1000)-('Appendix K'!$E$38+'Appendix K'!$F$38+'Appendix K'!$H$38+'Appendix K'!$G$38))/((1+$Y$16)^AF$34))</f>
        <v>325820.09771849791</v>
      </c>
      <c r="AG249" s="193">
        <f>(((J249*'Appendix K'!$C$13*1000)-('Appendix K'!$E$39+'Appendix K'!$F$39+'Appendix K'!$H$39+'Appendix K'!$G$39))/((1+$Y$16)^AG$34))</f>
        <v>-138817.70207800192</v>
      </c>
      <c r="AH249" s="193">
        <f>(((K249*'Appendix K'!$C$14*1000)-('Appendix K'!$E$40+'Appendix K'!$F$40+'Appendix K'!$H$40+'Appendix K'!$G$40))/((1+$Y$16)^AH$34))</f>
        <v>-464866.3519353919</v>
      </c>
      <c r="AI249" s="193">
        <f>(((L249*'Appendix K'!$C$15*1000)-('Appendix K'!$E$41+'Appendix K'!$F$41+'Appendix K'!$H$41+'Appendix K'!$G$41))/((1+$Y$16)^AI$34))</f>
        <v>-477315.56038027746</v>
      </c>
      <c r="AJ249" s="193">
        <f>(((M249*'Appendix K'!$C$16*1000)-('Appendix K'!$E$42+'Appendix K'!$F$42+'Appendix K'!$H$42+'Appendix K'!$G$42))/((1+$Y$16)^AJ$34))</f>
        <v>-729652.30663965759</v>
      </c>
      <c r="AK249" s="193">
        <f>(((N249*'Appendix K'!$C$17*1000)-('Appendix K'!$E$43+'Appendix K'!$F$43+'Appendix K'!$H$43))/((1+$Y$16)^AK$34))</f>
        <v>-366603.9703000937</v>
      </c>
      <c r="AL249" s="193">
        <f>(((O249*'Appendix K'!$C$18*1000)-('Appendix K'!$E$44+'Appendix K'!$F$44+'Appendix K'!$H$44+'Appendix K'!$G$44))/((1+$Y$16)^AL$34))</f>
        <v>-586087.49044398428</v>
      </c>
      <c r="AM249" s="193">
        <f>(((P249*'Appendix K'!$C$19*1000)-('Appendix K'!$E$45+'Appendix K'!$F$45+'Appendix K'!$H$45+'Appendix K'!$G$45))/((1+$Y$16)^AM$34))</f>
        <v>-530736.23565777543</v>
      </c>
      <c r="AN249" s="193">
        <f>(((Q249*'Appendix K'!$C$20*1000)-('Appendix K'!$E$46+'Appendix K'!$F$46+'Appendix K'!$H$46+'Appendix K'!$G$46))/((1+$Y$16)^AN$34))</f>
        <v>-536031.93872632354</v>
      </c>
      <c r="AO249" s="193">
        <f>(((R249*'Appendix K'!$C$21*1000)-('Appendix K'!$E$47+'Appendix K'!$F$47+'Appendix K'!$H$47+'Appendix K'!$G$47))/((1+$Y$16)^AO$34))</f>
        <v>-666867.27539781027</v>
      </c>
      <c r="AP249" s="193">
        <f>(((S249*'Appendix K'!$C$22*1000)-('Appendix K'!$E$48+'Appendix K'!$F$48+'Appendix K'!$H$48+'Appendix K'!$G$48))/((1+$Y$16)^AP$34))</f>
        <v>-533656.38587019057</v>
      </c>
      <c r="AQ249" s="193">
        <f>(((T249*'Appendix K'!$C$23*1000)-('Appendix K'!$E$49+'Appendix K'!$F$49+'Appendix K'!$H$49+'Appendix K'!$G$49))/((1+$Y$16)^AQ$34))</f>
        <v>-491880.31724521483</v>
      </c>
      <c r="AR249" s="193">
        <f>(((U249*'Appendix K'!$C$24*1000)-('Appendix K'!$E$50+'Appendix K'!$F$50+'Appendix K'!$H$50+'Appendix K'!$G$50))/((1+$Y$16)^AR$34))</f>
        <v>-402015.47468349757</v>
      </c>
      <c r="AS249" s="209">
        <f t="shared" si="22"/>
        <v>41070400.353872679</v>
      </c>
      <c r="AU249" s="199">
        <f t="shared" si="21"/>
        <v>5.0217887520113309E-9</v>
      </c>
    </row>
    <row r="250" spans="1:47" x14ac:dyDescent="0.35">
      <c r="A250">
        <v>216</v>
      </c>
      <c r="B250" s="70">
        <v>56</v>
      </c>
      <c r="C250" s="70">
        <v>82.860736543612148</v>
      </c>
      <c r="D250" s="70">
        <v>87.069668594031398</v>
      </c>
      <c r="E250" s="70">
        <v>85.238601715807164</v>
      </c>
      <c r="F250" s="70">
        <v>92.915612287463503</v>
      </c>
      <c r="G250" s="70">
        <v>71.99881870589293</v>
      </c>
      <c r="H250" s="70">
        <v>74.858875013549977</v>
      </c>
      <c r="I250" s="70">
        <v>83.760217342097093</v>
      </c>
      <c r="J250" s="70">
        <v>92.383618219041693</v>
      </c>
      <c r="K250" s="70">
        <v>96.179560393088011</v>
      </c>
      <c r="L250" s="70">
        <v>152.64062646992724</v>
      </c>
      <c r="M250" s="70">
        <v>105.33517470684515</v>
      </c>
      <c r="N250" s="70">
        <v>128.46547609483275</v>
      </c>
      <c r="O250" s="70">
        <v>196.80591535869809</v>
      </c>
      <c r="P250" s="70">
        <v>313.54362818310096</v>
      </c>
      <c r="Q250" s="70">
        <v>311.05517251067897</v>
      </c>
      <c r="R250" s="70">
        <v>271.29752248258058</v>
      </c>
      <c r="S250" s="70">
        <v>193.10890664400074</v>
      </c>
      <c r="T250" s="70">
        <v>333.54825414382844</v>
      </c>
      <c r="U250" s="70">
        <v>500</v>
      </c>
      <c r="V250" s="70">
        <v>500</v>
      </c>
      <c r="X250" s="193">
        <f>((0-('Appendix K'!$I$30))/(1+$Y$16)^0)</f>
        <v>-33594902.4440751</v>
      </c>
      <c r="Y250" s="193">
        <f>(((B250*'Appendix K'!$C$5*1000)-('Appendix K'!$E$31+'Appendix K'!$F$31+'Appendix K'!$H$31+'Appendix K'!$G$31))/((1+$Y$16)^1))</f>
        <v>34971064.972647354</v>
      </c>
      <c r="Z250" s="193">
        <f>+(((C250*'Appendix K'!$C$6*1000)-('Appendix K'!$E$32+'Appendix K'!$F$32+'Appendix K'!$H$32+'Appendix K'!$G$32))/((1+$Y$16)^2))</f>
        <v>17444791.558489021</v>
      </c>
      <c r="AA250" s="193">
        <f>(((D250*'Appendix K'!$C$7*1000)-('Appendix K'!$E$33+'Appendix K'!$F$33+'Appendix K'!$H$33+'Appendix K'!$G$33))/((1+$Y$16)^3))</f>
        <v>8125589.8605372487</v>
      </c>
      <c r="AB250" s="193">
        <f>(((E250*'Appendix K'!$C$8*1000)-('Appendix K'!$E$34+'Appendix K'!$F$34+'Appendix K'!$H$34+'Appendix K'!$G$34))/((1+$Y$16)^4))</f>
        <v>15390313.322954336</v>
      </c>
      <c r="AC250" s="193">
        <f>(((F250*'Appendix K'!$C$9*1000)-('Appendix K'!$E$35+'Appendix K'!$F$35+'Appendix K'!$H$35+'Appendix K'!$G$35))/((1+$Y$16)^AC$34))</f>
        <v>21712595.323154923</v>
      </c>
      <c r="AD250" s="193">
        <f>(((G250*'Appendix K'!$C$10*1000)-('Appendix K'!$E$36+'Appendix K'!$F$36+'Appendix K'!$H$36+'Appendix K'!$G$36))/((1+$Y$16)^AD$34))</f>
        <v>8791216.0162894782</v>
      </c>
      <c r="AE250" s="193">
        <f>(((H250*'Appendix K'!$C$11*1000)-('Appendix K'!$E$37+'Appendix K'!$F$37+'Appendix K'!$H$37+'Appendix K'!$G$37))/((1+$Y$16)^AE$34))</f>
        <v>5246305.725827774</v>
      </c>
      <c r="AF250" s="193">
        <f>(((I250*'Appendix K'!$C$12*1000)-('Appendix K'!$E$38+'Appendix K'!$F$38+'Appendix K'!$H$38+'Appendix K'!$G$38))/((1+$Y$16)^AF$34))</f>
        <v>3503320.1493544709</v>
      </c>
      <c r="AG250" s="193">
        <f>(((J250*'Appendix K'!$C$13*1000)-('Appendix K'!$E$39+'Appendix K'!$F$39+'Appendix K'!$H$39+'Appendix K'!$G$39))/((1+$Y$16)^AG$34))</f>
        <v>2436451.6256345739</v>
      </c>
      <c r="AH250" s="193">
        <f>(((K250*'Appendix K'!$C$14*1000)-('Appendix K'!$E$40+'Appendix K'!$F$40+'Appendix K'!$H$40+'Appendix K'!$G$40))/((1+$Y$16)^AH$34))</f>
        <v>1609137.7697251411</v>
      </c>
      <c r="AI250" s="193">
        <f>(((L250*'Appendix K'!$C$15*1000)-('Appendix K'!$E$41+'Appendix K'!$F$41+'Appendix K'!$H$41+'Appendix K'!$G$41))/((1+$Y$16)^AI$34))</f>
        <v>2482988.5045522195</v>
      </c>
      <c r="AJ250" s="193">
        <f>(((M250*'Appendix K'!$C$16*1000)-('Appendix K'!$E$42+'Appendix K'!$F$42+'Appendix K'!$H$42+'Appendix K'!$G$42))/((1+$Y$16)^AJ$34))</f>
        <v>729562.60086559481</v>
      </c>
      <c r="AK250" s="193">
        <f>(((N250*'Appendix K'!$C$17*1000)-('Appendix K'!$E$43+'Appendix K'!$F$43+'Appendix K'!$H$43))/((1+$Y$16)^AK$34))</f>
        <v>969471.78582532669</v>
      </c>
      <c r="AL250" s="193">
        <f>(((O250*'Appendix K'!$C$18*1000)-('Appendix K'!$E$44+'Appendix K'!$F$44+'Appendix K'!$H$44+'Appendix K'!$G$44))/((1+$Y$16)^AL$34))</f>
        <v>1198209.2996354641</v>
      </c>
      <c r="AM250" s="193">
        <f>(((P250*'Appendix K'!$C$19*1000)-('Appendix K'!$E$45+'Appendix K'!$F$45+'Appendix K'!$H$45+'Appendix K'!$G$45))/((1+$Y$16)^AM$34))</f>
        <v>1879385.8526919654</v>
      </c>
      <c r="AN250" s="193">
        <f>(((Q250*'Appendix K'!$C$20*1000)-('Appendix K'!$E$46+'Appendix K'!$F$46+'Appendix K'!$H$46+'Appendix K'!$G$46))/((1+$Y$16)^AN$34))</f>
        <v>1335153.8544540803</v>
      </c>
      <c r="AO250" s="193">
        <f>(((R250*'Appendix K'!$C$21*1000)-('Appendix K'!$E$47+'Appendix K'!$F$47+'Appendix K'!$H$47+'Appendix K'!$G$47))/((1+$Y$16)^AO$34))</f>
        <v>760399.40545224771</v>
      </c>
      <c r="AP250" s="193">
        <f>(((S250*'Appendix K'!$C$22*1000)-('Appendix K'!$E$48+'Appendix K'!$F$48+'Appendix K'!$H$48+'Appendix K'!$G$48))/((1+$Y$16)^AP$34))</f>
        <v>160484.23238729677</v>
      </c>
      <c r="AQ250" s="193">
        <f>(((T250*'Appendix K'!$C$23*1000)-('Appendix K'!$E$49+'Appendix K'!$F$49+'Appendix K'!$H$49+'Appendix K'!$G$49))/((1+$Y$16)^AQ$34))</f>
        <v>611936.84466415748</v>
      </c>
      <c r="AR250" s="193">
        <f>(((U250*'Appendix K'!$C$24*1000)-('Appendix K'!$E$50+'Appendix K'!$F$50+'Appendix K'!$H$50+'Appendix K'!$G$50))/((1+$Y$16)^AR$34))</f>
        <v>980725.14012097823</v>
      </c>
      <c r="AS250" s="209">
        <f t="shared" si="22"/>
        <v>96744201.401188552</v>
      </c>
      <c r="AU250" s="199">
        <f t="shared" si="21"/>
        <v>6.9393456971869485E-9</v>
      </c>
    </row>
    <row r="251" spans="1:47" x14ac:dyDescent="0.35">
      <c r="A251">
        <v>217</v>
      </c>
      <c r="B251" s="70">
        <v>56</v>
      </c>
      <c r="C251" s="70">
        <v>40.487383073976488</v>
      </c>
      <c r="D251" s="70">
        <v>42.279290733600781</v>
      </c>
      <c r="E251" s="70">
        <v>62.222037574236545</v>
      </c>
      <c r="F251" s="70">
        <v>74.423884644149069</v>
      </c>
      <c r="G251" s="70">
        <v>71.137448899785696</v>
      </c>
      <c r="H251" s="70">
        <v>95.760191700715339</v>
      </c>
      <c r="I251" s="70">
        <v>117.55955530883952</v>
      </c>
      <c r="J251" s="70">
        <v>110.09633706931368</v>
      </c>
      <c r="K251" s="70">
        <v>102.00466842278851</v>
      </c>
      <c r="L251" s="70">
        <v>166.11441629188897</v>
      </c>
      <c r="M251" s="70">
        <v>224.71319658168656</v>
      </c>
      <c r="N251" s="70">
        <v>176.00277114885927</v>
      </c>
      <c r="O251" s="70">
        <v>243.6678309400844</v>
      </c>
      <c r="P251" s="70">
        <v>450.07819081591333</v>
      </c>
      <c r="Q251" s="70">
        <v>232.13978095507673</v>
      </c>
      <c r="R251" s="70">
        <v>257.06241151331881</v>
      </c>
      <c r="S251" s="70">
        <v>349.50974393732815</v>
      </c>
      <c r="T251" s="70">
        <v>465.93198251151352</v>
      </c>
      <c r="U251" s="70">
        <v>500</v>
      </c>
      <c r="V251" s="70">
        <v>396.96639959279389</v>
      </c>
      <c r="X251" s="193">
        <f>((0-('Appendix K'!$I$30))/(1+$Y$16)^0)</f>
        <v>-33594902.4440751</v>
      </c>
      <c r="Y251" s="193">
        <f>(((B251*'Appendix K'!$C$5*1000)-('Appendix K'!$E$31+'Appendix K'!$F$31+'Appendix K'!$H$31+'Appendix K'!$G$31))/((1+$Y$16)^1))</f>
        <v>34971064.972647354</v>
      </c>
      <c r="Z251" s="193">
        <f>+(((C251*'Appendix K'!$C$6*1000)-('Appendix K'!$E$32+'Appendix K'!$F$32+'Appendix K'!$H$32+'Appendix K'!$G$32))/((1+$Y$16)^2))</f>
        <v>6740557.7553367261</v>
      </c>
      <c r="AA251" s="193">
        <f>(((D251*'Appendix K'!$C$7*1000)-('Appendix K'!$E$33+'Appendix K'!$F$33+'Appendix K'!$H$33+'Appendix K'!$G$33))/((1+$Y$16)^3))</f>
        <v>2420421.1976775248</v>
      </c>
      <c r="AB251" s="193">
        <f>(((E251*'Appendix K'!$C$8*1000)-('Appendix K'!$E$34+'Appendix K'!$F$34+'Appendix K'!$H$34+'Appendix K'!$G$34))/((1+$Y$16)^4))</f>
        <v>10345293.159487173</v>
      </c>
      <c r="AC251" s="193">
        <f>(((F251*'Appendix K'!$C$9*1000)-('Appendix K'!$E$35+'Appendix K'!$F$35+'Appendix K'!$H$35+'Appendix K'!$G$35))/((1+$Y$16)^AC$34))</f>
        <v>16797523.152785078</v>
      </c>
      <c r="AD251" s="193">
        <f>(((G251*'Appendix K'!$C$10*1000)-('Appendix K'!$E$36+'Appendix K'!$F$36+'Appendix K'!$H$36+'Appendix K'!$G$36))/((1+$Y$16)^AD$34))</f>
        <v>8655943.0982215535</v>
      </c>
      <c r="AE251" s="193">
        <f>(((H251*'Appendix K'!$C$11*1000)-('Appendix K'!$E$37+'Appendix K'!$F$37+'Appendix K'!$H$37+'Appendix K'!$G$37))/((1+$Y$16)^AE$34))</f>
        <v>7330953.4917660635</v>
      </c>
      <c r="AF251" s="193">
        <f>(((I251*'Appendix K'!$C$12*1000)-('Appendix K'!$E$38+'Appendix K'!$F$38+'Appendix K'!$H$38+'Appendix K'!$G$38))/((1+$Y$16)^AF$34))</f>
        <v>5722666.7125634989</v>
      </c>
      <c r="AG251" s="193">
        <f>(((J251*'Appendix K'!$C$13*1000)-('Appendix K'!$E$39+'Appendix K'!$F$39+'Appendix K'!$H$39+'Appendix K'!$G$39))/((1+$Y$16)^AG$34))</f>
        <v>3251572.0398912295</v>
      </c>
      <c r="AH251" s="193">
        <f>(((K251*'Appendix K'!$C$14*1000)-('Appendix K'!$E$40+'Appendix K'!$F$40+'Appendix K'!$H$40+'Appendix K'!$G$40))/((1+$Y$16)^AH$34))</f>
        <v>1805481.9293857361</v>
      </c>
      <c r="AI251" s="193">
        <f>(((L251*'Appendix K'!$C$15*1000)-('Appendix K'!$E$41+'Appendix K'!$F$41+'Appendix K'!$H$41+'Appendix K'!$G$41))/((1+$Y$16)^AI$34))</f>
        <v>2836026.9939981336</v>
      </c>
      <c r="AJ251" s="193">
        <f>(((M251*'Appendix K'!$C$16*1000)-('Appendix K'!$E$42+'Appendix K'!$F$42+'Appendix K'!$H$42+'Appendix K'!$G$42))/((1+$Y$16)^AJ$34))</f>
        <v>3122121.0353717152</v>
      </c>
      <c r="AK251" s="193">
        <f>(((N251*'Appendix K'!$C$17*1000)-('Appendix K'!$E$43+'Appendix K'!$F$43+'Appendix K'!$H$43))/((1+$Y$16)^AK$34))</f>
        <v>1699829.91268589</v>
      </c>
      <c r="AL251" s="193">
        <f>(((O251*'Appendix K'!$C$18*1000)-('Appendix K'!$E$44+'Appendix K'!$F$44+'Appendix K'!$H$44+'Appendix K'!$G$44))/((1+$Y$16)^AL$34))</f>
        <v>1753677.374239926</v>
      </c>
      <c r="AM251" s="193">
        <f>(((P251*'Appendix K'!$C$19*1000)-('Appendix K'!$E$45+'Appendix K'!$F$45+'Appendix K'!$H$45+'Appendix K'!$G$45))/((1+$Y$16)^AM$34))</f>
        <v>3144888.0941107473</v>
      </c>
      <c r="AN251" s="193">
        <f>(((Q251*'Appendix K'!$C$20*1000)-('Appendix K'!$E$46+'Appendix K'!$F$46+'Appendix K'!$H$46+'Appendix K'!$G$46))/((1+$Y$16)^AN$34))</f>
        <v>764104.96512862726</v>
      </c>
      <c r="AO251" s="193">
        <f>(((R251*'Appendix K'!$C$21*1000)-('Appendix K'!$E$47+'Appendix K'!$F$47+'Appendix K'!$H$47+'Appendix K'!$G$47))/((1+$Y$16)^AO$34))</f>
        <v>676268.32692827785</v>
      </c>
      <c r="AP251" s="193">
        <f>(((S251*'Appendix K'!$C$22*1000)-('Appendix K'!$E$48+'Appendix K'!$F$48+'Appendix K'!$H$48+'Appendix K'!$G$48))/((1+$Y$16)^AP$34))</f>
        <v>909600.3478268343</v>
      </c>
      <c r="AQ251" s="193">
        <f>(((T251*'Appendix K'!$C$23*1000)-('Appendix K'!$E$49+'Appendix K'!$F$49+'Appendix K'!$H$49+'Appendix K'!$G$49))/((1+$Y$16)^AQ$34))</f>
        <v>1130052.8663916383</v>
      </c>
      <c r="AR251" s="193">
        <f>(((U251*'Appendix K'!$C$24*1000)-('Appendix K'!$E$50+'Appendix K'!$F$50+'Appendix K'!$H$50+'Appendix K'!$G$50))/((1+$Y$16)^AR$34))</f>
        <v>980725.14012097823</v>
      </c>
      <c r="AS251" s="209">
        <f t="shared" si="22"/>
        <v>81463870.122489601</v>
      </c>
      <c r="AU251" s="199">
        <f t="shared" si="21"/>
        <v>6.9884756698438525E-9</v>
      </c>
    </row>
    <row r="252" spans="1:47" x14ac:dyDescent="0.35">
      <c r="A252">
        <v>218</v>
      </c>
      <c r="B252" s="70">
        <v>56</v>
      </c>
      <c r="C252" s="70">
        <v>73.981970393153148</v>
      </c>
      <c r="D252" s="70">
        <v>92.83800740223262</v>
      </c>
      <c r="E252" s="70">
        <v>55.412901160252076</v>
      </c>
      <c r="F252" s="70">
        <v>34.23858202675568</v>
      </c>
      <c r="G252" s="70">
        <v>20.477065752611381</v>
      </c>
      <c r="H252" s="70">
        <v>18.29846379027655</v>
      </c>
      <c r="I252" s="70">
        <v>20.006395385699015</v>
      </c>
      <c r="J252" s="70">
        <v>30.867967500846369</v>
      </c>
      <c r="K252" s="70">
        <v>30.953646145254609</v>
      </c>
      <c r="L252" s="70">
        <v>47.276195611551593</v>
      </c>
      <c r="M252" s="70">
        <v>50.193263675551115</v>
      </c>
      <c r="N252" s="70">
        <v>49.288747243617713</v>
      </c>
      <c r="O252" s="70">
        <v>29.41247218469789</v>
      </c>
      <c r="P252" s="70">
        <v>19.38536040759212</v>
      </c>
      <c r="Q252" s="70">
        <v>30.607395426885269</v>
      </c>
      <c r="R252" s="70">
        <v>46.181273142337197</v>
      </c>
      <c r="S252" s="70">
        <v>59.353864078879077</v>
      </c>
      <c r="T252" s="70">
        <v>23.751092425858985</v>
      </c>
      <c r="U252" s="70">
        <v>32.688646883130033</v>
      </c>
      <c r="V252" s="70">
        <v>45.09613151533194</v>
      </c>
      <c r="X252" s="193">
        <f>((0-('Appendix K'!$I$30))/(1+$Y$16)^0)</f>
        <v>-33594902.4440751</v>
      </c>
      <c r="Y252" s="193">
        <f>(((B252*'Appendix K'!$C$5*1000)-('Appendix K'!$E$31+'Appendix K'!$F$31+'Appendix K'!$H$31+'Appendix K'!$G$31))/((1+$Y$16)^1))</f>
        <v>34971064.972647354</v>
      </c>
      <c r="Z252" s="193">
        <f>+(((C252*'Appendix K'!$C$6*1000)-('Appendix K'!$E$32+'Appendix K'!$F$32+'Appendix K'!$H$32+'Appendix K'!$G$32))/((1+$Y$16)^2))</f>
        <v>15201863.374243874</v>
      </c>
      <c r="AA252" s="193">
        <f>(((D252*'Appendix K'!$C$7*1000)-('Appendix K'!$E$33+'Appendix K'!$F$33+'Appendix K'!$H$33+'Appendix K'!$G$33))/((1+$Y$16)^3))</f>
        <v>8860331.2799522541</v>
      </c>
      <c r="AB252" s="193">
        <f>(((E252*'Appendix K'!$C$8*1000)-('Appendix K'!$E$34+'Appendix K'!$F$34+'Appendix K'!$H$34+'Appendix K'!$G$34))/((1+$Y$16)^4))</f>
        <v>8852792.7891862057</v>
      </c>
      <c r="AC252" s="193">
        <f>(((F252*'Appendix K'!$C$9*1000)-('Appendix K'!$E$35+'Appendix K'!$F$35+'Appendix K'!$H$35+'Appendix K'!$G$35))/((1+$Y$16)^AC$34))</f>
        <v>6116332.819330723</v>
      </c>
      <c r="AD252" s="193">
        <f>(((G252*'Appendix K'!$C$10*1000)-('Appendix K'!$E$36+'Appendix K'!$F$36+'Appendix K'!$H$36+'Appendix K'!$G$36))/((1+$Y$16)^AD$34))</f>
        <v>700036.34345860814</v>
      </c>
      <c r="AE252" s="193">
        <f>(((H252*'Appendix K'!$C$11*1000)-('Appendix K'!$E$37+'Appendix K'!$F$37+'Appendix K'!$H$37+'Appendix K'!$G$37))/((1+$Y$16)^AE$34))</f>
        <v>-394895.57559792494</v>
      </c>
      <c r="AF252" s="193">
        <f>(((I252*'Appendix K'!$C$12*1000)-('Appendix K'!$E$38+'Appendix K'!$F$38+'Appendix K'!$H$38+'Appendix K'!$G$38))/((1+$Y$16)^AF$34))</f>
        <v>-682910.53331736894</v>
      </c>
      <c r="AG252" s="193">
        <f>(((J252*'Appendix K'!$C$13*1000)-('Appendix K'!$E$39+'Appendix K'!$F$39+'Appendix K'!$H$39+'Appendix K'!$G$39))/((1+$Y$16)^AG$34))</f>
        <v>-394432.95626083529</v>
      </c>
      <c r="AH252" s="193">
        <f>(((K252*'Appendix K'!$C$14*1000)-('Appendix K'!$E$40+'Appendix K'!$F$40+'Appendix K'!$H$40+'Appendix K'!$G$40))/((1+$Y$16)^AH$34))</f>
        <v>-589401.25406413712</v>
      </c>
      <c r="AI252" s="193">
        <f>(((L252*'Appendix K'!$C$15*1000)-('Appendix K'!$E$41+'Appendix K'!$F$41+'Appendix K'!$H$41+'Appendix K'!$G$41))/((1+$Y$16)^AI$34))</f>
        <v>-277756.61638907908</v>
      </c>
      <c r="AJ252" s="193">
        <f>(((M252*'Appendix K'!$C$16*1000)-('Appendix K'!$E$42+'Appendix K'!$F$42+'Appendix K'!$H$42+'Appendix K'!$G$42))/((1+$Y$16)^AJ$34))</f>
        <v>-375584.24493343558</v>
      </c>
      <c r="AK252" s="193">
        <f>(((N252*'Appendix K'!$C$17*1000)-('Appendix K'!$E$43+'Appendix K'!$F$43+'Appendix K'!$H$43))/((1+$Y$16)^AK$34))</f>
        <v>-246991.35767071918</v>
      </c>
      <c r="AL252" s="193">
        <f>(((O252*'Appendix K'!$C$18*1000)-('Appendix K'!$E$44+'Appendix K'!$F$44+'Appendix K'!$H$44+'Appendix K'!$G$44))/((1+$Y$16)^AL$34))</f>
        <v>-785954.43818249973</v>
      </c>
      <c r="AM252" s="193">
        <f>(((P252*'Appendix K'!$C$19*1000)-('Appendix K'!$E$45+'Appendix K'!$F$45+'Appendix K'!$H$45+'Appendix K'!$G$45))/((1+$Y$16)^AM$34))</f>
        <v>-847088.23579872877</v>
      </c>
      <c r="AN252" s="193">
        <f>(((Q252*'Appendix K'!$C$20*1000)-('Appendix K'!$E$46+'Appendix K'!$F$46+'Appendix K'!$H$46+'Appendix K'!$G$46))/((1+$Y$16)^AN$34))</f>
        <v>-694227.08709082066</v>
      </c>
      <c r="AO252" s="193">
        <f>(((R252*'Appendix K'!$C$21*1000)-('Appendix K'!$E$47+'Appendix K'!$F$47+'Appendix K'!$H$47+'Appendix K'!$G$47))/((1+$Y$16)^AO$34))</f>
        <v>-570062.49900087574</v>
      </c>
      <c r="AP252" s="193">
        <f>(((S252*'Appendix K'!$C$22*1000)-('Appendix K'!$E$48+'Appendix K'!$F$48+'Appendix K'!$H$48+'Appendix K'!$G$48))/((1+$Y$16)^AP$34))</f>
        <v>-480164.88203473162</v>
      </c>
      <c r="AQ252" s="193">
        <f>(((T252*'Appendix K'!$C$23*1000)-('Appendix K'!$E$49+'Appendix K'!$F$49+'Appendix K'!$H$49+'Appendix K'!$G$49))/((1+$Y$16)^AQ$34))</f>
        <v>-600529.93619257607</v>
      </c>
      <c r="AR252" s="193">
        <f>(((U252*'Appendix K'!$C$24*1000)-('Appendix K'!$E$50+'Appendix K'!$F$50+'Appendix K'!$H$50+'Appendix K'!$G$50))/((1+$Y$16)^AR$34))</f>
        <v>-524030.51044605416</v>
      </c>
      <c r="AS252" s="209">
        <f t="shared" si="22"/>
        <v>41107519.134743921</v>
      </c>
      <c r="AU252" s="199">
        <f t="shared" si="21"/>
        <v>5.0244823566258672E-9</v>
      </c>
    </row>
    <row r="253" spans="1:47" x14ac:dyDescent="0.35">
      <c r="A253">
        <v>219</v>
      </c>
      <c r="B253" s="70">
        <v>56</v>
      </c>
      <c r="C253" s="70">
        <v>67.084442083075388</v>
      </c>
      <c r="D253" s="70">
        <v>43.938843608696224</v>
      </c>
      <c r="E253" s="70">
        <v>56.871405614904809</v>
      </c>
      <c r="F253" s="70">
        <v>83.965913858978013</v>
      </c>
      <c r="G253" s="70">
        <v>99.474053097636016</v>
      </c>
      <c r="H253" s="70">
        <v>150.14323393788283</v>
      </c>
      <c r="I253" s="70">
        <v>125.00281098415509</v>
      </c>
      <c r="J253" s="70">
        <v>126.49717443741736</v>
      </c>
      <c r="K253" s="70">
        <v>130.49501744136015</v>
      </c>
      <c r="L253" s="70">
        <v>85.406666244902965</v>
      </c>
      <c r="M253" s="70">
        <v>85.04325850151379</v>
      </c>
      <c r="N253" s="70">
        <v>97.88551659770269</v>
      </c>
      <c r="O253" s="70">
        <v>102.55690604915704</v>
      </c>
      <c r="P253" s="70">
        <v>167.03077011616386</v>
      </c>
      <c r="Q253" s="70">
        <v>148.69608515672667</v>
      </c>
      <c r="R253" s="70">
        <v>237.71331726082573</v>
      </c>
      <c r="S253" s="70">
        <v>313.93441735143654</v>
      </c>
      <c r="T253" s="70">
        <v>305.29472674156955</v>
      </c>
      <c r="U253" s="70">
        <v>160.12525535189644</v>
      </c>
      <c r="V253" s="70">
        <v>143.39892296599558</v>
      </c>
      <c r="X253" s="193">
        <f>((0-('Appendix K'!$I$30))/(1+$Y$16)^0)</f>
        <v>-33594902.4440751</v>
      </c>
      <c r="Y253" s="193">
        <f>(((B253*'Appendix K'!$C$5*1000)-('Appendix K'!$E$31+'Appendix K'!$F$31+'Appendix K'!$H$31+'Appendix K'!$G$31))/((1+$Y$16)^1))</f>
        <v>34971064.972647354</v>
      </c>
      <c r="Z253" s="193">
        <f>+(((C253*'Appendix K'!$C$6*1000)-('Appendix K'!$E$32+'Appendix K'!$F$32+'Appendix K'!$H$32+'Appendix K'!$G$32))/((1+$Y$16)^2))</f>
        <v>13459429.753835659</v>
      </c>
      <c r="AA253" s="193">
        <f>(((D253*'Appendix K'!$C$7*1000)-('Appendix K'!$E$33+'Appendix K'!$F$33+'Appendix K'!$H$33+'Appendix K'!$G$33))/((1+$Y$16)^3))</f>
        <v>2631806.5333149293</v>
      </c>
      <c r="AB253" s="193">
        <f>(((E253*'Appendix K'!$C$8*1000)-('Appendix K'!$E$34+'Appendix K'!$F$34+'Appendix K'!$H$34+'Appendix K'!$G$34))/((1+$Y$16)^4))</f>
        <v>9172483.614322871</v>
      </c>
      <c r="AC253" s="193">
        <f>(((F253*'Appendix K'!$C$9*1000)-('Appendix K'!$E$35+'Appendix K'!$F$35+'Appendix K'!$H$35+'Appendix K'!$G$35))/((1+$Y$16)^AC$34))</f>
        <v>19333779.534411926</v>
      </c>
      <c r="AD253" s="193">
        <f>(((G253*'Appendix K'!$C$10*1000)-('Appendix K'!$E$36+'Appendix K'!$F$36+'Appendix K'!$H$36+'Appendix K'!$G$36))/((1+$Y$16)^AD$34))</f>
        <v>13106035.394005856</v>
      </c>
      <c r="AE253" s="193">
        <f>(((H253*'Appendix K'!$C$11*1000)-('Appendix K'!$E$37+'Appendix K'!$F$37+'Appendix K'!$H$37+'Appendix K'!$G$37))/((1+$Y$16)^AE$34))</f>
        <v>12754989.173415462</v>
      </c>
      <c r="AF253" s="193">
        <f>(((I253*'Appendix K'!$C$12*1000)-('Appendix K'!$E$38+'Appendix K'!$F$38+'Appendix K'!$H$38+'Appendix K'!$G$38))/((1+$Y$16)^AF$34))</f>
        <v>6211408.9452768173</v>
      </c>
      <c r="AG253" s="193">
        <f>(((J253*'Appendix K'!$C$13*1000)-('Appendix K'!$E$39+'Appendix K'!$F$39+'Appendix K'!$H$39+'Appendix K'!$G$39))/((1+$Y$16)^AG$34))</f>
        <v>4006321.068690917</v>
      </c>
      <c r="AH253" s="193">
        <f>(((K253*'Appendix K'!$C$14*1000)-('Appendix K'!$E$40+'Appendix K'!$F$40+'Appendix K'!$H$40+'Appendix K'!$G$40))/((1+$Y$16)^AH$34))</f>
        <v>2765792.6408724198</v>
      </c>
      <c r="AI253" s="193">
        <f>(((L253*'Appendix K'!$C$15*1000)-('Appendix K'!$E$41+'Appendix K'!$F$41+'Appendix K'!$H$41+'Appendix K'!$G$41))/((1+$Y$16)^AI$34))</f>
        <v>721333.01853445324</v>
      </c>
      <c r="AJ253" s="193">
        <f>(((M253*'Appendix K'!$C$16*1000)-('Appendix K'!$E$42+'Appendix K'!$F$42+'Appendix K'!$H$42+'Appendix K'!$G$42))/((1+$Y$16)^AJ$34))</f>
        <v>322874.71555067919</v>
      </c>
      <c r="AK253" s="193">
        <f>(((N253*'Appendix K'!$C$17*1000)-('Appendix K'!$E$43+'Appendix K'!$F$43+'Appendix K'!$H$43))/((1+$Y$16)^AK$34))</f>
        <v>499644.42370022758</v>
      </c>
      <c r="AL253" s="193">
        <f>(((O253*'Appendix K'!$C$18*1000)-('Appendix K'!$E$44+'Appendix K'!$F$44+'Appendix K'!$H$44+'Appendix K'!$G$44))/((1+$Y$16)^AL$34))</f>
        <v>81048.059318107247</v>
      </c>
      <c r="AM253" s="193">
        <f>(((P253*'Appendix K'!$C$19*1000)-('Appendix K'!$E$45+'Appendix K'!$F$45+'Appendix K'!$H$45+'Appendix K'!$G$45))/((1+$Y$16)^AM$34))</f>
        <v>521397.46715022309</v>
      </c>
      <c r="AN253" s="193">
        <f>(((Q253*'Appendix K'!$C$20*1000)-('Appendix K'!$E$46+'Appendix K'!$F$46+'Appendix K'!$H$46+'Appendix K'!$G$46))/((1+$Y$16)^AN$34))</f>
        <v>160288.28415473647</v>
      </c>
      <c r="AO253" s="193">
        <f>(((R253*'Appendix K'!$C$21*1000)-('Appendix K'!$E$47+'Appendix K'!$F$47+'Appendix K'!$H$47+'Appendix K'!$G$47))/((1+$Y$16)^AO$34))</f>
        <v>561913.04220733244</v>
      </c>
      <c r="AP253" s="193">
        <f>(((S253*'Appendix K'!$C$22*1000)-('Appendix K'!$E$48+'Appendix K'!$F$48+'Appendix K'!$H$48+'Appendix K'!$G$48))/((1+$Y$16)^AP$34))</f>
        <v>739204.51799163828</v>
      </c>
      <c r="AQ253" s="193">
        <f>(((T253*'Appendix K'!$C$23*1000)-('Appendix K'!$E$49+'Appendix K'!$F$49+'Appendix K'!$H$49+'Appendix K'!$G$49))/((1+$Y$16)^AQ$34))</f>
        <v>501359.77150023205</v>
      </c>
      <c r="AR253" s="193">
        <f>(((U253*'Appendix K'!$C$24*1000)-('Appendix K'!$E$50+'Appendix K'!$F$50+'Appendix K'!$H$50+'Appendix K'!$G$50))/((1+$Y$16)^AR$34))</f>
        <v>-113681.06054831704</v>
      </c>
      <c r="AS253" s="209">
        <f t="shared" si="22"/>
        <v>88927272.486826718</v>
      </c>
      <c r="AU253" s="199">
        <f t="shared" si="21"/>
        <v>7.0278004161378125E-9</v>
      </c>
    </row>
    <row r="254" spans="1:47" x14ac:dyDescent="0.35">
      <c r="A254">
        <v>220</v>
      </c>
      <c r="B254" s="70">
        <v>56</v>
      </c>
      <c r="C254" s="70">
        <v>31.034837572223221</v>
      </c>
      <c r="D254" s="70">
        <v>36.403327749864459</v>
      </c>
      <c r="E254" s="70">
        <v>40.642887777329797</v>
      </c>
      <c r="F254" s="70">
        <v>55.00626857424956</v>
      </c>
      <c r="G254" s="70">
        <v>28.975075320086212</v>
      </c>
      <c r="H254" s="70">
        <v>27.099935698346183</v>
      </c>
      <c r="I254" s="70">
        <v>10.316261132101662</v>
      </c>
      <c r="J254" s="70">
        <v>15.542904380036831</v>
      </c>
      <c r="K254" s="70">
        <v>16.744770216569172</v>
      </c>
      <c r="L254" s="70">
        <v>11.198293803604871</v>
      </c>
      <c r="M254" s="70">
        <v>14.300055392906525</v>
      </c>
      <c r="N254" s="70">
        <v>17.470633240104213</v>
      </c>
      <c r="O254" s="70">
        <v>25.798386871009132</v>
      </c>
      <c r="P254" s="70">
        <v>21.56017827124403</v>
      </c>
      <c r="Q254" s="70">
        <v>29.162310563223215</v>
      </c>
      <c r="R254" s="70">
        <v>21.622672223718787</v>
      </c>
      <c r="S254" s="70">
        <v>12.442605198609964</v>
      </c>
      <c r="T254" s="70">
        <v>14.776852802327998</v>
      </c>
      <c r="U254" s="70">
        <v>16.542403516937021</v>
      </c>
      <c r="V254" s="70">
        <v>16.412565675304265</v>
      </c>
      <c r="X254" s="193">
        <f>((0-('Appendix K'!$I$30))/(1+$Y$16)^0)</f>
        <v>-33594902.4440751</v>
      </c>
      <c r="Y254" s="193">
        <f>(((B254*'Appendix K'!$C$5*1000)-('Appendix K'!$E$31+'Appendix K'!$F$31+'Appendix K'!$H$31+'Appendix K'!$G$31))/((1+$Y$16)^1))</f>
        <v>34971064.972647354</v>
      </c>
      <c r="Z254" s="193">
        <f>+(((C254*'Appendix K'!$C$6*1000)-('Appendix K'!$E$32+'Appendix K'!$F$32+'Appendix K'!$H$32+'Appendix K'!$G$32))/((1+$Y$16)^2))</f>
        <v>4352683.0935352063</v>
      </c>
      <c r="AA254" s="193">
        <f>(((D254*'Appendix K'!$C$7*1000)-('Appendix K'!$E$33+'Appendix K'!$F$33+'Appendix K'!$H$33+'Appendix K'!$G$33))/((1+$Y$16)^3))</f>
        <v>1671971.1626410522</v>
      </c>
      <c r="AB254" s="193">
        <f>(((E254*'Appendix K'!$C$8*1000)-('Appendix K'!$E$34+'Appendix K'!$F$34+'Appendix K'!$H$34+'Appendix K'!$G$34))/((1+$Y$16)^4))</f>
        <v>5615341.0621084925</v>
      </c>
      <c r="AC254" s="193">
        <f>(((F254*'Appendix K'!$C$9*1000)-('Appendix K'!$E$35+'Appendix K'!$F$35+'Appendix K'!$H$35+'Appendix K'!$G$35))/((1+$Y$16)^AC$34))</f>
        <v>11636351.292534653</v>
      </c>
      <c r="AD254" s="193">
        <f>(((G254*'Appendix K'!$C$10*1000)-('Appendix K'!$E$36+'Appendix K'!$F$36+'Appendix K'!$H$36+'Appendix K'!$G$36))/((1+$Y$16)^AD$34))</f>
        <v>2034597.3459583335</v>
      </c>
      <c r="AE254" s="193">
        <f>(((H254*'Appendix K'!$C$11*1000)-('Appendix K'!$E$37+'Appendix K'!$F$37+'Appendix K'!$H$37+'Appendix K'!$G$37))/((1+$Y$16)^AE$34))</f>
        <v>482942.36278385669</v>
      </c>
      <c r="AF254" s="193">
        <f>(((I254*'Appendix K'!$C$12*1000)-('Appendix K'!$E$38+'Appendix K'!$F$38+'Appendix K'!$H$38+'Appendix K'!$G$38))/((1+$Y$16)^AF$34))</f>
        <v>-1319188.2667426926</v>
      </c>
      <c r="AG254" s="193">
        <f>(((J254*'Appendix K'!$C$13*1000)-('Appendix K'!$E$39+'Appendix K'!$F$39+'Appendix K'!$H$39+'Appendix K'!$G$39))/((1+$Y$16)^AG$34))</f>
        <v>-1099676.0025225817</v>
      </c>
      <c r="AH254" s="193">
        <f>(((K254*'Appendix K'!$C$14*1000)-('Appendix K'!$E$40+'Appendix K'!$F$40+'Appendix K'!$H$40+'Appendix K'!$G$40))/((1+$Y$16)^AH$34))</f>
        <v>-1068333.1107292618</v>
      </c>
      <c r="AI254" s="193">
        <f>(((L254*'Appendix K'!$C$15*1000)-('Appendix K'!$E$41+'Appendix K'!$F$41+'Appendix K'!$H$41+'Appendix K'!$G$41))/((1+$Y$16)^AI$34))</f>
        <v>-1223065.1097644847</v>
      </c>
      <c r="AJ254" s="193">
        <f>(((M254*'Appendix K'!$C$16*1000)-('Appendix K'!$E$42+'Appendix K'!$F$42+'Appendix K'!$H$42+'Appendix K'!$G$42))/((1+$Y$16)^AJ$34))</f>
        <v>-1094951.1507459742</v>
      </c>
      <c r="AK254" s="193">
        <f>(((N254*'Appendix K'!$C$17*1000)-('Appendix K'!$E$43+'Appendix K'!$F$43+'Appendix K'!$H$43))/((1+$Y$16)^AK$34))</f>
        <v>-735841.59867477941</v>
      </c>
      <c r="AL254" s="193">
        <f>(((O254*'Appendix K'!$C$18*1000)-('Appendix K'!$E$44+'Appendix K'!$F$44+'Appendix K'!$H$44+'Appendix K'!$G$44))/((1+$Y$16)^AL$34))</f>
        <v>-828793.25485793978</v>
      </c>
      <c r="AM254" s="193">
        <f>(((P254*'Appendix K'!$C$19*1000)-('Appendix K'!$E$45+'Appendix K'!$F$45+'Appendix K'!$H$45+'Appendix K'!$G$45))/((1+$Y$16)^AM$34))</f>
        <v>-826930.43232349586</v>
      </c>
      <c r="AN254" s="193">
        <f>(((Q254*'Appendix K'!$C$20*1000)-('Appendix K'!$E$46+'Appendix K'!$F$46+'Appendix K'!$H$46+'Appendix K'!$G$46))/((1+$Y$16)^AN$34))</f>
        <v>-704684.03459001437</v>
      </c>
      <c r="AO254" s="193">
        <f>(((R254*'Appendix K'!$C$21*1000)-('Appendix K'!$E$47+'Appendix K'!$F$47+'Appendix K'!$H$47+'Appendix K'!$G$47))/((1+$Y$16)^AO$34))</f>
        <v>-715206.54366512806</v>
      </c>
      <c r="AP254" s="193">
        <f>(((S254*'Appendix K'!$C$22*1000)-('Appendix K'!$E$48+'Appendix K'!$F$48+'Appendix K'!$H$48+'Appendix K'!$G$48))/((1+$Y$16)^AP$34))</f>
        <v>-704856.64603633643</v>
      </c>
      <c r="AQ254" s="193">
        <f>(((T254*'Appendix K'!$C$23*1000)-('Appendix K'!$E$49+'Appendix K'!$F$49+'Appendix K'!$H$49+'Appendix K'!$G$49))/((1+$Y$16)^AQ$34))</f>
        <v>-635652.81261481158</v>
      </c>
      <c r="AR254" s="193">
        <f>(((U254*'Appendix K'!$C$24*1000)-('Appendix K'!$E$50+'Appendix K'!$F$50+'Appendix K'!$H$50+'Appendix K'!$G$50))/((1+$Y$16)^AR$34))</f>
        <v>-576021.86648450501</v>
      </c>
      <c r="AS254" s="209">
        <f t="shared" si="22"/>
        <v>27170048.848133862</v>
      </c>
      <c r="AU254" s="199">
        <f t="shared" si="21"/>
        <v>3.9864331172642975E-9</v>
      </c>
    </row>
    <row r="255" spans="1:47" x14ac:dyDescent="0.35">
      <c r="A255">
        <v>221</v>
      </c>
      <c r="B255" s="70">
        <v>56</v>
      </c>
      <c r="C255" s="70">
        <v>50.371839857838836</v>
      </c>
      <c r="D255" s="70">
        <v>46.393645535383683</v>
      </c>
      <c r="E255" s="70">
        <v>27.327898926377067</v>
      </c>
      <c r="F255" s="70">
        <v>29.71517632821201</v>
      </c>
      <c r="G255" s="70">
        <v>34.791055616824309</v>
      </c>
      <c r="H255" s="70">
        <v>29.491179894407338</v>
      </c>
      <c r="I255" s="70">
        <v>28.378864386231545</v>
      </c>
      <c r="J255" s="70">
        <v>30.054202066993387</v>
      </c>
      <c r="K255" s="70">
        <v>40.645863100771308</v>
      </c>
      <c r="L255" s="70">
        <v>62.7115343808006</v>
      </c>
      <c r="M255" s="70">
        <v>51.912707669070173</v>
      </c>
      <c r="N255" s="70">
        <v>50.913075929499911</v>
      </c>
      <c r="O255" s="70">
        <v>52.688656159814549</v>
      </c>
      <c r="P255" s="70">
        <v>40.913187093857658</v>
      </c>
      <c r="Q255" s="70">
        <v>48.59899730044053</v>
      </c>
      <c r="R255" s="70">
        <v>66.02081481189677</v>
      </c>
      <c r="S255" s="70">
        <v>102.34440341039306</v>
      </c>
      <c r="T255" s="70">
        <v>167.02417944564556</v>
      </c>
      <c r="U255" s="70">
        <v>147.29014902379683</v>
      </c>
      <c r="V255" s="70">
        <v>167.4801698040265</v>
      </c>
      <c r="X255" s="193">
        <f>((0-('Appendix K'!$I$30))/(1+$Y$16)^0)</f>
        <v>-33594902.4440751</v>
      </c>
      <c r="Y255" s="193">
        <f>(((B255*'Appendix K'!$C$5*1000)-('Appendix K'!$E$31+'Appendix K'!$F$31+'Appendix K'!$H$31+'Appendix K'!$G$31))/((1+$Y$16)^1))</f>
        <v>34971064.972647354</v>
      </c>
      <c r="Z255" s="193">
        <f>+(((C255*'Appendix K'!$C$6*1000)-('Appendix K'!$E$32+'Appendix K'!$F$32+'Appendix K'!$H$32+'Appendix K'!$G$32))/((1+$Y$16)^2))</f>
        <v>9237540.594031252</v>
      </c>
      <c r="AA255" s="193">
        <f>(((D255*'Appendix K'!$C$7*1000)-('Appendix K'!$E$33+'Appendix K'!$F$33+'Appendix K'!$H$33+'Appendix K'!$G$33))/((1+$Y$16)^3))</f>
        <v>2944486.6153920558</v>
      </c>
      <c r="AB255" s="193">
        <f>(((E255*'Appendix K'!$C$8*1000)-('Appendix K'!$E$34+'Appendix K'!$F$34+'Appendix K'!$H$34+'Appendix K'!$G$34))/((1+$Y$16)^4))</f>
        <v>2696817.3929709196</v>
      </c>
      <c r="AC255" s="193">
        <f>(((F255*'Appendix K'!$C$9*1000)-('Appendix K'!$E$35+'Appendix K'!$F$35+'Appendix K'!$H$35+'Appendix K'!$G$35))/((1+$Y$16)^AC$34))</f>
        <v>4914018.6876793988</v>
      </c>
      <c r="AD255" s="193">
        <f>(((G255*'Appendix K'!$C$10*1000)-('Appendix K'!$E$36+'Appendix K'!$F$36+'Appendix K'!$H$36+'Appendix K'!$G$36))/((1+$Y$16)^AD$34))</f>
        <v>2947961.8736991328</v>
      </c>
      <c r="AE255" s="193">
        <f>(((H255*'Appendix K'!$C$11*1000)-('Appendix K'!$E$37+'Appendix K'!$F$37+'Appendix K'!$H$37+'Appendix K'!$G$37))/((1+$Y$16)^AE$34))</f>
        <v>721439.38886799896</v>
      </c>
      <c r="AF255" s="193">
        <f>(((I255*'Appendix K'!$C$12*1000)-('Appendix K'!$E$38+'Appendix K'!$F$38+'Appendix K'!$H$38+'Appendix K'!$G$38))/((1+$Y$16)^AF$34))</f>
        <v>-133153.89843328993</v>
      </c>
      <c r="AG255" s="193">
        <f>(((J255*'Appendix K'!$C$13*1000)-('Appendix K'!$E$39+'Appendix K'!$F$39+'Appendix K'!$H$39+'Appendix K'!$G$39))/((1+$Y$16)^AG$34))</f>
        <v>-431881.57288243336</v>
      </c>
      <c r="AH255" s="193">
        <f>(((K255*'Appendix K'!$C$14*1000)-('Appendix K'!$E$40+'Appendix K'!$F$40+'Appendix K'!$H$40+'Appendix K'!$G$40))/((1+$Y$16)^AH$34))</f>
        <v>-262710.2839265528</v>
      </c>
      <c r="AI255" s="193">
        <f>(((L255*'Appendix K'!$C$15*1000)-('Appendix K'!$E$41+'Appendix K'!$F$41+'Appendix K'!$H$41+'Appendix K'!$G$41))/((1+$Y$16)^AI$34))</f>
        <v>126678.12359027953</v>
      </c>
      <c r="AJ255" s="193">
        <f>(((M255*'Appendix K'!$C$16*1000)-('Appendix K'!$E$42+'Appendix K'!$F$42+'Appendix K'!$H$42+'Appendix K'!$G$42))/((1+$Y$16)^AJ$34))</f>
        <v>-341123.37713929516</v>
      </c>
      <c r="AK255" s="193">
        <f>(((N255*'Appendix K'!$C$17*1000)-('Appendix K'!$E$43+'Appendix K'!$F$43+'Appendix K'!$H$43))/((1+$Y$16)^AK$34))</f>
        <v>-222035.33829522639</v>
      </c>
      <c r="AL255" s="193">
        <f>(((O255*'Appendix K'!$C$18*1000)-('Appendix K'!$E$44+'Appendix K'!$F$44+'Appendix K'!$H$44+'Appendix K'!$G$44))/((1+$Y$16)^AL$34))</f>
        <v>-510054.98045882117</v>
      </c>
      <c r="AM255" s="193">
        <f>(((P255*'Appendix K'!$C$19*1000)-('Appendix K'!$E$45+'Appendix K'!$F$45+'Appendix K'!$H$45+'Appendix K'!$G$45))/((1+$Y$16)^AM$34))</f>
        <v>-647552.58417320508</v>
      </c>
      <c r="AN255" s="193">
        <f>(((Q255*'Appendix K'!$C$20*1000)-('Appendix K'!$E$46+'Appendix K'!$F$46+'Appendix K'!$H$46+'Appendix K'!$G$46))/((1+$Y$16)^AN$34))</f>
        <v>-564035.95371932187</v>
      </c>
      <c r="AO255" s="193">
        <f>(((R255*'Appendix K'!$C$21*1000)-('Appendix K'!$E$47+'Appendix K'!$F$47+'Appendix K'!$H$47+'Appendix K'!$G$47))/((1+$Y$16)^AO$34))</f>
        <v>-452808.61586041667</v>
      </c>
      <c r="AP255" s="193">
        <f>(((S255*'Appendix K'!$C$22*1000)-('Appendix K'!$E$48+'Appendix K'!$F$48+'Appendix K'!$H$48+'Appendix K'!$G$48))/((1+$Y$16)^AP$34))</f>
        <v>-274252.26428912074</v>
      </c>
      <c r="AQ255" s="193">
        <f>(((T255*'Appendix K'!$C$23*1000)-('Appendix K'!$E$49+'Appendix K'!$F$49+'Appendix K'!$H$49+'Appendix K'!$G$49))/((1+$Y$16)^AQ$34))</f>
        <v>-39795.752448079867</v>
      </c>
      <c r="AR255" s="193">
        <f>(((U255*'Appendix K'!$C$24*1000)-('Appendix K'!$E$50+'Appendix K'!$F$50+'Appendix K'!$H$50+'Appendix K'!$G$50))/((1+$Y$16)^AR$34))</f>
        <v>-155010.46254982665</v>
      </c>
      <c r="AS255" s="209">
        <f t="shared" si="22"/>
        <v>24965105.204803303</v>
      </c>
      <c r="AU255" s="199">
        <f t="shared" si="21"/>
        <v>3.821943531611189E-9</v>
      </c>
    </row>
    <row r="256" spans="1:47" x14ac:dyDescent="0.35">
      <c r="A256">
        <v>222</v>
      </c>
      <c r="B256" s="70">
        <v>56</v>
      </c>
      <c r="C256" s="70">
        <v>69.329131265271187</v>
      </c>
      <c r="D256" s="70">
        <v>139.46971071605083</v>
      </c>
      <c r="E256" s="70">
        <v>202.85104688357688</v>
      </c>
      <c r="F256" s="70">
        <v>236.71715506027846</v>
      </c>
      <c r="G256" s="70">
        <v>245.24133713710739</v>
      </c>
      <c r="H256" s="70">
        <v>280.69187221572406</v>
      </c>
      <c r="I256" s="70">
        <v>177.6290937118485</v>
      </c>
      <c r="J256" s="70">
        <v>250.50482380321623</v>
      </c>
      <c r="K256" s="70">
        <v>280.29039438291773</v>
      </c>
      <c r="L256" s="70">
        <v>268.198501435254</v>
      </c>
      <c r="M256" s="70">
        <v>220.16855864138381</v>
      </c>
      <c r="N256" s="70">
        <v>245.96839485754941</v>
      </c>
      <c r="O256" s="70">
        <v>280.48999491603109</v>
      </c>
      <c r="P256" s="70">
        <v>211.99726412222836</v>
      </c>
      <c r="Q256" s="70">
        <v>146.1705744635189</v>
      </c>
      <c r="R256" s="70">
        <v>136.44449115006358</v>
      </c>
      <c r="S256" s="70">
        <v>110.10951639100909</v>
      </c>
      <c r="T256" s="70">
        <v>150.27354714481609</v>
      </c>
      <c r="U256" s="70">
        <v>178.596287491363</v>
      </c>
      <c r="V256" s="70">
        <v>215.36759232606289</v>
      </c>
      <c r="X256" s="193">
        <f>((0-('Appendix K'!$I$30))/(1+$Y$16)^0)</f>
        <v>-33594902.4440751</v>
      </c>
      <c r="Y256" s="193">
        <f>(((B256*'Appendix K'!$C$5*1000)-('Appendix K'!$E$31+'Appendix K'!$F$31+'Appendix K'!$H$31+'Appendix K'!$G$31))/((1+$Y$16)^1))</f>
        <v>34971064.972647354</v>
      </c>
      <c r="Z256" s="193">
        <f>+(((C256*'Appendix K'!$C$6*1000)-('Appendix K'!$E$32+'Appendix K'!$F$32+'Appendix K'!$H$32+'Appendix K'!$G$32))/((1+$Y$16)^2))</f>
        <v>14026476.632455934</v>
      </c>
      <c r="AA256" s="193">
        <f>(((D256*'Appendix K'!$C$7*1000)-('Appendix K'!$E$33+'Appendix K'!$F$33+'Appendix K'!$H$33+'Appendix K'!$G$33))/((1+$Y$16)^3))</f>
        <v>14800038.537407616</v>
      </c>
      <c r="AB256" s="193">
        <f>(((E256*'Appendix K'!$C$8*1000)-('Appendix K'!$E$34+'Appendix K'!$F$34+'Appendix K'!$H$34+'Appendix K'!$G$34))/((1+$Y$16)^4))</f>
        <v>41169884.665420756</v>
      </c>
      <c r="AC256" s="193">
        <f>(((F256*'Appendix K'!$C$9*1000)-('Appendix K'!$E$35+'Appendix K'!$F$35+'Appendix K'!$H$35+'Appendix K'!$G$35))/((1+$Y$16)^AC$34))</f>
        <v>59934819.583225578</v>
      </c>
      <c r="AD256" s="193">
        <f>(((G256*'Appendix K'!$C$10*1000)-('Appendix K'!$E$36+'Appendix K'!$F$36+'Appendix K'!$H$36+'Appendix K'!$G$36))/((1+$Y$16)^AD$34))</f>
        <v>35997905.681365974</v>
      </c>
      <c r="AE256" s="193">
        <f>(((H256*'Appendix K'!$C$11*1000)-('Appendix K'!$E$37+'Appendix K'!$F$37+'Appendix K'!$H$37+'Appendix K'!$G$37))/((1+$Y$16)^AE$34))</f>
        <v>25775600.803079087</v>
      </c>
      <c r="AF256" s="193">
        <f>(((I256*'Appendix K'!$C$12*1000)-('Appendix K'!$E$38+'Appendix K'!$F$38+'Appendix K'!$H$38+'Appendix K'!$G$38))/((1+$Y$16)^AF$34))</f>
        <v>9666978.3952197973</v>
      </c>
      <c r="AG256" s="193">
        <f>(((J256*'Appendix K'!$C$13*1000)-('Appendix K'!$E$39+'Appendix K'!$F$39+'Appendix K'!$H$39+'Appendix K'!$G$39))/((1+$Y$16)^AG$34))</f>
        <v>9713020.7220020164</v>
      </c>
      <c r="AH256" s="193">
        <f>(((K256*'Appendix K'!$C$14*1000)-('Appendix K'!$E$40+'Appendix K'!$F$40+'Appendix K'!$H$40+'Appendix K'!$G$40))/((1+$Y$16)^AH$34))</f>
        <v>7814874.5217013787</v>
      </c>
      <c r="AI256" s="193">
        <f>(((L256*'Appendix K'!$C$15*1000)-('Appendix K'!$E$41+'Appendix K'!$F$41+'Appendix K'!$H$41+'Appendix K'!$G$41))/((1+$Y$16)^AI$34))</f>
        <v>5510820.9229295878</v>
      </c>
      <c r="AJ256" s="193">
        <f>(((M256*'Appendix K'!$C$16*1000)-('Appendix K'!$E$42+'Appendix K'!$F$42+'Appendix K'!$H$42+'Appendix K'!$G$42))/((1+$Y$16)^AJ$34))</f>
        <v>3031038.0063092317</v>
      </c>
      <c r="AK256" s="193">
        <f>(((N256*'Appendix K'!$C$17*1000)-('Appendix K'!$E$43+'Appendix K'!$F$43+'Appendix K'!$H$43))/((1+$Y$16)^AK$34))</f>
        <v>2774774.5812547356</v>
      </c>
      <c r="AL256" s="193">
        <f>(((O256*'Appendix K'!$C$18*1000)-('Appendix K'!$E$44+'Appendix K'!$F$44+'Appendix K'!$H$44+'Appendix K'!$G$44))/((1+$Y$16)^AL$34))</f>
        <v>2190141.3188468572</v>
      </c>
      <c r="AM256" s="193">
        <f>(((P256*'Appendix K'!$C$19*1000)-('Appendix K'!$E$45+'Appendix K'!$F$45+'Appendix K'!$H$45+'Appendix K'!$G$45))/((1+$Y$16)^AM$34))</f>
        <v>938179.83973126812</v>
      </c>
      <c r="AN256" s="193">
        <f>(((Q256*'Appendix K'!$C$20*1000)-('Appendix K'!$E$46+'Appendix K'!$F$46+'Appendix K'!$H$46+'Appendix K'!$G$46))/((1+$Y$16)^AN$34))</f>
        <v>142013.14101843562</v>
      </c>
      <c r="AO256" s="193">
        <f>(((R256*'Appendix K'!$C$21*1000)-('Appendix K'!$E$47+'Appendix K'!$F$47+'Appendix K'!$H$47+'Appendix K'!$G$47))/((1+$Y$16)^AO$34))</f>
        <v>-36596.908291255451</v>
      </c>
      <c r="AP256" s="193">
        <f>(((S256*'Appendix K'!$C$22*1000)-('Appendix K'!$E$48+'Appendix K'!$F$48+'Appendix K'!$H$48+'Appendix K'!$G$48))/((1+$Y$16)^AP$34))</f>
        <v>-237059.55245549692</v>
      </c>
      <c r="AQ256" s="193">
        <f>(((T256*'Appendix K'!$C$23*1000)-('Appendix K'!$E$49+'Appendix K'!$F$49+'Appendix K'!$H$49+'Appendix K'!$G$49))/((1+$Y$16)^AQ$34))</f>
        <v>-105353.43900167978</v>
      </c>
      <c r="AR256" s="193">
        <f>(((U256*'Appendix K'!$C$24*1000)-('Appendix K'!$E$50+'Appendix K'!$F$50+'Appendix K'!$H$50+'Appendix K'!$G$50))/((1+$Y$16)^AR$34))</f>
        <v>-54203.819521997495</v>
      </c>
      <c r="AS256" s="209">
        <f t="shared" si="22"/>
        <v>234862729.88054049</v>
      </c>
      <c r="AU256" s="199">
        <f t="shared" si="21"/>
        <v>2.4273317907634319E-10</v>
      </c>
    </row>
    <row r="257" spans="1:47" x14ac:dyDescent="0.35">
      <c r="A257">
        <v>223</v>
      </c>
      <c r="B257" s="70">
        <v>56</v>
      </c>
      <c r="C257" s="70">
        <v>67.309297272460185</v>
      </c>
      <c r="D257" s="70">
        <v>96.535030768063763</v>
      </c>
      <c r="E257" s="70">
        <v>61.538675396832971</v>
      </c>
      <c r="F257" s="70">
        <v>23.858033403907967</v>
      </c>
      <c r="G257" s="70">
        <v>21.970626363905161</v>
      </c>
      <c r="H257" s="70">
        <v>22.740045242429417</v>
      </c>
      <c r="I257" s="70">
        <v>15.863942021478293</v>
      </c>
      <c r="J257" s="70">
        <v>16.366590635877895</v>
      </c>
      <c r="K257" s="70">
        <v>16.24237702947897</v>
      </c>
      <c r="L257" s="70">
        <v>19.08388593778216</v>
      </c>
      <c r="M257" s="70">
        <v>23.208316323653612</v>
      </c>
      <c r="N257" s="70">
        <v>20.642523609348139</v>
      </c>
      <c r="O257" s="70">
        <v>33.423300214668828</v>
      </c>
      <c r="P257" s="70">
        <v>31.711195149923974</v>
      </c>
      <c r="Q257" s="70">
        <v>32.038121902927642</v>
      </c>
      <c r="R257" s="70">
        <v>27.571394441246046</v>
      </c>
      <c r="S257" s="70">
        <v>25.291225054897939</v>
      </c>
      <c r="T257" s="70">
        <v>18.475898343435961</v>
      </c>
      <c r="U257" s="70">
        <v>27.129331206227384</v>
      </c>
      <c r="V257" s="70">
        <v>28.639358043722329</v>
      </c>
      <c r="X257" s="193">
        <f>((0-('Appendix K'!$I$30))/(1+$Y$16)^0)</f>
        <v>-33594902.4440751</v>
      </c>
      <c r="Y257" s="193">
        <f>(((B257*'Appendix K'!$C$5*1000)-('Appendix K'!$E$31+'Appendix K'!$F$31+'Appendix K'!$H$31+'Appendix K'!$G$31))/((1+$Y$16)^1))</f>
        <v>34971064.972647354</v>
      </c>
      <c r="Z257" s="193">
        <f>+(((C257*'Appendix K'!$C$6*1000)-('Appendix K'!$E$32+'Appendix K'!$F$32+'Appendix K'!$H$32+'Appendix K'!$G$32))/((1+$Y$16)^2))</f>
        <v>13516232.020400463</v>
      </c>
      <c r="AA257" s="193">
        <f>(((D257*'Appendix K'!$C$7*1000)-('Appendix K'!$E$33+'Appendix K'!$F$33+'Appendix K'!$H$33+'Appendix K'!$G$33))/((1+$Y$16)^3))</f>
        <v>9331239.1592812538</v>
      </c>
      <c r="AB257" s="193">
        <f>(((E257*'Appendix K'!$C$8*1000)-('Appendix K'!$E$34+'Appendix K'!$F$34+'Appendix K'!$H$34+'Appendix K'!$G$34))/((1+$Y$16)^4))</f>
        <v>10195506.425778942</v>
      </c>
      <c r="AC257" s="193">
        <f>(((F257*'Appendix K'!$C$9*1000)-('Appendix K'!$E$35+'Appendix K'!$F$35+'Appendix K'!$H$35+'Appendix K'!$G$35))/((1+$Y$16)^AC$34))</f>
        <v>3357199.2957642428</v>
      </c>
      <c r="AD257" s="193">
        <f>(((G257*'Appendix K'!$C$10*1000)-('Appendix K'!$E$36+'Appendix K'!$F$36+'Appendix K'!$H$36+'Appendix K'!$G$36))/((1+$Y$16)^AD$34))</f>
        <v>934591.00368531107</v>
      </c>
      <c r="AE257" s="193">
        <f>(((H257*'Appendix K'!$C$11*1000)-('Appendix K'!$E$37+'Appendix K'!$F$37+'Appendix K'!$H$37+'Appendix K'!$G$37))/((1+$Y$16)^AE$34))</f>
        <v>48097.226723905267</v>
      </c>
      <c r="AF257" s="193">
        <f>(((I257*'Appendix K'!$C$12*1000)-('Appendix K'!$E$38+'Appendix K'!$F$38+'Appendix K'!$H$38+'Appendix K'!$G$38))/((1+$Y$16)^AF$34))</f>
        <v>-954914.07510813151</v>
      </c>
      <c r="AG257" s="193">
        <f>(((J257*'Appendix K'!$C$13*1000)-('Appendix K'!$E$39+'Appendix K'!$F$39+'Appendix K'!$H$39+'Appendix K'!$G$39))/((1+$Y$16)^AG$34))</f>
        <v>-1061770.8402629562</v>
      </c>
      <c r="AH257" s="193">
        <f>(((K257*'Appendix K'!$C$14*1000)-('Appendix K'!$E$40+'Appendix K'!$F$40+'Appendix K'!$H$40+'Appendix K'!$G$40))/((1+$Y$16)^AH$34))</f>
        <v>-1085267.0401320278</v>
      </c>
      <c r="AI257" s="193">
        <f>(((L257*'Appendix K'!$C$15*1000)-('Appendix K'!$E$41+'Appendix K'!$F$41+'Appendix K'!$H$41+'Appendix K'!$G$41))/((1+$Y$16)^AI$34))</f>
        <v>-1016447.8497194409</v>
      </c>
      <c r="AJ257" s="193">
        <f>(((M257*'Appendix K'!$C$16*1000)-('Appendix K'!$E$42+'Appendix K'!$F$42+'Appendix K'!$H$42+'Appendix K'!$G$42))/((1+$Y$16)^AJ$34))</f>
        <v>-916412.97016709135</v>
      </c>
      <c r="AK257" s="193">
        <f>(((N257*'Appendix K'!$C$17*1000)-('Appendix K'!$E$43+'Appendix K'!$F$43+'Appendix K'!$H$43))/((1+$Y$16)^AK$34))</f>
        <v>-687109.00027903123</v>
      </c>
      <c r="AL257" s="193">
        <f>(((O257*'Appendix K'!$C$18*1000)-('Appendix K'!$E$44+'Appendix K'!$F$44+'Appendix K'!$H$44+'Appendix K'!$G$44))/((1+$Y$16)^AL$34))</f>
        <v>-738412.91334857908</v>
      </c>
      <c r="AM257" s="193">
        <f>(((P257*'Appendix K'!$C$19*1000)-('Appendix K'!$E$45+'Appendix K'!$F$45+'Appendix K'!$H$45+'Appendix K'!$G$45))/((1+$Y$16)^AM$34))</f>
        <v>-732843.37945617945</v>
      </c>
      <c r="AN257" s="193">
        <f>(((Q257*'Appendix K'!$C$20*1000)-('Appendix K'!$E$46+'Appendix K'!$F$46+'Appendix K'!$H$46+'Appendix K'!$G$46))/((1+$Y$16)^AN$34))</f>
        <v>-683874.03999864648</v>
      </c>
      <c r="AO257" s="193">
        <f>(((R257*'Appendix K'!$C$21*1000)-('Appendix K'!$E$47+'Appendix K'!$F$47+'Appendix K'!$H$47+'Appendix K'!$G$47))/((1+$Y$16)^AO$34))</f>
        <v>-680048.93814447208</v>
      </c>
      <c r="AP257" s="193">
        <f>(((S257*'Appendix K'!$C$22*1000)-('Appendix K'!$E$48+'Appendix K'!$F$48+'Appendix K'!$H$48+'Appendix K'!$G$48))/((1+$Y$16)^AP$34))</f>
        <v>-643315.36299671943</v>
      </c>
      <c r="AQ257" s="193">
        <f>(((T257*'Appendix K'!$C$23*1000)-('Appendix K'!$E$49+'Appendix K'!$F$49+'Appendix K'!$H$49+'Appendix K'!$G$49))/((1+$Y$16)^AQ$34))</f>
        <v>-621175.69534685987</v>
      </c>
      <c r="AR257" s="193">
        <f>(((U257*'Appendix K'!$C$24*1000)-('Appendix K'!$E$50+'Appendix K'!$F$50+'Appendix K'!$H$50+'Appendix K'!$G$50))/((1+$Y$16)^AR$34))</f>
        <v>-541931.66269136046</v>
      </c>
      <c r="AS257" s="209">
        <f t="shared" si="22"/>
        <v>38759027.66020637</v>
      </c>
      <c r="AU257" s="199">
        <f t="shared" si="21"/>
        <v>4.852781456563633E-9</v>
      </c>
    </row>
    <row r="258" spans="1:47" x14ac:dyDescent="0.35">
      <c r="A258">
        <v>224</v>
      </c>
      <c r="B258" s="70">
        <v>56</v>
      </c>
      <c r="C258" s="70">
        <v>63.0388100055157</v>
      </c>
      <c r="D258" s="70">
        <v>87.460864585302716</v>
      </c>
      <c r="E258" s="70">
        <v>102.52235111101825</v>
      </c>
      <c r="F258" s="70">
        <v>157.81803178855705</v>
      </c>
      <c r="G258" s="70">
        <v>95.25009861374599</v>
      </c>
      <c r="H258" s="70">
        <v>130.31667077480557</v>
      </c>
      <c r="I258" s="70">
        <v>172.70123609512061</v>
      </c>
      <c r="J258" s="70">
        <v>20.897235887676743</v>
      </c>
      <c r="K258" s="70">
        <v>18.886556735370448</v>
      </c>
      <c r="L258" s="70">
        <v>9.614050794917361</v>
      </c>
      <c r="M258" s="70">
        <v>3.4217660183775136</v>
      </c>
      <c r="N258" s="70">
        <v>3.0591490412376627</v>
      </c>
      <c r="O258" s="70">
        <v>3.1705073880599457</v>
      </c>
      <c r="P258" s="70">
        <v>4.0103914978091195</v>
      </c>
      <c r="Q258" s="70">
        <v>3.769316854129058</v>
      </c>
      <c r="R258" s="70">
        <v>3.7307711231259635</v>
      </c>
      <c r="S258" s="70">
        <v>5.9084823011611558</v>
      </c>
      <c r="T258" s="70">
        <v>5.7247626843448414</v>
      </c>
      <c r="U258" s="70">
        <v>8.553559742273638</v>
      </c>
      <c r="V258" s="70">
        <v>7.842333345846396</v>
      </c>
      <c r="X258" s="193">
        <f>((0-('Appendix K'!$I$30))/(1+$Y$16)^0)</f>
        <v>-33594902.4440751</v>
      </c>
      <c r="Y258" s="193">
        <f>(((B258*'Appendix K'!$C$5*1000)-('Appendix K'!$E$31+'Appendix K'!$F$31+'Appendix K'!$H$31+'Appendix K'!$G$31))/((1+$Y$16)^1))</f>
        <v>34971064.972647354</v>
      </c>
      <c r="Z258" s="193">
        <f>+(((C258*'Appendix K'!$C$6*1000)-('Appendix K'!$E$32+'Appendix K'!$F$32+'Appendix K'!$H$32+'Appendix K'!$G$32))/((1+$Y$16)^2))</f>
        <v>12437433.898096656</v>
      </c>
      <c r="AA258" s="193">
        <f>(((D258*'Appendix K'!$C$7*1000)-('Appendix K'!$E$33+'Appendix K'!$F$33+'Appendix K'!$H$33+'Appendix K'!$G$33))/((1+$Y$16)^3))</f>
        <v>8175418.3999925759</v>
      </c>
      <c r="AB258" s="193">
        <f>(((E258*'Appendix K'!$C$8*1000)-('Appendix K'!$E$34+'Appendix K'!$F$34+'Appendix K'!$H$34+'Appendix K'!$G$34))/((1+$Y$16)^4))</f>
        <v>19178752.972887386</v>
      </c>
      <c r="AC258" s="193">
        <f>(((F258*'Appendix K'!$C$9*1000)-('Appendix K'!$E$35+'Appendix K'!$F$35+'Appendix K'!$H$35+'Appendix K'!$G$35))/((1+$Y$16)^AC$34))</f>
        <v>38963556.511458315</v>
      </c>
      <c r="AD258" s="193">
        <f>(((G258*'Appendix K'!$C$10*1000)-('Appendix K'!$E$36+'Appendix K'!$F$36+'Appendix K'!$H$36+'Appendix K'!$G$36))/((1+$Y$16)^AD$34))</f>
        <v>12442688.890830697</v>
      </c>
      <c r="AE258" s="193">
        <f>(((H258*'Appendix K'!$C$11*1000)-('Appendix K'!$E$37+'Appendix K'!$F$37+'Appendix K'!$H$37+'Appendix K'!$G$37))/((1+$Y$16)^AE$34))</f>
        <v>10777534.775553372</v>
      </c>
      <c r="AF258" s="193">
        <f>(((I258*'Appendix K'!$C$12*1000)-('Appendix K'!$E$38+'Appendix K'!$F$38+'Appendix K'!$H$38+'Appendix K'!$G$38))/((1+$Y$16)^AF$34))</f>
        <v>9343403.3040026333</v>
      </c>
      <c r="AG258" s="193">
        <f>(((J258*'Appendix K'!$C$13*1000)-('Appendix K'!$E$39+'Appendix K'!$F$39+'Appendix K'!$H$39+'Appendix K'!$G$39))/((1+$Y$16)^AG$34))</f>
        <v>-853275.38195902004</v>
      </c>
      <c r="AH258" s="193">
        <f>(((K258*'Appendix K'!$C$14*1000)-('Appendix K'!$E$40+'Appendix K'!$F$40+'Appendix K'!$H$40+'Appendix K'!$G$40))/((1+$Y$16)^AH$34))</f>
        <v>-996140.92612731422</v>
      </c>
      <c r="AI258" s="193">
        <f>(((L258*'Appendix K'!$C$15*1000)-('Appendix K'!$E$41+'Appendix K'!$F$41+'Appendix K'!$H$41+'Appendix K'!$G$41))/((1+$Y$16)^AI$34))</f>
        <v>-1264575.2391410507</v>
      </c>
      <c r="AJ258" s="193">
        <f>(((M258*'Appendix K'!$C$16*1000)-('Appendix K'!$E$42+'Appendix K'!$F$42+'Appendix K'!$H$42+'Appendix K'!$G$42))/((1+$Y$16)^AJ$34))</f>
        <v>-1312972.3793379082</v>
      </c>
      <c r="AK258" s="193">
        <f>(((N258*'Appendix K'!$C$17*1000)-('Appendix K'!$E$43+'Appendix K'!$F$43+'Appendix K'!$H$43))/((1+$Y$16)^AK$34))</f>
        <v>-957258.16419039015</v>
      </c>
      <c r="AL258" s="193">
        <f>(((O258*'Appendix K'!$C$18*1000)-('Appendix K'!$E$44+'Appendix K'!$F$44+'Appendix K'!$H$44+'Appendix K'!$G$44))/((1+$Y$16)^AL$34))</f>
        <v>-1097008.1686709821</v>
      </c>
      <c r="AM258" s="193">
        <f>(((P258*'Appendix K'!$C$19*1000)-('Appendix K'!$E$45+'Appendix K'!$F$45+'Appendix K'!$H$45+'Appendix K'!$G$45))/((1+$Y$16)^AM$34))</f>
        <v>-989594.69893803715</v>
      </c>
      <c r="AN258" s="193">
        <f>(((Q258*'Appendix K'!$C$20*1000)-('Appendix K'!$E$46+'Appendix K'!$F$46+'Appendix K'!$H$46+'Appendix K'!$G$46))/((1+$Y$16)^AN$34))</f>
        <v>-888433.24457789818</v>
      </c>
      <c r="AO258" s="193">
        <f>(((R258*'Appendix K'!$C$21*1000)-('Appendix K'!$E$47+'Appendix K'!$F$47+'Appendix K'!$H$47+'Appendix K'!$G$47))/((1+$Y$16)^AO$34))</f>
        <v>-820949.65586758521</v>
      </c>
      <c r="AP258" s="193">
        <f>(((S258*'Appendix K'!$C$22*1000)-('Appendix K'!$E$48+'Appendix K'!$F$48+'Appendix K'!$H$48+'Appendix K'!$G$48))/((1+$Y$16)^AP$34))</f>
        <v>-736153.26085919223</v>
      </c>
      <c r="AQ258" s="193">
        <f>(((T258*'Appendix K'!$C$23*1000)-('Appendix K'!$E$49+'Appendix K'!$F$49+'Appendix K'!$H$49+'Appendix K'!$G$49))/((1+$Y$16)^AQ$34))</f>
        <v>-671080.37594209518</v>
      </c>
      <c r="AR258" s="193">
        <f>(((U258*'Appendix K'!$C$24*1000)-('Appendix K'!$E$50+'Appendix K'!$F$50+'Appendix K'!$H$50+'Appendix K'!$G$50))/((1+$Y$16)^AR$34))</f>
        <v>-601746.16727720492</v>
      </c>
      <c r="AS258" s="209">
        <f t="shared" si="22"/>
        <v>112694951.28139389</v>
      </c>
      <c r="AU258" s="199">
        <f t="shared" si="21"/>
        <v>6.3757759895717357E-9</v>
      </c>
    </row>
    <row r="259" spans="1:47" x14ac:dyDescent="0.35">
      <c r="A259">
        <v>225</v>
      </c>
      <c r="B259" s="70">
        <v>56</v>
      </c>
      <c r="C259" s="70">
        <v>86.708482051621189</v>
      </c>
      <c r="D259" s="70">
        <v>58.903194008765979</v>
      </c>
      <c r="E259" s="70">
        <v>43.556256492222474</v>
      </c>
      <c r="F259" s="70">
        <v>75.196742818804182</v>
      </c>
      <c r="G259" s="70">
        <v>106.73028765890828</v>
      </c>
      <c r="H259" s="70">
        <v>103.92912218215864</v>
      </c>
      <c r="I259" s="70">
        <v>98.076216904906062</v>
      </c>
      <c r="J259" s="70">
        <v>76.319237020598393</v>
      </c>
      <c r="K259" s="70">
        <v>116.84774383121514</v>
      </c>
      <c r="L259" s="70">
        <v>136.05641686536259</v>
      </c>
      <c r="M259" s="70">
        <v>144.94045382301638</v>
      </c>
      <c r="N259" s="70">
        <v>204.44323960943876</v>
      </c>
      <c r="O259" s="70">
        <v>217.77953702175591</v>
      </c>
      <c r="P259" s="70">
        <v>221.61349846753981</v>
      </c>
      <c r="Q259" s="70">
        <v>249.8063499598945</v>
      </c>
      <c r="R259" s="70">
        <v>327.82078120212475</v>
      </c>
      <c r="S259" s="70">
        <v>402.9919364617723</v>
      </c>
      <c r="T259" s="70">
        <v>285.12819468041829</v>
      </c>
      <c r="U259" s="70">
        <v>227.74789602909121</v>
      </c>
      <c r="V259" s="70">
        <v>233.25020945720792</v>
      </c>
      <c r="X259" s="193">
        <f>((0-('Appendix K'!$I$30))/(1+$Y$16)^0)</f>
        <v>-33594902.4440751</v>
      </c>
      <c r="Y259" s="193">
        <f>(((B259*'Appendix K'!$C$5*1000)-('Appendix K'!$E$31+'Appendix K'!$F$31+'Appendix K'!$H$31+'Appendix K'!$G$31))/((1+$Y$16)^1))</f>
        <v>34971064.972647354</v>
      </c>
      <c r="Z259" s="193">
        <f>+(((C259*'Appendix K'!$C$6*1000)-('Appendix K'!$E$32+'Appendix K'!$F$32+'Appendix K'!$H$32+'Appendix K'!$G$32))/((1+$Y$16)^2))</f>
        <v>18416797.882280976</v>
      </c>
      <c r="AA259" s="193">
        <f>(((D259*'Appendix K'!$C$7*1000)-('Appendix K'!$E$33+'Appendix K'!$F$33+'Appendix K'!$H$33+'Appendix K'!$G$33))/((1+$Y$16)^3))</f>
        <v>4537888.7554511447</v>
      </c>
      <c r="AB259" s="193">
        <f>(((E259*'Appendix K'!$C$8*1000)-('Appendix K'!$E$34+'Appendix K'!$F$34+'Appendix K'!$H$34+'Appendix K'!$G$34))/((1+$Y$16)^4))</f>
        <v>6253924.8150893133</v>
      </c>
      <c r="AC259" s="193">
        <f>(((F259*'Appendix K'!$C$9*1000)-('Appendix K'!$E$35+'Appendix K'!$F$35+'Appendix K'!$H$35+'Appendix K'!$G$35))/((1+$Y$16)^AC$34))</f>
        <v>17002947.642003294</v>
      </c>
      <c r="AD259" s="193">
        <f>(((G259*'Appendix K'!$C$10*1000)-('Appendix K'!$E$36+'Appendix K'!$F$36+'Appendix K'!$H$36+'Appendix K'!$G$36))/((1+$Y$16)^AD$34))</f>
        <v>14245583.142637329</v>
      </c>
      <c r="AE259" s="193">
        <f>(((H259*'Appendix K'!$C$11*1000)-('Appendix K'!$E$37+'Appendix K'!$F$37+'Appendix K'!$H$37+'Appendix K'!$G$37))/((1+$Y$16)^AE$34))</f>
        <v>8145703.24811529</v>
      </c>
      <c r="AF259" s="193">
        <f>(((I259*'Appendix K'!$C$12*1000)-('Appendix K'!$E$38+'Appendix K'!$F$38+'Appendix K'!$H$38+'Appendix K'!$G$38))/((1+$Y$16)^AF$34))</f>
        <v>4443343.4261383219</v>
      </c>
      <c r="AG259" s="193">
        <f>(((J259*'Appendix K'!$C$13*1000)-('Appendix K'!$E$39+'Appendix K'!$F$39+'Appendix K'!$H$39+'Appendix K'!$G$39))/((1+$Y$16)^AG$34))</f>
        <v>1697185.950616485</v>
      </c>
      <c r="AH259" s="193">
        <f>(((K259*'Appendix K'!$C$14*1000)-('Appendix K'!$E$40+'Appendix K'!$F$40+'Appendix K'!$H$40+'Appendix K'!$G$40))/((1+$Y$16)^AH$34))</f>
        <v>2305790.4477834962</v>
      </c>
      <c r="AI259" s="193">
        <f>(((L259*'Appendix K'!$C$15*1000)-('Appendix K'!$E$41+'Appendix K'!$F$41+'Appendix K'!$H$41+'Appendix K'!$G$41))/((1+$Y$16)^AI$34))</f>
        <v>2048451.2002885947</v>
      </c>
      <c r="AJ259" s="193">
        <f>(((M259*'Appendix K'!$C$16*1000)-('Appendix K'!$E$42+'Appendix K'!$F$42+'Appendix K'!$H$42+'Appendix K'!$G$42))/((1+$Y$16)^AJ$34))</f>
        <v>1523326.3365363944</v>
      </c>
      <c r="AK259" s="193">
        <f>(((N259*'Appendix K'!$C$17*1000)-('Appendix K'!$E$43+'Appendix K'!$F$43+'Appendix K'!$H$43))/((1+$Y$16)^AK$34))</f>
        <v>2136786.3539032238</v>
      </c>
      <c r="AL259" s="193">
        <f>(((O259*'Appendix K'!$C$18*1000)-('Appendix K'!$E$44+'Appendix K'!$F$44+'Appendix K'!$H$44+'Appendix K'!$G$44))/((1+$Y$16)^AL$34))</f>
        <v>1446815.8087404536</v>
      </c>
      <c r="AM259" s="193">
        <f>(((P259*'Appendix K'!$C$19*1000)-('Appendix K'!$E$45+'Appendix K'!$F$45+'Appendix K'!$H$45+'Appendix K'!$G$45))/((1+$Y$16)^AM$34))</f>
        <v>1027310.1367296001</v>
      </c>
      <c r="AN259" s="193">
        <f>(((Q259*'Appendix K'!$C$20*1000)-('Appendix K'!$E$46+'Appendix K'!$F$46+'Appendix K'!$H$46+'Appendix K'!$G$46))/((1+$Y$16)^AN$34))</f>
        <v>891944.09016527503</v>
      </c>
      <c r="AO259" s="193">
        <f>(((R259*'Appendix K'!$C$21*1000)-('Appendix K'!$E$47+'Appendix K'!$F$47+'Appendix K'!$H$47+'Appendix K'!$G$47))/((1+$Y$16)^AO$34))</f>
        <v>1094458.1091766511</v>
      </c>
      <c r="AP259" s="193">
        <f>(((S259*'Appendix K'!$C$22*1000)-('Appendix K'!$E$48+'Appendix K'!$F$48+'Appendix K'!$H$48+'Appendix K'!$G$48))/((1+$Y$16)^AP$34))</f>
        <v>1165765.0397968714</v>
      </c>
      <c r="AQ259" s="193">
        <f>(((T259*'Appendix K'!$C$23*1000)-('Appendix K'!$E$49+'Appendix K'!$F$49+'Appendix K'!$H$49+'Appendix K'!$G$49))/((1+$Y$16)^AQ$34))</f>
        <v>422433.12777749868</v>
      </c>
      <c r="AR259" s="193">
        <f>(((U259*'Appendix K'!$C$24*1000)-('Appendix K'!$E$50+'Appendix K'!$F$50+'Appendix K'!$H$50+'Appendix K'!$G$50))/((1+$Y$16)^AR$34))</f>
        <v>104065.73714145532</v>
      </c>
      <c r="AS259" s="209">
        <f t="shared" si="22"/>
        <v>90286683.778943926</v>
      </c>
      <c r="AU259" s="199">
        <f t="shared" si="21"/>
        <v>7.0219000425841425E-9</v>
      </c>
    </row>
    <row r="260" spans="1:47" x14ac:dyDescent="0.35">
      <c r="A260">
        <v>226</v>
      </c>
      <c r="B260" s="70">
        <v>56</v>
      </c>
      <c r="C260" s="70">
        <v>82.642017770710453</v>
      </c>
      <c r="D260" s="70">
        <v>80.574503334666716</v>
      </c>
      <c r="E260" s="70">
        <v>132.78577476886679</v>
      </c>
      <c r="F260" s="70">
        <v>188.7002071061703</v>
      </c>
      <c r="G260" s="70">
        <v>178.01152437936804</v>
      </c>
      <c r="H260" s="70">
        <v>65.55390768425373</v>
      </c>
      <c r="I260" s="70">
        <v>76.383103012627132</v>
      </c>
      <c r="J260" s="70">
        <v>59.528957296434143</v>
      </c>
      <c r="K260" s="70">
        <v>60.839100653953828</v>
      </c>
      <c r="L260" s="70">
        <v>76.731653091400688</v>
      </c>
      <c r="M260" s="70">
        <v>106.61498724452713</v>
      </c>
      <c r="N260" s="70">
        <v>136.14490632809242</v>
      </c>
      <c r="O260" s="70">
        <v>212.99574545984007</v>
      </c>
      <c r="P260" s="70">
        <v>165.82267143670288</v>
      </c>
      <c r="Q260" s="70">
        <v>261.36933266531065</v>
      </c>
      <c r="R260" s="70">
        <v>441.51328611998656</v>
      </c>
      <c r="S260" s="70">
        <v>245.89536646633937</v>
      </c>
      <c r="T260" s="70">
        <v>290.01263893844703</v>
      </c>
      <c r="U260" s="70">
        <v>334.15089725133413</v>
      </c>
      <c r="V260" s="70">
        <v>323.03333940556206</v>
      </c>
      <c r="X260" s="193">
        <f>((0-('Appendix K'!$I$30))/(1+$Y$16)^0)</f>
        <v>-33594902.4440751</v>
      </c>
      <c r="Y260" s="193">
        <f>(((B260*'Appendix K'!$C$5*1000)-('Appendix K'!$E$31+'Appendix K'!$F$31+'Appendix K'!$H$31+'Appendix K'!$G$31))/((1+$Y$16)^1))</f>
        <v>34971064.972647354</v>
      </c>
      <c r="Z260" s="193">
        <f>+(((C260*'Appendix K'!$C$6*1000)-('Appendix K'!$E$32+'Appendix K'!$F$32+'Appendix K'!$H$32+'Appendix K'!$G$32))/((1+$Y$16)^2))</f>
        <v>17389539.455679741</v>
      </c>
      <c r="AA260" s="193">
        <f>(((D260*'Appendix K'!$C$7*1000)-('Appendix K'!$E$33+'Appendix K'!$F$33+'Appendix K'!$H$33+'Appendix K'!$G$33))/((1+$Y$16)^3))</f>
        <v>7298269.0146785416</v>
      </c>
      <c r="AB260" s="193">
        <f>(((E260*'Appendix K'!$C$8*1000)-('Appendix K'!$E$34+'Appendix K'!$F$34+'Appendix K'!$H$34+'Appendix K'!$G$34))/((1+$Y$16)^4))</f>
        <v>25812218.403708901</v>
      </c>
      <c r="AC260" s="193">
        <f>(((F260*'Appendix K'!$C$9*1000)-('Appendix K'!$E$35+'Appendix K'!$F$35+'Appendix K'!$H$35+'Appendix K'!$G$35))/((1+$Y$16)^AC$34))</f>
        <v>47171990.217162468</v>
      </c>
      <c r="AD260" s="193">
        <f>(((G260*'Appendix K'!$C$10*1000)-('Appendix K'!$E$36+'Appendix K'!$F$36+'Appendix K'!$H$36+'Appendix K'!$G$36))/((1+$Y$16)^AD$34))</f>
        <v>25439870.22618841</v>
      </c>
      <c r="AE260" s="193">
        <f>(((H260*'Appendix K'!$C$11*1000)-('Appendix K'!$E$37+'Appendix K'!$F$37+'Appendix K'!$H$37+'Appendix K'!$G$37))/((1+$Y$16)^AE$34))</f>
        <v>4318250.3480028231</v>
      </c>
      <c r="AF260" s="193">
        <f>(((I260*'Appendix K'!$C$12*1000)-('Appendix K'!$E$38+'Appendix K'!$F$38+'Appendix K'!$H$38+'Appendix K'!$G$38))/((1+$Y$16)^AF$34))</f>
        <v>3018920.9179370045</v>
      </c>
      <c r="AG260" s="193">
        <f>(((J260*'Appendix K'!$C$13*1000)-('Appendix K'!$E$39+'Appendix K'!$F$39+'Appendix K'!$H$39+'Appendix K'!$G$39))/((1+$Y$16)^AG$34))</f>
        <v>924515.20029653958</v>
      </c>
      <c r="AH260" s="193">
        <f>(((K260*'Appendix K'!$C$14*1000)-('Appendix K'!$E$40+'Appendix K'!$F$40+'Appendix K'!$H$40+'Appendix K'!$G$40))/((1+$Y$16)^AH$34))</f>
        <v>417933.61795319075</v>
      </c>
      <c r="AI260" s="193">
        <f>(((L260*'Appendix K'!$C$15*1000)-('Appendix K'!$E$41+'Appendix K'!$F$41+'Appendix K'!$H$41+'Appendix K'!$G$41))/((1+$Y$16)^AI$34))</f>
        <v>494031.45155854983</v>
      </c>
      <c r="AJ260" s="193">
        <f>(((M260*'Appendix K'!$C$16*1000)-('Appendix K'!$E$42+'Appendix K'!$F$42+'Appendix K'!$H$42+'Appendix K'!$G$42))/((1+$Y$16)^AJ$34))</f>
        <v>755212.43350252684</v>
      </c>
      <c r="AK260" s="193">
        <f>(((N260*'Appendix K'!$C$17*1000)-('Appendix K'!$E$43+'Appendix K'!$F$43+'Appendix K'!$H$43))/((1+$Y$16)^AK$34))</f>
        <v>1087457.7645005025</v>
      </c>
      <c r="AL260" s="193">
        <f>(((O260*'Appendix K'!$C$18*1000)-('Appendix K'!$E$44+'Appendix K'!$F$44+'Appendix K'!$H$44+'Appendix K'!$G$44))/((1+$Y$16)^AL$34))</f>
        <v>1390112.1197162271</v>
      </c>
      <c r="AM260" s="193">
        <f>(((P260*'Appendix K'!$C$19*1000)-('Appendix K'!$E$45+'Appendix K'!$F$45+'Appendix K'!$H$45+'Appendix K'!$G$45))/((1+$Y$16)^AM$34))</f>
        <v>510199.92451170064</v>
      </c>
      <c r="AN260" s="193">
        <f>(((Q260*'Appendix K'!$C$20*1000)-('Appendix K'!$E$46+'Appendix K'!$F$46+'Appendix K'!$H$46+'Appendix K'!$G$46))/((1+$Y$16)^AN$34))</f>
        <v>975616.3409272189</v>
      </c>
      <c r="AO260" s="193">
        <f>(((R260*'Appendix K'!$C$21*1000)-('Appendix K'!$E$47+'Appendix K'!$F$47+'Appendix K'!$H$47+'Appendix K'!$G$47))/((1+$Y$16)^AO$34))</f>
        <v>1766393.3739937325</v>
      </c>
      <c r="AP260" s="193">
        <f>(((S260*'Appendix K'!$C$22*1000)-('Appendix K'!$E$48+'Appendix K'!$F$48+'Appendix K'!$H$48+'Appendix K'!$G$48))/((1+$Y$16)^AP$34))</f>
        <v>413316.5599774163</v>
      </c>
      <c r="AQ260" s="193">
        <f>(((T260*'Appendix K'!$C$23*1000)-('Appendix K'!$E$49+'Appendix K'!$F$49+'Appendix K'!$H$49+'Appendix K'!$G$49))/((1+$Y$16)^AQ$34))</f>
        <v>441549.59215362399</v>
      </c>
      <c r="AR260" s="193">
        <f>(((U260*'Appendix K'!$C$24*1000)-('Appendix K'!$E$50+'Appendix K'!$F$50+'Appendix K'!$H$50+'Appendix K'!$G$50))/((1+$Y$16)^AR$34))</f>
        <v>446686.38236772036</v>
      </c>
      <c r="AS260" s="209">
        <f t="shared" si="22"/>
        <v>141448245.87338912</v>
      </c>
      <c r="AU260" s="199">
        <f t="shared" si="21"/>
        <v>4.4828935063820693E-9</v>
      </c>
    </row>
    <row r="261" spans="1:47" x14ac:dyDescent="0.35">
      <c r="A261">
        <v>227</v>
      </c>
      <c r="B261" s="70">
        <v>56</v>
      </c>
      <c r="C261" s="70">
        <v>75.403481358799439</v>
      </c>
      <c r="D261" s="70">
        <v>72.466277035939683</v>
      </c>
      <c r="E261" s="70">
        <v>44.607371405746221</v>
      </c>
      <c r="F261" s="70">
        <v>53.574339869441062</v>
      </c>
      <c r="G261" s="70">
        <v>62.75058531519629</v>
      </c>
      <c r="H261" s="70">
        <v>94.383940615480739</v>
      </c>
      <c r="I261" s="70">
        <v>141.50853544412809</v>
      </c>
      <c r="J261" s="70">
        <v>160.32055127452054</v>
      </c>
      <c r="K261" s="70">
        <v>255.99316951044682</v>
      </c>
      <c r="L261" s="70">
        <v>358.95524584661769</v>
      </c>
      <c r="M261" s="70">
        <v>463.78208883063911</v>
      </c>
      <c r="N261" s="70">
        <v>338.6174791647519</v>
      </c>
      <c r="O261" s="70">
        <v>346.28762775902152</v>
      </c>
      <c r="P261" s="70">
        <v>369.19355308313368</v>
      </c>
      <c r="Q261" s="70">
        <v>344.03102782283827</v>
      </c>
      <c r="R261" s="70">
        <v>500</v>
      </c>
      <c r="S261" s="70">
        <v>427.73324358339221</v>
      </c>
      <c r="T261" s="70">
        <v>200.59869205966174</v>
      </c>
      <c r="U261" s="70">
        <v>102.82210352253637</v>
      </c>
      <c r="V261" s="70">
        <v>171.39612173835334</v>
      </c>
      <c r="X261" s="193">
        <f>((0-('Appendix K'!$I$30))/(1+$Y$16)^0)</f>
        <v>-33594902.4440751</v>
      </c>
      <c r="Y261" s="193">
        <f>(((B261*'Appendix K'!$C$5*1000)-('Appendix K'!$E$31+'Appendix K'!$F$31+'Appendix K'!$H$31+'Appendix K'!$G$31))/((1+$Y$16)^1))</f>
        <v>34971064.972647354</v>
      </c>
      <c r="Z261" s="193">
        <f>+(((C261*'Appendix K'!$C$6*1000)-('Appendix K'!$E$32+'Appendix K'!$F$32+'Appendix K'!$H$32+'Appendix K'!$G$32))/((1+$Y$16)^2))</f>
        <v>15560961.356444562</v>
      </c>
      <c r="AA261" s="193">
        <f>(((D261*'Appendix K'!$C$7*1000)-('Appendix K'!$E$33+'Appendix K'!$F$33+'Appendix K'!$H$33+'Appendix K'!$G$33))/((1+$Y$16)^3))</f>
        <v>6265484.7248246446</v>
      </c>
      <c r="AB261" s="193">
        <f>(((E261*'Appendix K'!$C$8*1000)-('Appendix K'!$E$34+'Appendix K'!$F$34+'Appendix K'!$H$34+'Appendix K'!$G$34))/((1+$Y$16)^4))</f>
        <v>6484319.58210281</v>
      </c>
      <c r="AC261" s="193">
        <f>(((F261*'Appendix K'!$C$9*1000)-('Appendix K'!$E$35+'Appendix K'!$F$35+'Appendix K'!$H$35+'Appendix K'!$G$35))/((1+$Y$16)^AC$34))</f>
        <v>11255746.891328119</v>
      </c>
      <c r="AD261" s="193">
        <f>(((G261*'Appendix K'!$C$10*1000)-('Appendix K'!$E$36+'Appendix K'!$F$36+'Appendix K'!$H$36+'Appendix K'!$G$36))/((1+$Y$16)^AD$34))</f>
        <v>7338836.9000693196</v>
      </c>
      <c r="AE261" s="193">
        <f>(((H261*'Appendix K'!$C$11*1000)-('Appendix K'!$E$37+'Appendix K'!$F$37+'Appendix K'!$H$37+'Appendix K'!$G$37))/((1+$Y$16)^AE$34))</f>
        <v>7193689.4718411285</v>
      </c>
      <c r="AF261" s="193">
        <f>(((I261*'Appendix K'!$C$12*1000)-('Appendix K'!$E$38+'Appendix K'!$F$38+'Appendix K'!$H$38+'Appendix K'!$G$38))/((1+$Y$16)^AF$34))</f>
        <v>7295214.8733562669</v>
      </c>
      <c r="AG261" s="193">
        <f>(((J261*'Appendix K'!$C$13*1000)-('Appendix K'!$E$39+'Appendix K'!$F$39+'Appendix K'!$H$39+'Appendix K'!$G$39))/((1+$Y$16)^AG$34))</f>
        <v>5562836.7663696604</v>
      </c>
      <c r="AH261" s="193">
        <f>(((K261*'Appendix K'!$C$14*1000)-('Appendix K'!$E$40+'Appendix K'!$F$40+'Appendix K'!$H$40+'Appendix K'!$G$40))/((1+$Y$16)^AH$34))</f>
        <v>6995899.4614371182</v>
      </c>
      <c r="AI261" s="193">
        <f>(((L261*'Appendix K'!$C$15*1000)-('Appendix K'!$E$41+'Appendix K'!$F$41+'Appendix K'!$H$41+'Appendix K'!$G$41))/((1+$Y$16)^AI$34))</f>
        <v>7888817.3424515696</v>
      </c>
      <c r="AJ261" s="193">
        <f>(((M261*'Appendix K'!$C$16*1000)-('Appendix K'!$E$42+'Appendix K'!$F$42+'Appendix K'!$H$42+'Appendix K'!$G$42))/((1+$Y$16)^AJ$34))</f>
        <v>7913507.9723905688</v>
      </c>
      <c r="AK261" s="193">
        <f>(((N261*'Appendix K'!$C$17*1000)-('Appendix K'!$E$43+'Appendix K'!$F$43+'Appendix K'!$H$43))/((1+$Y$16)^AK$34))</f>
        <v>4198225.6125565954</v>
      </c>
      <c r="AL261" s="193">
        <f>(((O261*'Appendix K'!$C$18*1000)-('Appendix K'!$E$44+'Appendix K'!$F$44+'Appendix K'!$H$44+'Appendix K'!$G$44))/((1+$Y$16)^AL$34))</f>
        <v>2970060.0220281756</v>
      </c>
      <c r="AM261" s="193">
        <f>(((P261*'Appendix K'!$C$19*1000)-('Appendix K'!$E$45+'Appendix K'!$F$45+'Appendix K'!$H$45+'Appendix K'!$G$45))/((1+$Y$16)^AM$34))</f>
        <v>2395190.0808504815</v>
      </c>
      <c r="AN261" s="193">
        <f>(((Q261*'Appendix K'!$C$20*1000)-('Appendix K'!$E$46+'Appendix K'!$F$46+'Appendix K'!$H$46+'Appendix K'!$G$46))/((1+$Y$16)^AN$34))</f>
        <v>1573774.2956553078</v>
      </c>
      <c r="AO261" s="193">
        <f>(((R261*'Appendix K'!$C$21*1000)-('Appendix K'!$E$47+'Appendix K'!$F$47+'Appendix K'!$H$47+'Appendix K'!$G$47))/((1+$Y$16)^AO$34))</f>
        <v>2112056.3146391152</v>
      </c>
      <c r="AP261" s="193">
        <f>(((S261*'Appendix K'!$C$22*1000)-('Appendix K'!$E$48+'Appendix K'!$F$48+'Appendix K'!$H$48+'Appendix K'!$G$48))/((1+$Y$16)^AP$34))</f>
        <v>1284268.9570558565</v>
      </c>
      <c r="AQ261" s="193">
        <f>(((T261*'Appendix K'!$C$23*1000)-('Appendix K'!$E$49+'Appendix K'!$F$49+'Appendix K'!$H$49+'Appendix K'!$G$49))/((1+$Y$16)^AQ$34))</f>
        <v>91606.294627514028</v>
      </c>
      <c r="AR261" s="193">
        <f>(((U261*'Appendix K'!$C$24*1000)-('Appendix K'!$E$50+'Appendix K'!$F$50+'Appendix K'!$H$50+'Appendix K'!$G$50))/((1+$Y$16)^AR$34))</f>
        <v>-298198.81500776316</v>
      </c>
      <c r="AS261" s="209">
        <f t="shared" si="22"/>
        <v>105756659.44860107</v>
      </c>
      <c r="AU261" s="199">
        <f t="shared" si="21"/>
        <v>6.6795940995558277E-9</v>
      </c>
    </row>
    <row r="262" spans="1:47" x14ac:dyDescent="0.35">
      <c r="A262">
        <v>228</v>
      </c>
      <c r="B262" s="70">
        <v>56</v>
      </c>
      <c r="C262" s="70">
        <v>72.810375113924792</v>
      </c>
      <c r="D262" s="70">
        <v>92.403982575061434</v>
      </c>
      <c r="E262" s="70">
        <v>52.110601386371712</v>
      </c>
      <c r="F262" s="70">
        <v>75.733482023224866</v>
      </c>
      <c r="G262" s="70">
        <v>114.03657341848189</v>
      </c>
      <c r="H262" s="70">
        <v>141.04935972747762</v>
      </c>
      <c r="I262" s="70">
        <v>167.15400379474204</v>
      </c>
      <c r="J262" s="70">
        <v>157.03464059169457</v>
      </c>
      <c r="K262" s="70">
        <v>230.27948215676935</v>
      </c>
      <c r="L262" s="70">
        <v>134.87756807464808</v>
      </c>
      <c r="M262" s="70">
        <v>152.10946547521985</v>
      </c>
      <c r="N262" s="70">
        <v>193.33943007190931</v>
      </c>
      <c r="O262" s="70">
        <v>139.11984690265587</v>
      </c>
      <c r="P262" s="70">
        <v>140.13235486812059</v>
      </c>
      <c r="Q262" s="70">
        <v>168.85016787699377</v>
      </c>
      <c r="R262" s="70">
        <v>180.39850241205383</v>
      </c>
      <c r="S262" s="70">
        <v>188.01888859121115</v>
      </c>
      <c r="T262" s="70">
        <v>205.73310320526829</v>
      </c>
      <c r="U262" s="70">
        <v>360.15036021973788</v>
      </c>
      <c r="V262" s="70">
        <v>320.50410291191542</v>
      </c>
      <c r="X262" s="193">
        <f>((0-('Appendix K'!$I$30))/(1+$Y$16)^0)</f>
        <v>-33594902.4440751</v>
      </c>
      <c r="Y262" s="193">
        <f>(((B262*'Appendix K'!$C$5*1000)-('Appendix K'!$E$31+'Appendix K'!$F$31+'Appendix K'!$H$31+'Appendix K'!$G$31))/((1+$Y$16)^1))</f>
        <v>34971064.972647354</v>
      </c>
      <c r="Z262" s="193">
        <f>+(((C262*'Appendix K'!$C$6*1000)-('Appendix K'!$E$32+'Appendix K'!$F$32+'Appendix K'!$H$32+'Appendix K'!$G$32))/((1+$Y$16)^2))</f>
        <v>14905898.368771354</v>
      </c>
      <c r="AA262" s="193">
        <f>(((D262*'Appendix K'!$C$7*1000)-('Appendix K'!$E$33+'Appendix K'!$F$33+'Appendix K'!$H$33+'Appendix K'!$G$33))/((1+$Y$16)^3))</f>
        <v>8805047.42299092</v>
      </c>
      <c r="AB262" s="193">
        <f>(((E262*'Appendix K'!$C$8*1000)-('Appendix K'!$E$34+'Appendix K'!$F$34+'Appendix K'!$H$34+'Appendix K'!$G$34))/((1+$Y$16)^4))</f>
        <v>8128958.9083964452</v>
      </c>
      <c r="AC262" s="193">
        <f>(((F262*'Appendix K'!$C$9*1000)-('Appendix K'!$E$35+'Appendix K'!$F$35+'Appendix K'!$H$35+'Appendix K'!$G$35))/((1+$Y$16)^AC$34))</f>
        <v>17145612.079706512</v>
      </c>
      <c r="AD262" s="193">
        <f>(((G262*'Appendix K'!$C$10*1000)-('Appendix K'!$E$36+'Appendix K'!$F$36+'Appendix K'!$H$36+'Appendix K'!$G$36))/((1+$Y$16)^AD$34))</f>
        <v>15392991.129228173</v>
      </c>
      <c r="AE262" s="193">
        <f>(((H262*'Appendix K'!$C$11*1000)-('Appendix K'!$E$37+'Appendix K'!$F$37+'Appendix K'!$H$37+'Appendix K'!$G$37))/((1+$Y$16)^AE$34))</f>
        <v>11847987.722732401</v>
      </c>
      <c r="AF262" s="193">
        <f>(((I262*'Appendix K'!$C$12*1000)-('Appendix K'!$E$38+'Appendix K'!$F$38+'Appendix K'!$H$38+'Appendix K'!$G$38))/((1+$Y$16)^AF$34))</f>
        <v>8979158.5678104255</v>
      </c>
      <c r="AG262" s="193">
        <f>(((J262*'Appendix K'!$C$13*1000)-('Appendix K'!$E$39+'Appendix K'!$F$39+'Appendix K'!$H$39+'Appendix K'!$G$39))/((1+$Y$16)^AG$34))</f>
        <v>5411622.6642526193</v>
      </c>
      <c r="AH262" s="193">
        <f>(((K262*'Appendix K'!$C$14*1000)-('Appendix K'!$E$40+'Appendix K'!$F$40+'Appendix K'!$H$40+'Appendix K'!$G$40))/((1+$Y$16)^AH$34))</f>
        <v>6129180.3706509825</v>
      </c>
      <c r="AI262" s="193">
        <f>(((L262*'Appendix K'!$C$15*1000)-('Appendix K'!$E$41+'Appendix K'!$F$41+'Appendix K'!$H$41+'Appendix K'!$G$41))/((1+$Y$16)^AI$34))</f>
        <v>2017563.1575138264</v>
      </c>
      <c r="AJ262" s="193">
        <f>(((M262*'Appendix K'!$C$16*1000)-('Appendix K'!$E$42+'Appendix K'!$F$42+'Appendix K'!$H$42+'Appendix K'!$G$42))/((1+$Y$16)^AJ$34))</f>
        <v>1667006.7144332144</v>
      </c>
      <c r="AK262" s="193">
        <f>(((N262*'Appendix K'!$C$17*1000)-('Appendix K'!$E$43+'Appendix K'!$F$43+'Appendix K'!$H$43))/((1+$Y$16)^AK$34))</f>
        <v>1966188.5627241153</v>
      </c>
      <c r="AL262" s="193">
        <f>(((O262*'Appendix K'!$C$18*1000)-('Appendix K'!$E$44+'Appendix K'!$F$44+'Appendix K'!$H$44+'Appendix K'!$G$44))/((1+$Y$16)^AL$34))</f>
        <v>514439.35597770917</v>
      </c>
      <c r="AM262" s="193">
        <f>(((P262*'Appendix K'!$C$19*1000)-('Appendix K'!$E$45+'Appendix K'!$F$45+'Appendix K'!$H$45+'Appendix K'!$G$45))/((1+$Y$16)^AM$34))</f>
        <v>272083.27057893446</v>
      </c>
      <c r="AN262" s="193">
        <f>(((Q262*'Appendix K'!$C$20*1000)-('Appendix K'!$E$46+'Appendix K'!$F$46+'Appendix K'!$H$46+'Appendix K'!$G$46))/((1+$Y$16)^AN$34))</f>
        <v>306127.59795542678</v>
      </c>
      <c r="AO262" s="193">
        <f>(((R262*'Appendix K'!$C$21*1000)-('Appendix K'!$E$47+'Appendix K'!$F$47+'Appendix K'!$H$47+'Appendix K'!$G$47))/((1+$Y$16)^AO$34))</f>
        <v>223176.15430803972</v>
      </c>
      <c r="AP262" s="193">
        <f>(((S262*'Appendix K'!$C$22*1000)-('Appendix K'!$E$48+'Appendix K'!$F$48+'Appendix K'!$H$48+'Appendix K'!$G$48))/((1+$Y$16)^AP$34))</f>
        <v>136104.47447032601</v>
      </c>
      <c r="AQ262" s="193">
        <f>(((T262*'Appendix K'!$C$23*1000)-('Appendix K'!$E$49+'Appendix K'!$F$49+'Appendix K'!$H$49+'Appendix K'!$G$49))/((1+$Y$16)^AQ$34))</f>
        <v>111701.06540845435</v>
      </c>
      <c r="AR262" s="193">
        <f>(((U262*'Appendix K'!$C$24*1000)-('Appendix K'!$E$50+'Appendix K'!$F$50+'Appendix K'!$H$50+'Appendix K'!$G$50))/((1+$Y$16)^AR$34))</f>
        <v>530405.3816012562</v>
      </c>
      <c r="AS262" s="209">
        <f t="shared" si="22"/>
        <v>105867415.49808338</v>
      </c>
      <c r="AU262" s="199">
        <f t="shared" si="21"/>
        <v>6.6754159492070784E-9</v>
      </c>
    </row>
    <row r="263" spans="1:47" x14ac:dyDescent="0.35">
      <c r="A263">
        <v>229</v>
      </c>
      <c r="B263" s="70">
        <v>56</v>
      </c>
      <c r="C263" s="70">
        <v>80.470990260368382</v>
      </c>
      <c r="D263" s="70">
        <v>71.578411009313228</v>
      </c>
      <c r="E263" s="70">
        <v>68.920460056306851</v>
      </c>
      <c r="F263" s="70">
        <v>104.25538556957541</v>
      </c>
      <c r="G263" s="70">
        <v>72.79122506502658</v>
      </c>
      <c r="H263" s="70">
        <v>107.95309454467349</v>
      </c>
      <c r="I263" s="70">
        <v>116.56150858447366</v>
      </c>
      <c r="J263" s="70">
        <v>134.03875227657562</v>
      </c>
      <c r="K263" s="70">
        <v>121.18706419637977</v>
      </c>
      <c r="L263" s="70">
        <v>177.74042117225935</v>
      </c>
      <c r="M263" s="70">
        <v>267.92712550707199</v>
      </c>
      <c r="N263" s="70">
        <v>277.05105554996362</v>
      </c>
      <c r="O263" s="70">
        <v>245.80162063002075</v>
      </c>
      <c r="P263" s="70">
        <v>256.77685491422881</v>
      </c>
      <c r="Q263" s="70">
        <v>153.6964785232604</v>
      </c>
      <c r="R263" s="70">
        <v>160.810197206292</v>
      </c>
      <c r="S263" s="70">
        <v>269.72378432626545</v>
      </c>
      <c r="T263" s="70">
        <v>347.1229472947856</v>
      </c>
      <c r="U263" s="70">
        <v>500</v>
      </c>
      <c r="V263" s="70">
        <v>383.68344771043087</v>
      </c>
      <c r="X263" s="193">
        <f>((0-('Appendix K'!$I$30))/(1+$Y$16)^0)</f>
        <v>-33594902.4440751</v>
      </c>
      <c r="Y263" s="193">
        <f>(((B263*'Appendix K'!$C$5*1000)-('Appendix K'!$E$31+'Appendix K'!$F$31+'Appendix K'!$H$31+'Appendix K'!$G$31))/((1+$Y$16)^1))</f>
        <v>34971064.972647354</v>
      </c>
      <c r="Z263" s="193">
        <f>+(((C263*'Appendix K'!$C$6*1000)-('Appendix K'!$E$32+'Appendix K'!$F$32+'Appendix K'!$H$32+'Appendix K'!$G$32))/((1+$Y$16)^2))</f>
        <v>16841100.775214426</v>
      </c>
      <c r="AA263" s="193">
        <f>(((D263*'Appendix K'!$C$7*1000)-('Appendix K'!$E$33+'Appendix K'!$F$33+'Appendix K'!$H$33+'Appendix K'!$G$33))/((1+$Y$16)^3))</f>
        <v>6152392.9030116834</v>
      </c>
      <c r="AB263" s="193">
        <f>(((E263*'Appendix K'!$C$8*1000)-('Appendix K'!$E$34+'Appendix K'!$F$34+'Appendix K'!$H$34+'Appendix K'!$G$34))/((1+$Y$16)^4))</f>
        <v>11813526.049401054</v>
      </c>
      <c r="AC263" s="193">
        <f>(((F263*'Appendix K'!$C$9*1000)-('Appendix K'!$E$35+'Appendix K'!$F$35+'Appendix K'!$H$35+'Appendix K'!$G$35))/((1+$Y$16)^AC$34))</f>
        <v>24726689.254900821</v>
      </c>
      <c r="AD263" s="193">
        <f>(((G263*'Appendix K'!$C$10*1000)-('Appendix K'!$E$36+'Appendix K'!$F$36+'Appendix K'!$H$36+'Appendix K'!$G$36))/((1+$Y$16)^AD$34))</f>
        <v>8915658.6421344858</v>
      </c>
      <c r="AE263" s="193">
        <f>(((H263*'Appendix K'!$C$11*1000)-('Appendix K'!$E$37+'Appendix K'!$F$37+'Appendix K'!$H$37+'Appendix K'!$G$37))/((1+$Y$16)^AE$34))</f>
        <v>8547044.7100560609</v>
      </c>
      <c r="AF263" s="193">
        <f>(((I263*'Appendix K'!$C$12*1000)-('Appendix K'!$E$38+'Appendix K'!$F$38+'Appendix K'!$H$38+'Appendix K'!$G$38))/((1+$Y$16)^AF$34))</f>
        <v>5657132.5423432747</v>
      </c>
      <c r="AG263" s="193">
        <f>(((J263*'Appendix K'!$C$13*1000)-('Appendix K'!$E$39+'Appendix K'!$F$39+'Appendix K'!$H$39+'Appendix K'!$G$39))/((1+$Y$16)^AG$34))</f>
        <v>4353376.4306806494</v>
      </c>
      <c r="AH263" s="193">
        <f>(((K263*'Appendix K'!$C$14*1000)-('Appendix K'!$E$40+'Appendix K'!$F$40+'Appendix K'!$H$40+'Appendix K'!$G$40))/((1+$Y$16)^AH$34))</f>
        <v>2452053.8657754473</v>
      </c>
      <c r="AI263" s="193">
        <f>(((L263*'Appendix K'!$C$15*1000)-('Appendix K'!$E$41+'Appendix K'!$F$41+'Appendix K'!$H$41+'Appendix K'!$G$41))/((1+$Y$16)^AI$34))</f>
        <v>3140650.06259957</v>
      </c>
      <c r="AJ263" s="193">
        <f>(((M263*'Appendix K'!$C$16*1000)-('Appendix K'!$E$42+'Appendix K'!$F$42+'Appendix K'!$H$42+'Appendix K'!$G$42))/((1+$Y$16)^AJ$34))</f>
        <v>3988208.850488781</v>
      </c>
      <c r="AK263" s="193">
        <f>(((N263*'Appendix K'!$C$17*1000)-('Appendix K'!$E$43+'Appendix K'!$F$43+'Appendix K'!$H$43))/((1+$Y$16)^AK$34))</f>
        <v>3252325.3929985189</v>
      </c>
      <c r="AL263" s="193">
        <f>(((O263*'Appendix K'!$C$18*1000)-('Appendix K'!$E$44+'Appendix K'!$F$44+'Appendix K'!$H$44+'Appendix K'!$G$44))/((1+$Y$16)^AL$34))</f>
        <v>1778969.8113068943</v>
      </c>
      <c r="AM263" s="193">
        <f>(((P263*'Appendix K'!$C$19*1000)-('Appendix K'!$E$45+'Appendix K'!$F$45+'Appendix K'!$H$45+'Appendix K'!$G$45))/((1+$Y$16)^AM$34))</f>
        <v>1353229.8565500402</v>
      </c>
      <c r="AN263" s="193">
        <f>(((Q263*'Appendix K'!$C$20*1000)-('Appendix K'!$E$46+'Appendix K'!$F$46+'Appendix K'!$H$46+'Appendix K'!$G$46))/((1+$Y$16)^AN$34))</f>
        <v>196472.21509471707</v>
      </c>
      <c r="AO263" s="193">
        <f>(((R263*'Appendix K'!$C$21*1000)-('Appendix K'!$E$47+'Appendix K'!$F$47+'Appendix K'!$H$47+'Appendix K'!$G$47))/((1+$Y$16)^AO$34))</f>
        <v>107407.10642523997</v>
      </c>
      <c r="AP263" s="193">
        <f>(((S263*'Appendix K'!$C$22*1000)-('Appendix K'!$E$48+'Appendix K'!$F$48+'Appendix K'!$H$48+'Appendix K'!$G$48))/((1+$Y$16)^AP$34))</f>
        <v>527447.99388285039</v>
      </c>
      <c r="AQ263" s="193">
        <f>(((T263*'Appendix K'!$C$23*1000)-('Appendix K'!$E$49+'Appendix K'!$F$49+'Appendix K'!$H$49+'Appendix K'!$G$49))/((1+$Y$16)^AQ$34))</f>
        <v>665064.71844643145</v>
      </c>
      <c r="AR263" s="193">
        <f>(((U263*'Appendix K'!$C$24*1000)-('Appendix K'!$E$50+'Appendix K'!$F$50+'Appendix K'!$H$50+'Appendix K'!$G$50))/((1+$Y$16)^AR$34))</f>
        <v>980725.14012097823</v>
      </c>
      <c r="AS263" s="209">
        <f t="shared" si="22"/>
        <v>106825638.8500042</v>
      </c>
      <c r="AU263" s="199">
        <f t="shared" si="21"/>
        <v>6.6383212469268539E-9</v>
      </c>
    </row>
    <row r="264" spans="1:47" x14ac:dyDescent="0.35">
      <c r="A264">
        <v>230</v>
      </c>
      <c r="B264" s="70">
        <v>56</v>
      </c>
      <c r="C264" s="70">
        <v>50.696011945634396</v>
      </c>
      <c r="D264" s="70">
        <v>35.592133606660752</v>
      </c>
      <c r="E264" s="70">
        <v>45.125304888426271</v>
      </c>
      <c r="F264" s="70">
        <v>64.175988175818915</v>
      </c>
      <c r="G264" s="70">
        <v>46.938395099472629</v>
      </c>
      <c r="H264" s="70">
        <v>59.053495330650556</v>
      </c>
      <c r="I264" s="70">
        <v>68.787329521759474</v>
      </c>
      <c r="J264" s="70">
        <v>85.612835564813153</v>
      </c>
      <c r="K264" s="70">
        <v>76.264172878401467</v>
      </c>
      <c r="L264" s="70">
        <v>95.646759416075298</v>
      </c>
      <c r="M264" s="70">
        <v>176.6450493340464</v>
      </c>
      <c r="N264" s="70">
        <v>142.35559760759452</v>
      </c>
      <c r="O264" s="70">
        <v>198.39232035822869</v>
      </c>
      <c r="P264" s="70">
        <v>255.40993598570046</v>
      </c>
      <c r="Q264" s="70">
        <v>395.68794964354345</v>
      </c>
      <c r="R264" s="70">
        <v>347.152213721019</v>
      </c>
      <c r="S264" s="70">
        <v>280.12598118775873</v>
      </c>
      <c r="T264" s="70">
        <v>267.22298587908625</v>
      </c>
      <c r="U264" s="70">
        <v>233.76876887827501</v>
      </c>
      <c r="V264" s="70">
        <v>180.04328188196388</v>
      </c>
      <c r="X264" s="193">
        <f>((0-('Appendix K'!$I$30))/(1+$Y$16)^0)</f>
        <v>-33594902.4440751</v>
      </c>
      <c r="Y264" s="193">
        <f>(((B264*'Appendix K'!$C$5*1000)-('Appendix K'!$E$31+'Appendix K'!$F$31+'Appendix K'!$H$31+'Appendix K'!$G$31))/((1+$Y$16)^1))</f>
        <v>34971064.972647354</v>
      </c>
      <c r="Z264" s="193">
        <f>+(((C264*'Appendix K'!$C$6*1000)-('Appendix K'!$E$32+'Appendix K'!$F$32+'Appendix K'!$H$32+'Appendix K'!$G$32))/((1+$Y$16)^2))</f>
        <v>9319432.0077638533</v>
      </c>
      <c r="AA264" s="193">
        <f>(((D264*'Appendix K'!$C$7*1000)-('Appendix K'!$E$33+'Appendix K'!$F$33+'Appendix K'!$H$33+'Appendix K'!$G$33))/((1+$Y$16)^3))</f>
        <v>1568645.4121925454</v>
      </c>
      <c r="AB264" s="193">
        <f>(((E264*'Appendix K'!$C$8*1000)-('Appendix K'!$E$34+'Appendix K'!$F$34+'Appendix K'!$H$34+'Appendix K'!$G$34))/((1+$Y$16)^4))</f>
        <v>6597845.8602815876</v>
      </c>
      <c r="AC264" s="193">
        <f>(((F264*'Appendix K'!$C$9*1000)-('Appendix K'!$E$35+'Appendix K'!$F$35+'Appendix K'!$H$35+'Appendix K'!$G$35))/((1+$Y$16)^AC$34))</f>
        <v>14073648.363588104</v>
      </c>
      <c r="AD264" s="193">
        <f>(((G264*'Appendix K'!$C$10*1000)-('Appendix K'!$E$36+'Appendix K'!$F$36+'Appendix K'!$H$36+'Appendix K'!$G$36))/((1+$Y$16)^AD$34))</f>
        <v>4855628.066464413</v>
      </c>
      <c r="AE264" s="193">
        <f>(((H264*'Appendix K'!$C$11*1000)-('Appendix K'!$E$37+'Appendix K'!$F$37+'Appendix K'!$H$37+'Appendix K'!$G$37))/((1+$Y$16)^AE$34))</f>
        <v>3669914.6333950604</v>
      </c>
      <c r="AF264" s="193">
        <f>(((I264*'Appendix K'!$C$12*1000)-('Appendix K'!$E$38+'Appendix K'!$F$38+'Appendix K'!$H$38+'Appendix K'!$G$38))/((1+$Y$16)^AF$34))</f>
        <v>2520163.9952878435</v>
      </c>
      <c r="AG264" s="193">
        <f>(((J264*'Appendix K'!$C$13*1000)-('Appendix K'!$E$39+'Appendix K'!$F$39+'Appendix K'!$H$39+'Appendix K'!$G$39))/((1+$Y$16)^AG$34))</f>
        <v>2124867.4352790755</v>
      </c>
      <c r="AH264" s="193">
        <f>(((K264*'Appendix K'!$C$14*1000)-('Appendix K'!$E$40+'Appendix K'!$F$40+'Appendix K'!$H$40+'Appendix K'!$G$40))/((1+$Y$16)^AH$34))</f>
        <v>937859.22760216123</v>
      </c>
      <c r="AI264" s="193">
        <f>(((L264*'Appendix K'!$C$15*1000)-('Appendix K'!$E$41+'Appendix K'!$F$41+'Appendix K'!$H$41+'Appendix K'!$G$41))/((1+$Y$16)^AI$34))</f>
        <v>989642.60868729604</v>
      </c>
      <c r="AJ264" s="193">
        <f>(((M264*'Appendix K'!$C$16*1000)-('Appendix K'!$E$42+'Appendix K'!$F$42+'Appendix K'!$H$42+'Appendix K'!$G$42))/((1+$Y$16)^AJ$34))</f>
        <v>2158745.622358101</v>
      </c>
      <c r="AK264" s="193">
        <f>(((N264*'Appendix K'!$C$17*1000)-('Appendix K'!$E$43+'Appendix K'!$F$43+'Appendix K'!$H$43))/((1+$Y$16)^AK$34))</f>
        <v>1182878.1884907854</v>
      </c>
      <c r="AL264" s="193">
        <f>(((O264*'Appendix K'!$C$18*1000)-('Appendix K'!$E$44+'Appendix K'!$F$44+'Appendix K'!$H$44+'Appendix K'!$G$44))/((1+$Y$16)^AL$34))</f>
        <v>1217013.4248979439</v>
      </c>
      <c r="AM264" s="193">
        <f>(((P264*'Appendix K'!$C$19*1000)-('Appendix K'!$E$45+'Appendix K'!$F$45+'Appendix K'!$H$45+'Appendix K'!$G$45))/((1+$Y$16)^AM$34))</f>
        <v>1340560.2516197299</v>
      </c>
      <c r="AN264" s="193">
        <f>(((Q264*'Appendix K'!$C$20*1000)-('Appendix K'!$E$46+'Appendix K'!$F$46+'Appendix K'!$H$46+'Appendix K'!$G$46))/((1+$Y$16)^AN$34))</f>
        <v>1947574.9858654204</v>
      </c>
      <c r="AO264" s="193">
        <f>(((R264*'Appendix K'!$C$21*1000)-('Appendix K'!$E$47+'Appendix K'!$F$47+'Appendix K'!$H$47+'Appendix K'!$G$47))/((1+$Y$16)^AO$34))</f>
        <v>1208709.0111007588</v>
      </c>
      <c r="AP264" s="193">
        <f>(((S264*'Appendix K'!$C$22*1000)-('Appendix K'!$E$48+'Appendix K'!$F$48+'Appendix K'!$H$48+'Appendix K'!$G$48))/((1+$Y$16)^AP$34))</f>
        <v>577271.59738635679</v>
      </c>
      <c r="AQ264" s="193">
        <f>(((T264*'Appendix K'!$C$23*1000)-('Appendix K'!$E$49+'Appendix K'!$F$49+'Appendix K'!$H$49+'Appendix K'!$G$49))/((1+$Y$16)^AQ$34))</f>
        <v>352356.7243800963</v>
      </c>
      <c r="AR264" s="193">
        <f>(((U264*'Appendix K'!$C$24*1000)-('Appendix K'!$E$50+'Appendix K'!$F$50+'Appendix K'!$H$50+'Appendix K'!$G$50))/((1+$Y$16)^AR$34))</f>
        <v>123453.11641381218</v>
      </c>
      <c r="AS264" s="209">
        <f t="shared" si="22"/>
        <v>58142373.061627172</v>
      </c>
      <c r="AU264" s="199">
        <f t="shared" si="21"/>
        <v>6.1427316506103258E-9</v>
      </c>
    </row>
    <row r="265" spans="1:47" x14ac:dyDescent="0.35">
      <c r="A265">
        <v>231</v>
      </c>
      <c r="B265" s="70">
        <v>56</v>
      </c>
      <c r="C265" s="70">
        <v>36.313299041363962</v>
      </c>
      <c r="D265" s="70">
        <v>31.5827655578214</v>
      </c>
      <c r="E265" s="70">
        <v>20.19373395958501</v>
      </c>
      <c r="F265" s="70">
        <v>25.793526557638998</v>
      </c>
      <c r="G265" s="70">
        <v>30.410989323041235</v>
      </c>
      <c r="H265" s="70">
        <v>46.211420613536006</v>
      </c>
      <c r="I265" s="70">
        <v>48.188003290157781</v>
      </c>
      <c r="J265" s="70">
        <v>80.629804919454585</v>
      </c>
      <c r="K265" s="70">
        <v>131.17897013244064</v>
      </c>
      <c r="L265" s="70">
        <v>163.66779883840246</v>
      </c>
      <c r="M265" s="70">
        <v>78.196864629350657</v>
      </c>
      <c r="N265" s="70">
        <v>88.527513288826</v>
      </c>
      <c r="O265" s="70">
        <v>113.62523179336443</v>
      </c>
      <c r="P265" s="70">
        <v>58.641112252275263</v>
      </c>
      <c r="Q265" s="70">
        <v>65.264567749595145</v>
      </c>
      <c r="R265" s="70">
        <v>80.6973140884744</v>
      </c>
      <c r="S265" s="70">
        <v>74.086264155754918</v>
      </c>
      <c r="T265" s="70">
        <v>83.24942309507199</v>
      </c>
      <c r="U265" s="70">
        <v>100.60209971300199</v>
      </c>
      <c r="V265" s="70">
        <v>81.394095014813544</v>
      </c>
      <c r="X265" s="193">
        <f>((0-('Appendix K'!$I$30))/(1+$Y$16)^0)</f>
        <v>-33594902.4440751</v>
      </c>
      <c r="Y265" s="193">
        <f>(((B265*'Appendix K'!$C$5*1000)-('Appendix K'!$E$31+'Appendix K'!$F$31+'Appendix K'!$H$31+'Appendix K'!$G$31))/((1+$Y$16)^1))</f>
        <v>34971064.972647354</v>
      </c>
      <c r="Z265" s="193">
        <f>+(((C265*'Appendix K'!$C$6*1000)-('Appendix K'!$E$32+'Appendix K'!$F$32+'Appendix K'!$H$32+'Appendix K'!$G$32))/((1+$Y$16)^2))</f>
        <v>5686112.7388216481</v>
      </c>
      <c r="AA265" s="193">
        <f>(((D265*'Appendix K'!$C$7*1000)-('Appendix K'!$E$33+'Appendix K'!$F$33+'Appendix K'!$H$33+'Appendix K'!$G$33))/((1+$Y$16)^3))</f>
        <v>1057952.6687335295</v>
      </c>
      <c r="AB265" s="193">
        <f>(((E265*'Appendix K'!$C$8*1000)-('Appendix K'!$E$34+'Appendix K'!$F$34+'Appendix K'!$H$34+'Appendix K'!$G$34))/((1+$Y$16)^4))</f>
        <v>1133073.7392445512</v>
      </c>
      <c r="AC265" s="193">
        <f>(((F265*'Appendix K'!$C$9*1000)-('Appendix K'!$E$35+'Appendix K'!$F$35+'Appendix K'!$H$35+'Appendix K'!$G$35))/((1+$Y$16)^AC$34))</f>
        <v>3871650.3367563034</v>
      </c>
      <c r="AD265" s="193">
        <f>(((G265*'Appendix K'!$C$10*1000)-('Appendix K'!$E$36+'Appendix K'!$F$36+'Appendix K'!$H$36+'Appendix K'!$G$36))/((1+$Y$16)^AD$34))</f>
        <v>2260098.955020004</v>
      </c>
      <c r="AE265" s="193">
        <f>(((H265*'Appendix K'!$C$11*1000)-('Appendix K'!$E$37+'Appendix K'!$F$37+'Appendix K'!$H$37+'Appendix K'!$G$37))/((1+$Y$16)^AE$34))</f>
        <v>2389076.5517691053</v>
      </c>
      <c r="AF265" s="193">
        <f>(((I265*'Appendix K'!$C$12*1000)-('Appendix K'!$E$38+'Appendix K'!$F$38+'Appendix K'!$H$38+'Appendix K'!$G$38))/((1+$Y$16)^AF$34))</f>
        <v>1167562.2395519456</v>
      </c>
      <c r="AG265" s="193">
        <f>(((J265*'Appendix K'!$C$13*1000)-('Appendix K'!$E$39+'Appendix K'!$F$39+'Appendix K'!$H$39+'Appendix K'!$G$39))/((1+$Y$16)^AG$34))</f>
        <v>1895553.6840569752</v>
      </c>
      <c r="AH265" s="193">
        <f>(((K265*'Appendix K'!$C$14*1000)-('Appendix K'!$E$40+'Appendix K'!$F$40+'Appendix K'!$H$40+'Appendix K'!$G$40))/((1+$Y$16)^AH$34))</f>
        <v>2788846.3105542692</v>
      </c>
      <c r="AI265" s="193">
        <f>(((L265*'Appendix K'!$C$15*1000)-('Appendix K'!$E$41+'Appendix K'!$F$41+'Appendix K'!$H$41+'Appendix K'!$G$41))/((1+$Y$16)^AI$34))</f>
        <v>2771921.0415197141</v>
      </c>
      <c r="AJ265" s="193">
        <f>(((M265*'Appendix K'!$C$16*1000)-('Appendix K'!$E$42+'Appendix K'!$F$42+'Appendix K'!$H$42+'Appendix K'!$G$42))/((1+$Y$16)^AJ$34))</f>
        <v>185660.20028614817</v>
      </c>
      <c r="AK265" s="193">
        <f>(((N265*'Appendix K'!$C$17*1000)-('Appendix K'!$E$43+'Appendix K'!$F$43+'Appendix K'!$H$43))/((1+$Y$16)^AK$34))</f>
        <v>355869.0204077505</v>
      </c>
      <c r="AL265" s="193">
        <f>(((O265*'Appendix K'!$C$18*1000)-('Appendix K'!$E$44+'Appendix K'!$F$44+'Appendix K'!$H$44+'Appendix K'!$G$44))/((1+$Y$16)^AL$34))</f>
        <v>212244.1812425793</v>
      </c>
      <c r="AM265" s="193">
        <f>(((P265*'Appendix K'!$C$19*1000)-('Appendix K'!$E$45+'Appendix K'!$F$45+'Appendix K'!$H$45+'Appendix K'!$G$45))/((1+$Y$16)^AM$34))</f>
        <v>-483237.20064635051</v>
      </c>
      <c r="AN265" s="193">
        <f>(((Q265*'Appendix K'!$C$20*1000)-('Appendix K'!$E$46+'Appendix K'!$F$46+'Appendix K'!$H$46+'Appendix K'!$G$46))/((1+$Y$16)^AN$34))</f>
        <v>-443440.27133891516</v>
      </c>
      <c r="AO265" s="193">
        <f>(((R265*'Appendix K'!$C$21*1000)-('Appendix K'!$E$47+'Appendix K'!$F$47+'Appendix K'!$H$47+'Appendix K'!$G$47))/((1+$Y$16)^AO$34))</f>
        <v>-366068.88367561222</v>
      </c>
      <c r="AP265" s="193">
        <f>(((S265*'Appendix K'!$C$22*1000)-('Appendix K'!$E$48+'Appendix K'!$F$48+'Appendix K'!$H$48+'Appendix K'!$G$48))/((1+$Y$16)^AP$34))</f>
        <v>-409600.82043708174</v>
      </c>
      <c r="AQ265" s="193">
        <f>(((T265*'Appendix K'!$C$23*1000)-('Appendix K'!$E$49+'Appendix K'!$F$49+'Appendix K'!$H$49+'Appendix K'!$G$49))/((1+$Y$16)^AQ$34))</f>
        <v>-367668.70191656891</v>
      </c>
      <c r="AR265" s="193">
        <f>(((U265*'Appendix K'!$C$24*1000)-('Appendix K'!$E$50+'Appendix K'!$F$50+'Appendix K'!$H$50+'Appendix K'!$G$50))/((1+$Y$16)^AR$34))</f>
        <v>-305347.28947643656</v>
      </c>
      <c r="AS265" s="209">
        <f t="shared" si="22"/>
        <v>27151784.196536779</v>
      </c>
      <c r="AU265" s="199">
        <f t="shared" si="21"/>
        <v>3.9850666102540488E-9</v>
      </c>
    </row>
    <row r="266" spans="1:47" x14ac:dyDescent="0.35">
      <c r="A266">
        <v>232</v>
      </c>
      <c r="B266" s="70">
        <v>56</v>
      </c>
      <c r="C266" s="70">
        <v>73.963371657962909</v>
      </c>
      <c r="D266" s="70">
        <v>77.147108964718583</v>
      </c>
      <c r="E266" s="70">
        <v>76.785164653584872</v>
      </c>
      <c r="F266" s="70">
        <v>65.449522436189142</v>
      </c>
      <c r="G266" s="70">
        <v>98.185286707487165</v>
      </c>
      <c r="H266" s="70">
        <v>107.94046119719616</v>
      </c>
      <c r="I266" s="70">
        <v>143.13907921406252</v>
      </c>
      <c r="J266" s="70">
        <v>259.52198070906587</v>
      </c>
      <c r="K266" s="70">
        <v>234.90465606607486</v>
      </c>
      <c r="L266" s="70">
        <v>266.6121767973483</v>
      </c>
      <c r="M266" s="70">
        <v>302.73901630224321</v>
      </c>
      <c r="N266" s="70">
        <v>251.06573063262962</v>
      </c>
      <c r="O266" s="70">
        <v>174.42065759505746</v>
      </c>
      <c r="P266" s="70">
        <v>197.93817263099214</v>
      </c>
      <c r="Q266" s="70">
        <v>242.13241622075023</v>
      </c>
      <c r="R266" s="70">
        <v>141.56835561471422</v>
      </c>
      <c r="S266" s="70">
        <v>249.66729681514289</v>
      </c>
      <c r="T266" s="70">
        <v>324.43302404523342</v>
      </c>
      <c r="U266" s="70">
        <v>252.3949859719105</v>
      </c>
      <c r="V266" s="70">
        <v>298.93949318829584</v>
      </c>
      <c r="X266" s="193">
        <f>((0-('Appendix K'!$I$30))/(1+$Y$16)^0)</f>
        <v>-33594902.4440751</v>
      </c>
      <c r="Y266" s="193">
        <f>(((B266*'Appendix K'!$C$5*1000)-('Appendix K'!$E$31+'Appendix K'!$F$31+'Appendix K'!$H$31+'Appendix K'!$G$31))/((1+$Y$16)^1))</f>
        <v>34971064.972647354</v>
      </c>
      <c r="Z266" s="193">
        <f>+(((C266*'Appendix K'!$C$6*1000)-('Appendix K'!$E$32+'Appendix K'!$F$32+'Appendix K'!$H$32+'Appendix K'!$G$32))/((1+$Y$16)^2))</f>
        <v>15197165.015638344</v>
      </c>
      <c r="AA266" s="193">
        <f>(((D266*'Appendix K'!$C$7*1000)-('Appendix K'!$E$33+'Appendix K'!$F$33+'Appendix K'!$H$33+'Appendix K'!$G$33))/((1+$Y$16)^3))</f>
        <v>6861705.0942842802</v>
      </c>
      <c r="AB266" s="193">
        <f>(((E266*'Appendix K'!$C$8*1000)-('Appendix K'!$E$34+'Appendix K'!$F$34+'Appendix K'!$H$34+'Appendix K'!$G$34))/((1+$Y$16)^4))</f>
        <v>13537397.302683299</v>
      </c>
      <c r="AC266" s="193">
        <f>(((F266*'Appendix K'!$C$9*1000)-('Appendix K'!$E$35+'Appendix K'!$F$35+'Appendix K'!$H$35+'Appendix K'!$G$35))/((1+$Y$16)^AC$34))</f>
        <v>14412151.770186856</v>
      </c>
      <c r="AD266" s="193">
        <f>(((G266*'Appendix K'!$C$10*1000)-('Appendix K'!$E$36+'Appendix K'!$F$36+'Appendix K'!$H$36+'Appendix K'!$G$36))/((1+$Y$16)^AD$34))</f>
        <v>12903642.427515462</v>
      </c>
      <c r="AE266" s="193">
        <f>(((H266*'Appendix K'!$C$11*1000)-('Appendix K'!$E$37+'Appendix K'!$F$37+'Appendix K'!$H$37+'Appendix K'!$G$37))/((1+$Y$16)^AE$34))</f>
        <v>8545784.6899344064</v>
      </c>
      <c r="AF266" s="193">
        <f>(((I266*'Appendix K'!$C$12*1000)-('Appendix K'!$E$38+'Appendix K'!$F$38+'Appendix K'!$H$38+'Appendix K'!$G$38))/((1+$Y$16)^AF$34))</f>
        <v>7402280.3346835449</v>
      </c>
      <c r="AG266" s="193">
        <f>(((J266*'Appendix K'!$C$13*1000)-('Appendix K'!$E$39+'Appendix K'!$F$39+'Appendix K'!$H$39+'Appendix K'!$G$39))/((1+$Y$16)^AG$34))</f>
        <v>10127980.657551413</v>
      </c>
      <c r="AH266" s="193">
        <f>(((K266*'Appendix K'!$C$14*1000)-('Appendix K'!$E$40+'Appendix K'!$F$40+'Appendix K'!$H$40+'Appendix K'!$G$40))/((1+$Y$16)^AH$34))</f>
        <v>6285078.9187768577</v>
      </c>
      <c r="AI266" s="193">
        <f>(((L266*'Appendix K'!$C$15*1000)-('Appendix K'!$E$41+'Appendix K'!$F$41+'Appendix K'!$H$41+'Appendix K'!$G$41))/((1+$Y$16)^AI$34))</f>
        <v>5469256.2509748396</v>
      </c>
      <c r="AJ266" s="193">
        <f>(((M266*'Appendix K'!$C$16*1000)-('Appendix K'!$E$42+'Appendix K'!$F$42+'Appendix K'!$H$42+'Appendix K'!$G$42))/((1+$Y$16)^AJ$34))</f>
        <v>4685904.135056451</v>
      </c>
      <c r="AK266" s="193">
        <f>(((N266*'Appendix K'!$C$17*1000)-('Appendix K'!$E$43+'Appendix K'!$F$43+'Appendix K'!$H$43))/((1+$Y$16)^AK$34))</f>
        <v>2853089.525435633</v>
      </c>
      <c r="AL266" s="193">
        <f>(((O266*'Appendix K'!$C$18*1000)-('Appendix K'!$E$44+'Appendix K'!$F$44+'Appendix K'!$H$44+'Appendix K'!$G$44))/((1+$Y$16)^AL$34))</f>
        <v>932870.25245334243</v>
      </c>
      <c r="AM266" s="193">
        <f>(((P266*'Appendix K'!$C$19*1000)-('Appendix K'!$E$45+'Appendix K'!$F$45+'Appendix K'!$H$45+'Appendix K'!$G$45))/((1+$Y$16)^AM$34))</f>
        <v>807869.89145597792</v>
      </c>
      <c r="AN266" s="193">
        <f>(((Q266*'Appendix K'!$C$20*1000)-('Appendix K'!$E$46+'Appendix K'!$F$46+'Appendix K'!$H$46+'Appendix K'!$G$46))/((1+$Y$16)^AN$34))</f>
        <v>836413.84122254711</v>
      </c>
      <c r="AO266" s="193">
        <f>(((R266*'Appendix K'!$C$21*1000)-('Appendix K'!$E$47+'Appendix K'!$F$47+'Appendix K'!$H$47+'Appendix K'!$G$47))/((1+$Y$16)^AO$34))</f>
        <v>-6314.3032204178635</v>
      </c>
      <c r="AP266" s="193">
        <f>(((S266*'Appendix K'!$C$22*1000)-('Appendix K'!$E$48+'Appendix K'!$F$48+'Appendix K'!$H$48+'Appendix K'!$G$48))/((1+$Y$16)^AP$34))</f>
        <v>431383.04772456811</v>
      </c>
      <c r="AQ266" s="193">
        <f>(((T266*'Appendix K'!$C$23*1000)-('Appendix K'!$E$49+'Appendix K'!$F$49+'Appendix K'!$H$49+'Appendix K'!$G$49))/((1+$Y$16)^AQ$34))</f>
        <v>576262.16761700867</v>
      </c>
      <c r="AR266" s="193">
        <f>(((U266*'Appendix K'!$C$24*1000)-('Appendix K'!$E$50+'Appendix K'!$F$50+'Appendix K'!$H$50+'Appendix K'!$G$50))/((1+$Y$16)^AR$34))</f>
        <v>183430.05734066086</v>
      </c>
      <c r="AS266" s="209">
        <f t="shared" si="22"/>
        <v>113425827.90910777</v>
      </c>
      <c r="AU266" s="199">
        <f t="shared" si="21"/>
        <v>6.3390690168370523E-9</v>
      </c>
    </row>
    <row r="267" spans="1:47" x14ac:dyDescent="0.35">
      <c r="A267">
        <v>233</v>
      </c>
      <c r="B267" s="70">
        <v>56</v>
      </c>
      <c r="C267" s="70">
        <v>46.202902513616266</v>
      </c>
      <c r="D267" s="70">
        <v>15.787730137298716</v>
      </c>
      <c r="E267" s="70">
        <v>10.95530127786162</v>
      </c>
      <c r="F267" s="70">
        <v>15.275206908002918</v>
      </c>
      <c r="G267" s="70">
        <v>23.22047422582882</v>
      </c>
      <c r="H267" s="70">
        <v>20.954400491388338</v>
      </c>
      <c r="I267" s="70">
        <v>16.711582200636933</v>
      </c>
      <c r="J267" s="70">
        <v>11.520664043603961</v>
      </c>
      <c r="K267" s="70">
        <v>14.440256524620771</v>
      </c>
      <c r="L267" s="70">
        <v>14.356667124736983</v>
      </c>
      <c r="M267" s="70">
        <v>17.838577583600149</v>
      </c>
      <c r="N267" s="70">
        <v>12.508492146596776</v>
      </c>
      <c r="O267" s="70">
        <v>13.785803061017157</v>
      </c>
      <c r="P267" s="70">
        <v>13.520195945721085</v>
      </c>
      <c r="Q267" s="70">
        <v>15.469545816505859</v>
      </c>
      <c r="R267" s="70">
        <v>18.609592564062947</v>
      </c>
      <c r="S267" s="70">
        <v>26.804920836160001</v>
      </c>
      <c r="T267" s="70">
        <v>30.663754615791333</v>
      </c>
      <c r="U267" s="70">
        <v>36.047806894544891</v>
      </c>
      <c r="V267" s="70">
        <v>28.470898591355692</v>
      </c>
      <c r="X267" s="193">
        <f>((0-('Appendix K'!$I$30))/(1+$Y$16)^0)</f>
        <v>-33594902.4440751</v>
      </c>
      <c r="Y267" s="193">
        <f>(((B267*'Appendix K'!$C$5*1000)-('Appendix K'!$E$31+'Appendix K'!$F$31+'Appendix K'!$H$31+'Appendix K'!$G$31))/((1+$Y$16)^1))</f>
        <v>34971064.972647354</v>
      </c>
      <c r="Z267" s="193">
        <f>+(((C267*'Appendix K'!$C$6*1000)-('Appendix K'!$E$32+'Appendix K'!$F$32+'Appendix K'!$H$32+'Appendix K'!$G$32))/((1+$Y$16)^2))</f>
        <v>8184395.7190279262</v>
      </c>
      <c r="AA267" s="193">
        <f>(((D267*'Appendix K'!$C$7*1000)-('Appendix K'!$E$33+'Appendix K'!$F$33+'Appendix K'!$H$33+'Appendix K'!$G$33))/((1+$Y$16)^3))</f>
        <v>-953937.95185296563</v>
      </c>
      <c r="AB267" s="193">
        <f>(((E267*'Appendix K'!$C$8*1000)-('Appendix K'!$E$34+'Appendix K'!$F$34+'Appendix K'!$H$34+'Appendix K'!$G$34))/((1+$Y$16)^4))</f>
        <v>-891906.13487787941</v>
      </c>
      <c r="AC267" s="193">
        <f>(((F267*'Appendix K'!$C$9*1000)-('Appendix K'!$E$35+'Appendix K'!$F$35+'Appendix K'!$H$35+'Appendix K'!$G$35))/((1+$Y$16)^AC$34))</f>
        <v>1075897.4906088088</v>
      </c>
      <c r="AD267" s="193">
        <f>(((G267*'Appendix K'!$C$10*1000)-('Appendix K'!$E$36+'Appendix K'!$F$36+'Appendix K'!$H$36+'Appendix K'!$G$36))/((1+$Y$16)^AD$34))</f>
        <v>1130872.0507160239</v>
      </c>
      <c r="AE267" s="193">
        <f>(((H267*'Appendix K'!$C$11*1000)-('Appendix K'!$E$37+'Appendix K'!$F$37+'Appendix K'!$H$37+'Appendix K'!$G$37))/((1+$Y$16)^AE$34))</f>
        <v>-129998.74668924413</v>
      </c>
      <c r="AF267" s="193">
        <f>(((I267*'Appendix K'!$C$12*1000)-('Appendix K'!$E$38+'Appendix K'!$F$38+'Appendix K'!$H$38+'Appendix K'!$G$38))/((1+$Y$16)^AF$34))</f>
        <v>-899255.96368876973</v>
      </c>
      <c r="AG267" s="193">
        <f>(((J267*'Appendix K'!$C$13*1000)-('Appendix K'!$E$39+'Appendix K'!$F$39+'Appendix K'!$H$39+'Appendix K'!$G$39))/((1+$Y$16)^AG$34))</f>
        <v>-1284775.2093122071</v>
      </c>
      <c r="AH267" s="193">
        <f>(((K267*'Appendix K'!$C$14*1000)-('Appendix K'!$E$40+'Appendix K'!$F$40+'Appendix K'!$H$40+'Appendix K'!$G$40))/((1+$Y$16)^AH$34))</f>
        <v>-1146010.2631468466</v>
      </c>
      <c r="AI267" s="193">
        <f>(((L267*'Appendix K'!$C$15*1000)-('Appendix K'!$E$41+'Appendix K'!$F$41+'Appendix K'!$H$41+'Appendix K'!$G$41))/((1+$Y$16)^AI$34))</f>
        <v>-1140309.8225637516</v>
      </c>
      <c r="AJ267" s="193">
        <f>(((M267*'Appendix K'!$C$16*1000)-('Appendix K'!$E$42+'Appendix K'!$F$42+'Appendix K'!$H$42+'Appendix K'!$G$42))/((1+$Y$16)^AJ$34))</f>
        <v>-1024032.5597015761</v>
      </c>
      <c r="AK267" s="193">
        <f>(((N267*'Appendix K'!$C$17*1000)-('Appendix K'!$E$43+'Appendix K'!$F$43+'Appendix K'!$H$43))/((1+$Y$16)^AK$34))</f>
        <v>-812079.42563050019</v>
      </c>
      <c r="AL267" s="193">
        <f>(((O267*'Appendix K'!$C$18*1000)-('Appendix K'!$E$44+'Appendix K'!$F$44+'Appendix K'!$H$44+'Appendix K'!$G$44))/((1+$Y$16)^AL$34))</f>
        <v>-971181.94548610004</v>
      </c>
      <c r="AM267" s="193">
        <f>(((P267*'Appendix K'!$C$19*1000)-('Appendix K'!$E$45+'Appendix K'!$F$45+'Appendix K'!$H$45+'Appendix K'!$G$45))/((1+$Y$16)^AM$34))</f>
        <v>-901450.87211338023</v>
      </c>
      <c r="AN267" s="193">
        <f>(((Q267*'Appendix K'!$C$20*1000)-('Appendix K'!$E$46+'Appendix K'!$F$46+'Appendix K'!$H$46+'Appendix K'!$G$46))/((1+$Y$16)^AN$34))</f>
        <v>-803767.8501331252</v>
      </c>
      <c r="AO267" s="193">
        <f>(((R267*'Appendix K'!$C$21*1000)-('Appendix K'!$E$47+'Appendix K'!$F$47+'Appendix K'!$H$47+'Appendix K'!$G$47))/((1+$Y$16)^AO$34))</f>
        <v>-733014.17733885616</v>
      </c>
      <c r="AP267" s="193">
        <f>(((S267*'Appendix K'!$C$22*1000)-('Appendix K'!$E$48+'Appendix K'!$F$48+'Appendix K'!$H$48+'Appendix K'!$G$48))/((1+$Y$16)^AP$34))</f>
        <v>-636065.18503578193</v>
      </c>
      <c r="AQ267" s="193">
        <f>(((T267*'Appendix K'!$C$23*1000)-('Appendix K'!$E$49+'Appendix K'!$F$49+'Appendix K'!$H$49+'Appendix K'!$G$49))/((1+$Y$16)^AQ$34))</f>
        <v>-573475.5460680871</v>
      </c>
      <c r="AR267" s="193">
        <f>(((U267*'Appendix K'!$C$24*1000)-('Appendix K'!$E$50+'Appendix K'!$F$50+'Appendix K'!$H$50+'Appendix K'!$G$50))/((1+$Y$16)^AR$34))</f>
        <v>-513213.92108946905</v>
      </c>
      <c r="AS267" s="209">
        <f t="shared" si="22"/>
        <v>11767327.788925014</v>
      </c>
      <c r="AU267" s="199">
        <f t="shared" si="21"/>
        <v>2.8776757101286523E-9</v>
      </c>
    </row>
    <row r="268" spans="1:47" x14ac:dyDescent="0.35">
      <c r="A268">
        <v>234</v>
      </c>
      <c r="B268" s="70">
        <v>56</v>
      </c>
      <c r="C268" s="70">
        <v>65.917491145882266</v>
      </c>
      <c r="D268" s="70">
        <v>34.18980899327368</v>
      </c>
      <c r="E268" s="70">
        <v>31.010529500021256</v>
      </c>
      <c r="F268" s="70">
        <v>40.220071180525643</v>
      </c>
      <c r="G268" s="70">
        <v>64.003864012911492</v>
      </c>
      <c r="H268" s="70">
        <v>51.795596350103253</v>
      </c>
      <c r="I268" s="70">
        <v>33.967415334148896</v>
      </c>
      <c r="J268" s="70">
        <v>30.621910879244297</v>
      </c>
      <c r="K268" s="70">
        <v>27.642812519430102</v>
      </c>
      <c r="L268" s="70">
        <v>45.76808220037698</v>
      </c>
      <c r="M268" s="70">
        <v>39.790637766724046</v>
      </c>
      <c r="N268" s="70">
        <v>29.598212436485792</v>
      </c>
      <c r="O268" s="70">
        <v>40.442357345374361</v>
      </c>
      <c r="P268" s="70">
        <v>32.197180010024361</v>
      </c>
      <c r="Q268" s="70">
        <v>33.695335623973776</v>
      </c>
      <c r="R268" s="70">
        <v>30.190764375797549</v>
      </c>
      <c r="S268" s="70">
        <v>46.362404122183541</v>
      </c>
      <c r="T268" s="70">
        <v>45.497819124801353</v>
      </c>
      <c r="U268" s="70">
        <v>63.975225088409189</v>
      </c>
      <c r="V268" s="70">
        <v>67.599866977125984</v>
      </c>
      <c r="X268" s="193">
        <f>((0-('Appendix K'!$I$30))/(1+$Y$16)^0)</f>
        <v>-33594902.4440751</v>
      </c>
      <c r="Y268" s="193">
        <f>(((B268*'Appendix K'!$C$5*1000)-('Appendix K'!$E$31+'Appendix K'!$F$31+'Appendix K'!$H$31+'Appendix K'!$G$31))/((1+$Y$16)^1))</f>
        <v>34971064.972647354</v>
      </c>
      <c r="Z268" s="193">
        <f>+(((C268*'Appendix K'!$C$6*1000)-('Appendix K'!$E$32+'Appendix K'!$F$32+'Appendix K'!$H$32+'Appendix K'!$G$32))/((1+$Y$16)^2))</f>
        <v>13164637.988593997</v>
      </c>
      <c r="AA268" s="193">
        <f>(((D268*'Appendix K'!$C$7*1000)-('Appendix K'!$E$33+'Appendix K'!$F$33+'Appendix K'!$H$33+'Appendix K'!$G$33))/((1+$Y$16)^3))</f>
        <v>1390024.493557235</v>
      </c>
      <c r="AB268" s="193">
        <f>(((E268*'Appendix K'!$C$8*1000)-('Appendix K'!$E$34+'Appendix K'!$F$34+'Appendix K'!$H$34+'Appendix K'!$G$34))/((1+$Y$16)^4))</f>
        <v>3504016.3034755425</v>
      </c>
      <c r="AC268" s="193">
        <f>(((F268*'Appendix K'!$C$9*1000)-('Appendix K'!$E$35+'Appendix K'!$F$35+'Appendix K'!$H$35+'Appendix K'!$G$35))/((1+$Y$16)^AC$34))</f>
        <v>7706203.2437793026</v>
      </c>
      <c r="AD268" s="193">
        <f>(((G268*'Appendix K'!$C$10*1000)-('Appendix K'!$E$36+'Appendix K'!$F$36+'Appendix K'!$H$36+'Appendix K'!$G$36))/((1+$Y$16)^AD$34))</f>
        <v>7535656.7391097397</v>
      </c>
      <c r="AE268" s="193">
        <f>(((H268*'Appendix K'!$C$11*1000)-('Appendix K'!$E$37+'Appendix K'!$F$37+'Appendix K'!$H$37+'Appendix K'!$G$37))/((1+$Y$16)^AE$34))</f>
        <v>2946028.9987405441</v>
      </c>
      <c r="AF268" s="193">
        <f>(((I268*'Appendix K'!$C$12*1000)-('Appendix K'!$E$38+'Appendix K'!$F$38+'Appendix K'!$H$38+'Appendix K'!$G$38))/((1+$Y$16)^AF$34))</f>
        <v>233803.92043828234</v>
      </c>
      <c r="AG268" s="193">
        <f>(((J268*'Appendix K'!$C$13*1000)-('Appendix K'!$E$39+'Appendix K'!$F$39+'Appendix K'!$H$39+'Appendix K'!$G$39))/((1+$Y$16)^AG$34))</f>
        <v>-405756.21933672362</v>
      </c>
      <c r="AH268" s="193">
        <f>(((K268*'Appendix K'!$C$14*1000)-('Appendix K'!$E$40+'Appendix K'!$F$40+'Appendix K'!$H$40+'Appendix K'!$G$40))/((1+$Y$16)^AH$34))</f>
        <v>-700997.95625816903</v>
      </c>
      <c r="AI268" s="193">
        <f>(((L268*'Appendix K'!$C$15*1000)-('Appendix K'!$E$41+'Appendix K'!$F$41+'Appendix K'!$H$41+'Appendix K'!$G$41))/((1+$Y$16)^AI$34))</f>
        <v>-317272.00794776174</v>
      </c>
      <c r="AJ268" s="193">
        <f>(((M268*'Appendix K'!$C$16*1000)-('Appendix K'!$E$42+'Appendix K'!$F$42+'Appendix K'!$H$42+'Appendix K'!$G$42))/((1+$Y$16)^AJ$34))</f>
        <v>-584072.28961950145</v>
      </c>
      <c r="AK268" s="193">
        <f>(((N268*'Appendix K'!$C$17*1000)-('Appendix K'!$E$43+'Appendix K'!$F$43+'Appendix K'!$H$43))/((1+$Y$16)^AK$34))</f>
        <v>-549514.71543172153</v>
      </c>
      <c r="AL268" s="193">
        <f>(((O268*'Appendix K'!$C$18*1000)-('Appendix K'!$E$44+'Appendix K'!$F$44+'Appendix K'!$H$44+'Appendix K'!$G$44))/((1+$Y$16)^AL$34))</f>
        <v>-655213.96380584303</v>
      </c>
      <c r="AM268" s="193">
        <f>(((P268*'Appendix K'!$C$19*1000)-('Appendix K'!$E$45+'Appendix K'!$F$45+'Appendix K'!$H$45+'Appendix K'!$G$45))/((1+$Y$16)^AM$34))</f>
        <v>-728338.91613280377</v>
      </c>
      <c r="AN268" s="193">
        <f>(((Q268*'Appendix K'!$C$20*1000)-('Appendix K'!$E$46+'Appendix K'!$F$46+'Appendix K'!$H$46+'Appendix K'!$G$46))/((1+$Y$16)^AN$34))</f>
        <v>-671882.08207860612</v>
      </c>
      <c r="AO268" s="193">
        <f>(((R268*'Appendix K'!$C$21*1000)-('Appendix K'!$E$47+'Appendix K'!$F$47+'Appendix K'!$H$47+'Appendix K'!$G$47))/((1+$Y$16)^AO$34))</f>
        <v>-664568.17244317697</v>
      </c>
      <c r="AP268" s="193">
        <f>(((S268*'Appendix K'!$C$22*1000)-('Appendix K'!$E$48+'Appendix K'!$F$48+'Appendix K'!$H$48+'Appendix K'!$G$48))/((1+$Y$16)^AP$34))</f>
        <v>-542390.32906603906</v>
      </c>
      <c r="AQ268" s="193">
        <f>(((T268*'Appendix K'!$C$23*1000)-('Appendix K'!$E$49+'Appendix K'!$F$49+'Appendix K'!$H$49+'Appendix K'!$G$49))/((1+$Y$16)^AQ$34))</f>
        <v>-515418.81519773055</v>
      </c>
      <c r="AR268" s="193">
        <f>(((U268*'Appendix K'!$C$24*1000)-('Appendix K'!$E$50+'Appendix K'!$F$50+'Appendix K'!$H$50+'Appendix K'!$G$50))/((1+$Y$16)^AR$34))</f>
        <v>-423286.85201084544</v>
      </c>
      <c r="AS268" s="209">
        <f t="shared" si="22"/>
        <v>37856534.216266893</v>
      </c>
      <c r="AU268" s="199">
        <f t="shared" si="21"/>
        <v>4.7861903147062895E-9</v>
      </c>
    </row>
    <row r="269" spans="1:47" x14ac:dyDescent="0.35">
      <c r="A269">
        <v>235</v>
      </c>
      <c r="B269" s="70">
        <v>56</v>
      </c>
      <c r="C269" s="70">
        <v>58.967642190546314</v>
      </c>
      <c r="D269" s="70">
        <v>66.331507278564501</v>
      </c>
      <c r="E269" s="70">
        <v>73.131224706099502</v>
      </c>
      <c r="F269" s="70">
        <v>62.579161430327318</v>
      </c>
      <c r="G269" s="70">
        <v>65.167975025521088</v>
      </c>
      <c r="H269" s="70">
        <v>84.62368686777458</v>
      </c>
      <c r="I269" s="70">
        <v>112.10588080425674</v>
      </c>
      <c r="J269" s="70">
        <v>186.84619645607094</v>
      </c>
      <c r="K269" s="70">
        <v>252.22351725192931</v>
      </c>
      <c r="L269" s="70">
        <v>336.25836017603996</v>
      </c>
      <c r="M269" s="70">
        <v>424.93549073912089</v>
      </c>
      <c r="N269" s="70">
        <v>500</v>
      </c>
      <c r="O269" s="70">
        <v>447.11417460440009</v>
      </c>
      <c r="P269" s="70">
        <v>473.65745498477929</v>
      </c>
      <c r="Q269" s="70">
        <v>251.43217574944265</v>
      </c>
      <c r="R269" s="70">
        <v>342.79797195779901</v>
      </c>
      <c r="S269" s="70">
        <v>282.95433903232123</v>
      </c>
      <c r="T269" s="70">
        <v>351.71620779316163</v>
      </c>
      <c r="U269" s="70">
        <v>454.13076469539601</v>
      </c>
      <c r="V269" s="70">
        <v>500</v>
      </c>
      <c r="X269" s="193">
        <f>((0-('Appendix K'!$I$30))/(1+$Y$16)^0)</f>
        <v>-33594902.4440751</v>
      </c>
      <c r="Y269" s="193">
        <f>(((B269*'Appendix K'!$C$5*1000)-('Appendix K'!$E$31+'Appendix K'!$F$31+'Appendix K'!$H$31+'Appendix K'!$G$31))/((1+$Y$16)^1))</f>
        <v>34971064.972647354</v>
      </c>
      <c r="Z269" s="193">
        <f>+(((C269*'Appendix K'!$C$6*1000)-('Appendix K'!$E$32+'Appendix K'!$F$32+'Appendix K'!$H$32+'Appendix K'!$G$32))/((1+$Y$16)^2))</f>
        <v>11408987.278347073</v>
      </c>
      <c r="AA269" s="193">
        <f>(((D269*'Appendix K'!$C$7*1000)-('Appendix K'!$E$33+'Appendix K'!$F$33+'Appendix K'!$H$33+'Appendix K'!$G$33))/((1+$Y$16)^3))</f>
        <v>5484069.2100304151</v>
      </c>
      <c r="AB269" s="193">
        <f>(((E269*'Appendix K'!$C$8*1000)-('Appendix K'!$E$34+'Appendix K'!$F$34+'Appendix K'!$H$34+'Appendix K'!$G$34))/((1+$Y$16)^4))</f>
        <v>12736487.114795284</v>
      </c>
      <c r="AC269" s="193">
        <f>(((F269*'Appendix K'!$C$9*1000)-('Appendix K'!$E$35+'Appendix K'!$F$35+'Appendix K'!$H$35+'Appendix K'!$G$35))/((1+$Y$16)^AC$34))</f>
        <v>13649214.322104393</v>
      </c>
      <c r="AD269" s="193">
        <f>(((G269*'Appendix K'!$C$10*1000)-('Appendix K'!$E$36+'Appendix K'!$F$36+'Appendix K'!$H$36+'Appendix K'!$G$36))/((1+$Y$16)^AD$34))</f>
        <v>7718473.3325336147</v>
      </c>
      <c r="AE269" s="193">
        <f>(((H269*'Appendix K'!$C$11*1000)-('Appendix K'!$E$37+'Appendix K'!$F$37+'Appendix K'!$H$37+'Appendix K'!$G$37))/((1+$Y$16)^AE$34))</f>
        <v>6220224.9062025202</v>
      </c>
      <c r="AF269" s="193">
        <f>(((I269*'Appendix K'!$C$12*1000)-('Appendix K'!$E$38+'Appendix K'!$F$38+'Appendix K'!$H$38+'Appendix K'!$G$38))/((1+$Y$16)^AF$34))</f>
        <v>5364565.2083116677</v>
      </c>
      <c r="AG269" s="193">
        <f>(((J269*'Appendix K'!$C$13*1000)-('Appendix K'!$E$39+'Appendix K'!$F$39+'Appendix K'!$H$39+'Appendix K'!$G$39))/((1+$Y$16)^AG$34))</f>
        <v>6783518.6431374643</v>
      </c>
      <c r="AH269" s="193">
        <f>(((K269*'Appendix K'!$C$14*1000)-('Appendix K'!$E$40+'Appendix K'!$F$40+'Appendix K'!$H$40+'Appendix K'!$G$40))/((1+$Y$16)^AH$34))</f>
        <v>6868837.5767239975</v>
      </c>
      <c r="AI269" s="193">
        <f>(((L269*'Appendix K'!$C$15*1000)-('Appendix K'!$E$41+'Appendix K'!$F$41+'Appendix K'!$H$41+'Appendix K'!$G$41))/((1+$Y$16)^AI$34))</f>
        <v>7294116.4944981076</v>
      </c>
      <c r="AJ269" s="193">
        <f>(((M269*'Appendix K'!$C$16*1000)-('Appendix K'!$E$42+'Appendix K'!$F$42+'Appendix K'!$H$42+'Appendix K'!$G$42))/((1+$Y$16)^AJ$34))</f>
        <v>7134949.6208945578</v>
      </c>
      <c r="AK269" s="193">
        <f>(((N269*'Appendix K'!$C$17*1000)-('Appendix K'!$E$43+'Appendix K'!$F$43+'Appendix K'!$H$43))/((1+$Y$16)^AK$34))</f>
        <v>6677690.1149291173</v>
      </c>
      <c r="AL269" s="193">
        <f>(((O269*'Appendix K'!$C$18*1000)-('Appendix K'!$E$44+'Appendix K'!$F$44+'Appendix K'!$H$44+'Appendix K'!$G$44))/((1+$Y$16)^AL$34))</f>
        <v>4165186.7502122181</v>
      </c>
      <c r="AM269" s="193">
        <f>(((P269*'Appendix K'!$C$19*1000)-('Appendix K'!$E$45+'Appendix K'!$F$45+'Appendix K'!$H$45+'Appendix K'!$G$45))/((1+$Y$16)^AM$34))</f>
        <v>3363437.9695511097</v>
      </c>
      <c r="AN269" s="193">
        <f>(((Q269*'Appendix K'!$C$20*1000)-('Appendix K'!$E$46+'Appendix K'!$F$46+'Appendix K'!$H$46+'Appendix K'!$G$46))/((1+$Y$16)^AN$34))</f>
        <v>903708.91820524004</v>
      </c>
      <c r="AO269" s="193">
        <f>(((R269*'Appendix K'!$C$21*1000)-('Appendix K'!$E$47+'Appendix K'!$F$47+'Appendix K'!$H$47+'Appendix K'!$G$47))/((1+$Y$16)^AO$34))</f>
        <v>1182974.9612233236</v>
      </c>
      <c r="AP269" s="193">
        <f>(((S269*'Appendix K'!$C$22*1000)-('Appendix K'!$E$48+'Appendix K'!$F$48+'Appendix K'!$H$48+'Appendix K'!$G$48))/((1+$Y$16)^AP$34))</f>
        <v>590818.63765966368</v>
      </c>
      <c r="AQ269" s="193">
        <f>(((T269*'Appendix K'!$C$23*1000)-('Appendix K'!$E$49+'Appendix K'!$F$49+'Appendix K'!$H$49+'Appendix K'!$G$49))/((1+$Y$16)^AQ$34))</f>
        <v>683041.56413223012</v>
      </c>
      <c r="AR269" s="193">
        <f>(((U269*'Appendix K'!$C$24*1000)-('Appendix K'!$E$50+'Appendix K'!$F$50+'Appendix K'!$H$50+'Appendix K'!$G$50))/((1+$Y$16)^AR$34))</f>
        <v>833024.91723653662</v>
      </c>
      <c r="AS269" s="209">
        <f t="shared" si="22"/>
        <v>110439490.0693008</v>
      </c>
      <c r="AU269" s="199">
        <f t="shared" si="21"/>
        <v>6.4836147090301959E-9</v>
      </c>
    </row>
    <row r="270" spans="1:47" x14ac:dyDescent="0.35">
      <c r="A270">
        <v>236</v>
      </c>
      <c r="B270" s="70">
        <v>56</v>
      </c>
      <c r="C270" s="70">
        <v>45.755579971671523</v>
      </c>
      <c r="D270" s="70">
        <v>54.392457181744746</v>
      </c>
      <c r="E270" s="70">
        <v>85.103523852682898</v>
      </c>
      <c r="F270" s="70">
        <v>134.39681213998202</v>
      </c>
      <c r="G270" s="70">
        <v>175.61381697290332</v>
      </c>
      <c r="H270" s="70">
        <v>191.90036838410796</v>
      </c>
      <c r="I270" s="70">
        <v>179.63315606817667</v>
      </c>
      <c r="J270" s="70">
        <v>273.97243536339488</v>
      </c>
      <c r="K270" s="70">
        <v>258.64548700061692</v>
      </c>
      <c r="L270" s="70">
        <v>173.8374218535501</v>
      </c>
      <c r="M270" s="70">
        <v>193.35916203708462</v>
      </c>
      <c r="N270" s="70">
        <v>29.090220097950208</v>
      </c>
      <c r="O270" s="70">
        <v>31.069754816714592</v>
      </c>
      <c r="P270" s="70">
        <v>29.458419590825621</v>
      </c>
      <c r="Q270" s="70">
        <v>23.103290782942906</v>
      </c>
      <c r="R270" s="70">
        <v>19.431132135919121</v>
      </c>
      <c r="S270" s="70">
        <v>27.313143453158766</v>
      </c>
      <c r="T270" s="70">
        <v>32.15908441282118</v>
      </c>
      <c r="U270" s="70">
        <v>46.397561430048981</v>
      </c>
      <c r="V270" s="70">
        <v>64.470200642030974</v>
      </c>
      <c r="X270" s="193">
        <f>((0-('Appendix K'!$I$30))/(1+$Y$16)^0)</f>
        <v>-33594902.4440751</v>
      </c>
      <c r="Y270" s="193">
        <f>(((B270*'Appendix K'!$C$5*1000)-('Appendix K'!$E$31+'Appendix K'!$F$31+'Appendix K'!$H$31+'Appendix K'!$G$31))/((1+$Y$16)^1))</f>
        <v>34971064.972647354</v>
      </c>
      <c r="Z270" s="193">
        <f>+(((C270*'Appendix K'!$C$6*1000)-('Appendix K'!$E$32+'Appendix K'!$F$32+'Appendix K'!$H$32+'Appendix K'!$G$32))/((1+$Y$16)^2))</f>
        <v>8071394.394319742</v>
      </c>
      <c r="AA270" s="193">
        <f>(((D270*'Appendix K'!$C$7*1000)-('Appendix K'!$E$33+'Appendix K'!$F$33+'Appendix K'!$H$33+'Appendix K'!$G$33))/((1+$Y$16)^3))</f>
        <v>3963334.2278666915</v>
      </c>
      <c r="AB270" s="193">
        <f>(((E270*'Appendix K'!$C$8*1000)-('Appendix K'!$E$34+'Appendix K'!$F$34+'Appendix K'!$H$34+'Appendix K'!$G$34))/((1+$Y$16)^4))</f>
        <v>15360705.491876319</v>
      </c>
      <c r="AC270" s="193">
        <f>(((F270*'Appendix K'!$C$9*1000)-('Appendix K'!$E$35+'Appendix K'!$F$35+'Appendix K'!$H$35+'Appendix K'!$G$35))/((1+$Y$16)^AC$34))</f>
        <v>32738233.106781714</v>
      </c>
      <c r="AD270" s="193">
        <f>(((G270*'Appendix K'!$C$10*1000)-('Appendix K'!$E$36+'Appendix K'!$F$36+'Appendix K'!$H$36+'Appendix K'!$G$36))/((1+$Y$16)^AD$34))</f>
        <v>25063324.780497249</v>
      </c>
      <c r="AE270" s="193">
        <f>(((H270*'Appendix K'!$C$11*1000)-('Appendix K'!$E$37+'Appendix K'!$F$37+'Appendix K'!$H$37+'Appendix K'!$G$37))/((1+$Y$16)^AE$34))</f>
        <v>16919746.750088189</v>
      </c>
      <c r="AF270" s="193">
        <f>(((I270*'Appendix K'!$C$12*1000)-('Appendix K'!$E$38+'Appendix K'!$F$38+'Appendix K'!$H$38+'Appendix K'!$G$38))/((1+$Y$16)^AF$34))</f>
        <v>9798569.9934738781</v>
      </c>
      <c r="AG270" s="193">
        <f>(((J270*'Appendix K'!$C$13*1000)-('Appendix K'!$E$39+'Appendix K'!$F$39+'Appendix K'!$H$39+'Appendix K'!$G$39))/((1+$Y$16)^AG$34))</f>
        <v>10792975.155776219</v>
      </c>
      <c r="AH270" s="193">
        <f>(((K270*'Appendix K'!$C$14*1000)-('Appendix K'!$E$40+'Appendix K'!$F$40+'Appendix K'!$H$40+'Appendix K'!$G$40))/((1+$Y$16)^AH$34))</f>
        <v>7085299.8718853574</v>
      </c>
      <c r="AI270" s="193">
        <f>(((L270*'Appendix K'!$C$15*1000)-('Appendix K'!$E$41+'Appendix K'!$F$41+'Appendix K'!$H$41+'Appendix K'!$G$41))/((1+$Y$16)^AI$34))</f>
        <v>3038384.181804873</v>
      </c>
      <c r="AJ270" s="193">
        <f>(((M270*'Appendix K'!$C$16*1000)-('Appendix K'!$E$42+'Appendix K'!$F$42+'Appendix K'!$H$42+'Appendix K'!$G$42))/((1+$Y$16)^AJ$34))</f>
        <v>2493727.6458068211</v>
      </c>
      <c r="AK270" s="193">
        <f>(((N270*'Appendix K'!$C$17*1000)-('Appendix K'!$E$43+'Appendix K'!$F$43+'Appendix K'!$H$43))/((1+$Y$16)^AK$34))</f>
        <v>-557319.45763278077</v>
      </c>
      <c r="AL270" s="193">
        <f>(((O270*'Appendix K'!$C$18*1000)-('Appendix K'!$E$44+'Appendix K'!$F$44+'Appendix K'!$H$44+'Appendix K'!$G$44))/((1+$Y$16)^AL$34))</f>
        <v>-766310.17948626785</v>
      </c>
      <c r="AM270" s="193">
        <f>(((P270*'Appendix K'!$C$19*1000)-('Appendix K'!$E$45+'Appendix K'!$F$45+'Appendix K'!$H$45+'Appendix K'!$G$45))/((1+$Y$16)^AM$34))</f>
        <v>-753723.75190164894</v>
      </c>
      <c r="AN270" s="193">
        <f>(((Q270*'Appendix K'!$C$20*1000)-('Appendix K'!$E$46+'Appendix K'!$F$46+'Appendix K'!$H$46+'Appendix K'!$G$46))/((1+$Y$16)^AN$34))</f>
        <v>-748528.4158662851</v>
      </c>
      <c r="AO270" s="193">
        <f>(((R270*'Appendix K'!$C$21*1000)-('Appendix K'!$E$47+'Appendix K'!$F$47+'Appendix K'!$H$47+'Appendix K'!$G$47))/((1+$Y$16)^AO$34))</f>
        <v>-728158.78770546126</v>
      </c>
      <c r="AP270" s="193">
        <f>(((S270*'Appendix K'!$C$22*1000)-('Appendix K'!$E$48+'Appendix K'!$F$48+'Appendix K'!$H$48+'Appendix K'!$G$48))/((1+$Y$16)^AP$34))</f>
        <v>-633630.94133726135</v>
      </c>
      <c r="AQ270" s="193">
        <f>(((T270*'Appendix K'!$C$23*1000)-('Appendix K'!$E$49+'Appendix K'!$F$49+'Appendix K'!$H$49+'Appendix K'!$G$49))/((1+$Y$16)^AQ$34))</f>
        <v>-567623.20805675804</v>
      </c>
      <c r="AR270" s="193">
        <f>(((U270*'Appendix K'!$C$24*1000)-('Appendix K'!$E$50+'Appendix K'!$F$50+'Appendix K'!$H$50+'Appendix K'!$G$50))/((1+$Y$16)^AR$34))</f>
        <v>-479887.42149683734</v>
      </c>
      <c r="AS270" s="209">
        <f t="shared" si="22"/>
        <v>136701858.12874931</v>
      </c>
      <c r="AU270" s="199">
        <f t="shared" si="21"/>
        <v>4.8360735937458426E-9</v>
      </c>
    </row>
    <row r="271" spans="1:47" x14ac:dyDescent="0.35">
      <c r="A271">
        <v>237</v>
      </c>
      <c r="B271" s="70">
        <v>56</v>
      </c>
      <c r="C271" s="70">
        <v>26.021206661561969</v>
      </c>
      <c r="D271" s="70">
        <v>23.857191972401495</v>
      </c>
      <c r="E271" s="70">
        <v>22.522359129183918</v>
      </c>
      <c r="F271" s="70">
        <v>35.597568612617067</v>
      </c>
      <c r="G271" s="70">
        <v>36.2343994431358</v>
      </c>
      <c r="H271" s="70">
        <v>54.887952118316747</v>
      </c>
      <c r="I271" s="70">
        <v>72.912803402864014</v>
      </c>
      <c r="J271" s="70">
        <v>139.70459694779711</v>
      </c>
      <c r="K271" s="70">
        <v>141.00217494428955</v>
      </c>
      <c r="L271" s="70">
        <v>156.09788732976182</v>
      </c>
      <c r="M271" s="70">
        <v>185.89246080789275</v>
      </c>
      <c r="N271" s="70">
        <v>133.38904516933604</v>
      </c>
      <c r="O271" s="70">
        <v>131.97904675897965</v>
      </c>
      <c r="P271" s="70">
        <v>140.68864324821752</v>
      </c>
      <c r="Q271" s="70">
        <v>121.53409068995018</v>
      </c>
      <c r="R271" s="70">
        <v>192.30659904352564</v>
      </c>
      <c r="S271" s="70">
        <v>66.996509591085456</v>
      </c>
      <c r="T271" s="70">
        <v>56.399755722961757</v>
      </c>
      <c r="U271" s="70">
        <v>84.788903349584373</v>
      </c>
      <c r="V271" s="70">
        <v>101.95161912363153</v>
      </c>
      <c r="X271" s="193">
        <f>((0-('Appendix K'!$I$30))/(1+$Y$16)^0)</f>
        <v>-33594902.4440751</v>
      </c>
      <c r="Y271" s="193">
        <f>(((B271*'Appendix K'!$C$5*1000)-('Appendix K'!$E$31+'Appendix K'!$F$31+'Appendix K'!$H$31+'Appendix K'!$G$31))/((1+$Y$16)^1))</f>
        <v>34971064.972647354</v>
      </c>
      <c r="Z271" s="193">
        <f>+(((C271*'Appendix K'!$C$6*1000)-('Appendix K'!$E$32+'Appendix K'!$F$32+'Appendix K'!$H$32+'Appendix K'!$G$32))/((1+$Y$16)^2))</f>
        <v>3086154.1767505892</v>
      </c>
      <c r="AA271" s="193">
        <f>(((D271*'Appendix K'!$C$7*1000)-('Appendix K'!$E$33+'Appendix K'!$F$33+'Appendix K'!$H$33+'Appendix K'!$G$33))/((1+$Y$16)^3))</f>
        <v>73908.719394747488</v>
      </c>
      <c r="AB271" s="193">
        <f>(((E271*'Appendix K'!$C$8*1000)-('Appendix K'!$E$34+'Appendix K'!$F$34+'Appendix K'!$H$34+'Appendix K'!$G$34))/((1+$Y$16)^4))</f>
        <v>1643487.0599089251</v>
      </c>
      <c r="AC271" s="193">
        <f>(((F271*'Appendix K'!$C$9*1000)-('Appendix K'!$E$35+'Appendix K'!$F$35+'Appendix K'!$H$35+'Appendix K'!$G$35))/((1+$Y$16)^AC$34))</f>
        <v>6477549.3198607946</v>
      </c>
      <c r="AD271" s="193">
        <f>(((G271*'Appendix K'!$C$10*1000)-('Appendix K'!$E$36+'Appendix K'!$F$36+'Appendix K'!$H$36+'Appendix K'!$G$36))/((1+$Y$16)^AD$34))</f>
        <v>3174630.2915797718</v>
      </c>
      <c r="AE271" s="193">
        <f>(((H271*'Appendix K'!$C$11*1000)-('Appendix K'!$E$37+'Appendix K'!$F$37+'Appendix K'!$H$37+'Appendix K'!$G$37))/((1+$Y$16)^AE$34))</f>
        <v>3254453.23058098</v>
      </c>
      <c r="AF271" s="193">
        <f>(((I271*'Appendix K'!$C$12*1000)-('Appendix K'!$E$38+'Appendix K'!$F$38+'Appendix K'!$H$38+'Appendix K'!$G$38))/((1+$Y$16)^AF$34))</f>
        <v>2791052.6230073296</v>
      </c>
      <c r="AG271" s="193">
        <f>(((J271*'Appendix K'!$C$13*1000)-('Appendix K'!$E$39+'Appendix K'!$F$39+'Appendix K'!$H$39+'Appendix K'!$G$39))/((1+$Y$16)^AG$34))</f>
        <v>4614112.5545111829</v>
      </c>
      <c r="AH271" s="193">
        <f>(((K271*'Appendix K'!$C$14*1000)-('Appendix K'!$E$40+'Appendix K'!$F$40+'Appendix K'!$H$40+'Appendix K'!$G$40))/((1+$Y$16)^AH$34))</f>
        <v>3119952.4263760466</v>
      </c>
      <c r="AI271" s="193">
        <f>(((L271*'Appendix K'!$C$15*1000)-('Appendix K'!$E$41+'Appendix K'!$F$41+'Appendix K'!$H$41+'Appendix K'!$G$41))/((1+$Y$16)^AI$34))</f>
        <v>2573575.2041893951</v>
      </c>
      <c r="AJ271" s="193">
        <f>(((M271*'Appendix K'!$C$16*1000)-('Appendix K'!$E$42+'Appendix K'!$F$42+'Appendix K'!$H$42+'Appendix K'!$G$42))/((1+$Y$16)^AJ$34))</f>
        <v>2344081.0130072772</v>
      </c>
      <c r="AK271" s="193">
        <f>(((N271*'Appendix K'!$C$17*1000)-('Appendix K'!$E$43+'Appendix K'!$F$43+'Appendix K'!$H$43))/((1+$Y$16)^AK$34))</f>
        <v>1045116.9962361419</v>
      </c>
      <c r="AL271" s="193">
        <f>(((O271*'Appendix K'!$C$18*1000)-('Appendix K'!$E$44+'Appendix K'!$F$44+'Appendix K'!$H$44+'Appendix K'!$G$44))/((1+$Y$16)^AL$34))</f>
        <v>429797.35067909118</v>
      </c>
      <c r="AM271" s="193">
        <f>(((P271*'Appendix K'!$C$19*1000)-('Appendix K'!$E$45+'Appendix K'!$F$45+'Appendix K'!$H$45+'Appendix K'!$G$45))/((1+$Y$16)^AM$34))</f>
        <v>277239.35837321094</v>
      </c>
      <c r="AN271" s="193">
        <f>(((Q271*'Appendix K'!$C$20*1000)-('Appendix K'!$E$46+'Appendix K'!$F$46+'Appendix K'!$H$46+'Appendix K'!$G$46))/((1+$Y$16)^AN$34))</f>
        <v>-36261.798995876743</v>
      </c>
      <c r="AO271" s="193">
        <f>(((R271*'Appendix K'!$C$21*1000)-('Appendix K'!$E$47+'Appendix K'!$F$47+'Appendix K'!$H$47+'Appendix K'!$G$47))/((1+$Y$16)^AO$34))</f>
        <v>293554.32100703317</v>
      </c>
      <c r="AP271" s="193">
        <f>(((S271*'Appendix K'!$C$22*1000)-('Appendix K'!$E$48+'Appendix K'!$F$48+'Appendix K'!$H$48+'Appendix K'!$G$48))/((1+$Y$16)^AP$34))</f>
        <v>-443558.75500327669</v>
      </c>
      <c r="AQ271" s="193">
        <f>(((T271*'Appendix K'!$C$23*1000)-('Appendix K'!$E$49+'Appendix K'!$F$49+'Appendix K'!$H$49+'Appendix K'!$G$49))/((1+$Y$16)^AQ$34))</f>
        <v>-472751.42631987738</v>
      </c>
      <c r="AR271" s="193">
        <f>(((U271*'Appendix K'!$C$24*1000)-('Appendix K'!$E$50+'Appendix K'!$F$50+'Appendix K'!$H$50+'Appendix K'!$G$50))/((1+$Y$16)^AR$34))</f>
        <v>-356266.22483435378</v>
      </c>
      <c r="AS271" s="209">
        <f t="shared" si="22"/>
        <v>36574827.174034752</v>
      </c>
      <c r="AU271" s="199">
        <f t="shared" si="21"/>
        <v>4.6911467061553604E-9</v>
      </c>
    </row>
    <row r="272" spans="1:47" x14ac:dyDescent="0.35">
      <c r="A272">
        <v>238</v>
      </c>
      <c r="B272" s="70">
        <v>56</v>
      </c>
      <c r="C272" s="70">
        <v>57.896732863772812</v>
      </c>
      <c r="D272" s="70">
        <v>34.091302941432886</v>
      </c>
      <c r="E272" s="70">
        <v>41.961604675888317</v>
      </c>
      <c r="F272" s="70">
        <v>59.370074802171118</v>
      </c>
      <c r="G272" s="70">
        <v>88.124615691763239</v>
      </c>
      <c r="H272" s="70">
        <v>79.209421632874495</v>
      </c>
      <c r="I272" s="70">
        <v>92.284088666367211</v>
      </c>
      <c r="J272" s="70">
        <v>76.636744821425992</v>
      </c>
      <c r="K272" s="70">
        <v>72.014738018141742</v>
      </c>
      <c r="L272" s="70">
        <v>64.453880468865677</v>
      </c>
      <c r="M272" s="70">
        <v>63.387874386369958</v>
      </c>
      <c r="N272" s="70">
        <v>90.512825643126163</v>
      </c>
      <c r="O272" s="70">
        <v>122.64316184288488</v>
      </c>
      <c r="P272" s="70">
        <v>124.27355810365057</v>
      </c>
      <c r="Q272" s="70">
        <v>162.72204281462345</v>
      </c>
      <c r="R272" s="70">
        <v>132.78902445427963</v>
      </c>
      <c r="S272" s="70">
        <v>82.610653415724812</v>
      </c>
      <c r="T272" s="70">
        <v>95.205108220165442</v>
      </c>
      <c r="U272" s="70">
        <v>138.97606651944554</v>
      </c>
      <c r="V272" s="70">
        <v>200.09114244582156</v>
      </c>
      <c r="X272" s="193">
        <f>((0-('Appendix K'!$I$30))/(1+$Y$16)^0)</f>
        <v>-33594902.4440751</v>
      </c>
      <c r="Y272" s="193">
        <f>(((B272*'Appendix K'!$C$5*1000)-('Appendix K'!$E$31+'Appendix K'!$F$31+'Appendix K'!$H$31+'Appendix K'!$G$31))/((1+$Y$16)^1))</f>
        <v>34971064.972647354</v>
      </c>
      <c r="Z272" s="193">
        <f>+(((C272*'Appendix K'!$C$6*1000)-('Appendix K'!$E$32+'Appendix K'!$F$32+'Appendix K'!$H$32+'Appendix K'!$G$32))/((1+$Y$16)^2))</f>
        <v>11138457.266508987</v>
      </c>
      <c r="AA272" s="193">
        <f>(((D272*'Appendix K'!$C$7*1000)-('Appendix K'!$E$33+'Appendix K'!$F$33+'Appendix K'!$H$33+'Appendix K'!$G$33))/((1+$Y$16)^3))</f>
        <v>1377477.2977774779</v>
      </c>
      <c r="AB272" s="193">
        <f>(((E272*'Appendix K'!$C$8*1000)-('Appendix K'!$E$34+'Appendix K'!$F$34+'Appendix K'!$H$34+'Appendix K'!$G$34))/((1+$Y$16)^4))</f>
        <v>5904391.734581219</v>
      </c>
      <c r="AC272" s="193">
        <f>(((F272*'Appendix K'!$C$9*1000)-('Appendix K'!$E$35+'Appendix K'!$F$35+'Appendix K'!$H$35+'Appendix K'!$G$35))/((1+$Y$16)^AC$34))</f>
        <v>12796244.135510758</v>
      </c>
      <c r="AD272" s="193">
        <f>(((G272*'Appendix K'!$C$10*1000)-('Appendix K'!$E$36+'Appendix K'!$F$36+'Appendix K'!$H$36+'Appendix K'!$G$36))/((1+$Y$16)^AD$34))</f>
        <v>11323674.896300487</v>
      </c>
      <c r="AE272" s="193">
        <f>(((H272*'Appendix K'!$C$11*1000)-('Appendix K'!$E$37+'Appendix K'!$F$37+'Appendix K'!$H$37+'Appendix K'!$G$37))/((1+$Y$16)^AE$34))</f>
        <v>5680218.9297817796</v>
      </c>
      <c r="AF272" s="193">
        <f>(((I272*'Appendix K'!$C$12*1000)-('Appendix K'!$E$38+'Appendix K'!$F$38+'Appendix K'!$H$38+'Appendix K'!$G$38))/((1+$Y$16)^AF$34))</f>
        <v>4063018.2282745093</v>
      </c>
      <c r="AG272" s="193">
        <f>(((J272*'Appendix K'!$C$13*1000)-('Appendix K'!$E$39+'Appendix K'!$F$39+'Appendix K'!$H$39+'Appendix K'!$G$39))/((1+$Y$16)^AG$34))</f>
        <v>1711797.3206906132</v>
      </c>
      <c r="AH272" s="193">
        <f>(((K272*'Appendix K'!$C$14*1000)-('Appendix K'!$E$40+'Appendix K'!$F$40+'Appendix K'!$H$40+'Appendix K'!$G$40))/((1+$Y$16)^AH$34))</f>
        <v>794625.53778627864</v>
      </c>
      <c r="AI272" s="193">
        <f>(((L272*'Appendix K'!$C$15*1000)-('Appendix K'!$E$41+'Appendix K'!$F$41+'Appendix K'!$H$41+'Appendix K'!$G$41))/((1+$Y$16)^AI$34))</f>
        <v>172330.8493007457</v>
      </c>
      <c r="AJ272" s="193">
        <f>(((M272*'Appendix K'!$C$16*1000)-('Appendix K'!$E$42+'Appendix K'!$F$42+'Appendix K'!$H$42+'Appendix K'!$G$42))/((1+$Y$16)^AJ$34))</f>
        <v>-111139.61224139831</v>
      </c>
      <c r="AK272" s="193">
        <f>(((N272*'Appendix K'!$C$17*1000)-('Appendix K'!$E$43+'Appendix K'!$F$43+'Appendix K'!$H$43))/((1+$Y$16)^AK$34))</f>
        <v>386371.15585049888</v>
      </c>
      <c r="AL272" s="193">
        <f>(((O272*'Appendix K'!$C$18*1000)-('Appendix K'!$E$44+'Appendix K'!$F$44+'Appendix K'!$H$44+'Appendix K'!$G$44))/((1+$Y$16)^AL$34))</f>
        <v>319136.3596646348</v>
      </c>
      <c r="AM272" s="193">
        <f>(((P272*'Appendix K'!$C$19*1000)-('Appendix K'!$E$45+'Appendix K'!$F$45+'Appendix K'!$H$45+'Appendix K'!$G$45))/((1+$Y$16)^AM$34))</f>
        <v>125092.33682090159</v>
      </c>
      <c r="AN272" s="193">
        <f>(((Q272*'Appendix K'!$C$20*1000)-('Appendix K'!$E$46+'Appendix K'!$F$46+'Appendix K'!$H$46+'Appendix K'!$G$46))/((1+$Y$16)^AN$34))</f>
        <v>261783.15586964705</v>
      </c>
      <c r="AO272" s="193">
        <f>(((R272*'Appendix K'!$C$21*1000)-('Appendix K'!$E$47+'Appendix K'!$F$47+'Appendix K'!$H$47+'Appendix K'!$G$47))/((1+$Y$16)^AO$34))</f>
        <v>-58201.120319446185</v>
      </c>
      <c r="AP272" s="193">
        <f>(((S272*'Appendix K'!$C$22*1000)-('Appendix K'!$E$48+'Appendix K'!$F$48+'Appendix K'!$H$48+'Appendix K'!$G$48))/((1+$Y$16)^AP$34))</f>
        <v>-368771.3883225543</v>
      </c>
      <c r="AQ272" s="193">
        <f>(((T272*'Appendix K'!$C$23*1000)-('Appendix K'!$E$49+'Appendix K'!$F$49+'Appendix K'!$H$49+'Appendix K'!$G$49))/((1+$Y$16)^AQ$34))</f>
        <v>-320877.21107084124</v>
      </c>
      <c r="AR272" s="193">
        <f>(((U272*'Appendix K'!$C$24*1000)-('Appendix K'!$E$50+'Appendix K'!$F$50+'Appendix K'!$H$50+'Appendix K'!$G$50))/((1+$Y$16)^AR$34))</f>
        <v>-181782.0411649397</v>
      </c>
      <c r="AS272" s="209">
        <f t="shared" si="22"/>
        <v>57430781.733290784</v>
      </c>
      <c r="AU272" s="199">
        <f t="shared" si="21"/>
        <v>6.1023790192004186E-9</v>
      </c>
    </row>
    <row r="273" spans="1:47" x14ac:dyDescent="0.35">
      <c r="A273">
        <v>239</v>
      </c>
      <c r="B273" s="70">
        <v>56</v>
      </c>
      <c r="C273" s="70">
        <v>78.658671875576559</v>
      </c>
      <c r="D273" s="70">
        <v>105.59846744529769</v>
      </c>
      <c r="E273" s="70">
        <v>73.197265062902417</v>
      </c>
      <c r="F273" s="70">
        <v>78.546315486560275</v>
      </c>
      <c r="G273" s="70">
        <v>127.17214604994889</v>
      </c>
      <c r="H273" s="70">
        <v>185.80687615388695</v>
      </c>
      <c r="I273" s="70">
        <v>221.95559750761754</v>
      </c>
      <c r="J273" s="70">
        <v>293.41256282247565</v>
      </c>
      <c r="K273" s="70">
        <v>468.4752730946754</v>
      </c>
      <c r="L273" s="70">
        <v>334.98348327042845</v>
      </c>
      <c r="M273" s="70">
        <v>194.48511515570368</v>
      </c>
      <c r="N273" s="70">
        <v>199.14265605554604</v>
      </c>
      <c r="O273" s="70">
        <v>301.83131800245292</v>
      </c>
      <c r="P273" s="70">
        <v>234.29858610008841</v>
      </c>
      <c r="Q273" s="70">
        <v>329.66444321548829</v>
      </c>
      <c r="R273" s="70">
        <v>337.31359108662934</v>
      </c>
      <c r="S273" s="70">
        <v>313.9540223642008</v>
      </c>
      <c r="T273" s="70">
        <v>221.37078765941732</v>
      </c>
      <c r="U273" s="70">
        <v>171.22430410819356</v>
      </c>
      <c r="V273" s="70">
        <v>163.44952806754864</v>
      </c>
      <c r="X273" s="193">
        <f>((0-('Appendix K'!$I$30))/(1+$Y$16)^0)</f>
        <v>-33594902.4440751</v>
      </c>
      <c r="Y273" s="193">
        <f>(((B273*'Appendix K'!$C$5*1000)-('Appendix K'!$E$31+'Appendix K'!$F$31+'Appendix K'!$H$31+'Appendix K'!$G$31))/((1+$Y$16)^1))</f>
        <v>34971064.972647354</v>
      </c>
      <c r="Z273" s="193">
        <f>+(((C273*'Appendix K'!$C$6*1000)-('Appendix K'!$E$32+'Appendix K'!$F$32+'Appendix K'!$H$32+'Appendix K'!$G$32))/((1+$Y$16)^2))</f>
        <v>16383278.154909793</v>
      </c>
      <c r="AA273" s="193">
        <f>(((D273*'Appendix K'!$C$7*1000)-('Appendix K'!$E$33+'Appendix K'!$F$33+'Appendix K'!$H$33+'Appendix K'!$G$33))/((1+$Y$16)^3))</f>
        <v>10485693.249172948</v>
      </c>
      <c r="AB273" s="193">
        <f>(((E273*'Appendix K'!$C$8*1000)-('Appendix K'!$E$34+'Appendix K'!$F$34+'Appendix K'!$H$34+'Appendix K'!$G$34))/((1+$Y$16)^4))</f>
        <v>12750962.556465207</v>
      </c>
      <c r="AC273" s="193">
        <f>(((F273*'Appendix K'!$C$9*1000)-('Appendix K'!$E$35+'Appendix K'!$F$35+'Appendix K'!$H$35+'Appendix K'!$G$35))/((1+$Y$16)^AC$34))</f>
        <v>17893258.797319908</v>
      </c>
      <c r="AD273" s="193">
        <f>(((G273*'Appendix K'!$C$10*1000)-('Appendix K'!$E$36+'Appendix K'!$F$36+'Appendix K'!$H$36+'Appendix K'!$G$36))/((1+$Y$16)^AD$34))</f>
        <v>17455853.360703353</v>
      </c>
      <c r="AE273" s="193">
        <f>(((H273*'Appendix K'!$C$11*1000)-('Appendix K'!$E$37+'Appendix K'!$F$37+'Appendix K'!$H$37+'Appendix K'!$G$37))/((1+$Y$16)^AE$34))</f>
        <v>16311996.283712413</v>
      </c>
      <c r="AF273" s="193">
        <f>(((I273*'Appendix K'!$C$12*1000)-('Appendix K'!$E$38+'Appendix K'!$F$38+'Appendix K'!$H$38+'Appendix K'!$G$38))/((1+$Y$16)^AF$34))</f>
        <v>12577564.216605144</v>
      </c>
      <c r="AG273" s="193">
        <f>(((J273*'Appendix K'!$C$13*1000)-('Appendix K'!$E$39+'Appendix K'!$F$39+'Appendix K'!$H$39+'Appendix K'!$G$39))/((1+$Y$16)^AG$34))</f>
        <v>11687589.070308307</v>
      </c>
      <c r="AH273" s="193">
        <f>(((K273*'Appendix K'!$C$14*1000)-('Appendix K'!$E$40+'Appendix K'!$F$40+'Appendix K'!$H$40+'Appendix K'!$G$40))/((1+$Y$16)^AH$34))</f>
        <v>14157933.171103053</v>
      </c>
      <c r="AI273" s="193">
        <f>(((L273*'Appendix K'!$C$15*1000)-('Appendix K'!$E$41+'Appendix K'!$F$41+'Appendix K'!$H$41+'Appendix K'!$G$41))/((1+$Y$16)^AI$34))</f>
        <v>7260712.3355395822</v>
      </c>
      <c r="AJ273" s="193">
        <f>(((M273*'Appendix K'!$C$16*1000)-('Appendix K'!$E$42+'Appendix K'!$F$42+'Appendix K'!$H$42+'Appendix K'!$G$42))/((1+$Y$16)^AJ$34))</f>
        <v>2516293.8484335896</v>
      </c>
      <c r="AK273" s="193">
        <f>(((N273*'Appendix K'!$C$17*1000)-('Appendix K'!$E$43+'Appendix K'!$F$43+'Appendix K'!$H$43))/((1+$Y$16)^AK$34))</f>
        <v>2055348.7316891449</v>
      </c>
      <c r="AL273" s="193">
        <f>(((O273*'Appendix K'!$C$18*1000)-('Appendix K'!$E$44+'Appendix K'!$F$44+'Appendix K'!$H$44+'Appendix K'!$G$44))/((1+$Y$16)^AL$34))</f>
        <v>2443106.3011199064</v>
      </c>
      <c r="AM273" s="193">
        <f>(((P273*'Appendix K'!$C$19*1000)-('Appendix K'!$E$45+'Appendix K'!$F$45+'Appendix K'!$H$45+'Appendix K'!$G$45))/((1+$Y$16)^AM$34))</f>
        <v>1144884.8117571673</v>
      </c>
      <c r="AN273" s="193">
        <f>(((Q273*'Appendix K'!$C$20*1000)-('Appendix K'!$E$46+'Appendix K'!$F$46+'Appendix K'!$H$46+'Appendix K'!$G$46))/((1+$Y$16)^AN$34))</f>
        <v>1469814.5734552729</v>
      </c>
      <c r="AO273" s="193">
        <f>(((R273*'Appendix K'!$C$21*1000)-('Appendix K'!$E$47+'Appendix K'!$F$47+'Appendix K'!$H$47+'Appendix K'!$G$47))/((1+$Y$16)^AO$34))</f>
        <v>1150561.6643600913</v>
      </c>
      <c r="AP273" s="193">
        <f>(((S273*'Appendix K'!$C$22*1000)-('Appendix K'!$E$48+'Appendix K'!$F$48+'Appendix K'!$H$48+'Appendix K'!$G$48))/((1+$Y$16)^AP$34))</f>
        <v>739298.42050046928</v>
      </c>
      <c r="AQ273" s="193">
        <f>(((T273*'Appendix K'!$C$23*1000)-('Appendix K'!$E$49+'Appendix K'!$F$49+'Appendix K'!$H$49+'Appendix K'!$G$49))/((1+$Y$16)^AQ$34))</f>
        <v>172902.95901210283</v>
      </c>
      <c r="AR273" s="193">
        <f>(((U273*'Appendix K'!$C$24*1000)-('Appendix K'!$E$50+'Appendix K'!$F$50+'Appendix K'!$H$50+'Appendix K'!$G$50))/((1+$Y$16)^AR$34))</f>
        <v>-77941.812570362919</v>
      </c>
      <c r="AS273" s="209">
        <f t="shared" si="22"/>
        <v>150033215.03473967</v>
      </c>
      <c r="AU273" s="199">
        <f t="shared" si="21"/>
        <v>3.8394776682670577E-9</v>
      </c>
    </row>
    <row r="274" spans="1:47" x14ac:dyDescent="0.35">
      <c r="A274">
        <v>240</v>
      </c>
      <c r="B274" s="70">
        <v>56</v>
      </c>
      <c r="C274" s="70">
        <v>74.788792902259317</v>
      </c>
      <c r="D274" s="70">
        <v>89.40884715939319</v>
      </c>
      <c r="E274" s="70">
        <v>112.63594663775284</v>
      </c>
      <c r="F274" s="70">
        <v>126.56124033142056</v>
      </c>
      <c r="G274" s="70">
        <v>177.95359557796499</v>
      </c>
      <c r="H274" s="70">
        <v>232.2715249319607</v>
      </c>
      <c r="I274" s="70">
        <v>265.44191972211411</v>
      </c>
      <c r="J274" s="70">
        <v>292.25541571860242</v>
      </c>
      <c r="K274" s="70">
        <v>439.88551562863881</v>
      </c>
      <c r="L274" s="70">
        <v>500</v>
      </c>
      <c r="M274" s="70">
        <v>500</v>
      </c>
      <c r="N274" s="70">
        <v>500</v>
      </c>
      <c r="O274" s="70">
        <v>275.20396963626285</v>
      </c>
      <c r="P274" s="70">
        <v>364.6880531824944</v>
      </c>
      <c r="Q274" s="70">
        <v>500</v>
      </c>
      <c r="R274" s="70">
        <v>409.85506345053977</v>
      </c>
      <c r="S274" s="70">
        <v>500</v>
      </c>
      <c r="T274" s="70">
        <v>500</v>
      </c>
      <c r="U274" s="70">
        <v>353.67851792176202</v>
      </c>
      <c r="V274" s="70">
        <v>282.34253322361167</v>
      </c>
      <c r="X274" s="193">
        <f>((0-('Appendix K'!$I$30))/(1+$Y$16)^0)</f>
        <v>-33594902.4440751</v>
      </c>
      <c r="Y274" s="193">
        <f>(((B274*'Appendix K'!$C$5*1000)-('Appendix K'!$E$31+'Appendix K'!$F$31+'Appendix K'!$H$31+'Appendix K'!$G$31))/((1+$Y$16)^1))</f>
        <v>34971064.972647354</v>
      </c>
      <c r="Z274" s="193">
        <f>+(((C274*'Appendix K'!$C$6*1000)-('Appendix K'!$E$32+'Appendix K'!$F$32+'Appendix K'!$H$32+'Appendix K'!$G$32))/((1+$Y$16)^2))</f>
        <v>15405680.539229583</v>
      </c>
      <c r="AA274" s="193">
        <f>(((D274*'Appendix K'!$C$7*1000)-('Appendix K'!$E$33+'Appendix K'!$F$33+'Appendix K'!$H$33+'Appendix K'!$G$33))/((1+$Y$16)^3))</f>
        <v>8423542.431723861</v>
      </c>
      <c r="AB274" s="193">
        <f>(((E274*'Appendix K'!$C$8*1000)-('Appendix K'!$E$34+'Appendix K'!$F$34+'Appendix K'!$H$34+'Appendix K'!$G$34))/((1+$Y$16)^4))</f>
        <v>21395560.531291515</v>
      </c>
      <c r="AC274" s="193">
        <f>(((F274*'Appendix K'!$C$9*1000)-('Appendix K'!$E$35+'Appendix K'!$F$35+'Appendix K'!$H$35+'Appendix K'!$G$35))/((1+$Y$16)^AC$34))</f>
        <v>30655550.424121782</v>
      </c>
      <c r="AD274" s="193">
        <f>(((G274*'Appendix K'!$C$10*1000)-('Appendix K'!$E$36+'Appendix K'!$F$36+'Appendix K'!$H$36+'Appendix K'!$G$36))/((1+$Y$16)^AD$34))</f>
        <v>25430772.85830947</v>
      </c>
      <c r="AE274" s="193">
        <f>(((H274*'Appendix K'!$C$11*1000)-('Appendix K'!$E$37+'Appendix K'!$F$37+'Appendix K'!$H$37+'Appendix K'!$G$37))/((1+$Y$16)^AE$34))</f>
        <v>20946270.17755748</v>
      </c>
      <c r="AF274" s="193">
        <f>(((I274*'Appendix K'!$C$12*1000)-('Appendix K'!$E$38+'Appendix K'!$F$38+'Appendix K'!$H$38+'Appendix K'!$G$38))/((1+$Y$16)^AF$34))</f>
        <v>15432981.676210644</v>
      </c>
      <c r="AG274" s="193">
        <f>(((J274*'Appendix K'!$C$13*1000)-('Appendix K'!$E$39+'Appendix K'!$F$39+'Appendix K'!$H$39+'Appendix K'!$G$39))/((1+$Y$16)^AG$34))</f>
        <v>11634338.39577109</v>
      </c>
      <c r="AH274" s="193">
        <f>(((K274*'Appendix K'!$C$14*1000)-('Appendix K'!$E$40+'Appendix K'!$F$40+'Appendix K'!$H$40+'Appendix K'!$G$40))/((1+$Y$16)^AH$34))</f>
        <v>13194271.746122105</v>
      </c>
      <c r="AI274" s="193">
        <f>(((L274*'Appendix K'!$C$15*1000)-('Appendix K'!$E$41+'Appendix K'!$F$41+'Appendix K'!$H$41+'Appendix K'!$G$41))/((1+$Y$16)^AI$34))</f>
        <v>11584453.656253781</v>
      </c>
      <c r="AJ274" s="193">
        <f>(((M274*'Appendix K'!$C$16*1000)-('Appendix K'!$E$42+'Appendix K'!$F$42+'Appendix K'!$H$42+'Appendix K'!$G$42))/((1+$Y$16)^AJ$34))</f>
        <v>8639382.5302660316</v>
      </c>
      <c r="AK274" s="193">
        <f>(((N274*'Appendix K'!$C$17*1000)-('Appendix K'!$E$43+'Appendix K'!$F$43+'Appendix K'!$H$43))/((1+$Y$16)^AK$34))</f>
        <v>6677690.1149291173</v>
      </c>
      <c r="AL274" s="193">
        <f>(((O274*'Appendix K'!$C$18*1000)-('Appendix K'!$E$44+'Appendix K'!$F$44+'Appendix K'!$H$44+'Appendix K'!$G$44))/((1+$Y$16)^AL$34))</f>
        <v>2127484.5057815877</v>
      </c>
      <c r="AM274" s="193">
        <f>(((P274*'Appendix K'!$C$19*1000)-('Appendix K'!$E$45+'Appendix K'!$F$45+'Appendix K'!$H$45+'Appendix K'!$G$45))/((1+$Y$16)^AM$34))</f>
        <v>2353429.8106813449</v>
      </c>
      <c r="AN274" s="193">
        <f>(((Q274*'Appendix K'!$C$20*1000)-('Appendix K'!$E$46+'Appendix K'!$F$46+'Appendix K'!$H$46+'Appendix K'!$G$46))/((1+$Y$16)^AN$34))</f>
        <v>2702399.606577659</v>
      </c>
      <c r="AO274" s="193">
        <f>(((R274*'Appendix K'!$C$21*1000)-('Appendix K'!$E$47+'Appendix K'!$F$47+'Appendix K'!$H$47+'Appendix K'!$G$47))/((1+$Y$16)^AO$34))</f>
        <v>1579289.7804155878</v>
      </c>
      <c r="AP274" s="193">
        <f>(((S274*'Appendix K'!$C$22*1000)-('Appendix K'!$E$48+'Appendix K'!$F$48+'Appendix K'!$H$48+'Appendix K'!$G$48))/((1+$Y$16)^AP$34))</f>
        <v>1630406.4380253027</v>
      </c>
      <c r="AQ274" s="193">
        <f>(((T274*'Appendix K'!$C$23*1000)-('Appendix K'!$E$49+'Appendix K'!$F$49+'Appendix K'!$H$49+'Appendix K'!$G$49))/((1+$Y$16)^AQ$34))</f>
        <v>1263386.3652054211</v>
      </c>
      <c r="AR274" s="193">
        <f>(((U274*'Appendix K'!$C$24*1000)-('Appendix K'!$E$50+'Appendix K'!$F$50+'Appendix K'!$H$50+'Appendix K'!$G$50))/((1+$Y$16)^AR$34))</f>
        <v>509565.86806813994</v>
      </c>
      <c r="AS274" s="209">
        <f t="shared" si="22"/>
        <v>202962619.98511371</v>
      </c>
      <c r="AU274" s="199">
        <f t="shared" si="21"/>
        <v>8.9105835754069987E-10</v>
      </c>
    </row>
    <row r="275" spans="1:47" x14ac:dyDescent="0.35">
      <c r="A275">
        <v>241</v>
      </c>
      <c r="B275" s="70">
        <v>56</v>
      </c>
      <c r="C275" s="70">
        <v>92.27666402278922</v>
      </c>
      <c r="D275" s="70">
        <v>57.781151095805711</v>
      </c>
      <c r="E275" s="70">
        <v>80.533272304733558</v>
      </c>
      <c r="F275" s="70">
        <v>39.403126840951018</v>
      </c>
      <c r="G275" s="70">
        <v>25.51208566205587</v>
      </c>
      <c r="H275" s="70">
        <v>38.494682490282806</v>
      </c>
      <c r="I275" s="70">
        <v>34.171685443129888</v>
      </c>
      <c r="J275" s="70">
        <v>52.348034212037604</v>
      </c>
      <c r="K275" s="70">
        <v>39.845602159135481</v>
      </c>
      <c r="L275" s="70">
        <v>33.180727714608281</v>
      </c>
      <c r="M275" s="70">
        <v>45.002496055198264</v>
      </c>
      <c r="N275" s="70">
        <v>36.991950415642989</v>
      </c>
      <c r="O275" s="70">
        <v>26.828248769824093</v>
      </c>
      <c r="P275" s="70">
        <v>36.070513125099396</v>
      </c>
      <c r="Q275" s="70">
        <v>26.013767801844114</v>
      </c>
      <c r="R275" s="70">
        <v>21.127633631249708</v>
      </c>
      <c r="S275" s="70">
        <v>20.406796265473616</v>
      </c>
      <c r="T275" s="70">
        <v>26.518987826797499</v>
      </c>
      <c r="U275" s="70">
        <v>19.973852752734729</v>
      </c>
      <c r="V275" s="70">
        <v>12.307307448558038</v>
      </c>
      <c r="X275" s="193">
        <f>((0-('Appendix K'!$I$30))/(1+$Y$16)^0)</f>
        <v>-33594902.4440751</v>
      </c>
      <c r="Y275" s="193">
        <f>(((B275*'Appendix K'!$C$5*1000)-('Appendix K'!$E$31+'Appendix K'!$F$31+'Appendix K'!$H$31+'Appendix K'!$G$31))/((1+$Y$16)^1))</f>
        <v>34971064.972647354</v>
      </c>
      <c r="Z275" s="193">
        <f>+(((C275*'Appendix K'!$C$6*1000)-('Appendix K'!$E$32+'Appendix K'!$F$32+'Appendix K'!$H$32+'Appendix K'!$G$32))/((1+$Y$16)^2))</f>
        <v>19823415.88150521</v>
      </c>
      <c r="AA275" s="193">
        <f>(((D275*'Appendix K'!$C$7*1000)-('Appendix K'!$E$33+'Appendix K'!$F$33+'Appendix K'!$H$33+'Appendix K'!$G$33))/((1+$Y$16)^3))</f>
        <v>4394968.6826321119</v>
      </c>
      <c r="AB275" s="193">
        <f>(((E275*'Appendix K'!$C$8*1000)-('Appendix K'!$E$34+'Appendix K'!$F$34+'Appendix K'!$H$34+'Appendix K'!$G$34))/((1+$Y$16)^4))</f>
        <v>14358948.189191954</v>
      </c>
      <c r="AC275" s="193">
        <f>(((F275*'Appendix K'!$C$9*1000)-('Appendix K'!$E$35+'Appendix K'!$F$35+'Appendix K'!$H$35+'Appendix K'!$G$35))/((1+$Y$16)^AC$34))</f>
        <v>7489060.7211531848</v>
      </c>
      <c r="AD275" s="193">
        <f>(((G275*'Appendix K'!$C$10*1000)-('Appendix K'!$E$36+'Appendix K'!$F$36+'Appendix K'!$H$36+'Appendix K'!$G$36))/((1+$Y$16)^AD$34))</f>
        <v>1490755.7660011053</v>
      </c>
      <c r="AE275" s="193">
        <f>(((H275*'Appendix K'!$C$11*1000)-('Appendix K'!$E$37+'Appendix K'!$F$37+'Appendix K'!$H$37+'Appendix K'!$G$37))/((1+$Y$16)^AE$34))</f>
        <v>1619427.3890037388</v>
      </c>
      <c r="AF275" s="193">
        <f>(((I275*'Appendix K'!$C$12*1000)-('Appendix K'!$E$38+'Appendix K'!$F$38+'Appendix K'!$H$38+'Appendix K'!$G$38))/((1+$Y$16)^AF$34))</f>
        <v>247216.79156550334</v>
      </c>
      <c r="AG275" s="193">
        <f>(((J275*'Appendix K'!$C$13*1000)-('Appendix K'!$E$39+'Appendix K'!$F$39+'Appendix K'!$H$39+'Appendix K'!$G$39))/((1+$Y$16)^AG$34))</f>
        <v>594056.78514427657</v>
      </c>
      <c r="AH275" s="193">
        <f>(((K275*'Appendix K'!$C$14*1000)-('Appendix K'!$E$40+'Appendix K'!$F$40+'Appendix K'!$H$40+'Appendix K'!$G$40))/((1+$Y$16)^AH$34))</f>
        <v>-289684.30076770665</v>
      </c>
      <c r="AI275" s="193">
        <f>(((L275*'Appendix K'!$C$15*1000)-('Appendix K'!$E$41+'Appendix K'!$F$41+'Appendix K'!$H$41+'Appendix K'!$G$41))/((1+$Y$16)^AI$34))</f>
        <v>-647084.23394321126</v>
      </c>
      <c r="AJ275" s="193">
        <f>(((M275*'Appendix K'!$C$16*1000)-('Appendix K'!$E$42+'Appendix K'!$F$42+'Appendix K'!$H$42+'Appendix K'!$G$42))/((1+$Y$16)^AJ$34))</f>
        <v>-479616.91909398622</v>
      </c>
      <c r="AK275" s="193">
        <f>(((N275*'Appendix K'!$C$17*1000)-('Appendix K'!$E$43+'Appendix K'!$F$43+'Appendix K'!$H$43))/((1+$Y$16)^AK$34))</f>
        <v>-435918.08325444208</v>
      </c>
      <c r="AL275" s="193">
        <f>(((O275*'Appendix K'!$C$18*1000)-('Appendix K'!$E$44+'Appendix K'!$F$44+'Appendix K'!$H$44+'Appendix K'!$G$44))/((1+$Y$16)^AL$34))</f>
        <v>-816585.99873223284</v>
      </c>
      <c r="AM275" s="193">
        <f>(((P275*'Appendix K'!$C$19*1000)-('Appendix K'!$E$45+'Appendix K'!$F$45+'Appendix K'!$H$45+'Appendix K'!$G$45))/((1+$Y$16)^AM$34))</f>
        <v>-692438.03034704551</v>
      </c>
      <c r="AN275" s="193">
        <f>(((Q275*'Appendix K'!$C$20*1000)-('Appendix K'!$E$46+'Appendix K'!$F$46+'Appendix K'!$H$46+'Appendix K'!$G$46))/((1+$Y$16)^AN$34))</f>
        <v>-727467.57290157943</v>
      </c>
      <c r="AO275" s="193">
        <f>(((R275*'Appendix K'!$C$21*1000)-('Appendix K'!$E$47+'Appendix K'!$F$47+'Appendix K'!$H$47+'Appendix K'!$G$47))/((1+$Y$16)^AO$34))</f>
        <v>-718132.27643850399</v>
      </c>
      <c r="AP275" s="193">
        <f>(((S275*'Appendix K'!$C$22*1000)-('Appendix K'!$E$48+'Appendix K'!$F$48+'Appendix K'!$H$48+'Appendix K'!$G$48))/((1+$Y$16)^AP$34))</f>
        <v>-666710.40604250692</v>
      </c>
      <c r="AQ275" s="193">
        <f>(((T275*'Appendix K'!$C$23*1000)-('Appendix K'!$E$49+'Appendix K'!$F$49+'Appendix K'!$H$49+'Appendix K'!$G$49))/((1+$Y$16)^AQ$34))</f>
        <v>-589697.10219269816</v>
      </c>
      <c r="AR275" s="193">
        <f>(((U275*'Appendix K'!$C$24*1000)-('Appendix K'!$E$50+'Appendix K'!$F$50+'Appendix K'!$H$50+'Appendix K'!$G$50))/((1+$Y$16)^AR$34))</f>
        <v>-564972.50379994558</v>
      </c>
      <c r="AS275" s="209">
        <f t="shared" si="22"/>
        <v>51394012.734769337</v>
      </c>
      <c r="AU275" s="199">
        <f t="shared" si="21"/>
        <v>5.7341584985610833E-9</v>
      </c>
    </row>
    <row r="276" spans="1:47" x14ac:dyDescent="0.35">
      <c r="A276">
        <v>242</v>
      </c>
      <c r="B276" s="70">
        <v>56</v>
      </c>
      <c r="C276" s="70">
        <v>47.440549544978808</v>
      </c>
      <c r="D276" s="70">
        <v>58.27250332298447</v>
      </c>
      <c r="E276" s="70">
        <v>52.019842851899369</v>
      </c>
      <c r="F276" s="70">
        <v>56.243041528777013</v>
      </c>
      <c r="G276" s="70">
        <v>61.511376456891284</v>
      </c>
      <c r="H276" s="70">
        <v>62.586626818014757</v>
      </c>
      <c r="I276" s="70">
        <v>33.039755531574691</v>
      </c>
      <c r="J276" s="70">
        <v>38.120546700889108</v>
      </c>
      <c r="K276" s="70">
        <v>49.151341395972722</v>
      </c>
      <c r="L276" s="70">
        <v>70.041877581278712</v>
      </c>
      <c r="M276" s="70">
        <v>57.564265567747739</v>
      </c>
      <c r="N276" s="70">
        <v>89.257879966582422</v>
      </c>
      <c r="O276" s="70">
        <v>84.306113651205479</v>
      </c>
      <c r="P276" s="70">
        <v>87.630321092905007</v>
      </c>
      <c r="Q276" s="70">
        <v>44.176766697493647</v>
      </c>
      <c r="R276" s="70">
        <v>61.549839475957796</v>
      </c>
      <c r="S276" s="70">
        <v>40.683419347569085</v>
      </c>
      <c r="T276" s="70">
        <v>38.165274329342118</v>
      </c>
      <c r="U276" s="70">
        <v>19.749162175497279</v>
      </c>
      <c r="V276" s="70">
        <v>19.500962625570367</v>
      </c>
      <c r="X276" s="193">
        <f>((0-('Appendix K'!$I$30))/(1+$Y$16)^0)</f>
        <v>-33594902.4440751</v>
      </c>
      <c r="Y276" s="193">
        <f>(((B276*'Appendix K'!$C$5*1000)-('Appendix K'!$E$31+'Appendix K'!$F$31+'Appendix K'!$H$31+'Appendix K'!$G$31))/((1+$Y$16)^1))</f>
        <v>34971064.972647354</v>
      </c>
      <c r="Z276" s="193">
        <f>+(((C276*'Appendix K'!$C$6*1000)-('Appendix K'!$E$32+'Appendix K'!$F$32+'Appendix K'!$H$32+'Appendix K'!$G$32))/((1+$Y$16)^2))</f>
        <v>8497046.5267808549</v>
      </c>
      <c r="AA276" s="193">
        <f>(((D276*'Appendix K'!$C$7*1000)-('Appendix K'!$E$33+'Appendix K'!$F$33+'Appendix K'!$H$33+'Appendix K'!$G$33))/((1+$Y$16)^3))</f>
        <v>4457554.6098520532</v>
      </c>
      <c r="AB276" s="193">
        <f>(((E276*'Appendix K'!$C$8*1000)-('Appendix K'!$E$34+'Appendix K'!$F$34+'Appendix K'!$H$34+'Appendix K'!$G$34))/((1+$Y$16)^4))</f>
        <v>8109065.468454523</v>
      </c>
      <c r="AC276" s="193">
        <f>(((F276*'Appendix K'!$C$9*1000)-('Appendix K'!$E$35+'Appendix K'!$F$35+'Appendix K'!$H$35+'Appendix K'!$G$35))/((1+$Y$16)^AC$34))</f>
        <v>11965083.601766003</v>
      </c>
      <c r="AD276" s="193">
        <f>(((G276*'Appendix K'!$C$10*1000)-('Appendix K'!$E$36+'Appendix K'!$F$36+'Appendix K'!$H$36+'Appendix K'!$G$36))/((1+$Y$16)^AD$34))</f>
        <v>7144226.6442070762</v>
      </c>
      <c r="AE276" s="193">
        <f>(((H276*'Appendix K'!$C$11*1000)-('Appendix K'!$E$37+'Appendix K'!$F$37+'Appendix K'!$H$37+'Appendix K'!$G$37))/((1+$Y$16)^AE$34))</f>
        <v>4022300.7903122837</v>
      </c>
      <c r="AF276" s="193">
        <f>(((I276*'Appendix K'!$C$12*1000)-('Appendix K'!$E$38+'Appendix K'!$F$38+'Appendix K'!$H$38+'Appendix K'!$G$38))/((1+$Y$16)^AF$34))</f>
        <v>172891.52633470501</v>
      </c>
      <c r="AG276" s="193">
        <f>(((J276*'Appendix K'!$C$13*1000)-('Appendix K'!$E$39+'Appendix K'!$F$39+'Appendix K'!$H$39+'Appendix K'!$G$39))/((1+$Y$16)^AG$34))</f>
        <v>-60677.003155010156</v>
      </c>
      <c r="AH276" s="193">
        <f>(((K276*'Appendix K'!$C$14*1000)-('Appendix K'!$E$40+'Appendix K'!$F$40+'Appendix K'!$H$40+'Appendix K'!$G$40))/((1+$Y$16)^AH$34))</f>
        <v>23979.847804550722</v>
      </c>
      <c r="AI276" s="193">
        <f>(((L276*'Appendix K'!$C$15*1000)-('Appendix K'!$E$41+'Appendix K'!$F$41+'Appendix K'!$H$41+'Appendix K'!$G$41))/((1+$Y$16)^AI$34))</f>
        <v>318746.82325180736</v>
      </c>
      <c r="AJ276" s="193">
        <f>(((M276*'Appendix K'!$C$16*1000)-('Appendix K'!$E$42+'Appendix K'!$F$42+'Appendix K'!$H$42+'Appendix K'!$G$42))/((1+$Y$16)^AJ$34))</f>
        <v>-227855.60551582885</v>
      </c>
      <c r="AK276" s="193">
        <f>(((N276*'Appendix K'!$C$17*1000)-('Appendix K'!$E$43+'Appendix K'!$F$43+'Appendix K'!$H$43))/((1+$Y$16)^AK$34))</f>
        <v>367090.29915491753</v>
      </c>
      <c r="AL276" s="193">
        <f>(((O276*'Appendix K'!$C$18*1000)-('Appendix K'!$E$44+'Appendix K'!$F$44+'Appendix K'!$H$44+'Appendix K'!$G$44))/((1+$Y$16)^AL$34))</f>
        <v>-135283.95330927768</v>
      </c>
      <c r="AM276" s="193">
        <f>(((P276*'Appendix K'!$C$19*1000)-('Appendix K'!$E$45+'Appendix K'!$F$45+'Appendix K'!$H$45+'Appendix K'!$G$45))/((1+$Y$16)^AM$34))</f>
        <v>-214543.99903237581</v>
      </c>
      <c r="AN276" s="193">
        <f>(((Q276*'Appendix K'!$C$20*1000)-('Appendix K'!$E$46+'Appendix K'!$F$46+'Appendix K'!$H$46+'Appendix K'!$G$46))/((1+$Y$16)^AN$34))</f>
        <v>-596036.17350375466</v>
      </c>
      <c r="AO276" s="193">
        <f>(((R276*'Appendix K'!$C$21*1000)-('Appendix K'!$E$47+'Appendix K'!$F$47+'Appendix K'!$H$47+'Appendix K'!$G$47))/((1+$Y$16)^AO$34))</f>
        <v>-479232.57404935098</v>
      </c>
      <c r="AP276" s="193">
        <f>(((S276*'Appendix K'!$C$22*1000)-('Appendix K'!$E$48+'Appendix K'!$F$48+'Appendix K'!$H$48+'Appendix K'!$G$48))/((1+$Y$16)^AP$34))</f>
        <v>-569591.07228214305</v>
      </c>
      <c r="AQ276" s="193">
        <f>(((T276*'Appendix K'!$C$23*1000)-('Appendix K'!$E$49+'Appendix K'!$F$49+'Appendix K'!$H$49+'Appendix K'!$G$49))/((1+$Y$16)^AQ$34))</f>
        <v>-544116.51834754786</v>
      </c>
      <c r="AR276" s="193">
        <f>(((U276*'Appendix K'!$C$24*1000)-('Appendix K'!$E$50+'Appendix K'!$F$50+'Appendix K'!$H$50+'Appendix K'!$G$50))/((1+$Y$16)^AR$34))</f>
        <v>-565696.01375422359</v>
      </c>
      <c r="AS276" s="209">
        <f t="shared" si="22"/>
        <v>46454148.666491039</v>
      </c>
      <c r="AU276" s="199">
        <f t="shared" si="21"/>
        <v>5.4037558732204362E-9</v>
      </c>
    </row>
    <row r="277" spans="1:47" x14ac:dyDescent="0.35">
      <c r="A277">
        <v>243</v>
      </c>
      <c r="B277" s="70">
        <v>56</v>
      </c>
      <c r="C277" s="70">
        <v>75.402296171154035</v>
      </c>
      <c r="D277" s="70">
        <v>76.455281768077498</v>
      </c>
      <c r="E277" s="70">
        <v>69.644834597691613</v>
      </c>
      <c r="F277" s="70">
        <v>77.617117170369369</v>
      </c>
      <c r="G277" s="70">
        <v>122.98717128574754</v>
      </c>
      <c r="H277" s="70">
        <v>150.74320119559872</v>
      </c>
      <c r="I277" s="70">
        <v>142.68356412480395</v>
      </c>
      <c r="J277" s="70">
        <v>139.41517167460933</v>
      </c>
      <c r="K277" s="70">
        <v>141.93924891384822</v>
      </c>
      <c r="L277" s="70">
        <v>47.994769846132598</v>
      </c>
      <c r="M277" s="70">
        <v>33.979580077258376</v>
      </c>
      <c r="N277" s="70">
        <v>32.203007536186782</v>
      </c>
      <c r="O277" s="70">
        <v>44.761978399773888</v>
      </c>
      <c r="P277" s="70">
        <v>33.496983667650113</v>
      </c>
      <c r="Q277" s="70">
        <v>45.357641414982297</v>
      </c>
      <c r="R277" s="70">
        <v>41.822177271427769</v>
      </c>
      <c r="S277" s="70">
        <v>64.024273220134447</v>
      </c>
      <c r="T277" s="70">
        <v>78.171123137631852</v>
      </c>
      <c r="U277" s="70">
        <v>64.149023694742056</v>
      </c>
      <c r="V277" s="70">
        <v>67.52977101601104</v>
      </c>
      <c r="X277" s="193">
        <f>((0-('Appendix K'!$I$30))/(1+$Y$16)^0)</f>
        <v>-33594902.4440751</v>
      </c>
      <c r="Y277" s="193">
        <f>(((B277*'Appendix K'!$C$5*1000)-('Appendix K'!$E$31+'Appendix K'!$F$31+'Appendix K'!$H$31+'Appendix K'!$G$31))/((1+$Y$16)^1))</f>
        <v>34971064.972647354</v>
      </c>
      <c r="Z277" s="193">
        <f>+(((C277*'Appendix K'!$C$6*1000)-('Appendix K'!$E$32+'Appendix K'!$F$32+'Appendix K'!$H$32+'Appendix K'!$G$32))/((1+$Y$16)^2))</f>
        <v>15560661.957774924</v>
      </c>
      <c r="AA277" s="193">
        <f>(((D277*'Appendix K'!$C$7*1000)-('Appendix K'!$E$33+'Appendix K'!$F$33+'Appendix K'!$H$33+'Appendix K'!$G$33))/((1+$Y$16)^3))</f>
        <v>6773583.6934180092</v>
      </c>
      <c r="AB277" s="193">
        <f>(((E277*'Appendix K'!$C$8*1000)-('Appendix K'!$E$34+'Appendix K'!$F$34+'Appendix K'!$H$34+'Appendix K'!$G$34))/((1+$Y$16)^4))</f>
        <v>11972302.317861903</v>
      </c>
      <c r="AC277" s="193">
        <f>(((F277*'Appendix K'!$C$9*1000)-('Appendix K'!$E$35+'Appendix K'!$F$35+'Appendix K'!$H$35+'Appendix K'!$G$35))/((1+$Y$16)^AC$34))</f>
        <v>17646279.34397956</v>
      </c>
      <c r="AD277" s="193">
        <f>(((G277*'Appendix K'!$C$10*1000)-('Appendix K'!$E$36+'Appendix K'!$F$36+'Appendix K'!$H$36+'Appendix K'!$G$36))/((1+$Y$16)^AD$34))</f>
        <v>16798628.386737101</v>
      </c>
      <c r="AE277" s="193">
        <f>(((H277*'Appendix K'!$C$11*1000)-('Appendix K'!$E$37+'Appendix K'!$F$37+'Appendix K'!$H$37+'Appendix K'!$G$37))/((1+$Y$16)^AE$34))</f>
        <v>12814828.48507957</v>
      </c>
      <c r="AF277" s="193">
        <f>(((I277*'Appendix K'!$C$12*1000)-('Appendix K'!$E$38+'Appendix K'!$F$38+'Appendix K'!$H$38+'Appendix K'!$G$38))/((1+$Y$16)^AF$34))</f>
        <v>7372370.1083699241</v>
      </c>
      <c r="AG277" s="193">
        <f>(((J277*'Appendix K'!$C$13*1000)-('Appendix K'!$E$39+'Appendix K'!$F$39+'Appendix K'!$H$39+'Appendix K'!$G$39))/((1+$Y$16)^AG$34))</f>
        <v>4600793.512382675</v>
      </c>
      <c r="AH277" s="193">
        <f>(((K277*'Appendix K'!$C$14*1000)-('Appendix K'!$E$40+'Appendix K'!$F$40+'Appendix K'!$H$40+'Appendix K'!$G$40))/((1+$Y$16)^AH$34))</f>
        <v>3151537.9352034722</v>
      </c>
      <c r="AI277" s="193">
        <f>(((L277*'Appendix K'!$C$15*1000)-('Appendix K'!$E$41+'Appendix K'!$F$41+'Appendix K'!$H$41+'Appendix K'!$G$41))/((1+$Y$16)^AI$34))</f>
        <v>-258928.6277026491</v>
      </c>
      <c r="AJ277" s="193">
        <f>(((M277*'Appendix K'!$C$16*1000)-('Appendix K'!$E$42+'Appendix K'!$F$42+'Appendix K'!$H$42+'Appendix K'!$G$42))/((1+$Y$16)^AJ$34))</f>
        <v>-700536.73483295355</v>
      </c>
      <c r="AK277" s="193">
        <f>(((N277*'Appendix K'!$C$17*1000)-('Appendix K'!$E$43+'Appendix K'!$F$43+'Appendix K'!$H$43))/((1+$Y$16)^AK$34))</f>
        <v>-509494.91060877027</v>
      </c>
      <c r="AL277" s="193">
        <f>(((O277*'Appendix K'!$C$18*1000)-('Appendix K'!$E$44+'Appendix K'!$F$44+'Appendix K'!$H$44+'Appendix K'!$G$44))/((1+$Y$16)^AL$34))</f>
        <v>-604012.22439036646</v>
      </c>
      <c r="AM277" s="193">
        <f>(((P277*'Appendix K'!$C$19*1000)-('Appendix K'!$E$45+'Appendix K'!$F$45+'Appendix K'!$H$45+'Appendix K'!$G$45))/((1+$Y$16)^AM$34))</f>
        <v>-716291.38464765577</v>
      </c>
      <c r="AN277" s="193">
        <f>(((Q277*'Appendix K'!$C$20*1000)-('Appendix K'!$E$46+'Appendix K'!$F$46+'Appendix K'!$H$46+'Appendix K'!$G$46))/((1+$Y$16)^AN$34))</f>
        <v>-587491.10792704427</v>
      </c>
      <c r="AO277" s="193">
        <f>(((R277*'Appendix K'!$C$21*1000)-('Appendix K'!$E$47+'Appendix K'!$F$47+'Appendix K'!$H$47+'Appendix K'!$G$47))/((1+$Y$16)^AO$34))</f>
        <v>-595825.23719103751</v>
      </c>
      <c r="AP277" s="193">
        <f>(((S277*'Appendix K'!$C$22*1000)-('Appendix K'!$E$48+'Appendix K'!$F$48+'Appendix K'!$H$48+'Appendix K'!$G$48))/((1+$Y$16)^AP$34))</f>
        <v>-457794.93303727964</v>
      </c>
      <c r="AQ277" s="193">
        <f>(((T277*'Appendix K'!$C$23*1000)-('Appendix K'!$E$49+'Appendix K'!$F$49+'Appendix K'!$H$49+'Appendix K'!$G$49))/((1+$Y$16)^AQ$34))</f>
        <v>-387543.86787185853</v>
      </c>
      <c r="AR277" s="193">
        <f>(((U277*'Appendix K'!$C$24*1000)-('Appendix K'!$E$50+'Appendix K'!$F$50+'Appendix K'!$H$50+'Appendix K'!$G$50))/((1+$Y$16)^AR$34))</f>
        <v>-422727.21562881494</v>
      </c>
      <c r="AS277" s="209">
        <f t="shared" si="22"/>
        <v>98067148.269379407</v>
      </c>
      <c r="AU277" s="199">
        <f t="shared" si="21"/>
        <v>6.9114998263858211E-9</v>
      </c>
    </row>
    <row r="278" spans="1:47" x14ac:dyDescent="0.35">
      <c r="A278">
        <v>244</v>
      </c>
      <c r="B278" s="70">
        <v>56</v>
      </c>
      <c r="C278" s="70">
        <v>59.979741713594727</v>
      </c>
      <c r="D278" s="70">
        <v>59.269314284827445</v>
      </c>
      <c r="E278" s="70">
        <v>46.339377955602956</v>
      </c>
      <c r="F278" s="70">
        <v>39.761760215129442</v>
      </c>
      <c r="G278" s="70">
        <v>63.712169359222322</v>
      </c>
      <c r="H278" s="70">
        <v>89.788723667335717</v>
      </c>
      <c r="I278" s="70">
        <v>108.71344796939366</v>
      </c>
      <c r="J278" s="70">
        <v>109.66960541655598</v>
      </c>
      <c r="K278" s="70">
        <v>86.14334799440411</v>
      </c>
      <c r="L278" s="70">
        <v>104.80158854848514</v>
      </c>
      <c r="M278" s="70">
        <v>132.32952988221157</v>
      </c>
      <c r="N278" s="70">
        <v>119.17965439213647</v>
      </c>
      <c r="O278" s="70">
        <v>105.41391338112338</v>
      </c>
      <c r="P278" s="70">
        <v>98.243158148265366</v>
      </c>
      <c r="Q278" s="70">
        <v>119.19109834284694</v>
      </c>
      <c r="R278" s="70">
        <v>166.49205164237966</v>
      </c>
      <c r="S278" s="70">
        <v>106.5149352279671</v>
      </c>
      <c r="T278" s="70">
        <v>62.062186549407237</v>
      </c>
      <c r="U278" s="70">
        <v>74.932052993217781</v>
      </c>
      <c r="V278" s="70">
        <v>97.684804123193587</v>
      </c>
      <c r="X278" s="193">
        <f>((0-('Appendix K'!$I$30))/(1+$Y$16)^0)</f>
        <v>-33594902.4440751</v>
      </c>
      <c r="Y278" s="193">
        <f>(((B278*'Appendix K'!$C$5*1000)-('Appendix K'!$E$31+'Appendix K'!$F$31+'Appendix K'!$H$31+'Appendix K'!$G$31))/((1+$Y$16)^1))</f>
        <v>34971064.972647354</v>
      </c>
      <c r="Z278" s="193">
        <f>+(((C278*'Appendix K'!$C$6*1000)-('Appendix K'!$E$32+'Appendix K'!$F$32+'Appendix K'!$H$32+'Appendix K'!$G$32))/((1+$Y$16)^2))</f>
        <v>11664660.927932831</v>
      </c>
      <c r="AA278" s="193">
        <f>(((D278*'Appendix K'!$C$7*1000)-('Appendix K'!$E$33+'Appendix K'!$F$33+'Appendix K'!$H$33+'Appendix K'!$G$33))/((1+$Y$16)^3))</f>
        <v>4584523.27888232</v>
      </c>
      <c r="AB278" s="193">
        <f>(((E278*'Appendix K'!$C$8*1000)-('Appendix K'!$E$34+'Appendix K'!$F$34+'Appendix K'!$H$34+'Appendix K'!$G$34))/((1+$Y$16)^4))</f>
        <v>6863959.5628374917</v>
      </c>
      <c r="AC278" s="193">
        <f>(((F278*'Appendix K'!$C$9*1000)-('Appendix K'!$E$35+'Appendix K'!$F$35+'Appendix K'!$H$35+'Appendix K'!$G$35))/((1+$Y$16)^AC$34))</f>
        <v>7584384.9088543532</v>
      </c>
      <c r="AD278" s="193">
        <f>(((G278*'Appendix K'!$C$10*1000)-('Appendix K'!$E$36+'Appendix K'!$F$36+'Appendix K'!$H$36+'Appendix K'!$G$36))/((1+$Y$16)^AD$34))</f>
        <v>7489847.8580582086</v>
      </c>
      <c r="AE278" s="193">
        <f>(((H278*'Appendix K'!$C$11*1000)-('Appendix K'!$E$37+'Appendix K'!$F$37+'Appendix K'!$H$37+'Appendix K'!$G$37))/((1+$Y$16)^AE$34))</f>
        <v>6735373.4294439228</v>
      </c>
      <c r="AF278" s="193">
        <f>(((I278*'Appendix K'!$C$12*1000)-('Appendix K'!$E$38+'Appendix K'!$F$38+'Appendix K'!$H$38+'Appendix K'!$G$38))/((1+$Y$16)^AF$34))</f>
        <v>5141809.8348076325</v>
      </c>
      <c r="AG278" s="193">
        <f>(((J278*'Appendix K'!$C$13*1000)-('Appendix K'!$E$39+'Appendix K'!$F$39+'Appendix K'!$H$39+'Appendix K'!$G$39))/((1+$Y$16)^AG$34))</f>
        <v>3231934.3047409905</v>
      </c>
      <c r="AH278" s="193">
        <f>(((K278*'Appendix K'!$C$14*1000)-('Appendix K'!$E$40+'Appendix K'!$F$40+'Appendix K'!$H$40+'Appendix K'!$G$40))/((1+$Y$16)^AH$34))</f>
        <v>1270851.9079784465</v>
      </c>
      <c r="AI278" s="193">
        <f>(((L278*'Appendix K'!$C$15*1000)-('Appendix K'!$E$41+'Appendix K'!$F$41+'Appendix K'!$H$41+'Appendix K'!$G$41))/((1+$Y$16)^AI$34))</f>
        <v>1229516.2515708578</v>
      </c>
      <c r="AJ278" s="193">
        <f>(((M278*'Appendix K'!$C$16*1000)-('Appendix K'!$E$42+'Appendix K'!$F$42+'Appendix K'!$H$42+'Appendix K'!$G$42))/((1+$Y$16)^AJ$34))</f>
        <v>1270579.8764457665</v>
      </c>
      <c r="AK278" s="193">
        <f>(((N278*'Appendix K'!$C$17*1000)-('Appendix K'!$E$43+'Appendix K'!$F$43+'Appendix K'!$H$43))/((1+$Y$16)^AK$34))</f>
        <v>826805.3733288931</v>
      </c>
      <c r="AL278" s="193">
        <f>(((O278*'Appendix K'!$C$18*1000)-('Appendix K'!$E$44+'Appendix K'!$F$44+'Appendix K'!$H$44+'Appendix K'!$G$44))/((1+$Y$16)^AL$34))</f>
        <v>114913.00790438587</v>
      </c>
      <c r="AM278" s="193">
        <f>(((P278*'Appendix K'!$C$19*1000)-('Appendix K'!$E$45+'Appendix K'!$F$45+'Appendix K'!$H$45+'Appendix K'!$G$45))/((1+$Y$16)^AM$34))</f>
        <v>-116176.45881114862</v>
      </c>
      <c r="AN278" s="193">
        <f>(((Q278*'Appendix K'!$C$20*1000)-('Appendix K'!$E$46+'Appendix K'!$F$46+'Appendix K'!$H$46+'Appendix K'!$G$46))/((1+$Y$16)^AN$34))</f>
        <v>-53216.199793199383</v>
      </c>
      <c r="AO278" s="193">
        <f>(((R278*'Appendix K'!$C$21*1000)-('Appendix K'!$E$47+'Appendix K'!$F$47+'Appendix K'!$H$47+'Appendix K'!$G$47))/((1+$Y$16)^AO$34))</f>
        <v>140987.49387402483</v>
      </c>
      <c r="AP278" s="193">
        <f>(((S278*'Appendix K'!$C$22*1000)-('Appendix K'!$E$48+'Appendix K'!$F$48+'Appendix K'!$H$48+'Appendix K'!$G$48))/((1+$Y$16)^AP$34))</f>
        <v>-254276.58737737479</v>
      </c>
      <c r="AQ278" s="193">
        <f>(((T278*'Appendix K'!$C$23*1000)-('Appendix K'!$E$49+'Appendix K'!$F$49+'Appendix K'!$H$49+'Appendix K'!$G$49))/((1+$Y$16)^AQ$34))</f>
        <v>-450590.12168463849</v>
      </c>
      <c r="AR278" s="193">
        <f>(((U278*'Appendix K'!$C$24*1000)-('Appendix K'!$E$50+'Appendix K'!$F$50+'Appendix K'!$H$50+'Appendix K'!$G$50))/((1+$Y$16)^AR$34))</f>
        <v>-388005.55915955035</v>
      </c>
      <c r="AS278" s="209">
        <f t="shared" si="22"/>
        <v>59526310.545232378</v>
      </c>
      <c r="AU278" s="199">
        <f t="shared" si="21"/>
        <v>6.219176464841675E-9</v>
      </c>
    </row>
    <row r="279" spans="1:47" x14ac:dyDescent="0.35">
      <c r="A279">
        <v>245</v>
      </c>
      <c r="B279" s="70">
        <v>56</v>
      </c>
      <c r="C279" s="70">
        <v>50.4326213559427</v>
      </c>
      <c r="D279" s="70">
        <v>71.886081438185357</v>
      </c>
      <c r="E279" s="70">
        <v>70.162477860813482</v>
      </c>
      <c r="F279" s="70">
        <v>96.648092078383542</v>
      </c>
      <c r="G279" s="70">
        <v>144.02423792976515</v>
      </c>
      <c r="H279" s="70">
        <v>163.48638455602594</v>
      </c>
      <c r="I279" s="70">
        <v>238.64420741489698</v>
      </c>
      <c r="J279" s="70">
        <v>351.12013872425871</v>
      </c>
      <c r="K279" s="70">
        <v>296.08856974653588</v>
      </c>
      <c r="L279" s="70">
        <v>168.05799019527976</v>
      </c>
      <c r="M279" s="70">
        <v>207.08434376198312</v>
      </c>
      <c r="N279" s="70">
        <v>300.12783583572218</v>
      </c>
      <c r="O279" s="70">
        <v>291.30099976231202</v>
      </c>
      <c r="P279" s="70">
        <v>371.95497824584822</v>
      </c>
      <c r="Q279" s="70">
        <v>195.61928669541538</v>
      </c>
      <c r="R279" s="70">
        <v>174.55413731426032</v>
      </c>
      <c r="S279" s="70">
        <v>189.10825490942304</v>
      </c>
      <c r="T279" s="70">
        <v>281.80075163298466</v>
      </c>
      <c r="U279" s="70">
        <v>348.5349134467416</v>
      </c>
      <c r="V279" s="70">
        <v>470.76169268821911</v>
      </c>
      <c r="X279" s="193">
        <f>((0-('Appendix K'!$I$30))/(1+$Y$16)^0)</f>
        <v>-33594902.4440751</v>
      </c>
      <c r="Y279" s="193">
        <f>(((B279*'Appendix K'!$C$5*1000)-('Appendix K'!$E$31+'Appendix K'!$F$31+'Appendix K'!$H$31+'Appendix K'!$G$31))/((1+$Y$16)^1))</f>
        <v>34971064.972647354</v>
      </c>
      <c r="Z279" s="193">
        <f>+(((C279*'Appendix K'!$C$6*1000)-('Appendix K'!$E$32+'Appendix K'!$F$32+'Appendix K'!$H$32+'Appendix K'!$G$32))/((1+$Y$16)^2))</f>
        <v>9252895.0400057919</v>
      </c>
      <c r="AA279" s="193">
        <f>(((D279*'Appendix K'!$C$7*1000)-('Appendix K'!$E$33+'Appendix K'!$F$33+'Appendix K'!$H$33+'Appendix K'!$G$33))/((1+$Y$16)^3))</f>
        <v>6191582.384617744</v>
      </c>
      <c r="AB279" s="193">
        <f>(((E279*'Appendix K'!$C$8*1000)-('Appendix K'!$E$34+'Appendix K'!$F$34+'Appendix K'!$H$34+'Appendix K'!$G$34))/((1+$Y$16)^4))</f>
        <v>12085764.982570235</v>
      </c>
      <c r="AC279" s="193">
        <f>(((F279*'Appendix K'!$C$9*1000)-('Appendix K'!$E$35+'Appendix K'!$F$35+'Appendix K'!$H$35+'Appendix K'!$G$35))/((1+$Y$16)^AC$34))</f>
        <v>22704682.590536438</v>
      </c>
      <c r="AD279" s="193">
        <f>(((G279*'Appendix K'!$C$10*1000)-('Appendix K'!$E$36+'Appendix K'!$F$36+'Appendix K'!$H$36+'Appendix K'!$G$36))/((1+$Y$16)^AD$34))</f>
        <v>20102372.460825756</v>
      </c>
      <c r="AE279" s="193">
        <f>(((H279*'Appendix K'!$C$11*1000)-('Appendix K'!$E$37+'Appendix K'!$F$37+'Appendix K'!$H$37+'Appendix K'!$G$37))/((1+$Y$16)^AE$34))</f>
        <v>14085803.377277108</v>
      </c>
      <c r="AF279" s="193">
        <f>(((I279*'Appendix K'!$C$12*1000)-('Appendix K'!$E$38+'Appendix K'!$F$38+'Appendix K'!$H$38+'Appendix K'!$G$38))/((1+$Y$16)^AF$34))</f>
        <v>13673378.847024854</v>
      </c>
      <c r="AG279" s="193">
        <f>(((J279*'Appendix K'!$C$13*1000)-('Appendix K'!$E$39+'Appendix K'!$F$39+'Appendix K'!$H$39+'Appendix K'!$G$39))/((1+$Y$16)^AG$34))</f>
        <v>14343230.114036979</v>
      </c>
      <c r="AH279" s="193">
        <f>(((K279*'Appendix K'!$C$14*1000)-('Appendix K'!$E$40+'Appendix K'!$F$40+'Appendix K'!$H$40+'Appendix K'!$G$40))/((1+$Y$16)^AH$34))</f>
        <v>8347376.142293606</v>
      </c>
      <c r="AI279" s="193">
        <f>(((L279*'Appendix K'!$C$15*1000)-('Appendix K'!$E$41+'Appendix K'!$F$41+'Appendix K'!$H$41+'Appendix K'!$G$41))/((1+$Y$16)^AI$34))</f>
        <v>2886952.2647679932</v>
      </c>
      <c r="AJ279" s="193">
        <f>(((M279*'Appendix K'!$C$16*1000)-('Appendix K'!$E$42+'Appendix K'!$F$42+'Appendix K'!$H$42+'Appendix K'!$G$42))/((1+$Y$16)^AJ$34))</f>
        <v>2768805.912185397</v>
      </c>
      <c r="AK279" s="193">
        <f>(((N279*'Appendix K'!$C$17*1000)-('Appendix K'!$E$43+'Appendix K'!$F$43+'Appendix K'!$H$43))/((1+$Y$16)^AK$34))</f>
        <v>3606874.6790764146</v>
      </c>
      <c r="AL279" s="193">
        <f>(((O279*'Appendix K'!$C$18*1000)-('Appendix K'!$E$44+'Appendix K'!$F$44+'Appendix K'!$H$44+'Appendix K'!$G$44))/((1+$Y$16)^AL$34))</f>
        <v>2318287.3404509863</v>
      </c>
      <c r="AM279" s="193">
        <f>(((P279*'Appendix K'!$C$19*1000)-('Appendix K'!$E$45+'Appendix K'!$F$45+'Appendix K'!$H$45+'Appendix K'!$G$45))/((1+$Y$16)^AM$34))</f>
        <v>2420784.9900481156</v>
      </c>
      <c r="AN279" s="193">
        <f>(((Q279*'Appendix K'!$C$20*1000)-('Appendix K'!$E$46+'Appendix K'!$F$46+'Appendix K'!$H$46+'Appendix K'!$G$46))/((1+$Y$16)^AN$34))</f>
        <v>499834.74770339701</v>
      </c>
      <c r="AO279" s="193">
        <f>(((R279*'Appendix K'!$C$21*1000)-('Appendix K'!$E$47+'Appendix K'!$F$47+'Appendix K'!$H$47+'Appendix K'!$G$47))/((1+$Y$16)^AO$34))</f>
        <v>188635.31089438903</v>
      </c>
      <c r="AP279" s="193">
        <f>(((S279*'Appendix K'!$C$22*1000)-('Appendix K'!$E$48+'Appendix K'!$F$48+'Appendix K'!$H$48+'Appendix K'!$G$48))/((1+$Y$16)^AP$34))</f>
        <v>141322.2333948453</v>
      </c>
      <c r="AQ279" s="193">
        <f>(((T279*'Appendix K'!$C$23*1000)-('Appendix K'!$E$49+'Appendix K'!$F$49+'Appendix K'!$H$49+'Appendix K'!$G$49))/((1+$Y$16)^AQ$34))</f>
        <v>409410.36753711023</v>
      </c>
      <c r="AR279" s="193">
        <f>(((U279*'Appendix K'!$C$24*1000)-('Appendix K'!$E$50+'Appendix K'!$F$50+'Appendix K'!$H$50+'Appendix K'!$G$50))/((1+$Y$16)^AR$34))</f>
        <v>493003.31754064793</v>
      </c>
      <c r="AS279" s="209">
        <f t="shared" si="22"/>
        <v>137897159.63136005</v>
      </c>
      <c r="AU279" s="199">
        <f t="shared" si="21"/>
        <v>4.7477196291289458E-9</v>
      </c>
    </row>
    <row r="280" spans="1:47" x14ac:dyDescent="0.35">
      <c r="A280">
        <v>246</v>
      </c>
      <c r="B280" s="70">
        <v>56</v>
      </c>
      <c r="C280" s="70">
        <v>38.934820517299229</v>
      </c>
      <c r="D280" s="70">
        <v>40.752622128937205</v>
      </c>
      <c r="E280" s="70">
        <v>22.987581483390944</v>
      </c>
      <c r="F280" s="70">
        <v>26.633902613892765</v>
      </c>
      <c r="G280" s="70">
        <v>26.050349996552072</v>
      </c>
      <c r="H280" s="70">
        <v>17.3080607709453</v>
      </c>
      <c r="I280" s="70">
        <v>19.687442878960805</v>
      </c>
      <c r="J280" s="70">
        <v>24.655111675518032</v>
      </c>
      <c r="K280" s="70">
        <v>32.230043412600359</v>
      </c>
      <c r="L280" s="70">
        <v>31.613323219273418</v>
      </c>
      <c r="M280" s="70">
        <v>30.195063152965265</v>
      </c>
      <c r="N280" s="70">
        <v>33.448641895001757</v>
      </c>
      <c r="O280" s="70">
        <v>31.072049400877937</v>
      </c>
      <c r="P280" s="70">
        <v>18.896011814245206</v>
      </c>
      <c r="Q280" s="70">
        <v>16.079079188743158</v>
      </c>
      <c r="R280" s="70">
        <v>27.309104734002069</v>
      </c>
      <c r="S280" s="70">
        <v>37.788862160915279</v>
      </c>
      <c r="T280" s="70">
        <v>57.839440842351991</v>
      </c>
      <c r="U280" s="70">
        <v>53.288081211219229</v>
      </c>
      <c r="V280" s="70">
        <v>51.376498815137097</v>
      </c>
      <c r="X280" s="193">
        <f>((0-('Appendix K'!$I$30))/(1+$Y$16)^0)</f>
        <v>-33594902.4440751</v>
      </c>
      <c r="Y280" s="193">
        <f>(((B280*'Appendix K'!$C$5*1000)-('Appendix K'!$E$31+'Appendix K'!$F$31+'Appendix K'!$H$31+'Appendix K'!$G$31))/((1+$Y$16)^1))</f>
        <v>34971064.972647354</v>
      </c>
      <c r="Z280" s="193">
        <f>+(((C280*'Appendix K'!$C$6*1000)-('Appendix K'!$E$32+'Appendix K'!$F$32+'Appendix K'!$H$32+'Appendix K'!$G$32))/((1+$Y$16)^2))</f>
        <v>6348353.8998499932</v>
      </c>
      <c r="AA280" s="193">
        <f>(((D280*'Appendix K'!$C$7*1000)-('Appendix K'!$E$33+'Appendix K'!$F$33+'Appendix K'!$H$33+'Appendix K'!$G$33))/((1+$Y$16)^3))</f>
        <v>2225961.9790248275</v>
      </c>
      <c r="AB280" s="193">
        <f>(((E280*'Appendix K'!$C$8*1000)-('Appendix K'!$E$34+'Appendix K'!$F$34+'Appendix K'!$H$34+'Appendix K'!$G$34))/((1+$Y$16)^4))</f>
        <v>1745459.5412503544</v>
      </c>
      <c r="AC280" s="193">
        <f>(((F280*'Appendix K'!$C$9*1000)-('Appendix K'!$E$35+'Appendix K'!$F$35+'Appendix K'!$H$35+'Appendix K'!$G$35))/((1+$Y$16)^AC$34))</f>
        <v>4095020.9728813381</v>
      </c>
      <c r="AD280" s="193">
        <f>(((G280*'Appendix K'!$C$10*1000)-('Appendix K'!$E$36+'Appendix K'!$F$36+'Appendix K'!$H$36+'Appendix K'!$G$36))/((1+$Y$16)^AD$34))</f>
        <v>1575286.9240506899</v>
      </c>
      <c r="AE280" s="193">
        <f>(((H280*'Appendix K'!$C$11*1000)-('Appendix K'!$E$37+'Appendix K'!$F$37+'Appendix K'!$H$37+'Appendix K'!$G$37))/((1+$Y$16)^AE$34))</f>
        <v>-493676.02433851751</v>
      </c>
      <c r="AF280" s="193">
        <f>(((I280*'Appendix K'!$C$12*1000)-('Appendix K'!$E$38+'Appendix K'!$F$38+'Appendix K'!$H$38+'Appendix K'!$G$38))/((1+$Y$16)^AF$34))</f>
        <v>-703853.72901998495</v>
      </c>
      <c r="AG280" s="193">
        <f>(((J280*'Appendix K'!$C$13*1000)-('Appendix K'!$E$39+'Appendix K'!$F$39+'Appendix K'!$H$39+'Appendix K'!$G$39))/((1+$Y$16)^AG$34))</f>
        <v>-680341.94950275926</v>
      </c>
      <c r="AH280" s="193">
        <f>(((K280*'Appendix K'!$C$14*1000)-('Appendix K'!$E$40+'Appendix K'!$F$40+'Appendix K'!$H$40+'Appendix K'!$G$40))/((1+$Y$16)^AH$34))</f>
        <v>-546378.33542086405</v>
      </c>
      <c r="AI280" s="193">
        <f>(((L280*'Appendix K'!$C$15*1000)-('Appendix K'!$E$41+'Appendix K'!$F$41+'Appendix K'!$H$41+'Appendix K'!$G$41))/((1+$Y$16)^AI$34))</f>
        <v>-688153.16278176347</v>
      </c>
      <c r="AJ280" s="193">
        <f>(((M280*'Appendix K'!$C$16*1000)-('Appendix K'!$E$42+'Appendix K'!$F$42+'Appendix K'!$H$42+'Appendix K'!$G$42))/((1+$Y$16)^AJ$34))</f>
        <v>-776385.51960542833</v>
      </c>
      <c r="AK280" s="193">
        <f>(((N280*'Appendix K'!$C$17*1000)-('Appendix K'!$E$43+'Appendix K'!$F$43+'Appendix K'!$H$43))/((1+$Y$16)^AK$34))</f>
        <v>-490357.11204401567</v>
      </c>
      <c r="AL280" s="193">
        <f>(((O280*'Appendix K'!$C$18*1000)-('Appendix K'!$E$44+'Appendix K'!$F$44+'Appendix K'!$H$44+'Appendix K'!$G$44))/((1+$Y$16)^AL$34))</f>
        <v>-766282.98110499338</v>
      </c>
      <c r="AM280" s="193">
        <f>(((P280*'Appendix K'!$C$19*1000)-('Appendix K'!$E$45+'Appendix K'!$F$45+'Appendix K'!$H$45+'Appendix K'!$G$45))/((1+$Y$16)^AM$34))</f>
        <v>-851623.87666338717</v>
      </c>
      <c r="AN280" s="193">
        <f>(((Q280*'Appendix K'!$C$20*1000)-('Appendix K'!$E$46+'Appendix K'!$F$46+'Appendix K'!$H$46+'Appendix K'!$G$46))/((1+$Y$16)^AN$34))</f>
        <v>-799357.13444938359</v>
      </c>
      <c r="AO280" s="193">
        <f>(((R280*'Appendix K'!$C$21*1000)-('Appendix K'!$E$47+'Appendix K'!$F$47+'Appendix K'!$H$47+'Appendix K'!$G$47))/((1+$Y$16)^AO$34))</f>
        <v>-681599.09929206129</v>
      </c>
      <c r="AP280" s="193">
        <f>(((S280*'Appendix K'!$C$22*1000)-('Appendix K'!$E$48+'Appendix K'!$F$48+'Appendix K'!$H$48+'Appendix K'!$G$48))/((1+$Y$16)^AP$34))</f>
        <v>-583455.18882467132</v>
      </c>
      <c r="AQ280" s="193">
        <f>(((T280*'Appendix K'!$C$23*1000)-('Appendix K'!$E$49+'Appendix K'!$F$49+'Appendix K'!$H$49+'Appendix K'!$G$49))/((1+$Y$16)^AQ$34))</f>
        <v>-467116.867331427</v>
      </c>
      <c r="AR280" s="193">
        <f>(((U280*'Appendix K'!$C$24*1000)-('Appendix K'!$E$50+'Appendix K'!$F$50+'Appendix K'!$H$50+'Appendix K'!$G$50))/((1+$Y$16)^AR$34))</f>
        <v>-457699.75473696995</v>
      </c>
      <c r="AS280" s="209">
        <f t="shared" si="22"/>
        <v>17366245.845629461</v>
      </c>
      <c r="AU280" s="199">
        <f t="shared" si="21"/>
        <v>3.2673354748839414E-9</v>
      </c>
    </row>
    <row r="281" spans="1:47" x14ac:dyDescent="0.35">
      <c r="A281">
        <v>247</v>
      </c>
      <c r="B281" s="70">
        <v>56</v>
      </c>
      <c r="C281" s="70">
        <v>51.910202330963493</v>
      </c>
      <c r="D281" s="70">
        <v>77.129760340796381</v>
      </c>
      <c r="E281" s="70">
        <v>116.71674647475919</v>
      </c>
      <c r="F281" s="70">
        <v>129.28877256074438</v>
      </c>
      <c r="G281" s="70">
        <v>64.863992149114097</v>
      </c>
      <c r="H281" s="70">
        <v>64.946318661745309</v>
      </c>
      <c r="I281" s="70">
        <v>78.618347525387378</v>
      </c>
      <c r="J281" s="70">
        <v>85.573034635324206</v>
      </c>
      <c r="K281" s="70">
        <v>118.99846826960847</v>
      </c>
      <c r="L281" s="70">
        <v>158.88143611303775</v>
      </c>
      <c r="M281" s="70">
        <v>181.19099455864222</v>
      </c>
      <c r="N281" s="70">
        <v>297.05448098926479</v>
      </c>
      <c r="O281" s="70">
        <v>384.43986847732344</v>
      </c>
      <c r="P281" s="70">
        <v>500</v>
      </c>
      <c r="Q281" s="70">
        <v>500</v>
      </c>
      <c r="R281" s="70">
        <v>500</v>
      </c>
      <c r="S281" s="70">
        <v>500</v>
      </c>
      <c r="T281" s="70">
        <v>500</v>
      </c>
      <c r="U281" s="70">
        <v>500</v>
      </c>
      <c r="V281" s="70">
        <v>348.88556164718284</v>
      </c>
      <c r="X281" s="193">
        <f>((0-('Appendix K'!$I$30))/(1+$Y$16)^0)</f>
        <v>-33594902.4440751</v>
      </c>
      <c r="Y281" s="193">
        <f>(((B281*'Appendix K'!$C$5*1000)-('Appendix K'!$E$31+'Appendix K'!$F$31+'Appendix K'!$H$31+'Appendix K'!$G$31))/((1+$Y$16)^1))</f>
        <v>34971064.972647354</v>
      </c>
      <c r="Z281" s="193">
        <f>+(((C281*'Appendix K'!$C$6*1000)-('Appendix K'!$E$32+'Appendix K'!$F$32+'Appendix K'!$H$32+'Appendix K'!$G$32))/((1+$Y$16)^2))</f>
        <v>9626157.265546808</v>
      </c>
      <c r="AA281" s="193">
        <f>(((D281*'Appendix K'!$C$7*1000)-('Appendix K'!$E$33+'Appendix K'!$F$33+'Appendix K'!$H$33+'Appendix K'!$G$33))/((1+$Y$16)^3))</f>
        <v>6859495.3155265935</v>
      </c>
      <c r="AB281" s="193">
        <f>(((E281*'Appendix K'!$C$8*1000)-('Appendix K'!$E$34+'Appendix K'!$F$34+'Appendix K'!$H$34+'Appendix K'!$G$34))/((1+$Y$16)^4))</f>
        <v>22290034.499436345</v>
      </c>
      <c r="AC281" s="193">
        <f>(((F281*'Appendix K'!$C$9*1000)-('Appendix K'!$E$35+'Appendix K'!$F$35+'Appendix K'!$H$35+'Appendix K'!$G$35))/((1+$Y$16)^AC$34))</f>
        <v>31380524.207681868</v>
      </c>
      <c r="AD281" s="193">
        <f>(((G281*'Appendix K'!$C$10*1000)-('Appendix K'!$E$36+'Appendix K'!$F$36+'Appendix K'!$H$36+'Appendix K'!$G$36))/((1+$Y$16)^AD$34))</f>
        <v>7670734.6604293641</v>
      </c>
      <c r="AE281" s="193">
        <f>(((H281*'Appendix K'!$C$11*1000)-('Appendix K'!$E$37+'Appendix K'!$F$37+'Appendix K'!$H$37+'Appendix K'!$G$37))/((1+$Y$16)^AE$34))</f>
        <v>4257650.8595907576</v>
      </c>
      <c r="AF281" s="193">
        <f>(((I281*'Appendix K'!$C$12*1000)-('Appendix K'!$E$38+'Appendix K'!$F$38+'Appendix K'!$H$38+'Appendix K'!$G$38))/((1+$Y$16)^AF$34))</f>
        <v>3165692.4976705345</v>
      </c>
      <c r="AG281" s="193">
        <f>(((J281*'Appendix K'!$C$13*1000)-('Appendix K'!$E$39+'Appendix K'!$F$39+'Appendix K'!$H$39+'Appendix K'!$G$39))/((1+$Y$16)^AG$34))</f>
        <v>2123035.8389890273</v>
      </c>
      <c r="AH281" s="193">
        <f>(((K281*'Appendix K'!$C$14*1000)-('Appendix K'!$E$40+'Appendix K'!$F$40+'Appendix K'!$H$40+'Appendix K'!$G$40))/((1+$Y$16)^AH$34))</f>
        <v>2378283.8986113179</v>
      </c>
      <c r="AI281" s="193">
        <f>(((L281*'Appendix K'!$C$15*1000)-('Appendix K'!$E$41+'Appendix K'!$F$41+'Appendix K'!$H$41+'Appendix K'!$G$41))/((1+$Y$16)^AI$34))</f>
        <v>2646509.3875729735</v>
      </c>
      <c r="AJ281" s="193">
        <f>(((M281*'Appendix K'!$C$16*1000)-('Appendix K'!$E$42+'Appendix K'!$F$42+'Appendix K'!$H$42+'Appendix K'!$G$42))/((1+$Y$16)^AJ$34))</f>
        <v>2249854.8518384872</v>
      </c>
      <c r="AK281" s="193">
        <f>(((N281*'Appendix K'!$C$17*1000)-('Appendix K'!$E$43+'Appendix K'!$F$43+'Appendix K'!$H$43))/((1+$Y$16)^AK$34))</f>
        <v>3559655.9703491856</v>
      </c>
      <c r="AL281" s="193">
        <f>(((O281*'Appendix K'!$C$18*1000)-('Appendix K'!$E$44+'Appendix K'!$F$44+'Appendix K'!$H$44+'Appendix K'!$G$44))/((1+$Y$16)^AL$34))</f>
        <v>3422289.7576401522</v>
      </c>
      <c r="AM281" s="193">
        <f>(((P281*'Appendix K'!$C$19*1000)-('Appendix K'!$E$45+'Appendix K'!$F$45+'Appendix K'!$H$45+'Appendix K'!$G$45))/((1+$Y$16)^AM$34))</f>
        <v>3607599.9540230581</v>
      </c>
      <c r="AN281" s="193">
        <f>(((Q281*'Appendix K'!$C$20*1000)-('Appendix K'!$E$46+'Appendix K'!$F$46+'Appendix K'!$H$46+'Appendix K'!$G$46))/((1+$Y$16)^AN$34))</f>
        <v>2702399.606577659</v>
      </c>
      <c r="AO281" s="193">
        <f>(((R281*'Appendix K'!$C$21*1000)-('Appendix K'!$E$47+'Appendix K'!$F$47+'Appendix K'!$H$47+'Appendix K'!$G$47))/((1+$Y$16)^AO$34))</f>
        <v>2112056.3146391152</v>
      </c>
      <c r="AP281" s="193">
        <f>(((S281*'Appendix K'!$C$22*1000)-('Appendix K'!$E$48+'Appendix K'!$F$48+'Appendix K'!$H$48+'Appendix K'!$G$48))/((1+$Y$16)^AP$34))</f>
        <v>1630406.4380253027</v>
      </c>
      <c r="AQ281" s="193">
        <f>(((T281*'Appendix K'!$C$23*1000)-('Appendix K'!$E$49+'Appendix K'!$F$49+'Appendix K'!$H$49+'Appendix K'!$G$49))/((1+$Y$16)^AQ$34))</f>
        <v>1263386.3652054211</v>
      </c>
      <c r="AR281" s="193">
        <f>(((U281*'Appendix K'!$C$24*1000)-('Appendix K'!$E$50+'Appendix K'!$F$50+'Appendix K'!$H$50+'Appendix K'!$G$50))/((1+$Y$16)^AR$34))</f>
        <v>980725.14012097823</v>
      </c>
      <c r="AS281" s="209">
        <f t="shared" si="22"/>
        <v>115302655.35804719</v>
      </c>
      <c r="AU281" s="199">
        <f t="shared" si="21"/>
        <v>6.2410301440607538E-9</v>
      </c>
    </row>
    <row r="282" spans="1:47" x14ac:dyDescent="0.35">
      <c r="A282">
        <v>248</v>
      </c>
      <c r="B282" s="70">
        <v>56</v>
      </c>
      <c r="C282" s="70">
        <v>45.751511325010874</v>
      </c>
      <c r="D282" s="70">
        <v>55.6814621012103</v>
      </c>
      <c r="E282" s="70">
        <v>59.794833066610394</v>
      </c>
      <c r="F282" s="70">
        <v>43.028062013279566</v>
      </c>
      <c r="G282" s="70">
        <v>28.653946480032936</v>
      </c>
      <c r="H282" s="70">
        <v>29.918795342524604</v>
      </c>
      <c r="I282" s="70">
        <v>31.159060202793395</v>
      </c>
      <c r="J282" s="70">
        <v>24.751030766584918</v>
      </c>
      <c r="K282" s="70">
        <v>21.093092007560834</v>
      </c>
      <c r="L282" s="70">
        <v>30.078937857899611</v>
      </c>
      <c r="M282" s="70">
        <v>21.840319889679993</v>
      </c>
      <c r="N282" s="70">
        <v>36.167427561684377</v>
      </c>
      <c r="O282" s="70">
        <v>58.58067478497717</v>
      </c>
      <c r="P282" s="70">
        <v>64.07980325447727</v>
      </c>
      <c r="Q282" s="70">
        <v>58.305759841502024</v>
      </c>
      <c r="R282" s="70">
        <v>57.088378545746572</v>
      </c>
      <c r="S282" s="70">
        <v>60.534433874698955</v>
      </c>
      <c r="T282" s="70">
        <v>54.902795963676638</v>
      </c>
      <c r="U282" s="70">
        <v>56.537004379041889</v>
      </c>
      <c r="V282" s="70">
        <v>68.929055829977898</v>
      </c>
      <c r="X282" s="193">
        <f>((0-('Appendix K'!$I$30))/(1+$Y$16)^0)</f>
        <v>-33594902.4440751</v>
      </c>
      <c r="Y282" s="193">
        <f>(((B282*'Appendix K'!$C$5*1000)-('Appendix K'!$E$31+'Appendix K'!$F$31+'Appendix K'!$H$31+'Appendix K'!$G$31))/((1+$Y$16)^1))</f>
        <v>34971064.972647354</v>
      </c>
      <c r="Z282" s="193">
        <f>+(((C282*'Appendix K'!$C$6*1000)-('Appendix K'!$E$32+'Appendix K'!$F$32+'Appendix K'!$H$32+'Appendix K'!$G$32))/((1+$Y$16)^2))</f>
        <v>8070366.5845866939</v>
      </c>
      <c r="AA282" s="193">
        <f>(((D282*'Appendix K'!$C$7*1000)-('Appendix K'!$E$33+'Appendix K'!$F$33+'Appendix K'!$H$33+'Appendix K'!$G$33))/((1+$Y$16)^3))</f>
        <v>4127521.0649530487</v>
      </c>
      <c r="AB282" s="193">
        <f>(((E282*'Appendix K'!$C$8*1000)-('Appendix K'!$E$34+'Appendix K'!$F$34+'Appendix K'!$H$34+'Appendix K'!$G$34))/((1+$Y$16)^4))</f>
        <v>9813272.1503342111</v>
      </c>
      <c r="AC282" s="193">
        <f>(((F282*'Appendix K'!$C$9*1000)-('Appendix K'!$E$35+'Appendix K'!$F$35+'Appendix K'!$H$35+'Appendix K'!$G$35))/((1+$Y$16)^AC$34))</f>
        <v>8452562.7977884319</v>
      </c>
      <c r="AD282" s="193">
        <f>(((G282*'Appendix K'!$C$10*1000)-('Appendix K'!$E$36+'Appendix K'!$F$36+'Appendix K'!$H$36+'Appendix K'!$G$36))/((1+$Y$16)^AD$34))</f>
        <v>1984166.0039705154</v>
      </c>
      <c r="AE282" s="193">
        <f>(((H282*'Appendix K'!$C$11*1000)-('Appendix K'!$E$37+'Appendix K'!$F$37+'Appendix K'!$H$37+'Appendix K'!$G$37))/((1+$Y$16)^AE$34))</f>
        <v>764088.73971706547</v>
      </c>
      <c r="AF282" s="193">
        <f>(((I282*'Appendix K'!$C$12*1000)-('Appendix K'!$E$38+'Appendix K'!$F$38+'Appendix K'!$H$38+'Appendix K'!$G$38))/((1+$Y$16)^AF$34))</f>
        <v>49400.506525942612</v>
      </c>
      <c r="AG282" s="193">
        <f>(((J282*'Appendix K'!$C$13*1000)-('Appendix K'!$E$39+'Appendix K'!$F$39+'Appendix K'!$H$39+'Appendix K'!$G$39))/((1+$Y$16)^AG$34))</f>
        <v>-675927.855319564</v>
      </c>
      <c r="AH282" s="193">
        <f>(((K282*'Appendix K'!$C$14*1000)-('Appendix K'!$E$40+'Appendix K'!$F$40+'Appendix K'!$H$40+'Appendix K'!$G$40))/((1+$Y$16)^AH$34))</f>
        <v>-921766.28593682882</v>
      </c>
      <c r="AI282" s="193">
        <f>(((L282*'Appendix K'!$C$15*1000)-('Appendix K'!$E$41+'Appendix K'!$F$41+'Appendix K'!$H$41+'Appendix K'!$G$41))/((1+$Y$16)^AI$34))</f>
        <v>-728356.92856445268</v>
      </c>
      <c r="AJ282" s="193">
        <f>(((M282*'Appendix K'!$C$16*1000)-('Appendix K'!$E$42+'Appendix K'!$F$42+'Appendix K'!$H$42+'Appendix K'!$G$42))/((1+$Y$16)^AJ$34))</f>
        <v>-943830.17272309749</v>
      </c>
      <c r="AK282" s="193">
        <f>(((N282*'Appendix K'!$C$17*1000)-('Appendix K'!$E$43+'Appendix K'!$F$43+'Appendix K'!$H$43))/((1+$Y$16)^AK$34))</f>
        <v>-448585.9678382522</v>
      </c>
      <c r="AL282" s="193">
        <f>(((O282*'Appendix K'!$C$18*1000)-('Appendix K'!$E$44+'Appendix K'!$F$44+'Appendix K'!$H$44+'Appendix K'!$G$44))/((1+$Y$16)^AL$34))</f>
        <v>-440215.14995576156</v>
      </c>
      <c r="AM282" s="193">
        <f>(((P282*'Appendix K'!$C$19*1000)-('Appendix K'!$E$45+'Appendix K'!$F$45+'Appendix K'!$H$45+'Appendix K'!$G$45))/((1+$Y$16)^AM$34))</f>
        <v>-432827.43244589382</v>
      </c>
      <c r="AN282" s="193">
        <f>(((Q282*'Appendix K'!$C$20*1000)-('Appendix K'!$E$46+'Appendix K'!$F$46+'Appendix K'!$H$46+'Appendix K'!$G$46))/((1+$Y$16)^AN$34))</f>
        <v>-493795.7146638828</v>
      </c>
      <c r="AO282" s="193">
        <f>(((R282*'Appendix K'!$C$21*1000)-('Appendix K'!$E$47+'Appendix K'!$F$47+'Appendix K'!$H$47+'Appendix K'!$G$47))/((1+$Y$16)^AO$34))</f>
        <v>-505600.30104928248</v>
      </c>
      <c r="AP282" s="193">
        <f>(((S282*'Appendix K'!$C$22*1000)-('Appendix K'!$E$48+'Appendix K'!$F$48+'Appendix K'!$H$48+'Appendix K'!$G$48))/((1+$Y$16)^AP$34))</f>
        <v>-474510.28404948435</v>
      </c>
      <c r="AQ282" s="193">
        <f>(((T282*'Appendix K'!$C$23*1000)-('Appendix K'!$E$49+'Appendix K'!$F$49+'Appendix K'!$H$49+'Appendix K'!$G$49))/((1+$Y$16)^AQ$34))</f>
        <v>-478610.14358619251</v>
      </c>
      <c r="AR282" s="193">
        <f>(((U282*'Appendix K'!$C$24*1000)-('Appendix K'!$E$50+'Appendix K'!$F$50+'Appendix K'!$H$50+'Appendix K'!$G$50))/((1+$Y$16)^AR$34))</f>
        <v>-447238.13110546215</v>
      </c>
      <c r="AS282" s="209">
        <f t="shared" si="22"/>
        <v>34637540.376448177</v>
      </c>
      <c r="AU282" s="199">
        <f t="shared" si="21"/>
        <v>4.546655539689213E-9</v>
      </c>
    </row>
    <row r="283" spans="1:47" x14ac:dyDescent="0.35">
      <c r="A283">
        <v>249</v>
      </c>
      <c r="B283" s="70">
        <v>56</v>
      </c>
      <c r="C283" s="70">
        <v>78.427729555796077</v>
      </c>
      <c r="D283" s="70">
        <v>91.286583471258126</v>
      </c>
      <c r="E283" s="70">
        <v>7.7518793556242827</v>
      </c>
      <c r="F283" s="70">
        <v>9.4575483344805384</v>
      </c>
      <c r="G283" s="70">
        <v>4.8526900158440025</v>
      </c>
      <c r="H283" s="70">
        <v>3.6784241583504649</v>
      </c>
      <c r="I283" s="70">
        <v>4.071225825201827</v>
      </c>
      <c r="J283" s="70">
        <v>5.6579840235992984</v>
      </c>
      <c r="K283" s="70">
        <v>6.2293197231873023</v>
      </c>
      <c r="L283" s="70">
        <v>6.9970169386281702</v>
      </c>
      <c r="M283" s="70">
        <v>8.8501934950433565</v>
      </c>
      <c r="N283" s="70">
        <v>9.8451710340968734</v>
      </c>
      <c r="O283" s="70">
        <v>9.523469559295151</v>
      </c>
      <c r="P283" s="70">
        <v>8.749272437595085</v>
      </c>
      <c r="Q283" s="70">
        <v>12.355423088189422</v>
      </c>
      <c r="R283" s="70">
        <v>13.632532157503807</v>
      </c>
      <c r="S283" s="70">
        <v>12.554415501087535</v>
      </c>
      <c r="T283" s="70">
        <v>18.872468426083735</v>
      </c>
      <c r="U283" s="70">
        <v>20.773877546404687</v>
      </c>
      <c r="V283" s="70">
        <v>18.35213343934932</v>
      </c>
      <c r="X283" s="193">
        <f>((0-('Appendix K'!$I$30))/(1+$Y$16)^0)</f>
        <v>-33594902.4440751</v>
      </c>
      <c r="Y283" s="193">
        <f>(((B283*'Appendix K'!$C$5*1000)-('Appendix K'!$E$31+'Appendix K'!$F$31+'Appendix K'!$H$31+'Appendix K'!$G$31))/((1+$Y$16)^1))</f>
        <v>34971064.972647354</v>
      </c>
      <c r="Z283" s="193">
        <f>+(((C283*'Appendix K'!$C$6*1000)-('Appendix K'!$E$32+'Appendix K'!$F$32+'Appendix K'!$H$32+'Appendix K'!$G$32))/((1+$Y$16)^2))</f>
        <v>16324938.175098093</v>
      </c>
      <c r="AA283" s="193">
        <f>(((D283*'Appendix K'!$C$7*1000)-('Appendix K'!$E$33+'Appendix K'!$F$33+'Appendix K'!$H$33+'Appendix K'!$G$33))/((1+$Y$16)^3))</f>
        <v>8662718.8547705114</v>
      </c>
      <c r="AB283" s="193">
        <f>(((E283*'Appendix K'!$C$8*1000)-('Appendix K'!$E$34+'Appendix K'!$F$34+'Appendix K'!$H$34+'Appendix K'!$G$34))/((1+$Y$16)^4))</f>
        <v>-1594066.8957270999</v>
      </c>
      <c r="AC283" s="193">
        <f>(((F283*'Appendix K'!$C$9*1000)-('Appendix K'!$E$35+'Appendix K'!$F$35+'Appendix K'!$H$35+'Appendix K'!$G$35))/((1+$Y$16)^AC$34))</f>
        <v>-470427.02287013864</v>
      </c>
      <c r="AD283" s="193">
        <f>(((G283*'Appendix K'!$C$10*1000)-('Appendix K'!$E$36+'Appendix K'!$F$36+'Appendix K'!$H$36+'Appendix K'!$G$36))/((1+$Y$16)^AD$34))</f>
        <v>-1753677.3622190258</v>
      </c>
      <c r="AE283" s="193">
        <f>(((H283*'Appendix K'!$C$11*1000)-('Appendix K'!$E$37+'Appendix K'!$F$37+'Appendix K'!$H$37+'Appendix K'!$G$37))/((1+$Y$16)^AE$34))</f>
        <v>-1853063.6619816422</v>
      </c>
      <c r="AF283" s="193">
        <f>(((I283*'Appendix K'!$C$12*1000)-('Appendix K'!$E$38+'Appendix K'!$F$38+'Appendix K'!$H$38+'Appendix K'!$G$38))/((1+$Y$16)^AF$34))</f>
        <v>-1729252.4419382226</v>
      </c>
      <c r="AG283" s="193">
        <f>(((J283*'Appendix K'!$C$13*1000)-('Appendix K'!$E$39+'Appendix K'!$F$39+'Appendix K'!$H$39+'Appendix K'!$G$39))/((1+$Y$16)^AG$34))</f>
        <v>-1554569.4857841695</v>
      </c>
      <c r="AH283" s="193">
        <f>(((K283*'Appendix K'!$C$14*1000)-('Appendix K'!$E$40+'Appendix K'!$F$40+'Appendix K'!$H$40+'Appendix K'!$G$40))/((1+$Y$16)^AH$34))</f>
        <v>-1422772.4241374629</v>
      </c>
      <c r="AI283" s="193">
        <f>(((L283*'Appendix K'!$C$15*1000)-('Appendix K'!$E$41+'Appendix K'!$F$41+'Appendix K'!$H$41+'Appendix K'!$G$41))/((1+$Y$16)^AI$34))</f>
        <v>-1333146.4200531358</v>
      </c>
      <c r="AJ283" s="193">
        <f>(((M283*'Appendix K'!$C$16*1000)-('Appendix K'!$E$42+'Appendix K'!$F$42+'Appendix K'!$H$42+'Appendix K'!$G$42))/((1+$Y$16)^AJ$34))</f>
        <v>-1204176.5579511344</v>
      </c>
      <c r="AK283" s="193">
        <f>(((N283*'Appendix K'!$C$17*1000)-('Appendix K'!$E$43+'Appendix K'!$F$43+'Appendix K'!$H$43))/((1+$Y$16)^AK$34))</f>
        <v>-852998.4181129901</v>
      </c>
      <c r="AL283" s="193">
        <f>(((O283*'Appendix K'!$C$18*1000)-('Appendix K'!$E$44+'Appendix K'!$F$44+'Appendix K'!$H$44+'Appendix K'!$G$44))/((1+$Y$16)^AL$34))</f>
        <v>-1021704.6386827057</v>
      </c>
      <c r="AM283" s="193">
        <f>(((P283*'Appendix K'!$C$19*1000)-('Appendix K'!$E$45+'Appendix K'!$F$45+'Appendix K'!$H$45+'Appendix K'!$G$45))/((1+$Y$16)^AM$34))</f>
        <v>-945671.28251164837</v>
      </c>
      <c r="AN283" s="193">
        <f>(((Q283*'Appendix K'!$C$20*1000)-('Appendix K'!$E$46+'Appendix K'!$F$46+'Appendix K'!$H$46+'Appendix K'!$G$46))/((1+$Y$16)^AN$34))</f>
        <v>-826302.31762005761</v>
      </c>
      <c r="AO283" s="193">
        <f>(((R283*'Appendix K'!$C$21*1000)-('Appendix K'!$E$47+'Appendix K'!$F$47+'Appendix K'!$H$47+'Appendix K'!$G$47))/((1+$Y$16)^AO$34))</f>
        <v>-762429.15420745465</v>
      </c>
      <c r="AP283" s="193">
        <f>(((S283*'Appendix K'!$C$22*1000)-('Appendix K'!$E$48+'Appendix K'!$F$48+'Appendix K'!$H$48+'Appendix K'!$G$48))/((1+$Y$16)^AP$34))</f>
        <v>-704321.10606796003</v>
      </c>
      <c r="AQ283" s="193">
        <f>(((T283*'Appendix K'!$C$23*1000)-('Appendix K'!$E$49+'Appendix K'!$F$49+'Appendix K'!$H$49+'Appendix K'!$G$49))/((1+$Y$16)^AQ$34))</f>
        <v>-619623.62156792148</v>
      </c>
      <c r="AR283" s="193">
        <f>(((U283*'Appendix K'!$C$24*1000)-('Appendix K'!$E$50+'Appendix K'!$F$50+'Appendix K'!$H$50+'Appendix K'!$G$50))/((1+$Y$16)^AR$34))</f>
        <v>-562396.40154854674</v>
      </c>
      <c r="AS283" s="209">
        <f t="shared" si="22"/>
        <v>26363819.558440857</v>
      </c>
      <c r="AU283" s="199">
        <f t="shared" si="21"/>
        <v>3.92617007623259E-9</v>
      </c>
    </row>
    <row r="284" spans="1:47" x14ac:dyDescent="0.35">
      <c r="A284">
        <v>250</v>
      </c>
      <c r="B284" s="70">
        <v>56</v>
      </c>
      <c r="C284" s="70">
        <v>58.761852819604577</v>
      </c>
      <c r="D284" s="70">
        <v>68.972617686964242</v>
      </c>
      <c r="E284" s="70">
        <v>49.660344227264872</v>
      </c>
      <c r="F284" s="70">
        <v>39.073182150832331</v>
      </c>
      <c r="G284" s="70">
        <v>42.970738259846335</v>
      </c>
      <c r="H284" s="70">
        <v>71.224319876542367</v>
      </c>
      <c r="I284" s="70">
        <v>110.17666468709891</v>
      </c>
      <c r="J284" s="70">
        <v>130.96267869538974</v>
      </c>
      <c r="K284" s="70">
        <v>136.39622928608318</v>
      </c>
      <c r="L284" s="70">
        <v>132.99941538581768</v>
      </c>
      <c r="M284" s="70">
        <v>111.72027196556579</v>
      </c>
      <c r="N284" s="70">
        <v>119.60598607962174</v>
      </c>
      <c r="O284" s="70">
        <v>165.70150599779589</v>
      </c>
      <c r="P284" s="70">
        <v>254.6810975037132</v>
      </c>
      <c r="Q284" s="70">
        <v>202.90261403822518</v>
      </c>
      <c r="R284" s="70">
        <v>319.91707291828226</v>
      </c>
      <c r="S284" s="70">
        <v>247.01414199308772</v>
      </c>
      <c r="T284" s="70">
        <v>207.76304201882229</v>
      </c>
      <c r="U284" s="70">
        <v>169.03114636826356</v>
      </c>
      <c r="V284" s="70">
        <v>252.1806352475632</v>
      </c>
      <c r="X284" s="193">
        <f>((0-('Appendix K'!$I$30))/(1+$Y$16)^0)</f>
        <v>-33594902.4440751</v>
      </c>
      <c r="Y284" s="193">
        <f>(((B284*'Appendix K'!$C$5*1000)-('Appendix K'!$E$31+'Appendix K'!$F$31+'Appendix K'!$H$31+'Appendix K'!$G$31))/((1+$Y$16)^1))</f>
        <v>34971064.972647354</v>
      </c>
      <c r="Z284" s="193">
        <f>+(((C284*'Appendix K'!$C$6*1000)-('Appendix K'!$E$32+'Appendix K'!$F$32+'Appendix K'!$H$32+'Appendix K'!$G$32))/((1+$Y$16)^2))</f>
        <v>11357001.363606045</v>
      </c>
      <c r="AA284" s="193">
        <f>(((D284*'Appendix K'!$C$7*1000)-('Appendix K'!$E$33+'Appendix K'!$F$33+'Appendix K'!$H$33+'Appendix K'!$G$33))/((1+$Y$16)^3))</f>
        <v>5820480.3111849437</v>
      </c>
      <c r="AB284" s="193">
        <f>(((E284*'Appendix K'!$C$8*1000)-('Appendix K'!$E$34+'Appendix K'!$F$34+'Appendix K'!$H$34+'Appendix K'!$G$34))/((1+$Y$16)^4))</f>
        <v>7591884.969065628</v>
      </c>
      <c r="AC284" s="193">
        <f>(((F284*'Appendix K'!$C$9*1000)-('Appendix K'!$E$35+'Appendix K'!$F$35+'Appendix K'!$H$35+'Appendix K'!$G$35))/((1+$Y$16)^AC$34))</f>
        <v>7401361.9406257747</v>
      </c>
      <c r="AD284" s="193">
        <f>(((G284*'Appendix K'!$C$10*1000)-('Appendix K'!$E$36+'Appendix K'!$F$36+'Appendix K'!$H$36+'Appendix K'!$G$36))/((1+$Y$16)^AD$34))</f>
        <v>4232531.5581087535</v>
      </c>
      <c r="AE284" s="193">
        <f>(((H284*'Appendix K'!$C$11*1000)-('Appendix K'!$E$37+'Appendix K'!$F$37+'Appendix K'!$H$37+'Appendix K'!$G$37))/((1+$Y$16)^AE$34))</f>
        <v>4883803.8145871777</v>
      </c>
      <c r="AF284" s="193">
        <f>(((I284*'Appendix K'!$C$12*1000)-('Appendix K'!$E$38+'Appendix K'!$F$38+'Appendix K'!$H$38+'Appendix K'!$G$38))/((1+$Y$16)^AF$34))</f>
        <v>5237888.1957762549</v>
      </c>
      <c r="AG284" s="193">
        <f>(((J284*'Appendix K'!$C$13*1000)-('Appendix K'!$E$39+'Appendix K'!$F$39+'Appendix K'!$H$39+'Appendix K'!$G$39))/((1+$Y$16)^AG$34))</f>
        <v>4211818.8079929454</v>
      </c>
      <c r="AH284" s="193">
        <f>(((K284*'Appendix K'!$C$14*1000)-('Appendix K'!$E$40+'Appendix K'!$F$40+'Appendix K'!$H$40+'Appendix K'!$G$40))/((1+$Y$16)^AH$34))</f>
        <v>2964701.9958103164</v>
      </c>
      <c r="AI284" s="193">
        <f>(((L284*'Appendix K'!$C$15*1000)-('Appendix K'!$E$41+'Appendix K'!$F$41+'Appendix K'!$H$41+'Appendix K'!$G$41))/((1+$Y$16)^AI$34))</f>
        <v>1968352.0449037193</v>
      </c>
      <c r="AJ284" s="193">
        <f>(((M284*'Appendix K'!$C$16*1000)-('Appendix K'!$E$42+'Appendix K'!$F$42+'Appendix K'!$H$42+'Appendix K'!$G$42))/((1+$Y$16)^AJ$34))</f>
        <v>857531.87076613284</v>
      </c>
      <c r="AK284" s="193">
        <f>(((N284*'Appendix K'!$C$17*1000)-('Appendix K'!$E$43+'Appendix K'!$F$43+'Appendix K'!$H$43))/((1+$Y$16)^AK$34))</f>
        <v>833355.48966048437</v>
      </c>
      <c r="AL284" s="193">
        <f>(((O284*'Appendix K'!$C$18*1000)-('Appendix K'!$E$44+'Appendix K'!$F$44+'Appendix K'!$H$44+'Appendix K'!$G$44))/((1+$Y$16)^AL$34))</f>
        <v>829519.5829421063</v>
      </c>
      <c r="AM284" s="193">
        <f>(((P284*'Appendix K'!$C$19*1000)-('Appendix K'!$E$45+'Appendix K'!$F$45+'Appendix K'!$H$45+'Appendix K'!$G$45))/((1+$Y$16)^AM$34))</f>
        <v>1333804.8432103032</v>
      </c>
      <c r="AN284" s="193">
        <f>(((Q284*'Appendix K'!$C$20*1000)-('Appendix K'!$E$46+'Appendix K'!$F$46+'Appendix K'!$H$46+'Appendix K'!$G$46))/((1+$Y$16)^AN$34))</f>
        <v>552538.48404328187</v>
      </c>
      <c r="AO284" s="193">
        <f>(((R284*'Appendix K'!$C$21*1000)-('Appendix K'!$E$47+'Appendix K'!$F$47+'Appendix K'!$H$47+'Appendix K'!$G$47))/((1+$Y$16)^AO$34))</f>
        <v>1047746.3200171328</v>
      </c>
      <c r="AP284" s="193">
        <f>(((S284*'Appendix K'!$C$22*1000)-('Appendix K'!$E$48+'Appendix K'!$F$48+'Appendix K'!$H$48+'Appendix K'!$G$48))/((1+$Y$16)^AP$34))</f>
        <v>418675.18075688632</v>
      </c>
      <c r="AQ284" s="193">
        <f>(((T284*'Appendix K'!$C$23*1000)-('Appendix K'!$E$49+'Appendix K'!$F$49+'Appendix K'!$H$49+'Appendix K'!$G$49))/((1+$Y$16)^AQ$34))</f>
        <v>119645.72624704077</v>
      </c>
      <c r="AR284" s="193">
        <f>(((U284*'Appendix K'!$C$24*1000)-('Appendix K'!$E$50+'Appendix K'!$F$50+'Appendix K'!$H$50+'Appendix K'!$G$50))/((1+$Y$16)^AR$34))</f>
        <v>-85003.841942713989</v>
      </c>
      <c r="AS284" s="209">
        <f t="shared" si="22"/>
        <v>63038805.027877189</v>
      </c>
      <c r="AU284" s="199">
        <f t="shared" si="21"/>
        <v>6.4003834181775595E-9</v>
      </c>
    </row>
    <row r="285" spans="1:47" x14ac:dyDescent="0.35">
      <c r="A285">
        <v>251</v>
      </c>
      <c r="B285" s="70">
        <v>56</v>
      </c>
      <c r="C285" s="70">
        <v>74.812144658981595</v>
      </c>
      <c r="D285" s="70">
        <v>121.45409779034097</v>
      </c>
      <c r="E285" s="70">
        <v>128.39411626979822</v>
      </c>
      <c r="F285" s="70">
        <v>154.13285727429226</v>
      </c>
      <c r="G285" s="70">
        <v>148.33839422062638</v>
      </c>
      <c r="H285" s="70">
        <v>119.40329617012685</v>
      </c>
      <c r="I285" s="70">
        <v>160.81062389747947</v>
      </c>
      <c r="J285" s="70">
        <v>86.425892259414582</v>
      </c>
      <c r="K285" s="70">
        <v>111.30296179557484</v>
      </c>
      <c r="L285" s="70">
        <v>149.70657057067655</v>
      </c>
      <c r="M285" s="70">
        <v>104.51584650080594</v>
      </c>
      <c r="N285" s="70">
        <v>131.55748128891668</v>
      </c>
      <c r="O285" s="70">
        <v>130.4177457863058</v>
      </c>
      <c r="P285" s="70">
        <v>100.76257482470832</v>
      </c>
      <c r="Q285" s="70">
        <v>93.466434391070564</v>
      </c>
      <c r="R285" s="70">
        <v>132.61114347280227</v>
      </c>
      <c r="S285" s="70">
        <v>91.637800932672292</v>
      </c>
      <c r="T285" s="70">
        <v>70.426594415130864</v>
      </c>
      <c r="U285" s="70">
        <v>93.162948574434182</v>
      </c>
      <c r="V285" s="70">
        <v>102.82317306797431</v>
      </c>
      <c r="X285" s="193">
        <f>((0-('Appendix K'!$I$30))/(1+$Y$16)^0)</f>
        <v>-33594902.4440751</v>
      </c>
      <c r="Y285" s="193">
        <f>(((B285*'Appendix K'!$C$5*1000)-('Appendix K'!$E$31+'Appendix K'!$F$31+'Appendix K'!$H$31+'Appendix K'!$G$31))/((1+$Y$16)^1))</f>
        <v>34971064.972647354</v>
      </c>
      <c r="Z285" s="193">
        <f>+(((C285*'Appendix K'!$C$6*1000)-('Appendix K'!$E$32+'Appendix K'!$F$32+'Appendix K'!$H$32+'Appendix K'!$G$32))/((1+$Y$16)^2))</f>
        <v>15411579.592365621</v>
      </c>
      <c r="AA285" s="193">
        <f>(((D285*'Appendix K'!$C$7*1000)-('Appendix K'!$E$33+'Appendix K'!$F$33+'Appendix K'!$H$33+'Appendix K'!$G$33))/((1+$Y$16)^3))</f>
        <v>12505302.140535824</v>
      </c>
      <c r="AB285" s="193">
        <f>(((E285*'Appendix K'!$C$8*1000)-('Appendix K'!$E$34+'Appendix K'!$F$34+'Appendix K'!$H$34+'Appendix K'!$G$34))/((1+$Y$16)^4))</f>
        <v>24849607.062477205</v>
      </c>
      <c r="AC285" s="193">
        <f>(((F285*'Appendix K'!$C$9*1000)-('Appendix K'!$E$35+'Appendix K'!$F$35+'Appendix K'!$H$35+'Appendix K'!$G$35))/((1+$Y$16)^AC$34))</f>
        <v>37984042.912329152</v>
      </c>
      <c r="AD285" s="193">
        <f>(((G285*'Appendix K'!$C$10*1000)-('Appendix K'!$E$36+'Appendix K'!$F$36+'Appendix K'!$H$36+'Appendix K'!$G$36))/((1+$Y$16)^AD$34))</f>
        <v>20779884.612201586</v>
      </c>
      <c r="AE285" s="193">
        <f>(((H285*'Appendix K'!$C$11*1000)-('Appendix K'!$E$37+'Appendix K'!$F$37+'Appendix K'!$H$37+'Appendix K'!$G$37))/((1+$Y$16)^AE$34))</f>
        <v>9689060.6698784232</v>
      </c>
      <c r="AF285" s="193">
        <f>(((I285*'Appendix K'!$C$12*1000)-('Appendix K'!$E$38+'Appendix K'!$F$38+'Appendix K'!$H$38+'Appendix K'!$G$38))/((1+$Y$16)^AF$34))</f>
        <v>8562636.8481255211</v>
      </c>
      <c r="AG285" s="193">
        <f>(((J285*'Appendix K'!$C$13*1000)-('Appendix K'!$E$39+'Appendix K'!$F$39+'Appendix K'!$H$39+'Appendix K'!$G$39))/((1+$Y$16)^AG$34))</f>
        <v>2162283.4364768527</v>
      </c>
      <c r="AH285" s="193">
        <f>(((K285*'Appendix K'!$C$14*1000)-('Appendix K'!$E$40+'Appendix K'!$F$40+'Appendix K'!$H$40+'Appendix K'!$G$40))/((1+$Y$16)^AH$34))</f>
        <v>2118895.1037421385</v>
      </c>
      <c r="AI285" s="193">
        <f>(((L285*'Appendix K'!$C$15*1000)-('Appendix K'!$E$41+'Appendix K'!$F$41+'Appendix K'!$H$41+'Appendix K'!$G$41))/((1+$Y$16)^AI$34))</f>
        <v>2406110.7532804157</v>
      </c>
      <c r="AJ285" s="193">
        <f>(((M285*'Appendix K'!$C$16*1000)-('Appendix K'!$E$42+'Appendix K'!$F$42+'Appendix K'!$H$42+'Appendix K'!$G$42))/((1+$Y$16)^AJ$34))</f>
        <v>713141.73394887592</v>
      </c>
      <c r="AK285" s="193">
        <f>(((N285*'Appendix K'!$C$17*1000)-('Appendix K'!$E$43+'Appendix K'!$F$43+'Appendix K'!$H$43))/((1+$Y$16)^AK$34))</f>
        <v>1016977.0365811329</v>
      </c>
      <c r="AL285" s="193">
        <f>(((O285*'Appendix K'!$C$18*1000)-('Appendix K'!$E$44+'Appendix K'!$F$44+'Appendix K'!$H$44+'Appendix K'!$G$44))/((1+$Y$16)^AL$34))</f>
        <v>411290.79083385743</v>
      </c>
      <c r="AM285" s="193">
        <f>(((P285*'Appendix K'!$C$19*1000)-('Appendix K'!$E$45+'Appendix K'!$F$45+'Appendix K'!$H$45+'Appendix K'!$G$45))/((1+$Y$16)^AM$34))</f>
        <v>-92824.661364219894</v>
      </c>
      <c r="AN285" s="193">
        <f>(((Q285*'Appendix K'!$C$20*1000)-('Appendix K'!$E$46+'Appendix K'!$F$46+'Appendix K'!$H$46+'Appendix K'!$G$46))/((1+$Y$16)^AN$34))</f>
        <v>-239365.44759338428</v>
      </c>
      <c r="AO285" s="193">
        <f>(((R285*'Appendix K'!$C$21*1000)-('Appendix K'!$E$47+'Appendix K'!$F$47+'Appendix K'!$H$47+'Appendix K'!$G$47))/((1+$Y$16)^AO$34))</f>
        <v>-59252.41657227531</v>
      </c>
      <c r="AP285" s="193">
        <f>(((S285*'Appendix K'!$C$22*1000)-('Appendix K'!$E$48+'Appendix K'!$F$48+'Appendix K'!$H$48+'Appendix K'!$G$48))/((1+$Y$16)^AP$34))</f>
        <v>-325533.88526038965</v>
      </c>
      <c r="AQ285" s="193">
        <f>(((T285*'Appendix K'!$C$23*1000)-('Appendix K'!$E$49+'Appendix K'!$F$49+'Appendix K'!$H$49+'Appendix K'!$G$49))/((1+$Y$16)^AQ$34))</f>
        <v>-417853.97064152703</v>
      </c>
      <c r="AR285" s="193">
        <f>(((U285*'Appendix K'!$C$24*1000)-('Appendix K'!$E$50+'Appendix K'!$F$50+'Appendix K'!$H$50+'Appendix K'!$G$50))/((1+$Y$16)^AR$34))</f>
        <v>-329301.56457914854</v>
      </c>
      <c r="AS285" s="209">
        <f t="shared" si="22"/>
        <v>139986975.22134888</v>
      </c>
      <c r="AU285" s="199">
        <f t="shared" si="21"/>
        <v>4.5922087284772868E-9</v>
      </c>
    </row>
    <row r="286" spans="1:47" x14ac:dyDescent="0.35">
      <c r="A286">
        <v>252</v>
      </c>
      <c r="B286" s="70">
        <v>56</v>
      </c>
      <c r="C286" s="70">
        <v>67.88706077578955</v>
      </c>
      <c r="D286" s="70">
        <v>106.68930096469086</v>
      </c>
      <c r="E286" s="70">
        <v>118.81286672009085</v>
      </c>
      <c r="F286" s="70">
        <v>61.373055766025779</v>
      </c>
      <c r="G286" s="70">
        <v>97.43079655247692</v>
      </c>
      <c r="H286" s="70">
        <v>116.66868561652754</v>
      </c>
      <c r="I286" s="70">
        <v>172.88631695991262</v>
      </c>
      <c r="J286" s="70">
        <v>232.7914922476773</v>
      </c>
      <c r="K286" s="70">
        <v>349.04936666127804</v>
      </c>
      <c r="L286" s="70">
        <v>343.94977804439827</v>
      </c>
      <c r="M286" s="70">
        <v>500</v>
      </c>
      <c r="N286" s="70">
        <v>500</v>
      </c>
      <c r="O286" s="70">
        <v>500</v>
      </c>
      <c r="P286" s="70">
        <v>500</v>
      </c>
      <c r="Q286" s="70">
        <v>500</v>
      </c>
      <c r="R286" s="70">
        <v>403.15819238062102</v>
      </c>
      <c r="S286" s="70">
        <v>264.01403763545795</v>
      </c>
      <c r="T286" s="70">
        <v>122.38159185601336</v>
      </c>
      <c r="U286" s="70">
        <v>134.74310766170186</v>
      </c>
      <c r="V286" s="70">
        <v>180.94532012912043</v>
      </c>
      <c r="X286" s="193">
        <f>((0-('Appendix K'!$I$30))/(1+$Y$16)^0)</f>
        <v>-33594902.4440751</v>
      </c>
      <c r="Y286" s="193">
        <f>(((B286*'Appendix K'!$C$5*1000)-('Appendix K'!$E$31+'Appendix K'!$F$31+'Appendix K'!$H$31+'Appendix K'!$G$31))/((1+$Y$16)^1))</f>
        <v>34971064.972647354</v>
      </c>
      <c r="Z286" s="193">
        <f>+(((C286*'Appendix K'!$C$6*1000)-('Appendix K'!$E$32+'Appendix K'!$F$32+'Appendix K'!$H$32+'Appendix K'!$G$32))/((1+$Y$16)^2))</f>
        <v>13662184.962902352</v>
      </c>
      <c r="AA286" s="193">
        <f>(((D286*'Appendix K'!$C$7*1000)-('Appendix K'!$E$33+'Appendix K'!$F$33+'Appendix K'!$H$33+'Appendix K'!$G$33))/((1+$Y$16)^3))</f>
        <v>10624638.029469986</v>
      </c>
      <c r="AB286" s="193">
        <f>(((E286*'Appendix K'!$C$8*1000)-('Appendix K'!$E$34+'Appendix K'!$F$34+'Appendix K'!$H$34+'Appendix K'!$G$34))/((1+$Y$16)^4))</f>
        <v>22749484.869079057</v>
      </c>
      <c r="AC286" s="193">
        <f>(((F286*'Appendix K'!$C$9*1000)-('Appendix K'!$E$35+'Appendix K'!$F$35+'Appendix K'!$H$35+'Appendix K'!$G$35))/((1+$Y$16)^AC$34))</f>
        <v>13328633.330458801</v>
      </c>
      <c r="AD286" s="193">
        <f>(((G286*'Appendix K'!$C$10*1000)-('Appendix K'!$E$36+'Appendix K'!$F$36+'Appendix K'!$H$36+'Appendix K'!$G$36))/((1+$Y$16)^AD$34))</f>
        <v>12785154.312192488</v>
      </c>
      <c r="AE286" s="193">
        <f>(((H286*'Appendix K'!$C$11*1000)-('Appendix K'!$E$37+'Appendix K'!$F$37+'Appendix K'!$H$37+'Appendix K'!$G$37))/((1+$Y$16)^AE$34))</f>
        <v>9416317.0974712092</v>
      </c>
      <c r="AF286" s="193">
        <f>(((I286*'Appendix K'!$C$12*1000)-('Appendix K'!$E$38+'Appendix K'!$F$38+'Appendix K'!$H$38+'Appendix K'!$G$38))/((1+$Y$16)^AF$34))</f>
        <v>9355556.162783362</v>
      </c>
      <c r="AG286" s="193">
        <f>(((J286*'Appendix K'!$C$13*1000)-('Appendix K'!$E$39+'Appendix K'!$F$39+'Appendix K'!$H$39+'Appendix K'!$G$39))/((1+$Y$16)^AG$34))</f>
        <v>8897872.111703001</v>
      </c>
      <c r="AH286" s="193">
        <f>(((K286*'Appendix K'!$C$14*1000)-('Appendix K'!$E$40+'Appendix K'!$F$40+'Appendix K'!$H$40+'Appendix K'!$G$40))/((1+$Y$16)^AH$34))</f>
        <v>10132500.660527661</v>
      </c>
      <c r="AI286" s="193">
        <f>(((L286*'Appendix K'!$C$15*1000)-('Appendix K'!$E$41+'Appendix K'!$F$41+'Appendix K'!$H$41+'Appendix K'!$G$41))/((1+$Y$16)^AI$34))</f>
        <v>7495646.0256710378</v>
      </c>
      <c r="AJ286" s="193">
        <f>(((M286*'Appendix K'!$C$16*1000)-('Appendix K'!$E$42+'Appendix K'!$F$42+'Appendix K'!$H$42+'Appendix K'!$G$42))/((1+$Y$16)^AJ$34))</f>
        <v>8639382.5302660316</v>
      </c>
      <c r="AK286" s="193">
        <f>(((N286*'Appendix K'!$C$17*1000)-('Appendix K'!$E$43+'Appendix K'!$F$43+'Appendix K'!$H$43))/((1+$Y$16)^AK$34))</f>
        <v>6677690.1149291173</v>
      </c>
      <c r="AL286" s="193">
        <f>(((O286*'Appendix K'!$C$18*1000)-('Appendix K'!$E$44+'Appendix K'!$F$44+'Appendix K'!$H$44+'Appendix K'!$G$44))/((1+$Y$16)^AL$34))</f>
        <v>4792058.0003928225</v>
      </c>
      <c r="AM286" s="193">
        <f>(((P286*'Appendix K'!$C$19*1000)-('Appendix K'!$E$45+'Appendix K'!$F$45+'Appendix K'!$H$45+'Appendix K'!$G$45))/((1+$Y$16)^AM$34))</f>
        <v>3607599.9540230581</v>
      </c>
      <c r="AN286" s="193">
        <f>(((Q286*'Appendix K'!$C$20*1000)-('Appendix K'!$E$46+'Appendix K'!$F$46+'Appendix K'!$H$46+'Appendix K'!$G$46))/((1+$Y$16)^AN$34))</f>
        <v>2702399.606577659</v>
      </c>
      <c r="AO286" s="193">
        <f>(((R286*'Appendix K'!$C$21*1000)-('Appendix K'!$E$47+'Appendix K'!$F$47+'Appendix K'!$H$47+'Appendix K'!$G$47))/((1+$Y$16)^AO$34))</f>
        <v>1539710.5325217824</v>
      </c>
      <c r="AP286" s="193">
        <f>(((S286*'Appendix K'!$C$22*1000)-('Appendix K'!$E$48+'Appendix K'!$F$48+'Appendix K'!$H$48+'Appendix K'!$G$48))/((1+$Y$16)^AP$34))</f>
        <v>500099.90972176922</v>
      </c>
      <c r="AQ286" s="193">
        <f>(((T286*'Appendix K'!$C$23*1000)-('Appendix K'!$E$49+'Appendix K'!$F$49+'Appendix K'!$H$49+'Appendix K'!$G$49))/((1+$Y$16)^AQ$34))</f>
        <v>-214515.41147837267</v>
      </c>
      <c r="AR286" s="193">
        <f>(((U286*'Appendix K'!$C$24*1000)-('Appendix K'!$E$50+'Appendix K'!$F$50+'Appendix K'!$H$50+'Appendix K'!$G$50))/((1+$Y$16)^AR$34))</f>
        <v>-195412.28728954986</v>
      </c>
      <c r="AS286" s="209">
        <f t="shared" si="22"/>
        <v>148283090.73926342</v>
      </c>
      <c r="AU286" s="199">
        <f t="shared" si="21"/>
        <v>3.9700462205440339E-9</v>
      </c>
    </row>
    <row r="287" spans="1:47" x14ac:dyDescent="0.35">
      <c r="A287">
        <v>253</v>
      </c>
      <c r="B287" s="70">
        <v>56</v>
      </c>
      <c r="C287" s="70">
        <v>28.672813289650627</v>
      </c>
      <c r="D287" s="70">
        <v>44.343851435520079</v>
      </c>
      <c r="E287" s="70">
        <v>38.315034015307567</v>
      </c>
      <c r="F287" s="70">
        <v>49.254360761672068</v>
      </c>
      <c r="G287" s="70">
        <v>51.807852506829647</v>
      </c>
      <c r="H287" s="70">
        <v>77.800794548976143</v>
      </c>
      <c r="I287" s="70">
        <v>124.4343611965228</v>
      </c>
      <c r="J287" s="70">
        <v>147.41171945174881</v>
      </c>
      <c r="K287" s="70">
        <v>75.838566608868589</v>
      </c>
      <c r="L287" s="70">
        <v>73.313062776206607</v>
      </c>
      <c r="M287" s="70">
        <v>87.568583634225504</v>
      </c>
      <c r="N287" s="70">
        <v>79.165655665030854</v>
      </c>
      <c r="O287" s="70">
        <v>97.013545559979462</v>
      </c>
      <c r="P287" s="70">
        <v>77.543346245936505</v>
      </c>
      <c r="Q287" s="70">
        <v>94.472363142081377</v>
      </c>
      <c r="R287" s="70">
        <v>123.90596417730579</v>
      </c>
      <c r="S287" s="70">
        <v>106.7815872881481</v>
      </c>
      <c r="T287" s="70">
        <v>121.97269220838912</v>
      </c>
      <c r="U287" s="70">
        <v>231.08266995143975</v>
      </c>
      <c r="V287" s="70">
        <v>254.09477625979187</v>
      </c>
      <c r="X287" s="193">
        <f>((0-('Appendix K'!$I$30))/(1+$Y$16)^0)</f>
        <v>-33594902.4440751</v>
      </c>
      <c r="Y287" s="193">
        <f>(((B287*'Appendix K'!$C$5*1000)-('Appendix K'!$E$31+'Appendix K'!$F$31+'Appendix K'!$H$31+'Appendix K'!$G$31))/((1+$Y$16)^1))</f>
        <v>34971064.972647354</v>
      </c>
      <c r="Z287" s="193">
        <f>+(((C287*'Appendix K'!$C$6*1000)-('Appendix K'!$E$32+'Appendix K'!$F$32+'Appendix K'!$H$32+'Appendix K'!$G$32))/((1+$Y$16)^2))</f>
        <v>3755995.3617629721</v>
      </c>
      <c r="AA287" s="193">
        <f>(((D287*'Appendix K'!$C$7*1000)-('Appendix K'!$E$33+'Appendix K'!$F$33+'Appendix K'!$H$33+'Appendix K'!$G$33))/((1+$Y$16)^3))</f>
        <v>2683394.3535607965</v>
      </c>
      <c r="AB287" s="193">
        <f>(((E287*'Appendix K'!$C$8*1000)-('Appendix K'!$E$34+'Appendix K'!$F$34+'Appendix K'!$H$34+'Appendix K'!$G$34))/((1+$Y$16)^4))</f>
        <v>5105096.8269233694</v>
      </c>
      <c r="AC287" s="193">
        <f>(((F287*'Appendix K'!$C$9*1000)-('Appendix K'!$E$35+'Appendix K'!$F$35+'Appendix K'!$H$35+'Appendix K'!$G$35))/((1+$Y$16)^AC$34))</f>
        <v>10107503.228067633</v>
      </c>
      <c r="AD287" s="193">
        <f>(((G287*'Appendix K'!$C$10*1000)-('Appendix K'!$E$36+'Appendix K'!$F$36+'Appendix K'!$H$36+'Appendix K'!$G$36))/((1+$Y$16)^AD$34))</f>
        <v>5620346.8994561639</v>
      </c>
      <c r="AE287" s="193">
        <f>(((H287*'Appendix K'!$C$11*1000)-('Appendix K'!$E$37+'Appendix K'!$F$37+'Appendix K'!$H$37+'Appendix K'!$G$37))/((1+$Y$16)^AE$34))</f>
        <v>5539725.8045189073</v>
      </c>
      <c r="AF287" s="193">
        <f>(((I287*'Appendix K'!$C$12*1000)-('Appendix K'!$E$38+'Appendix K'!$F$38+'Appendix K'!$H$38+'Appendix K'!$G$38))/((1+$Y$16)^AF$34))</f>
        <v>6174083.152571056</v>
      </c>
      <c r="AG287" s="193">
        <f>(((J287*'Appendix K'!$C$13*1000)-('Appendix K'!$E$39+'Appendix K'!$F$39+'Appendix K'!$H$39+'Appendix K'!$G$39))/((1+$Y$16)^AG$34))</f>
        <v>4968786.1052660085</v>
      </c>
      <c r="AH287" s="193">
        <f>(((K287*'Appendix K'!$C$14*1000)-('Appendix K'!$E$40+'Appendix K'!$F$40+'Appendix K'!$H$40+'Appendix K'!$G$40))/((1+$Y$16)^AH$34))</f>
        <v>923513.51849056408</v>
      </c>
      <c r="AI287" s="193">
        <f>(((L287*'Appendix K'!$C$15*1000)-('Appendix K'!$E$41+'Appendix K'!$F$41+'Appendix K'!$H$41+'Appendix K'!$G$41))/((1+$Y$16)^AI$34))</f>
        <v>404457.99250522803</v>
      </c>
      <c r="AJ287" s="193">
        <f>(((M287*'Appendix K'!$C$16*1000)-('Appendix K'!$E$42+'Appendix K'!$F$42+'Appendix K'!$H$42+'Appendix K'!$G$42))/((1+$Y$16)^AJ$34))</f>
        <v>373486.94593655568</v>
      </c>
      <c r="AK287" s="193">
        <f>(((N287*'Appendix K'!$C$17*1000)-('Appendix K'!$E$43+'Appendix K'!$F$43+'Appendix K'!$H$43))/((1+$Y$16)^AK$34))</f>
        <v>212034.39981607787</v>
      </c>
      <c r="AL287" s="193">
        <f>(((O287*'Appendix K'!$C$18*1000)-('Appendix K'!$E$44+'Appendix K'!$F$44+'Appendix K'!$H$44+'Appendix K'!$G$44))/((1+$Y$16)^AL$34))</f>
        <v>15340.976294276001</v>
      </c>
      <c r="AM287" s="193">
        <f>(((P287*'Appendix K'!$C$19*1000)-('Appendix K'!$E$45+'Appendix K'!$F$45+'Appendix K'!$H$45+'Appendix K'!$G$45))/((1+$Y$16)^AM$34))</f>
        <v>-308037.46348432673</v>
      </c>
      <c r="AN287" s="193">
        <f>(((Q287*'Appendix K'!$C$20*1000)-('Appendix K'!$E$46+'Appendix K'!$F$46+'Appendix K'!$H$46+'Appendix K'!$G$46))/((1+$Y$16)^AN$34))</f>
        <v>-232086.32897429308</v>
      </c>
      <c r="AO287" s="193">
        <f>(((R287*'Appendix K'!$C$21*1000)-('Appendix K'!$E$47+'Appendix K'!$F$47+'Appendix K'!$H$47+'Appendix K'!$G$47))/((1+$Y$16)^AO$34))</f>
        <v>-110700.98795721834</v>
      </c>
      <c r="AP287" s="193">
        <f>(((S287*'Appendix K'!$C$22*1000)-('Appendix K'!$E$48+'Appendix K'!$F$48+'Appendix K'!$H$48+'Appendix K'!$G$48))/((1+$Y$16)^AP$34))</f>
        <v>-252999.3988472257</v>
      </c>
      <c r="AQ287" s="193">
        <f>(((T287*'Appendix K'!$C$23*1000)-('Appendix K'!$E$49+'Appendix K'!$F$49+'Appendix K'!$H$49+'Appendix K'!$G$49))/((1+$Y$16)^AQ$34))</f>
        <v>-216115.74001817949</v>
      </c>
      <c r="AR287" s="193">
        <f>(((U287*'Appendix K'!$C$24*1000)-('Appendix K'!$E$50+'Appendix K'!$F$50+'Appendix K'!$H$50+'Appendix K'!$G$50))/((1+$Y$16)^AR$34))</f>
        <v>114803.80260797669</v>
      </c>
      <c r="AS287" s="209">
        <f t="shared" si="22"/>
        <v>47374731.89634984</v>
      </c>
      <c r="AU287" s="199">
        <f t="shared" si="21"/>
        <v>5.4669912071231913E-9</v>
      </c>
    </row>
    <row r="288" spans="1:47" x14ac:dyDescent="0.35">
      <c r="A288">
        <v>254</v>
      </c>
      <c r="B288" s="70">
        <v>56</v>
      </c>
      <c r="C288" s="70">
        <v>90.498572218732832</v>
      </c>
      <c r="D288" s="70">
        <v>121.75723812292586</v>
      </c>
      <c r="E288" s="70">
        <v>153.68478956831621</v>
      </c>
      <c r="F288" s="70">
        <v>207.04060358160851</v>
      </c>
      <c r="G288" s="70">
        <v>181.75346304195662</v>
      </c>
      <c r="H288" s="70">
        <v>198.39644165042046</v>
      </c>
      <c r="I288" s="70">
        <v>185.56884780569067</v>
      </c>
      <c r="J288" s="70">
        <v>212.66422360099131</v>
      </c>
      <c r="K288" s="70">
        <v>312.24044561121696</v>
      </c>
      <c r="L288" s="70">
        <v>353.79806541622099</v>
      </c>
      <c r="M288" s="70">
        <v>384.39649801235282</v>
      </c>
      <c r="N288" s="70">
        <v>500</v>
      </c>
      <c r="O288" s="70">
        <v>466.6666453968067</v>
      </c>
      <c r="P288" s="70">
        <v>481.11527883046608</v>
      </c>
      <c r="Q288" s="70">
        <v>500</v>
      </c>
      <c r="R288" s="70">
        <v>500</v>
      </c>
      <c r="S288" s="70">
        <v>500</v>
      </c>
      <c r="T288" s="70">
        <v>427.05325354948138</v>
      </c>
      <c r="U288" s="70">
        <v>300.82998537153333</v>
      </c>
      <c r="V288" s="70">
        <v>344.13832477531241</v>
      </c>
      <c r="X288" s="193">
        <f>((0-('Appendix K'!$I$30))/(1+$Y$16)^0)</f>
        <v>-33594902.4440751</v>
      </c>
      <c r="Y288" s="193">
        <f>(((B288*'Appendix K'!$C$5*1000)-('Appendix K'!$E$31+'Appendix K'!$F$31+'Appendix K'!$H$31+'Appendix K'!$G$31))/((1+$Y$16)^1))</f>
        <v>34971064.972647354</v>
      </c>
      <c r="Z288" s="193">
        <f>+(((C288*'Appendix K'!$C$6*1000)-('Appendix K'!$E$32+'Appendix K'!$F$32+'Appendix K'!$H$32+'Appendix K'!$G$32))/((1+$Y$16)^2))</f>
        <v>19374239.480875801</v>
      </c>
      <c r="AA288" s="193">
        <f>(((D288*'Appendix K'!$C$7*1000)-('Appendix K'!$E$33+'Appendix K'!$F$33+'Appendix K'!$H$33+'Appendix K'!$G$33))/((1+$Y$16)^3))</f>
        <v>12543914.601705527</v>
      </c>
      <c r="AB288" s="193">
        <f>(((E288*'Appendix K'!$C$8*1000)-('Appendix K'!$E$34+'Appendix K'!$F$34+'Appendix K'!$H$34+'Appendix K'!$G$34))/((1+$Y$16)^4))</f>
        <v>30393091.135681584</v>
      </c>
      <c r="AC288" s="193">
        <f>(((F288*'Appendix K'!$C$9*1000)-('Appendix K'!$E$35+'Appendix K'!$F$35+'Appendix K'!$H$35+'Appendix K'!$G$35))/((1+$Y$16)^AC$34))</f>
        <v>52046838.800743394</v>
      </c>
      <c r="AD288" s="193">
        <f>(((G288*'Appendix K'!$C$10*1000)-('Appendix K'!$E$36+'Appendix K'!$F$36+'Appendix K'!$H$36+'Appendix K'!$G$36))/((1+$Y$16)^AD$34))</f>
        <v>26027519.060093008</v>
      </c>
      <c r="AE288" s="193">
        <f>(((H288*'Appendix K'!$C$11*1000)-('Appendix K'!$E$37+'Appendix K'!$F$37+'Appendix K'!$H$37+'Appendix K'!$G$37))/((1+$Y$16)^AE$34))</f>
        <v>17567649.694418263</v>
      </c>
      <c r="AF288" s="193">
        <f>(((I288*'Appendix K'!$C$12*1000)-('Appendix K'!$E$38+'Appendix K'!$F$38+'Appendix K'!$H$38+'Appendix K'!$G$38))/((1+$Y$16)^AF$34))</f>
        <v>10188321.919114614</v>
      </c>
      <c r="AG288" s="193">
        <f>(((J288*'Appendix K'!$C$13*1000)-('Appendix K'!$E$39+'Appendix K'!$F$39+'Appendix K'!$H$39+'Appendix K'!$G$39))/((1+$Y$16)^AG$34))</f>
        <v>7971636.6931980792</v>
      </c>
      <c r="AH288" s="193">
        <f>(((K288*'Appendix K'!$C$14*1000)-('Appendix K'!$E$40+'Appendix K'!$F$40+'Appendix K'!$H$40+'Appendix K'!$G$40))/((1+$Y$16)^AH$34))</f>
        <v>8891799.7782885768</v>
      </c>
      <c r="AI288" s="193">
        <f>(((L288*'Appendix K'!$C$15*1000)-('Appendix K'!$E$41+'Appendix K'!$F$41+'Appendix K'!$H$41+'Appendix K'!$G$41))/((1+$Y$16)^AI$34))</f>
        <v>7753689.5712004825</v>
      </c>
      <c r="AJ288" s="193">
        <f>(((M288*'Appendix K'!$C$16*1000)-('Appendix K'!$E$42+'Appendix K'!$F$42+'Appendix K'!$H$42+'Appendix K'!$G$42))/((1+$Y$16)^AJ$34))</f>
        <v>6322472.5212446768</v>
      </c>
      <c r="AK288" s="193">
        <f>(((N288*'Appendix K'!$C$17*1000)-('Appendix K'!$E$43+'Appendix K'!$F$43+'Appendix K'!$H$43))/((1+$Y$16)^AK$34))</f>
        <v>6677690.1149291173</v>
      </c>
      <c r="AL288" s="193">
        <f>(((O288*'Appendix K'!$C$18*1000)-('Appendix K'!$E$44+'Appendix K'!$F$44+'Appendix K'!$H$44+'Appendix K'!$G$44))/((1+$Y$16)^AL$34))</f>
        <v>4396947.9398707133</v>
      </c>
      <c r="AM288" s="193">
        <f>(((P288*'Appendix K'!$C$19*1000)-('Appendix K'!$E$45+'Appendix K'!$F$45+'Appendix K'!$H$45+'Appendix K'!$G$45))/((1+$Y$16)^AM$34))</f>
        <v>3432562.5385307944</v>
      </c>
      <c r="AN288" s="193">
        <f>(((Q288*'Appendix K'!$C$20*1000)-('Appendix K'!$E$46+'Appendix K'!$F$46+'Appendix K'!$H$46+'Appendix K'!$G$46))/((1+$Y$16)^AN$34))</f>
        <v>2702399.606577659</v>
      </c>
      <c r="AO288" s="193">
        <f>(((R288*'Appendix K'!$C$21*1000)-('Appendix K'!$E$47+'Appendix K'!$F$47+'Appendix K'!$H$47+'Appendix K'!$G$47))/((1+$Y$16)^AO$34))</f>
        <v>2112056.3146391152</v>
      </c>
      <c r="AP288" s="193">
        <f>(((S288*'Appendix K'!$C$22*1000)-('Appendix K'!$E$48+'Appendix K'!$F$48+'Appendix K'!$H$48+'Appendix K'!$G$48))/((1+$Y$16)^AP$34))</f>
        <v>1630406.4380253027</v>
      </c>
      <c r="AQ288" s="193">
        <f>(((T288*'Appendix K'!$C$23*1000)-('Appendix K'!$E$49+'Appendix K'!$F$49+'Appendix K'!$H$49+'Appendix K'!$G$49))/((1+$Y$16)^AQ$34))</f>
        <v>977891.47444412031</v>
      </c>
      <c r="AR288" s="193">
        <f>(((U288*'Appendix K'!$C$24*1000)-('Appendix K'!$E$50+'Appendix K'!$F$50+'Appendix K'!$H$50+'Appendix K'!$G$50))/((1+$Y$16)^AR$34))</f>
        <v>339392.11250084441</v>
      </c>
      <c r="AS288" s="209">
        <f t="shared" si="22"/>
        <v>222726682.32465395</v>
      </c>
      <c r="AU288" s="199">
        <f t="shared" si="21"/>
        <v>4.1320365861790041E-10</v>
      </c>
    </row>
    <row r="289" spans="1:47" x14ac:dyDescent="0.35">
      <c r="A289">
        <v>255</v>
      </c>
      <c r="B289" s="70">
        <v>56</v>
      </c>
      <c r="C289" s="70">
        <v>48.860361300129718</v>
      </c>
      <c r="D289" s="70">
        <v>82.109409065411256</v>
      </c>
      <c r="E289" s="70">
        <v>122.81284241791118</v>
      </c>
      <c r="F289" s="70">
        <v>179.41327591763783</v>
      </c>
      <c r="G289" s="70">
        <v>197.48381608223025</v>
      </c>
      <c r="H289" s="70">
        <v>96.282713461211998</v>
      </c>
      <c r="I289" s="70">
        <v>118.70820251156853</v>
      </c>
      <c r="J289" s="70">
        <v>151.87158577304993</v>
      </c>
      <c r="K289" s="70">
        <v>135.71863299067732</v>
      </c>
      <c r="L289" s="70">
        <v>146.30472903104408</v>
      </c>
      <c r="M289" s="70">
        <v>214.37940388796869</v>
      </c>
      <c r="N289" s="70">
        <v>199.66557964581509</v>
      </c>
      <c r="O289" s="70">
        <v>188.08381974939539</v>
      </c>
      <c r="P289" s="70">
        <v>109.51945925957193</v>
      </c>
      <c r="Q289" s="70">
        <v>123.1877942086019</v>
      </c>
      <c r="R289" s="70">
        <v>147.68261242164499</v>
      </c>
      <c r="S289" s="70">
        <v>168.69387260760749</v>
      </c>
      <c r="T289" s="70">
        <v>211.38613890802597</v>
      </c>
      <c r="U289" s="70">
        <v>265.27769449576994</v>
      </c>
      <c r="V289" s="70">
        <v>236.66934412999296</v>
      </c>
      <c r="X289" s="193">
        <f>((0-('Appendix K'!$I$30))/(1+$Y$16)^0)</f>
        <v>-33594902.4440751</v>
      </c>
      <c r="Y289" s="193">
        <f>(((B289*'Appendix K'!$C$5*1000)-('Appendix K'!$E$31+'Appendix K'!$F$31+'Appendix K'!$H$31+'Appendix K'!$G$31))/((1+$Y$16)^1))</f>
        <v>34971064.972647354</v>
      </c>
      <c r="Z289" s="193">
        <f>+(((C289*'Appendix K'!$C$6*1000)-('Appendix K'!$E$32+'Appendix K'!$F$32+'Appendix K'!$H$32+'Appendix K'!$G$32))/((1+$Y$16)^2))</f>
        <v>8855715.259348603</v>
      </c>
      <c r="AA289" s="193">
        <f>(((D289*'Appendix K'!$C$7*1000)-('Appendix K'!$E$33+'Appendix K'!$F$33+'Appendix K'!$H$33+'Appendix K'!$G$33))/((1+$Y$16)^3))</f>
        <v>7493777.4362144023</v>
      </c>
      <c r="AB289" s="193">
        <f>(((E289*'Appendix K'!$C$8*1000)-('Appendix K'!$E$34+'Appendix K'!$F$34+'Appendix K'!$H$34+'Appendix K'!$G$34))/((1+$Y$16)^4))</f>
        <v>23626242.92578809</v>
      </c>
      <c r="AC289" s="193">
        <f>(((F289*'Appendix K'!$C$9*1000)-('Appendix K'!$E$35+'Appendix K'!$F$35+'Appendix K'!$H$35+'Appendix K'!$G$35))/((1+$Y$16)^AC$34))</f>
        <v>44703538.490349442</v>
      </c>
      <c r="AD289" s="193">
        <f>(((G289*'Appendix K'!$C$10*1000)-('Appendix K'!$E$36+'Appendix K'!$F$36+'Appendix K'!$H$36+'Appendix K'!$G$36))/((1+$Y$16)^AD$34))</f>
        <v>28497875.86028431</v>
      </c>
      <c r="AE289" s="193">
        <f>(((H289*'Appendix K'!$C$11*1000)-('Appendix K'!$E$37+'Appendix K'!$F$37+'Appendix K'!$H$37+'Appendix K'!$G$37))/((1+$Y$16)^AE$34))</f>
        <v>7383068.5731734671</v>
      </c>
      <c r="AF289" s="193">
        <f>(((I289*'Appendix K'!$C$12*1000)-('Appendix K'!$E$38+'Appendix K'!$F$38+'Appendix K'!$H$38+'Appendix K'!$G$38))/((1+$Y$16)^AF$34))</f>
        <v>5798089.6757062888</v>
      </c>
      <c r="AG289" s="193">
        <f>(((J289*'Appendix K'!$C$13*1000)-('Appendix K'!$E$39+'Appendix K'!$F$39+'Appendix K'!$H$39+'Appendix K'!$G$39))/((1+$Y$16)^AG$34))</f>
        <v>5174024.3927405747</v>
      </c>
      <c r="AH289" s="193">
        <f>(((K289*'Appendix K'!$C$14*1000)-('Appendix K'!$E$40+'Appendix K'!$F$40+'Appendix K'!$H$40+'Appendix K'!$G$40))/((1+$Y$16)^AH$34))</f>
        <v>2941862.5781493466</v>
      </c>
      <c r="AI289" s="193">
        <f>(((L289*'Appendix K'!$C$15*1000)-('Appendix K'!$E$41+'Appendix K'!$F$41+'Appendix K'!$H$41+'Appendix K'!$G$41))/((1+$Y$16)^AI$34))</f>
        <v>2316976.143467172</v>
      </c>
      <c r="AJ289" s="193">
        <f>(((M289*'Appendix K'!$C$16*1000)-('Appendix K'!$E$42+'Appendix K'!$F$42+'Appendix K'!$H$42+'Appendix K'!$G$42))/((1+$Y$16)^AJ$34))</f>
        <v>2915012.5368265319</v>
      </c>
      <c r="AK289" s="193">
        <f>(((N289*'Appendix K'!$C$17*1000)-('Appendix K'!$E$43+'Appendix K'!$F$43+'Appendix K'!$H$43))/((1+$Y$16)^AK$34))</f>
        <v>2063382.8761108259</v>
      </c>
      <c r="AL289" s="193">
        <f>(((O289*'Appendix K'!$C$18*1000)-('Appendix K'!$E$44+'Appendix K'!$F$44+'Appendix K'!$H$44+'Appendix K'!$G$44))/((1+$Y$16)^AL$34))</f>
        <v>1094823.7338832226</v>
      </c>
      <c r="AM289" s="193">
        <f>(((P289*'Appendix K'!$C$19*1000)-('Appendix K'!$E$45+'Appendix K'!$F$45+'Appendix K'!$H$45+'Appendix K'!$G$45))/((1+$Y$16)^AM$34))</f>
        <v>-11659.448201542436</v>
      </c>
      <c r="AN289" s="193">
        <f>(((Q289*'Appendix K'!$C$20*1000)-('Appendix K'!$E$46+'Appendix K'!$F$46+'Appendix K'!$H$46+'Appendix K'!$G$46))/((1+$Y$16)^AN$34))</f>
        <v>-24295.241661693235</v>
      </c>
      <c r="AO289" s="193">
        <f>(((R289*'Appendix K'!$C$21*1000)-('Appendix K'!$E$47+'Appendix K'!$F$47+'Appendix K'!$H$47+'Appendix K'!$G$47))/((1+$Y$16)^AO$34))</f>
        <v>29821.630011881116</v>
      </c>
      <c r="AP289" s="193">
        <f>(((S289*'Appendix K'!$C$22*1000)-('Appendix K'!$E$48+'Appendix K'!$F$48+'Appendix K'!$H$48+'Appendix K'!$G$48))/((1+$Y$16)^AP$34))</f>
        <v>43543.071635292727</v>
      </c>
      <c r="AQ289" s="193">
        <f>(((T289*'Appendix K'!$C$23*1000)-('Appendix K'!$E$49+'Appendix K'!$F$49+'Appendix K'!$H$49+'Appendix K'!$G$49))/((1+$Y$16)^AQ$34))</f>
        <v>133825.59993479255</v>
      </c>
      <c r="AR289" s="193">
        <f>(((U289*'Appendix K'!$C$24*1000)-('Appendix K'!$E$50+'Appendix K'!$F$50+'Appendix K'!$H$50+'Appendix K'!$G$50))/((1+$Y$16)^AR$34))</f>
        <v>224912.73974627643</v>
      </c>
      <c r="AS289" s="209">
        <f t="shared" si="22"/>
        <v>144672656.05194277</v>
      </c>
      <c r="AU289" s="199">
        <f t="shared" si="21"/>
        <v>4.2408399902583502E-9</v>
      </c>
    </row>
    <row r="290" spans="1:47" x14ac:dyDescent="0.35">
      <c r="A290">
        <v>256</v>
      </c>
      <c r="B290" s="70">
        <v>56</v>
      </c>
      <c r="C290" s="70">
        <v>45.370349022348279</v>
      </c>
      <c r="D290" s="70">
        <v>44.162544488303162</v>
      </c>
      <c r="E290" s="70">
        <v>48.981416197728734</v>
      </c>
      <c r="F290" s="70">
        <v>47.837436540274417</v>
      </c>
      <c r="G290" s="70">
        <v>53.369899109255584</v>
      </c>
      <c r="H290" s="70">
        <v>64.173807668370912</v>
      </c>
      <c r="I290" s="70">
        <v>92.853401448050988</v>
      </c>
      <c r="J290" s="70">
        <v>83.622973269049083</v>
      </c>
      <c r="K290" s="70">
        <v>25.268429878565108</v>
      </c>
      <c r="L290" s="70">
        <v>24.570265364269787</v>
      </c>
      <c r="M290" s="70">
        <v>21.953591781085496</v>
      </c>
      <c r="N290" s="70">
        <v>17.281389376459114</v>
      </c>
      <c r="O290" s="70">
        <v>18.667412730416409</v>
      </c>
      <c r="P290" s="70">
        <v>27.397453266865647</v>
      </c>
      <c r="Q290" s="70">
        <v>27.011858936658584</v>
      </c>
      <c r="R290" s="70">
        <v>25.595447541568898</v>
      </c>
      <c r="S290" s="70">
        <v>37.752265226774085</v>
      </c>
      <c r="T290" s="70">
        <v>56.701387762390254</v>
      </c>
      <c r="U290" s="70">
        <v>41.845609613305889</v>
      </c>
      <c r="V290" s="70">
        <v>33.683388833644969</v>
      </c>
      <c r="X290" s="193">
        <f>((0-('Appendix K'!$I$30))/(1+$Y$16)^0)</f>
        <v>-33594902.4440751</v>
      </c>
      <c r="Y290" s="193">
        <f>(((B290*'Appendix K'!$C$5*1000)-('Appendix K'!$E$31+'Appendix K'!$F$31+'Appendix K'!$H$31+'Appendix K'!$G$31))/((1+$Y$16)^1))</f>
        <v>34971064.972647354</v>
      </c>
      <c r="Z290" s="193">
        <f>+(((C290*'Appendix K'!$C$6*1000)-('Appendix K'!$E$32+'Appendix K'!$F$32+'Appendix K'!$H$32+'Appendix K'!$G$32))/((1+$Y$16)^2))</f>
        <v>7974078.4678679621</v>
      </c>
      <c r="AA290" s="193">
        <f>(((D290*'Appendix K'!$C$7*1000)-('Appendix K'!$E$33+'Appendix K'!$F$33+'Appendix K'!$H$33+'Appendix K'!$G$33))/((1+$Y$16)^3))</f>
        <v>2660300.4043013398</v>
      </c>
      <c r="AB290" s="193">
        <f>(((E290*'Appendix K'!$C$8*1000)-('Appendix K'!$E$34+'Appendix K'!$F$34+'Appendix K'!$H$34+'Appendix K'!$G$34))/((1+$Y$16)^4))</f>
        <v>7443070.1599792223</v>
      </c>
      <c r="AC290" s="193">
        <f>(((F290*'Appendix K'!$C$9*1000)-('Appendix K'!$E$35+'Appendix K'!$F$35+'Appendix K'!$H$35+'Appendix K'!$G$35))/((1+$Y$16)^AC$34))</f>
        <v>9730886.9949904345</v>
      </c>
      <c r="AD290" s="193">
        <f>(((G290*'Appendix K'!$C$10*1000)-('Appendix K'!$E$36+'Appendix K'!$F$36+'Appendix K'!$H$36+'Appendix K'!$G$36))/((1+$Y$16)^AD$34))</f>
        <v>5865656.8703537732</v>
      </c>
      <c r="AE290" s="193">
        <f>(((H290*'Appendix K'!$C$11*1000)-('Appendix K'!$E$37+'Appendix K'!$F$37+'Appendix K'!$H$37+'Appendix K'!$G$37))/((1+$Y$16)^AE$34))</f>
        <v>4180602.4448614786</v>
      </c>
      <c r="AF290" s="193">
        <f>(((I290*'Appendix K'!$C$12*1000)-('Appendix K'!$E$38+'Appendix K'!$F$38+'Appendix K'!$H$38+'Appendix K'!$G$38))/((1+$Y$16)^AF$34))</f>
        <v>4100400.6872642133</v>
      </c>
      <c r="AG290" s="193">
        <f>(((J290*'Appendix K'!$C$13*1000)-('Appendix K'!$E$39+'Appendix K'!$F$39+'Appendix K'!$H$39+'Appendix K'!$G$39))/((1+$Y$16)^AG$34))</f>
        <v>2033296.0964830557</v>
      </c>
      <c r="AH290" s="193">
        <f>(((K290*'Appendix K'!$C$14*1000)-('Appendix K'!$E$40+'Appendix K'!$F$40+'Appendix K'!$H$40+'Appendix K'!$G$40))/((1+$Y$16)^AH$34))</f>
        <v>-781030.14827183529</v>
      </c>
      <c r="AI290" s="193">
        <f>(((L290*'Appendix K'!$C$15*1000)-('Appendix K'!$E$41+'Appendix K'!$F$41+'Appendix K'!$H$41+'Appendix K'!$G$41))/((1+$Y$16)^AI$34))</f>
        <v>-872694.44916562969</v>
      </c>
      <c r="AJ290" s="193">
        <f>(((M290*'Appendix K'!$C$16*1000)-('Appendix K'!$E$42+'Appendix K'!$F$42+'Appendix K'!$H$42+'Appendix K'!$G$42))/((1+$Y$16)^AJ$34))</f>
        <v>-941559.99254320795</v>
      </c>
      <c r="AK290" s="193">
        <f>(((N290*'Appendix K'!$C$17*1000)-('Appendix K'!$E$43+'Appendix K'!$F$43+'Appendix K'!$H$43))/((1+$Y$16)^AK$34))</f>
        <v>-738749.12199125334</v>
      </c>
      <c r="AL290" s="193">
        <f>(((O290*'Appendix K'!$C$18*1000)-('Appendix K'!$E$44+'Appendix K'!$F$44+'Appendix K'!$H$44+'Appendix K'!$G$44))/((1+$Y$16)^AL$34))</f>
        <v>-913318.78965068702</v>
      </c>
      <c r="AM290" s="193">
        <f>(((P290*'Appendix K'!$C$19*1000)-('Appendix K'!$E$45+'Appendix K'!$F$45+'Appendix K'!$H$45+'Appendix K'!$G$45))/((1+$Y$16)^AM$34))</f>
        <v>-772826.29599133995</v>
      </c>
      <c r="AN290" s="193">
        <f>(((Q290*'Appendix K'!$C$20*1000)-('Appendix K'!$E$46+'Appendix K'!$F$46+'Appendix K'!$H$46+'Appendix K'!$G$46))/((1+$Y$16)^AN$34))</f>
        <v>-720245.16897319246</v>
      </c>
      <c r="AO290" s="193">
        <f>(((R290*'Appendix K'!$C$21*1000)-('Appendix K'!$E$47+'Appendix K'!$F$47+'Appendix K'!$H$47+'Appendix K'!$G$47))/((1+$Y$16)^AO$34))</f>
        <v>-691727.002624257</v>
      </c>
      <c r="AP290" s="193">
        <f>(((S290*'Appendix K'!$C$22*1000)-('Appendix K'!$E$48+'Appendix K'!$F$48+'Appendix K'!$H$48+'Appendix K'!$G$48))/((1+$Y$16)^AP$34))</f>
        <v>-583630.47786797374</v>
      </c>
      <c r="AQ290" s="193">
        <f>(((T290*'Appendix K'!$C$23*1000)-('Appendix K'!$E$49+'Appendix K'!$F$49+'Appendix K'!$H$49+'Appendix K'!$G$49))/((1+$Y$16)^AQ$34))</f>
        <v>-471570.91573733673</v>
      </c>
      <c r="AR290" s="193">
        <f>(((U290*'Appendix K'!$C$24*1000)-('Appendix K'!$E$50+'Appendix K'!$F$50+'Appendix K'!$H$50+'Appendix K'!$G$50))/((1+$Y$16)^AR$34))</f>
        <v>-494544.83388724423</v>
      </c>
      <c r="AS290" s="209">
        <f t="shared" si="22"/>
        <v>45364454.654673733</v>
      </c>
      <c r="AU290" s="199">
        <f t="shared" si="21"/>
        <v>5.3280366096797328E-9</v>
      </c>
    </row>
    <row r="291" spans="1:47" x14ac:dyDescent="0.35">
      <c r="A291">
        <v>257</v>
      </c>
      <c r="B291" s="70">
        <v>56</v>
      </c>
      <c r="C291" s="70">
        <v>57.309683284771943</v>
      </c>
      <c r="D291" s="70">
        <v>60.300026859063287</v>
      </c>
      <c r="E291" s="70">
        <v>46.849201224493996</v>
      </c>
      <c r="F291" s="70">
        <v>56.849098832351068</v>
      </c>
      <c r="G291" s="70">
        <v>66.610088760655998</v>
      </c>
      <c r="H291" s="70">
        <v>94.735046602978329</v>
      </c>
      <c r="I291" s="70">
        <v>93.796669383166972</v>
      </c>
      <c r="J291" s="70">
        <v>100.98312240608566</v>
      </c>
      <c r="K291" s="70">
        <v>133.34460477632933</v>
      </c>
      <c r="L291" s="70">
        <v>175.61133084050903</v>
      </c>
      <c r="M291" s="70">
        <v>197.03558398599071</v>
      </c>
      <c r="N291" s="70">
        <v>216.54275380345007</v>
      </c>
      <c r="O291" s="70">
        <v>209.65137997270568</v>
      </c>
      <c r="P291" s="70">
        <v>257.21711003149238</v>
      </c>
      <c r="Q291" s="70">
        <v>257.45975427022938</v>
      </c>
      <c r="R291" s="70">
        <v>247.43762066690269</v>
      </c>
      <c r="S291" s="70">
        <v>318.64843506218949</v>
      </c>
      <c r="T291" s="70">
        <v>196.45738468148483</v>
      </c>
      <c r="U291" s="70">
        <v>222.50417457925207</v>
      </c>
      <c r="V291" s="70">
        <v>212.08153895027982</v>
      </c>
      <c r="X291" s="193">
        <f>((0-('Appendix K'!$I$30))/(1+$Y$16)^0)</f>
        <v>-33594902.4440751</v>
      </c>
      <c r="Y291" s="193">
        <f>(((B291*'Appendix K'!$C$5*1000)-('Appendix K'!$E$31+'Appendix K'!$F$31+'Appendix K'!$H$31+'Appendix K'!$G$31))/((1+$Y$16)^1))</f>
        <v>34971064.972647354</v>
      </c>
      <c r="Z291" s="193">
        <f>+(((C291*'Appendix K'!$C$6*1000)-('Appendix K'!$E$32+'Appendix K'!$F$32+'Appendix K'!$H$32+'Appendix K'!$G$32))/((1+$Y$16)^2))</f>
        <v>10990158.502471576</v>
      </c>
      <c r="AA291" s="193">
        <f>(((D291*'Appendix K'!$C$7*1000)-('Appendix K'!$E$33+'Appendix K'!$F$33+'Appendix K'!$H$33+'Appendix K'!$G$33))/((1+$Y$16)^3))</f>
        <v>4715810.1614638725</v>
      </c>
      <c r="AB291" s="193">
        <f>(((E291*'Appendix K'!$C$8*1000)-('Appendix K'!$E$34+'Appendix K'!$F$34+'Appendix K'!$H$34+'Appendix K'!$G$34))/((1+$Y$16)^4))</f>
        <v>6975708.1563955806</v>
      </c>
      <c r="AC291" s="193">
        <f>(((F291*'Appendix K'!$C$9*1000)-('Appendix K'!$E$35+'Appendix K'!$F$35+'Appendix K'!$H$35+'Appendix K'!$G$35))/((1+$Y$16)^AC$34))</f>
        <v>12126172.681375241</v>
      </c>
      <c r="AD291" s="193">
        <f>(((G291*'Appendix K'!$C$10*1000)-('Appendix K'!$E$36+'Appendix K'!$F$36+'Appendix K'!$H$36+'Appendix K'!$G$36))/((1+$Y$16)^AD$34))</f>
        <v>7944948.5720351571</v>
      </c>
      <c r="AE291" s="193">
        <f>(((H291*'Appendix K'!$C$11*1000)-('Appendix K'!$E$37+'Appendix K'!$F$37+'Appendix K'!$H$37+'Appendix K'!$G$37))/((1+$Y$16)^AE$34))</f>
        <v>7228707.9505044306</v>
      </c>
      <c r="AF291" s="193">
        <f>(((I291*'Appendix K'!$C$12*1000)-('Appendix K'!$E$38+'Appendix K'!$F$38+'Appendix K'!$H$38+'Appendix K'!$G$38))/((1+$Y$16)^AF$34))</f>
        <v>4162337.9492320316</v>
      </c>
      <c r="AG291" s="193">
        <f>(((J291*'Appendix K'!$C$13*1000)-('Appendix K'!$E$39+'Appendix K'!$F$39+'Appendix K'!$H$39+'Appendix K'!$G$39))/((1+$Y$16)^AG$34))</f>
        <v>2832191.628883</v>
      </c>
      <c r="AH291" s="193">
        <f>(((K291*'Appendix K'!$C$14*1000)-('Appendix K'!$E$40+'Appendix K'!$F$40+'Appendix K'!$H$40+'Appendix K'!$G$40))/((1+$Y$16)^AH$34))</f>
        <v>2861842.3326225597</v>
      </c>
      <c r="AI291" s="193">
        <f>(((L291*'Appendix K'!$C$15*1000)-('Appendix K'!$E$41+'Appendix K'!$F$41+'Appendix K'!$H$41+'Appendix K'!$G$41))/((1+$Y$16)^AI$34))</f>
        <v>3084863.9144892688</v>
      </c>
      <c r="AJ291" s="193">
        <f>(((M291*'Appendix K'!$C$16*1000)-('Appendix K'!$E$42+'Appendix K'!$F$42+'Appendix K'!$H$42+'Appendix K'!$G$42))/((1+$Y$16)^AJ$34))</f>
        <v>2567410.0054616048</v>
      </c>
      <c r="AK291" s="193">
        <f>(((N291*'Appendix K'!$C$17*1000)-('Appendix K'!$E$43+'Appendix K'!$F$43+'Appendix K'!$H$43))/((1+$Y$16)^AK$34))</f>
        <v>2322682.0493275761</v>
      </c>
      <c r="AL291" s="193">
        <f>(((O291*'Appendix K'!$C$18*1000)-('Appendix K'!$E$44+'Appendix K'!$F$44+'Appendix K'!$H$44+'Appendix K'!$G$44))/((1+$Y$16)^AL$34))</f>
        <v>1350470.3715105683</v>
      </c>
      <c r="AM291" s="193">
        <f>(((P291*'Appendix K'!$C$19*1000)-('Appendix K'!$E$45+'Appendix K'!$F$45+'Appendix K'!$H$45+'Appendix K'!$G$45))/((1+$Y$16)^AM$34))</f>
        <v>1357310.4631521315</v>
      </c>
      <c r="AN291" s="193">
        <f>(((Q291*'Appendix K'!$C$20*1000)-('Appendix K'!$E$46+'Appendix K'!$F$46+'Appendix K'!$H$46+'Appendix K'!$G$46))/((1+$Y$16)^AN$34))</f>
        <v>947325.78370849253</v>
      </c>
      <c r="AO291" s="193">
        <f>(((R291*'Appendix K'!$C$21*1000)-('Appendix K'!$E$47+'Appendix K'!$F$47+'Appendix K'!$H$47+'Appendix K'!$G$47))/((1+$Y$16)^AO$34))</f>
        <v>619384.74967867869</v>
      </c>
      <c r="AP291" s="193">
        <f>(((S291*'Appendix K'!$C$22*1000)-('Appendix K'!$E$48+'Appendix K'!$F$48+'Appendix K'!$H$48+'Appendix K'!$G$48))/((1+$Y$16)^AP$34))</f>
        <v>761783.33979787596</v>
      </c>
      <c r="AQ291" s="193">
        <f>(((T291*'Appendix K'!$C$23*1000)-('Appendix K'!$E$49+'Appendix K'!$F$49+'Appendix K'!$H$49+'Appendix K'!$G$49))/((1+$Y$16)^AQ$34))</f>
        <v>75398.277751208385</v>
      </c>
      <c r="AR291" s="193">
        <f>(((U291*'Appendix K'!$C$24*1000)-('Appendix K'!$E$50+'Appendix K'!$F$50+'Appendix K'!$H$50+'Appendix K'!$G$50))/((1+$Y$16)^AR$34))</f>
        <v>87180.807149883753</v>
      </c>
      <c r="AS291" s="209">
        <f t="shared" si="22"/>
        <v>74387850.225582987</v>
      </c>
      <c r="AU291" s="199">
        <f t="shared" ref="AU291:AU354" si="23">_xlfn.NORM.DIST(AS291,$Y$17,$Y$19,FALSE)</f>
        <v>6.8412502857088463E-9</v>
      </c>
    </row>
    <row r="292" spans="1:47" x14ac:dyDescent="0.35">
      <c r="A292">
        <v>258</v>
      </c>
      <c r="B292" s="70">
        <v>56</v>
      </c>
      <c r="C292" s="70">
        <v>69.010709647083473</v>
      </c>
      <c r="D292" s="70">
        <v>94.403504580898272</v>
      </c>
      <c r="E292" s="70">
        <v>76.64673706999443</v>
      </c>
      <c r="F292" s="70">
        <v>91.927951849048256</v>
      </c>
      <c r="G292" s="70">
        <v>97.258676898674537</v>
      </c>
      <c r="H292" s="70">
        <v>134.39886899615908</v>
      </c>
      <c r="I292" s="70">
        <v>198.66548649888969</v>
      </c>
      <c r="J292" s="70">
        <v>199.48826967541268</v>
      </c>
      <c r="K292" s="70">
        <v>162.29864802184315</v>
      </c>
      <c r="L292" s="70">
        <v>210.39274851819363</v>
      </c>
      <c r="M292" s="70">
        <v>254.01790295613995</v>
      </c>
      <c r="N292" s="70">
        <v>308.59511565436503</v>
      </c>
      <c r="O292" s="70">
        <v>252.3788643271879</v>
      </c>
      <c r="P292" s="70">
        <v>288.63464314375108</v>
      </c>
      <c r="Q292" s="70">
        <v>230.83319074703371</v>
      </c>
      <c r="R292" s="70">
        <v>318.76104567343066</v>
      </c>
      <c r="S292" s="70">
        <v>261.99729343019283</v>
      </c>
      <c r="T292" s="70">
        <v>278.05998289684476</v>
      </c>
      <c r="U292" s="70">
        <v>297.9266693738615</v>
      </c>
      <c r="V292" s="70">
        <v>327.05397287329936</v>
      </c>
      <c r="X292" s="193">
        <f>((0-('Appendix K'!$I$30))/(1+$Y$16)^0)</f>
        <v>-33594902.4440751</v>
      </c>
      <c r="Y292" s="193">
        <f>(((B292*'Appendix K'!$C$5*1000)-('Appendix K'!$E$31+'Appendix K'!$F$31+'Appendix K'!$H$31+'Appendix K'!$G$31))/((1+$Y$16)^1))</f>
        <v>34971064.972647354</v>
      </c>
      <c r="Z292" s="193">
        <f>+(((C292*'Appendix K'!$C$6*1000)-('Appendix K'!$E$32+'Appendix K'!$F$32+'Appendix K'!$H$32+'Appendix K'!$G$32))/((1+$Y$16)^2))</f>
        <v>13946037.88569727</v>
      </c>
      <c r="AA292" s="193">
        <f>(((D292*'Appendix K'!$C$7*1000)-('Appendix K'!$E$33+'Appendix K'!$F$33+'Appendix K'!$H$33+'Appendix K'!$G$33))/((1+$Y$16)^3))</f>
        <v>9059736.2832623273</v>
      </c>
      <c r="AB292" s="193">
        <f>(((E292*'Appendix K'!$C$8*1000)-('Appendix K'!$E$34+'Appendix K'!$F$34+'Appendix K'!$H$34+'Appendix K'!$G$34))/((1+$Y$16)^4))</f>
        <v>13507055.243542835</v>
      </c>
      <c r="AC292" s="193">
        <f>(((F292*'Appendix K'!$C$9*1000)-('Appendix K'!$E$35+'Appendix K'!$F$35+'Appendix K'!$H$35+'Appendix K'!$G$35))/((1+$Y$16)^AC$34))</f>
        <v>21450076.729529351</v>
      </c>
      <c r="AD292" s="193">
        <f>(((G292*'Appendix K'!$C$10*1000)-('Appendix K'!$E$36+'Appendix K'!$F$36+'Appendix K'!$H$36+'Appendix K'!$G$36))/((1+$Y$16)^AD$34))</f>
        <v>12758123.961625746</v>
      </c>
      <c r="AE292" s="193">
        <f>(((H292*'Appendix K'!$C$11*1000)-('Appendix K'!$E$37+'Appendix K'!$F$37+'Appendix K'!$H$37+'Appendix K'!$G$37))/((1+$Y$16)^AE$34))</f>
        <v>11184683.546591679</v>
      </c>
      <c r="AF292" s="193">
        <f>(((I292*'Appendix K'!$C$12*1000)-('Appendix K'!$E$38+'Appendix K'!$F$38+'Appendix K'!$H$38+'Appendix K'!$G$38))/((1+$Y$16)^AF$34))</f>
        <v>11048279.001763446</v>
      </c>
      <c r="AG292" s="193">
        <f>(((J292*'Appendix K'!$C$13*1000)-('Appendix K'!$E$39+'Appendix K'!$F$39+'Appendix K'!$H$39+'Appendix K'!$G$39))/((1+$Y$16)^AG$34))</f>
        <v>7365293.3580595916</v>
      </c>
      <c r="AH292" s="193">
        <f>(((K292*'Appendix K'!$C$14*1000)-('Appendix K'!$E$40+'Appendix K'!$F$40+'Appendix K'!$H$40+'Appendix K'!$G$40))/((1+$Y$16)^AH$34))</f>
        <v>3837782.5659763445</v>
      </c>
      <c r="AI292" s="193">
        <f>(((L292*'Appendix K'!$C$15*1000)-('Appendix K'!$E$41+'Appendix K'!$F$41+'Appendix K'!$H$41+'Appendix K'!$G$41))/((1+$Y$16)^AI$34))</f>
        <v>3996202.0992145939</v>
      </c>
      <c r="AJ292" s="193">
        <f>(((M292*'Appendix K'!$C$16*1000)-('Appendix K'!$E$42+'Appendix K'!$F$42+'Appendix K'!$H$42+'Appendix K'!$G$42))/((1+$Y$16)^AJ$34))</f>
        <v>3709442.06235633</v>
      </c>
      <c r="AK292" s="193">
        <f>(((N292*'Appendix K'!$C$17*1000)-('Appendix K'!$E$43+'Appendix K'!$F$43+'Appendix K'!$H$43))/((1+$Y$16)^AK$34))</f>
        <v>3736965.0979973883</v>
      </c>
      <c r="AL292" s="193">
        <f>(((O292*'Appendix K'!$C$18*1000)-('Appendix K'!$E$44+'Appendix K'!$F$44+'Appendix K'!$H$44+'Appendix K'!$G$44))/((1+$Y$16)^AL$34))</f>
        <v>1856931.816217358</v>
      </c>
      <c r="AM292" s="193">
        <f>(((P292*'Appendix K'!$C$19*1000)-('Appendix K'!$E$45+'Appendix K'!$F$45+'Appendix K'!$H$45+'Appendix K'!$G$45))/((1+$Y$16)^AM$34))</f>
        <v>1648511.1511445008</v>
      </c>
      <c r="AN292" s="193">
        <f>(((Q292*'Appendix K'!$C$20*1000)-('Appendix K'!$E$46+'Appendix K'!$F$46+'Appendix K'!$H$46+'Appendix K'!$G$46))/((1+$Y$16)^AN$34))</f>
        <v>754650.19499572157</v>
      </c>
      <c r="AO292" s="193">
        <f>(((R292*'Appendix K'!$C$21*1000)-('Appendix K'!$E$47+'Appendix K'!$F$47+'Appendix K'!$H$47+'Appendix K'!$G$47))/((1+$Y$16)^AO$34))</f>
        <v>1040914.0712821236</v>
      </c>
      <c r="AP292" s="193">
        <f>(((S292*'Appendix K'!$C$22*1000)-('Appendix K'!$E$48+'Appendix K'!$F$48+'Appendix K'!$H$48+'Appendix K'!$G$48))/((1+$Y$16)^AP$34))</f>
        <v>490440.27099458029</v>
      </c>
      <c r="AQ292" s="193">
        <f>(((T292*'Appendix K'!$C$23*1000)-('Appendix K'!$E$49+'Appendix K'!$F$49+'Appendix K'!$H$49+'Appendix K'!$G$49))/((1+$Y$16)^AQ$34))</f>
        <v>394769.95636521548</v>
      </c>
      <c r="AR292" s="193">
        <f>(((U292*'Appendix K'!$C$24*1000)-('Appendix K'!$E$50+'Appendix K'!$F$50+'Appendix K'!$H$50+'Appendix K'!$G$50))/((1+$Y$16)^AR$34))</f>
        <v>330043.35364074068</v>
      </c>
      <c r="AS292" s="209">
        <f t="shared" ref="AS292:AS355" si="24">SUMIF(Y292:AR292,"&gt;0")+X292</f>
        <v>123492101.1788294</v>
      </c>
      <c r="AU292" s="199">
        <f t="shared" si="23"/>
        <v>5.7565341535449936E-9</v>
      </c>
    </row>
    <row r="293" spans="1:47" x14ac:dyDescent="0.35">
      <c r="A293">
        <v>259</v>
      </c>
      <c r="B293" s="70">
        <v>56</v>
      </c>
      <c r="C293" s="70">
        <v>58.724802672035189</v>
      </c>
      <c r="D293" s="70">
        <v>67.238051826823963</v>
      </c>
      <c r="E293" s="70">
        <v>55.952894883664776</v>
      </c>
      <c r="F293" s="70">
        <v>65.18154773981135</v>
      </c>
      <c r="G293" s="70">
        <v>56.791621744911993</v>
      </c>
      <c r="H293" s="70">
        <v>57.609569425754245</v>
      </c>
      <c r="I293" s="70">
        <v>43.972412406341753</v>
      </c>
      <c r="J293" s="70">
        <v>52.112116218181782</v>
      </c>
      <c r="K293" s="70">
        <v>18.963386064244467</v>
      </c>
      <c r="L293" s="70">
        <v>25.45715943231508</v>
      </c>
      <c r="M293" s="70">
        <v>25.42505502925675</v>
      </c>
      <c r="N293" s="70">
        <v>27.594888265491402</v>
      </c>
      <c r="O293" s="70">
        <v>27.367969576269399</v>
      </c>
      <c r="P293" s="70">
        <v>20.886492703609505</v>
      </c>
      <c r="Q293" s="70">
        <v>25.29326445970942</v>
      </c>
      <c r="R293" s="70">
        <v>28.308517901963715</v>
      </c>
      <c r="S293" s="70">
        <v>39.84040255776651</v>
      </c>
      <c r="T293" s="70">
        <v>50.173662184576088</v>
      </c>
      <c r="U293" s="70">
        <v>42.384465485620659</v>
      </c>
      <c r="V293" s="70">
        <v>52.884719403622562</v>
      </c>
      <c r="X293" s="193">
        <f>((0-('Appendix K'!$I$30))/(1+$Y$16)^0)</f>
        <v>-33594902.4440751</v>
      </c>
      <c r="Y293" s="193">
        <f>(((B293*'Appendix K'!$C$5*1000)-('Appendix K'!$E$31+'Appendix K'!$F$31+'Appendix K'!$H$31+'Appendix K'!$G$31))/((1+$Y$16)^1))</f>
        <v>34971064.972647354</v>
      </c>
      <c r="Z293" s="193">
        <f>+(((C293*'Appendix K'!$C$6*1000)-('Appendix K'!$E$32+'Appendix K'!$F$32+'Appendix K'!$H$32+'Appendix K'!$G$32))/((1+$Y$16)^2))</f>
        <v>11347641.862656746</v>
      </c>
      <c r="AA293" s="193">
        <f>(((D293*'Appendix K'!$C$7*1000)-('Appendix K'!$E$33+'Appendix K'!$F$33+'Appendix K'!$H$33+'Appendix K'!$G$33))/((1+$Y$16)^3))</f>
        <v>5599540.2061522258</v>
      </c>
      <c r="AB293" s="193">
        <f>(((E293*'Appendix K'!$C$8*1000)-('Appendix K'!$E$34+'Appendix K'!$F$34+'Appendix K'!$H$34+'Appendix K'!$G$34))/((1+$Y$16)^4))</f>
        <v>8971154.4701915123</v>
      </c>
      <c r="AC293" s="193">
        <f>(((F293*'Appendix K'!$C$9*1000)-('Appendix K'!$E$35+'Appendix K'!$F$35+'Appendix K'!$H$35+'Appendix K'!$G$35))/((1+$Y$16)^AC$34))</f>
        <v>14340924.516685424</v>
      </c>
      <c r="AD293" s="193">
        <f>(((G293*'Appendix K'!$C$10*1000)-('Appendix K'!$E$36+'Appendix K'!$F$36+'Appendix K'!$H$36+'Appendix K'!$G$36))/((1+$Y$16)^AD$34))</f>
        <v>6403017.7140500862</v>
      </c>
      <c r="AE293" s="193">
        <f>(((H293*'Appendix K'!$C$11*1000)-('Appendix K'!$E$37+'Appendix K'!$F$37+'Appendix K'!$H$37+'Appendix K'!$G$37))/((1+$Y$16)^AE$34))</f>
        <v>3525900.8874251298</v>
      </c>
      <c r="AF293" s="193">
        <f>(((I293*'Appendix K'!$C$12*1000)-('Appendix K'!$E$38+'Appendix K'!$F$38+'Appendix K'!$H$38+'Appendix K'!$G$38))/((1+$Y$16)^AF$34))</f>
        <v>890756.31071693962</v>
      </c>
      <c r="AG293" s="193">
        <f>(((J293*'Appendix K'!$C$13*1000)-('Appendix K'!$E$39+'Appendix K'!$F$39+'Appendix K'!$H$39+'Appendix K'!$G$39))/((1+$Y$16)^AG$34))</f>
        <v>583200.09089491214</v>
      </c>
      <c r="AH293" s="193">
        <f>(((K293*'Appendix K'!$C$14*1000)-('Appendix K'!$E$40+'Appendix K'!$F$40+'Appendix K'!$H$40+'Appendix K'!$G$40))/((1+$Y$16)^AH$34))</f>
        <v>-993551.27629796462</v>
      </c>
      <c r="AI293" s="193">
        <f>(((L293*'Appendix K'!$C$15*1000)-('Appendix K'!$E$41+'Appendix K'!$F$41+'Appendix K'!$H$41+'Appendix K'!$G$41))/((1+$Y$16)^AI$34))</f>
        <v>-849456.16608280304</v>
      </c>
      <c r="AJ293" s="193">
        <f>(((M293*'Appendix K'!$C$16*1000)-('Appendix K'!$E$42+'Appendix K'!$F$42+'Appendix K'!$H$42+'Appendix K'!$G$42))/((1+$Y$16)^AJ$34))</f>
        <v>-871985.38790452504</v>
      </c>
      <c r="AK293" s="193">
        <f>(((N293*'Appendix K'!$C$17*1000)-('Appendix K'!$E$43+'Appendix K'!$F$43+'Appendix K'!$H$43))/((1+$Y$16)^AK$34))</f>
        <v>-580293.58257927548</v>
      </c>
      <c r="AL293" s="193">
        <f>(((O293*'Appendix K'!$C$18*1000)-('Appendix K'!$E$44+'Appendix K'!$F$44+'Appendix K'!$H$44+'Appendix K'!$G$44))/((1+$Y$16)^AL$34))</f>
        <v>-810188.52919944178</v>
      </c>
      <c r="AM293" s="193">
        <f>(((P293*'Appendix K'!$C$19*1000)-('Appendix K'!$E$45+'Appendix K'!$F$45+'Appendix K'!$H$45+'Appendix K'!$G$45))/((1+$Y$16)^AM$34))</f>
        <v>-833174.64316222526</v>
      </c>
      <c r="AN293" s="193">
        <f>(((Q293*'Appendix K'!$C$20*1000)-('Appendix K'!$E$46+'Appendix K'!$F$46+'Appendix K'!$H$46+'Appendix K'!$G$46))/((1+$Y$16)^AN$34))</f>
        <v>-732681.29135587369</v>
      </c>
      <c r="AO293" s="193">
        <f>(((R293*'Appendix K'!$C$21*1000)-('Appendix K'!$E$47+'Appendix K'!$F$47+'Appendix K'!$H$47+'Appendix K'!$G$47))/((1+$Y$16)^AO$34))</f>
        <v>-675692.45705420105</v>
      </c>
      <c r="AP293" s="193">
        <f>(((S293*'Appendix K'!$C$22*1000)-('Appendix K'!$E$48+'Appendix K'!$F$48+'Appendix K'!$H$48+'Appendix K'!$G$48))/((1+$Y$16)^AP$34))</f>
        <v>-573628.88610562531</v>
      </c>
      <c r="AQ293" s="193">
        <f>(((T293*'Appendix K'!$C$23*1000)-('Appendix K'!$E$49+'Appendix K'!$F$49+'Appendix K'!$H$49+'Appendix K'!$G$49))/((1+$Y$16)^AQ$34))</f>
        <v>-497118.76250829513</v>
      </c>
      <c r="AR293" s="193">
        <f>(((U293*'Appendix K'!$C$24*1000)-('Appendix K'!$E$50+'Appendix K'!$F$50+'Appendix K'!$H$50+'Appendix K'!$G$50))/((1+$Y$16)^AR$34))</f>
        <v>-492809.70288026426</v>
      </c>
      <c r="AS293" s="209">
        <f t="shared" si="24"/>
        <v>53038298.58734522</v>
      </c>
      <c r="AU293" s="199">
        <f t="shared" si="23"/>
        <v>5.838736836857119E-9</v>
      </c>
    </row>
    <row r="294" spans="1:47" x14ac:dyDescent="0.35">
      <c r="A294">
        <v>260</v>
      </c>
      <c r="B294" s="70">
        <v>56</v>
      </c>
      <c r="C294" s="70">
        <v>55.331560887943915</v>
      </c>
      <c r="D294" s="70">
        <v>59.430122247133497</v>
      </c>
      <c r="E294" s="70">
        <v>66.205778447521951</v>
      </c>
      <c r="F294" s="70">
        <v>112.67651289342299</v>
      </c>
      <c r="G294" s="70">
        <v>221.03695179723161</v>
      </c>
      <c r="H294" s="70">
        <v>264.69521248426554</v>
      </c>
      <c r="I294" s="70">
        <v>328.59726059608607</v>
      </c>
      <c r="J294" s="70">
        <v>357.59003250759156</v>
      </c>
      <c r="K294" s="70">
        <v>289.8991405438079</v>
      </c>
      <c r="L294" s="70">
        <v>132.06645348566528</v>
      </c>
      <c r="M294" s="70">
        <v>171.17304426905002</v>
      </c>
      <c r="N294" s="70">
        <v>189.31475320113341</v>
      </c>
      <c r="O294" s="70">
        <v>157.21475111942163</v>
      </c>
      <c r="P294" s="70">
        <v>123.98666590558742</v>
      </c>
      <c r="Q294" s="70">
        <v>154.84681801323222</v>
      </c>
      <c r="R294" s="70">
        <v>112.1838926030221</v>
      </c>
      <c r="S294" s="70">
        <v>174.04373060435609</v>
      </c>
      <c r="T294" s="70">
        <v>172.39351698244633</v>
      </c>
      <c r="U294" s="70">
        <v>225.61010248318067</v>
      </c>
      <c r="V294" s="70">
        <v>292.22935173773607</v>
      </c>
      <c r="X294" s="193">
        <f>((0-('Appendix K'!$I$30))/(1+$Y$16)^0)</f>
        <v>-33594902.4440751</v>
      </c>
      <c r="Y294" s="193">
        <f>(((B294*'Appendix K'!$C$5*1000)-('Appendix K'!$E$31+'Appendix K'!$F$31+'Appendix K'!$H$31+'Appendix K'!$G$31))/((1+$Y$16)^1))</f>
        <v>34971064.972647354</v>
      </c>
      <c r="Z294" s="193">
        <f>+(((C294*'Appendix K'!$C$6*1000)-('Appendix K'!$E$32+'Appendix K'!$F$32+'Appendix K'!$H$32+'Appendix K'!$G$32))/((1+$Y$16)^2))</f>
        <v>10490450.952960005</v>
      </c>
      <c r="AA294" s="193">
        <f>(((D294*'Appendix K'!$C$7*1000)-('Appendix K'!$E$33+'Appendix K'!$F$33+'Appendix K'!$H$33+'Appendix K'!$G$33))/((1+$Y$16)^3))</f>
        <v>4605006.1725552771</v>
      </c>
      <c r="AB294" s="193">
        <f>(((E294*'Appendix K'!$C$8*1000)-('Appendix K'!$E$34+'Appendix K'!$F$34+'Appendix K'!$H$34+'Appendix K'!$G$34))/((1+$Y$16)^4))</f>
        <v>11218492.691273661</v>
      </c>
      <c r="AC294" s="193">
        <f>(((F294*'Appendix K'!$C$9*1000)-('Appendix K'!$E$35+'Appendix K'!$F$35+'Appendix K'!$H$35+'Appendix K'!$G$35))/((1+$Y$16)^AC$34))</f>
        <v>26965011.674036641</v>
      </c>
      <c r="AD294" s="193">
        <f>(((G294*'Appendix K'!$C$10*1000)-('Appendix K'!$E$36+'Appendix K'!$F$36+'Appendix K'!$H$36+'Appendix K'!$G$36))/((1+$Y$16)^AD$34))</f>
        <v>32196753.363568243</v>
      </c>
      <c r="AE294" s="193">
        <f>(((H294*'Appendix K'!$C$11*1000)-('Appendix K'!$E$37+'Appendix K'!$F$37+'Appendix K'!$H$37+'Appendix K'!$G$37))/((1+$Y$16)^AE$34))</f>
        <v>24180131.892159361</v>
      </c>
      <c r="AF294" s="193">
        <f>(((I294*'Appendix K'!$C$12*1000)-('Appendix K'!$E$38+'Appendix K'!$F$38+'Appendix K'!$H$38+'Appendix K'!$G$38))/((1+$Y$16)^AF$34))</f>
        <v>19579914.638473433</v>
      </c>
      <c r="AG294" s="193">
        <f>(((J294*'Appendix K'!$C$13*1000)-('Appendix K'!$E$39+'Appendix K'!$F$39+'Appendix K'!$H$39+'Appendix K'!$G$39))/((1+$Y$16)^AG$34))</f>
        <v>14640967.719734132</v>
      </c>
      <c r="AH294" s="193">
        <f>(((K294*'Appendix K'!$C$14*1000)-('Appendix K'!$E$40+'Appendix K'!$F$40+'Appendix K'!$H$40+'Appendix K'!$G$40))/((1+$Y$16)^AH$34))</f>
        <v>8138751.9812665274</v>
      </c>
      <c r="AI294" s="193">
        <f>(((L294*'Appendix K'!$C$15*1000)-('Appendix K'!$E$41+'Appendix K'!$F$41+'Appendix K'!$H$41+'Appendix K'!$G$41))/((1+$Y$16)^AI$34))</f>
        <v>1943906.6984724184</v>
      </c>
      <c r="AJ294" s="193">
        <f>(((M294*'Appendix K'!$C$16*1000)-('Appendix K'!$E$42+'Appendix K'!$F$42+'Appendix K'!$H$42+'Appendix K'!$G$42))/((1+$Y$16)^AJ$34))</f>
        <v>2049076.424742786</v>
      </c>
      <c r="AK294" s="193">
        <f>(((N294*'Appendix K'!$C$17*1000)-('Appendix K'!$E$43+'Appendix K'!$F$43+'Appendix K'!$H$43))/((1+$Y$16)^AK$34))</f>
        <v>1904353.8399613204</v>
      </c>
      <c r="AL294" s="193">
        <f>(((O294*'Appendix K'!$C$18*1000)-('Appendix K'!$E$44+'Appendix K'!$F$44+'Appendix K'!$H$44+'Appendix K'!$G$44))/((1+$Y$16)^AL$34))</f>
        <v>728923.58012307005</v>
      </c>
      <c r="AM294" s="193">
        <f>(((P294*'Appendix K'!$C$19*1000)-('Appendix K'!$E$45+'Appendix K'!$F$45+'Appendix K'!$H$45+'Appendix K'!$G$45))/((1+$Y$16)^AM$34))</f>
        <v>122433.20998375858</v>
      </c>
      <c r="AN294" s="193">
        <f>(((Q294*'Appendix K'!$C$20*1000)-('Appendix K'!$E$46+'Appendix K'!$F$46+'Appendix K'!$H$46+'Appendix K'!$G$46))/((1+$Y$16)^AN$34))</f>
        <v>204796.32114230335</v>
      </c>
      <c r="AO294" s="193">
        <f>(((R294*'Appendix K'!$C$21*1000)-('Appendix K'!$E$47+'Appendix K'!$F$47+'Appendix K'!$H$47+'Appendix K'!$G$47))/((1+$Y$16)^AO$34))</f>
        <v>-179979.72601617416</v>
      </c>
      <c r="AP294" s="193">
        <f>(((S294*'Appendix K'!$C$22*1000)-('Appendix K'!$E$48+'Appendix K'!$F$48+'Appendix K'!$H$48+'Appendix K'!$G$48))/((1+$Y$16)^AP$34))</f>
        <v>69167.389957586434</v>
      </c>
      <c r="AQ294" s="193">
        <f>(((T294*'Appendix K'!$C$23*1000)-('Appendix K'!$E$49+'Appendix K'!$F$49+'Appendix K'!$H$49+'Appendix K'!$G$49))/((1+$Y$16)^AQ$34))</f>
        <v>-18781.539914703892</v>
      </c>
      <c r="AR294" s="193">
        <f>(((U294*'Appendix K'!$C$24*1000)-('Appendix K'!$E$50+'Appendix K'!$F$50+'Appendix K'!$H$50+'Appendix K'!$G$50))/((1+$Y$16)^AR$34))</f>
        <v>97181.982025088466</v>
      </c>
      <c r="AS294" s="209">
        <f t="shared" si="24"/>
        <v>160511483.06100786</v>
      </c>
      <c r="AU294" s="199">
        <f t="shared" si="23"/>
        <v>3.0809111724306995E-9</v>
      </c>
    </row>
    <row r="295" spans="1:47" x14ac:dyDescent="0.35">
      <c r="A295">
        <v>261</v>
      </c>
      <c r="B295" s="70">
        <v>56</v>
      </c>
      <c r="C295" s="70">
        <v>68.505713936813308</v>
      </c>
      <c r="D295" s="70">
        <v>65.386821536780801</v>
      </c>
      <c r="E295" s="70">
        <v>79.511343327198276</v>
      </c>
      <c r="F295" s="70">
        <v>105.2099358371394</v>
      </c>
      <c r="G295" s="70">
        <v>116.8901393242305</v>
      </c>
      <c r="H295" s="70">
        <v>106.88240746390994</v>
      </c>
      <c r="I295" s="70">
        <v>123.15177956449634</v>
      </c>
      <c r="J295" s="70">
        <v>112.45637043540782</v>
      </c>
      <c r="K295" s="70">
        <v>97.048968203764773</v>
      </c>
      <c r="L295" s="70">
        <v>50.394280537190092</v>
      </c>
      <c r="M295" s="70">
        <v>62.658116567845809</v>
      </c>
      <c r="N295" s="70">
        <v>68.990843833262758</v>
      </c>
      <c r="O295" s="70">
        <v>70.743988520389465</v>
      </c>
      <c r="P295" s="70">
        <v>95.975494240334939</v>
      </c>
      <c r="Q295" s="70">
        <v>128.11705751967935</v>
      </c>
      <c r="R295" s="70">
        <v>93.627162952228019</v>
      </c>
      <c r="S295" s="70">
        <v>102.31476987846352</v>
      </c>
      <c r="T295" s="70">
        <v>129.86053184508015</v>
      </c>
      <c r="U295" s="70">
        <v>142.37672162014869</v>
      </c>
      <c r="V295" s="70">
        <v>161.25789952313838</v>
      </c>
      <c r="X295" s="193">
        <f>((0-('Appendix K'!$I$30))/(1+$Y$16)^0)</f>
        <v>-33594902.4440751</v>
      </c>
      <c r="Y295" s="193">
        <f>(((B295*'Appendix K'!$C$5*1000)-('Appendix K'!$E$31+'Appendix K'!$F$31+'Appendix K'!$H$31+'Appendix K'!$G$31))/((1+$Y$16)^1))</f>
        <v>34971064.972647354</v>
      </c>
      <c r="Z295" s="193">
        <f>+(((C295*'Appendix K'!$C$6*1000)-('Appendix K'!$E$32+'Appendix K'!$F$32+'Appendix K'!$H$32+'Appendix K'!$G$32))/((1+$Y$16)^2))</f>
        <v>13818467.332278732</v>
      </c>
      <c r="AA295" s="193">
        <f>(((D295*'Appendix K'!$C$7*1000)-('Appendix K'!$E$33+'Appendix K'!$F$33+'Appendix K'!$H$33+'Appendix K'!$G$33))/((1+$Y$16)^3))</f>
        <v>5363739.9842518549</v>
      </c>
      <c r="AB295" s="193">
        <f>(((E295*'Appendix K'!$C$8*1000)-('Appendix K'!$E$34+'Appendix K'!$F$34+'Appendix K'!$H$34+'Appendix K'!$G$34))/((1+$Y$16)^4))</f>
        <v>14134950.7121756</v>
      </c>
      <c r="AC295" s="193">
        <f>(((F295*'Appendix K'!$C$9*1000)-('Appendix K'!$E$35+'Appendix K'!$F$35+'Appendix K'!$H$35+'Appendix K'!$G$35))/((1+$Y$16)^AC$34))</f>
        <v>24980407.217106424</v>
      </c>
      <c r="AD295" s="193">
        <f>(((G295*'Appendix K'!$C$10*1000)-('Appendix K'!$E$36+'Appendix K'!$F$36+'Appendix K'!$H$36+'Appendix K'!$G$36))/((1+$Y$16)^AD$34))</f>
        <v>15841126.394979177</v>
      </c>
      <c r="AE295" s="193">
        <f>(((H295*'Appendix K'!$C$11*1000)-('Appendix K'!$E$37+'Appendix K'!$F$37+'Appendix K'!$H$37+'Appendix K'!$G$37))/((1+$Y$16)^AE$34))</f>
        <v>8440256.9193948489</v>
      </c>
      <c r="AF295" s="193">
        <f>(((I295*'Appendix K'!$C$12*1000)-('Appendix K'!$E$38+'Appendix K'!$F$38+'Appendix K'!$H$38+'Appendix K'!$G$38))/((1+$Y$16)^AF$34))</f>
        <v>6089865.7297365051</v>
      </c>
      <c r="AG295" s="193">
        <f>(((J295*'Appendix K'!$C$13*1000)-('Appendix K'!$E$39+'Appendix K'!$F$39+'Appendix K'!$H$39+'Appendix K'!$G$39))/((1+$Y$16)^AG$34))</f>
        <v>3360178.2562090955</v>
      </c>
      <c r="AH295" s="193">
        <f>(((K295*'Appendix K'!$C$14*1000)-('Appendix K'!$E$40+'Appendix K'!$F$40+'Appendix K'!$H$40+'Appendix K'!$G$40))/((1+$Y$16)^AH$34))</f>
        <v>1638442.4873577289</v>
      </c>
      <c r="AI295" s="193">
        <f>(((L295*'Appendix K'!$C$15*1000)-('Appendix K'!$E$41+'Appendix K'!$F$41+'Appendix K'!$H$41+'Appendix K'!$G$41))/((1+$Y$16)^AI$34))</f>
        <v>-196056.9604899477</v>
      </c>
      <c r="AJ295" s="193">
        <f>(((M295*'Appendix K'!$C$16*1000)-('Appendix K'!$E$42+'Appendix K'!$F$42+'Appendix K'!$H$42+'Appendix K'!$G$42))/((1+$Y$16)^AJ$34))</f>
        <v>-125765.32136637674</v>
      </c>
      <c r="AK295" s="193">
        <f>(((N295*'Appendix K'!$C$17*1000)-('Appendix K'!$E$43+'Appendix K'!$F$43+'Appendix K'!$H$43))/((1+$Y$16)^AK$34))</f>
        <v>55709.634131300132</v>
      </c>
      <c r="AL295" s="193">
        <f>(((O295*'Appendix K'!$C$18*1000)-('Appendix K'!$E$44+'Appendix K'!$F$44+'Appendix K'!$H$44+'Appendix K'!$G$44))/((1+$Y$16)^AL$34))</f>
        <v>-296039.81316899322</v>
      </c>
      <c r="AM295" s="193">
        <f>(((P295*'Appendix K'!$C$19*1000)-('Appendix K'!$E$45+'Appendix K'!$F$45+'Appendix K'!$H$45+'Appendix K'!$G$45))/((1+$Y$16)^AM$34))</f>
        <v>-137194.82736877236</v>
      </c>
      <c r="AN295" s="193">
        <f>(((Q295*'Appendix K'!$C$20*1000)-('Appendix K'!$E$46+'Appendix K'!$F$46+'Appendix K'!$H$46+'Appendix K'!$G$46))/((1+$Y$16)^AN$34))</f>
        <v>11373.976769545294</v>
      </c>
      <c r="AO295" s="193">
        <f>(((R295*'Appendix K'!$C$21*1000)-('Appendix K'!$E$47+'Appendix K'!$F$47+'Appendix K'!$H$47+'Appendix K'!$G$47))/((1+$Y$16)^AO$34))</f>
        <v>-289652.04840060568</v>
      </c>
      <c r="AP295" s="193">
        <f>(((S295*'Appendix K'!$C$22*1000)-('Appendix K'!$E$48+'Appendix K'!$F$48+'Appendix K'!$H$48+'Appendix K'!$G$48))/((1+$Y$16)^AP$34))</f>
        <v>-274394.20059016615</v>
      </c>
      <c r="AQ295" s="193">
        <f>(((T295*'Appendix K'!$C$23*1000)-('Appendix K'!$E$49+'Appendix K'!$F$49+'Appendix K'!$H$49+'Appendix K'!$G$49))/((1+$Y$16)^AQ$34))</f>
        <v>-185244.75501890611</v>
      </c>
      <c r="AR295" s="193">
        <f>(((U295*'Appendix K'!$C$24*1000)-('Appendix K'!$E$50+'Appendix K'!$F$50+'Appendix K'!$H$50+'Appendix K'!$G$50))/((1+$Y$16)^AR$34))</f>
        <v>-170831.83645820117</v>
      </c>
      <c r="AS295" s="209">
        <f t="shared" si="24"/>
        <v>95110681.172963083</v>
      </c>
      <c r="AU295" s="199">
        <f t="shared" si="23"/>
        <v>6.968656739745461E-9</v>
      </c>
    </row>
    <row r="296" spans="1:47" x14ac:dyDescent="0.35">
      <c r="A296">
        <v>262</v>
      </c>
      <c r="B296" s="70">
        <v>56</v>
      </c>
      <c r="C296" s="70">
        <v>52.239979662428148</v>
      </c>
      <c r="D296" s="70">
        <v>37.097097082183389</v>
      </c>
      <c r="E296" s="70">
        <v>31.873435280461063</v>
      </c>
      <c r="F296" s="70">
        <v>51.428276255858471</v>
      </c>
      <c r="G296" s="70">
        <v>47.142545064377153</v>
      </c>
      <c r="H296" s="70">
        <v>49.549025351333704</v>
      </c>
      <c r="I296" s="70">
        <v>50.728882350404696</v>
      </c>
      <c r="J296" s="70">
        <v>55.724443782690841</v>
      </c>
      <c r="K296" s="70">
        <v>31.060418013100211</v>
      </c>
      <c r="L296" s="70">
        <v>24.619453825308533</v>
      </c>
      <c r="M296" s="70">
        <v>22.835805161469896</v>
      </c>
      <c r="N296" s="70">
        <v>18.578166913326424</v>
      </c>
      <c r="O296" s="70">
        <v>21.579560524924418</v>
      </c>
      <c r="P296" s="70">
        <v>17.437115849495541</v>
      </c>
      <c r="Q296" s="70">
        <v>23.178866994010036</v>
      </c>
      <c r="R296" s="70">
        <v>26.748416702898638</v>
      </c>
      <c r="S296" s="70">
        <v>28.280029231656442</v>
      </c>
      <c r="T296" s="70">
        <v>35.31070467541042</v>
      </c>
      <c r="U296" s="70">
        <v>35.340515000710184</v>
      </c>
      <c r="V296" s="70">
        <v>16.564020842594516</v>
      </c>
      <c r="X296" s="193">
        <f>((0-('Appendix K'!$I$30))/(1+$Y$16)^0)</f>
        <v>-33594902.4440751</v>
      </c>
      <c r="Y296" s="193">
        <f>(((B296*'Appendix K'!$C$5*1000)-('Appendix K'!$E$31+'Appendix K'!$F$31+'Appendix K'!$H$31+'Appendix K'!$G$31))/((1+$Y$16)^1))</f>
        <v>34971064.972647354</v>
      </c>
      <c r="Z296" s="193">
        <f>+(((C296*'Appendix K'!$C$6*1000)-('Appendix K'!$E$32+'Appendix K'!$F$32+'Appendix K'!$H$32+'Appendix K'!$G$32))/((1+$Y$16)^2))</f>
        <v>9709464.6596973985</v>
      </c>
      <c r="AA296" s="193">
        <f>(((D296*'Appendix K'!$C$7*1000)-('Appendix K'!$E$33+'Appendix K'!$F$33+'Appendix K'!$H$33+'Appendix K'!$G$33))/((1+$Y$16)^3))</f>
        <v>1760339.9427913919</v>
      </c>
      <c r="AB296" s="193">
        <f>(((E296*'Appendix K'!$C$8*1000)-('Appendix K'!$E$34+'Appendix K'!$F$34+'Appendix K'!$H$34+'Appendix K'!$G$34))/((1+$Y$16)^4))</f>
        <v>3693157.3514058241</v>
      </c>
      <c r="AC296" s="193">
        <f>(((F296*'Appendix K'!$C$9*1000)-('Appendix K'!$E$35+'Appendix K'!$F$35+'Appendix K'!$H$35+'Appendix K'!$G$35))/((1+$Y$16)^AC$34))</f>
        <v>10685326.552762471</v>
      </c>
      <c r="AD296" s="193">
        <f>(((G296*'Appendix K'!$C$10*1000)-('Appendix K'!$E$36+'Appendix K'!$F$36+'Appendix K'!$H$36+'Appendix K'!$G$36))/((1+$Y$16)^AD$34))</f>
        <v>4887688.5836549373</v>
      </c>
      <c r="AE296" s="193">
        <f>(((H296*'Appendix K'!$C$11*1000)-('Appendix K'!$E$37+'Appendix K'!$F$37+'Appendix K'!$H$37+'Appendix K'!$G$37))/((1+$Y$16)^AE$34))</f>
        <v>2721961.3343104604</v>
      </c>
      <c r="AF296" s="193">
        <f>(((I296*'Appendix K'!$C$12*1000)-('Appendix K'!$E$38+'Appendix K'!$F$38+'Appendix K'!$H$38+'Appendix K'!$G$38))/((1+$Y$16)^AF$34))</f>
        <v>1334402.5254604293</v>
      </c>
      <c r="AG296" s="193">
        <f>(((J296*'Appendix K'!$C$13*1000)-('Appendix K'!$E$39+'Appendix K'!$F$39+'Appendix K'!$H$39+'Appendix K'!$G$39))/((1+$Y$16)^AG$34))</f>
        <v>749435.54947715858</v>
      </c>
      <c r="AH296" s="193">
        <f>(((K296*'Appendix K'!$C$14*1000)-('Appendix K'!$E$40+'Appendix K'!$F$40+'Appendix K'!$H$40+'Appendix K'!$G$40))/((1+$Y$16)^AH$34))</f>
        <v>-585802.34524379473</v>
      </c>
      <c r="AI296" s="193">
        <f>(((L296*'Appendix K'!$C$15*1000)-('Appendix K'!$E$41+'Appendix K'!$F$41+'Appendix K'!$H$41+'Appendix K'!$G$41))/((1+$Y$16)^AI$34))</f>
        <v>-871405.61950354127</v>
      </c>
      <c r="AJ296" s="193">
        <f>(((M296*'Appendix K'!$C$16*1000)-('Appendix K'!$E$42+'Appendix K'!$F$42+'Appendix K'!$H$42+'Appendix K'!$G$42))/((1+$Y$16)^AJ$34))</f>
        <v>-923878.78932737815</v>
      </c>
      <c r="AK296" s="193">
        <f>(((N296*'Appendix K'!$C$17*1000)-('Appendix K'!$E$43+'Appendix K'!$F$43+'Appendix K'!$H$43))/((1+$Y$16)^AK$34))</f>
        <v>-718825.56488298997</v>
      </c>
      <c r="AL296" s="193">
        <f>(((O296*'Appendix K'!$C$18*1000)-('Appendix K'!$E$44+'Appendix K'!$F$44+'Appendix K'!$H$44+'Appendix K'!$G$44))/((1+$Y$16)^AL$34))</f>
        <v>-878800.24493670359</v>
      </c>
      <c r="AM296" s="193">
        <f>(((P296*'Appendix K'!$C$19*1000)-('Appendix K'!$E$45+'Appendix K'!$F$45+'Appendix K'!$H$45+'Appendix K'!$G$45))/((1+$Y$16)^AM$34))</f>
        <v>-865145.99207348062</v>
      </c>
      <c r="AN296" s="193">
        <f>(((Q296*'Appendix K'!$C$20*1000)-('Appendix K'!$E$46+'Appendix K'!$F$46+'Appendix K'!$H$46+'Appendix K'!$G$46))/((1+$Y$16)^AN$34))</f>
        <v>-747981.53001121199</v>
      </c>
      <c r="AO296" s="193">
        <f>(((R296*'Appendix K'!$C$21*1000)-('Appendix K'!$E$47+'Appendix K'!$F$47+'Appendix K'!$H$47+'Appendix K'!$G$47))/((1+$Y$16)^AO$34))</f>
        <v>-684912.82750071888</v>
      </c>
      <c r="AP296" s="193">
        <f>(((S296*'Appendix K'!$C$22*1000)-('Appendix K'!$E$48+'Appendix K'!$F$48+'Appendix K'!$H$48+'Appendix K'!$G$48))/((1+$Y$16)^AP$34))</f>
        <v>-628999.82982279116</v>
      </c>
      <c r="AQ296" s="193">
        <f>(((T296*'Appendix K'!$C$23*1000)-('Appendix K'!$E$49+'Appendix K'!$F$49+'Appendix K'!$H$49+'Appendix K'!$G$49))/((1+$Y$16)^AQ$34))</f>
        <v>-555288.5731844632</v>
      </c>
      <c r="AR296" s="193">
        <f>(((U296*'Appendix K'!$C$24*1000)-('Appendix K'!$E$50+'Appendix K'!$F$50+'Appendix K'!$H$50+'Appendix K'!$G$50))/((1+$Y$16)^AR$34))</f>
        <v>-515491.42080512835</v>
      </c>
      <c r="AS296" s="209">
        <f t="shared" si="24"/>
        <v>36917939.028132327</v>
      </c>
      <c r="AU296" s="199">
        <f t="shared" si="23"/>
        <v>4.7166390375961373E-9</v>
      </c>
    </row>
    <row r="297" spans="1:47" x14ac:dyDescent="0.35">
      <c r="A297">
        <v>263</v>
      </c>
      <c r="B297" s="70">
        <v>56</v>
      </c>
      <c r="C297" s="70">
        <v>92.405893690805101</v>
      </c>
      <c r="D297" s="70">
        <v>96.159822274491447</v>
      </c>
      <c r="E297" s="70">
        <v>79.387459062265492</v>
      </c>
      <c r="F297" s="70">
        <v>41.808538749602768</v>
      </c>
      <c r="G297" s="70">
        <v>46.544433528519313</v>
      </c>
      <c r="H297" s="70">
        <v>69.023426441844066</v>
      </c>
      <c r="I297" s="70">
        <v>56.266591860653207</v>
      </c>
      <c r="J297" s="70">
        <v>69.887325504138403</v>
      </c>
      <c r="K297" s="70">
        <v>46.090861582332835</v>
      </c>
      <c r="L297" s="70">
        <v>31.87324524498781</v>
      </c>
      <c r="M297" s="70">
        <v>37.416389863970196</v>
      </c>
      <c r="N297" s="70">
        <v>26.270284092459118</v>
      </c>
      <c r="O297" s="70">
        <v>50.652766415214742</v>
      </c>
      <c r="P297" s="70">
        <v>41.615346675983453</v>
      </c>
      <c r="Q297" s="70">
        <v>49.539269332971799</v>
      </c>
      <c r="R297" s="70">
        <v>57.879416616523244</v>
      </c>
      <c r="S297" s="70">
        <v>44.422179848622214</v>
      </c>
      <c r="T297" s="70">
        <v>28.325206572442966</v>
      </c>
      <c r="U297" s="70">
        <v>40.359202022522084</v>
      </c>
      <c r="V297" s="70">
        <v>50.68081482168926</v>
      </c>
      <c r="X297" s="193">
        <f>((0-('Appendix K'!$I$30))/(1+$Y$16)^0)</f>
        <v>-33594902.4440751</v>
      </c>
      <c r="Y297" s="193">
        <f>(((B297*'Appendix K'!$C$5*1000)-('Appendix K'!$E$31+'Appendix K'!$F$31+'Appendix K'!$H$31+'Appendix K'!$G$31))/((1+$Y$16)^1))</f>
        <v>34971064.972647354</v>
      </c>
      <c r="Z297" s="193">
        <f>+(((C297*'Appendix K'!$C$6*1000)-('Appendix K'!$E$32+'Appendix K'!$F$32+'Appendix K'!$H$32+'Appendix K'!$G$32))/((1+$Y$16)^2))</f>
        <v>19856061.505877066</v>
      </c>
      <c r="AA297" s="193">
        <f>(((D297*'Appendix K'!$C$7*1000)-('Appendix K'!$E$33+'Appendix K'!$F$33+'Appendix K'!$H$33+'Appendix K'!$G$33))/((1+$Y$16)^3))</f>
        <v>9283447.0253046695</v>
      </c>
      <c r="AB297" s="193">
        <f>(((E297*'Appendix K'!$C$8*1000)-('Appendix K'!$E$34+'Appendix K'!$F$34+'Appendix K'!$H$34+'Appendix K'!$G$34))/((1+$Y$16)^4))</f>
        <v>14107796.41535363</v>
      </c>
      <c r="AC297" s="193">
        <f>(((F297*'Appendix K'!$C$9*1000)-('Appendix K'!$E$35+'Appendix K'!$F$35+'Appendix K'!$H$35+'Appendix K'!$G$35))/((1+$Y$16)^AC$34))</f>
        <v>8128415.4292983087</v>
      </c>
      <c r="AD297" s="193">
        <f>(((G297*'Appendix K'!$C$10*1000)-('Appendix K'!$E$36+'Appendix K'!$F$36+'Appendix K'!$H$36+'Appendix K'!$G$36))/((1+$Y$16)^AD$34))</f>
        <v>4793758.7846163288</v>
      </c>
      <c r="AE297" s="193">
        <f>(((H297*'Appendix K'!$C$11*1000)-('Appendix K'!$E$37+'Appendix K'!$F$37+'Appendix K'!$H$37+'Appendix K'!$G$37))/((1+$Y$16)^AE$34))</f>
        <v>4664291.9220885849</v>
      </c>
      <c r="AF297" s="193">
        <f>(((I297*'Appendix K'!$C$12*1000)-('Appendix K'!$E$38+'Appendix K'!$F$38+'Appendix K'!$H$38+'Appendix K'!$G$38))/((1+$Y$16)^AF$34))</f>
        <v>1698021.972140512</v>
      </c>
      <c r="AG297" s="193">
        <f>(((J297*'Appendix K'!$C$13*1000)-('Appendix K'!$E$39+'Appendix K'!$F$39+'Appendix K'!$H$39+'Appendix K'!$G$39))/((1+$Y$16)^AG$34))</f>
        <v>1401196.248297096</v>
      </c>
      <c r="AH297" s="193">
        <f>(((K297*'Appendix K'!$C$14*1000)-('Appendix K'!$E$40+'Appendix K'!$F$40+'Appendix K'!$H$40+'Appendix K'!$G$40))/((1+$Y$16)^AH$34))</f>
        <v>-79178.296920575027</v>
      </c>
      <c r="AI297" s="193">
        <f>(((L297*'Appendix K'!$C$15*1000)-('Appendix K'!$E$41+'Appendix K'!$F$41+'Appendix K'!$H$41+'Appendix K'!$G$41))/((1+$Y$16)^AI$34))</f>
        <v>-681342.71965147485</v>
      </c>
      <c r="AJ297" s="193">
        <f>(((M297*'Appendix K'!$C$16*1000)-('Appendix K'!$E$42+'Appendix K'!$F$42+'Appendix K'!$H$42+'Appendix K'!$G$42))/((1+$Y$16)^AJ$34))</f>
        <v>-631656.65025916579</v>
      </c>
      <c r="AK297" s="193">
        <f>(((N297*'Appendix K'!$C$17*1000)-('Appendix K'!$E$43+'Appendix K'!$F$43+'Appendix K'!$H$43))/((1+$Y$16)^AK$34))</f>
        <v>-600644.66527230723</v>
      </c>
      <c r="AL297" s="193">
        <f>(((O297*'Appendix K'!$C$18*1000)-('Appendix K'!$E$44+'Appendix K'!$F$44+'Appendix K'!$H$44+'Appendix K'!$G$44))/((1+$Y$16)^AL$34))</f>
        <v>-534186.98066644836</v>
      </c>
      <c r="AM297" s="193">
        <f>(((P297*'Appendix K'!$C$19*1000)-('Appendix K'!$E$45+'Appendix K'!$F$45+'Appendix K'!$H$45+'Appendix K'!$G$45))/((1+$Y$16)^AM$34))</f>
        <v>-641044.45533110679</v>
      </c>
      <c r="AN297" s="193">
        <f>(((Q297*'Appendix K'!$C$20*1000)-('Appendix K'!$E$46+'Appendix K'!$F$46+'Appendix K'!$H$46+'Appendix K'!$G$46))/((1+$Y$16)^AN$34))</f>
        <v>-557231.94135549222</v>
      </c>
      <c r="AO297" s="193">
        <f>(((R297*'Appendix K'!$C$21*1000)-('Appendix K'!$E$47+'Appendix K'!$F$47+'Appendix K'!$H$47+'Appendix K'!$G$47))/((1+$Y$16)^AO$34))</f>
        <v>-500925.1786570744</v>
      </c>
      <c r="AP297" s="193">
        <f>(((S297*'Appendix K'!$C$22*1000)-('Appendix K'!$E$48+'Appendix K'!$F$48+'Appendix K'!$H$48+'Appendix K'!$G$48))/((1+$Y$16)^AP$34))</f>
        <v>-551683.45879632188</v>
      </c>
      <c r="AQ297" s="193">
        <f>(((T297*'Appendix K'!$C$23*1000)-('Appendix K'!$E$49+'Appendix K'!$F$49+'Appendix K'!$H$49+'Appendix K'!$G$49))/((1+$Y$16)^AQ$34))</f>
        <v>-582628.02442609961</v>
      </c>
      <c r="AR297" s="193">
        <f>(((U297*'Appendix K'!$C$24*1000)-('Appendix K'!$E$50+'Appendix K'!$F$50+'Appendix K'!$H$50+'Appendix K'!$G$50))/((1+$Y$16)^AR$34))</f>
        <v>-499331.10797701223</v>
      </c>
      <c r="AS297" s="209">
        <f t="shared" si="24"/>
        <v>65309151.83154843</v>
      </c>
      <c r="AU297" s="199">
        <f t="shared" si="23"/>
        <v>6.5070322227963941E-9</v>
      </c>
    </row>
    <row r="298" spans="1:47" x14ac:dyDescent="0.35">
      <c r="A298">
        <v>264</v>
      </c>
      <c r="B298" s="70">
        <v>56</v>
      </c>
      <c r="C298" s="70">
        <v>46.25140393161297</v>
      </c>
      <c r="D298" s="70">
        <v>63.581512593185991</v>
      </c>
      <c r="E298" s="70">
        <v>89.843431437758923</v>
      </c>
      <c r="F298" s="70">
        <v>45.366963543818201</v>
      </c>
      <c r="G298" s="70">
        <v>67.067062316951095</v>
      </c>
      <c r="H298" s="70">
        <v>55.684177421899527</v>
      </c>
      <c r="I298" s="70">
        <v>75.640829257964015</v>
      </c>
      <c r="J298" s="70">
        <v>70.032613433440659</v>
      </c>
      <c r="K298" s="70">
        <v>55.843849869352752</v>
      </c>
      <c r="L298" s="70">
        <v>63.981560191369212</v>
      </c>
      <c r="M298" s="70">
        <v>88.184736311401565</v>
      </c>
      <c r="N298" s="70">
        <v>120.99260341681449</v>
      </c>
      <c r="O298" s="70">
        <v>85.390145804124671</v>
      </c>
      <c r="P298" s="70">
        <v>117.98934898278632</v>
      </c>
      <c r="Q298" s="70">
        <v>130.56094663754297</v>
      </c>
      <c r="R298" s="70">
        <v>147.26920416860321</v>
      </c>
      <c r="S298" s="70">
        <v>239.85689703425757</v>
      </c>
      <c r="T298" s="70">
        <v>167.1807089425854</v>
      </c>
      <c r="U298" s="70">
        <v>223.48295655660763</v>
      </c>
      <c r="V298" s="70">
        <v>154.55256203660471</v>
      </c>
      <c r="X298" s="193">
        <f>((0-('Appendix K'!$I$30))/(1+$Y$16)^0)</f>
        <v>-33594902.4440751</v>
      </c>
      <c r="Y298" s="193">
        <f>(((B298*'Appendix K'!$C$5*1000)-('Appendix K'!$E$31+'Appendix K'!$F$31+'Appendix K'!$H$31+'Appendix K'!$G$31))/((1+$Y$16)^1))</f>
        <v>34971064.972647354</v>
      </c>
      <c r="Z298" s="193">
        <f>+(((C298*'Appendix K'!$C$6*1000)-('Appendix K'!$E$32+'Appendix K'!$F$32+'Appendix K'!$H$32+'Appendix K'!$G$32))/((1+$Y$16)^2))</f>
        <v>8196648.006739663</v>
      </c>
      <c r="AA298" s="193">
        <f>(((D298*'Appendix K'!$C$7*1000)-('Appendix K'!$E$33+'Appendix K'!$F$33+'Appendix K'!$H$33+'Appendix K'!$G$33))/((1+$Y$16)^3))</f>
        <v>5133788.9879938737</v>
      </c>
      <c r="AB298" s="193">
        <f>(((E298*'Appendix K'!$C$8*1000)-('Appendix K'!$E$34+'Appendix K'!$F$34+'Appendix K'!$H$34+'Appendix K'!$G$34))/((1+$Y$16)^4))</f>
        <v>16399649.844847312</v>
      </c>
      <c r="AC298" s="193">
        <f>(((F298*'Appendix K'!$C$9*1000)-('Appendix K'!$E$35+'Appendix K'!$F$35+'Appendix K'!$H$35+'Appendix K'!$G$35))/((1+$Y$16)^AC$34))</f>
        <v>9074239.1518711261</v>
      </c>
      <c r="AD298" s="193">
        <f>(((G298*'Appendix K'!$C$10*1000)-('Appendix K'!$E$36+'Appendix K'!$F$36+'Appendix K'!$H$36+'Appendix K'!$G$36))/((1+$Y$16)^AD$34))</f>
        <v>8016713.5050542029</v>
      </c>
      <c r="AE298" s="193">
        <f>(((H298*'Appendix K'!$C$11*1000)-('Appendix K'!$E$37+'Appendix K'!$F$37+'Appendix K'!$H$37+'Appendix K'!$G$37))/((1+$Y$16)^AE$34))</f>
        <v>3333866.8543799347</v>
      </c>
      <c r="AF298" s="193">
        <f>(((I298*'Appendix K'!$C$12*1000)-('Appendix K'!$E$38+'Appendix K'!$F$38+'Appendix K'!$H$38+'Appendix K'!$G$38))/((1+$Y$16)^AF$34))</f>
        <v>2970181.4216784439</v>
      </c>
      <c r="AG298" s="193">
        <f>(((J298*'Appendix K'!$C$13*1000)-('Appendix K'!$E$39+'Appendix K'!$F$39+'Appendix K'!$H$39+'Appendix K'!$G$39))/((1+$Y$16)^AG$34))</f>
        <v>1407882.2437176993</v>
      </c>
      <c r="AH298" s="193">
        <f>(((K298*'Appendix K'!$C$14*1000)-('Appendix K'!$E$40+'Appendix K'!$F$40+'Appendix K'!$H$40+'Appendix K'!$G$40))/((1+$Y$16)^AH$34))</f>
        <v>249561.06372832978</v>
      </c>
      <c r="AI298" s="193">
        <f>(((L298*'Appendix K'!$C$15*1000)-('Appendix K'!$E$41+'Appendix K'!$F$41+'Appendix K'!$H$41+'Appendix K'!$G$41))/((1+$Y$16)^AI$34))</f>
        <v>159955.17478708862</v>
      </c>
      <c r="AJ298" s="193">
        <f>(((M298*'Appendix K'!$C$16*1000)-('Appendix K'!$E$42+'Appendix K'!$F$42+'Appendix K'!$H$42+'Appendix K'!$G$42))/((1+$Y$16)^AJ$34))</f>
        <v>385835.79593062494</v>
      </c>
      <c r="AK298" s="193">
        <f>(((N298*'Appendix K'!$C$17*1000)-('Appendix K'!$E$43+'Appendix K'!$F$43+'Appendix K'!$H$43))/((1+$Y$16)^AK$34))</f>
        <v>854659.33624901029</v>
      </c>
      <c r="AL298" s="193">
        <f>(((O298*'Appendix K'!$C$18*1000)-('Appendix K'!$E$44+'Appendix K'!$F$44+'Appendix K'!$H$44+'Appendix K'!$G$44))/((1+$Y$16)^AL$34))</f>
        <v>-122434.60122196074</v>
      </c>
      <c r="AM298" s="193">
        <f>(((P298*'Appendix K'!$C$19*1000)-('Appendix K'!$E$45+'Appendix K'!$F$45+'Appendix K'!$H$45+'Appendix K'!$G$45))/((1+$Y$16)^AM$34))</f>
        <v>66845.687953057597</v>
      </c>
      <c r="AN298" s="193">
        <f>(((Q298*'Appendix K'!$C$20*1000)-('Appendix K'!$E$46+'Appendix K'!$F$46+'Appendix K'!$H$46+'Appendix K'!$G$46))/((1+$Y$16)^AN$34))</f>
        <v>29058.48848367999</v>
      </c>
      <c r="AO298" s="193">
        <f>(((R298*'Appendix K'!$C$21*1000)-('Appendix K'!$E$47+'Appendix K'!$F$47+'Appendix K'!$H$47+'Appendix K'!$G$47))/((1+$Y$16)^AO$34))</f>
        <v>27378.341563043698</v>
      </c>
      <c r="AP298" s="193">
        <f>(((S298*'Appendix K'!$C$22*1000)-('Appendix K'!$E$48+'Appendix K'!$F$48+'Appendix K'!$H$48+'Appendix K'!$G$48))/((1+$Y$16)^AP$34))</f>
        <v>384393.98614440212</v>
      </c>
      <c r="AQ298" s="193">
        <f>(((T298*'Appendix K'!$C$23*1000)-('Appendix K'!$E$49+'Appendix K'!$F$49+'Appendix K'!$H$49+'Appendix K'!$G$49))/((1+$Y$16)^AQ$34))</f>
        <v>-39183.136069636304</v>
      </c>
      <c r="AR298" s="193">
        <f>(((U298*'Appendix K'!$C$24*1000)-('Appendix K'!$E$50+'Appendix K'!$F$50+'Appendix K'!$H$50+'Appendix K'!$G$50))/((1+$Y$16)^AR$34))</f>
        <v>90332.512541322329</v>
      </c>
      <c r="AS298" s="209">
        <f t="shared" si="24"/>
        <v>58157152.932235084</v>
      </c>
      <c r="AU298" s="199">
        <f t="shared" si="23"/>
        <v>6.143562364787094E-9</v>
      </c>
    </row>
    <row r="299" spans="1:47" x14ac:dyDescent="0.35">
      <c r="A299">
        <v>265</v>
      </c>
      <c r="B299" s="70">
        <v>56</v>
      </c>
      <c r="C299" s="70">
        <v>81.112043222079961</v>
      </c>
      <c r="D299" s="70">
        <v>121.74513464043783</v>
      </c>
      <c r="E299" s="70">
        <v>98.218268680900053</v>
      </c>
      <c r="F299" s="70">
        <v>94.076301138523235</v>
      </c>
      <c r="G299" s="70">
        <v>118.98804457050548</v>
      </c>
      <c r="H299" s="70">
        <v>46.189177216475784</v>
      </c>
      <c r="I299" s="70">
        <v>42.266427395765447</v>
      </c>
      <c r="J299" s="70">
        <v>45.489241888778452</v>
      </c>
      <c r="K299" s="70">
        <v>58.89777315331331</v>
      </c>
      <c r="L299" s="70">
        <v>13.964005774309648</v>
      </c>
      <c r="M299" s="70">
        <v>13.468982439912791</v>
      </c>
      <c r="N299" s="70">
        <v>12.9772622338698</v>
      </c>
      <c r="O299" s="70">
        <v>10.412558796960905</v>
      </c>
      <c r="P299" s="70">
        <v>15.251199150510365</v>
      </c>
      <c r="Q299" s="70">
        <v>24.219901730876863</v>
      </c>
      <c r="R299" s="70">
        <v>31.05575764974455</v>
      </c>
      <c r="S299" s="70">
        <v>33.217297105329102</v>
      </c>
      <c r="T299" s="70">
        <v>34.727751876819418</v>
      </c>
      <c r="U299" s="70">
        <v>44.951260203010676</v>
      </c>
      <c r="V299" s="70">
        <v>46.734542031950902</v>
      </c>
      <c r="X299" s="193">
        <f>((0-('Appendix K'!$I$30))/(1+$Y$16)^0)</f>
        <v>-33594902.4440751</v>
      </c>
      <c r="Y299" s="193">
        <f>(((B299*'Appendix K'!$C$5*1000)-('Appendix K'!$E$31+'Appendix K'!$F$31+'Appendix K'!$H$31+'Appendix K'!$G$31))/((1+$Y$16)^1))</f>
        <v>34971064.972647354</v>
      </c>
      <c r="Z299" s="193">
        <f>+(((C299*'Appendix K'!$C$6*1000)-('Appendix K'!$E$32+'Appendix K'!$F$32+'Appendix K'!$H$32+'Appendix K'!$G$32))/((1+$Y$16)^2))</f>
        <v>17003041.717351124</v>
      </c>
      <c r="AA299" s="193">
        <f>(((D299*'Appendix K'!$C$7*1000)-('Appendix K'!$E$33+'Appendix K'!$F$33+'Appendix K'!$H$33+'Appendix K'!$G$33))/((1+$Y$16)^3))</f>
        <v>12542372.922168519</v>
      </c>
      <c r="AB299" s="193">
        <f>(((E299*'Appendix K'!$C$8*1000)-('Appendix K'!$E$34+'Appendix K'!$F$34+'Appendix K'!$H$34+'Appendix K'!$G$34))/((1+$Y$16)^4))</f>
        <v>18235337.50428785</v>
      </c>
      <c r="AC299" s="193">
        <f>(((F299*'Appendix K'!$C$9*1000)-('Appendix K'!$E$35+'Appendix K'!$F$35+'Appendix K'!$H$35+'Appendix K'!$G$35))/((1+$Y$16)^AC$34))</f>
        <v>22021104.597158037</v>
      </c>
      <c r="AD299" s="193">
        <f>(((G299*'Appendix K'!$C$10*1000)-('Appendix K'!$E$36+'Appendix K'!$F$36+'Appendix K'!$H$36+'Appendix K'!$G$36))/((1+$Y$16)^AD$34))</f>
        <v>16170589.724761011</v>
      </c>
      <c r="AE299" s="193">
        <f>(((H299*'Appendix K'!$C$11*1000)-('Appendix K'!$E$37+'Appendix K'!$F$37+'Appendix K'!$H$37+'Appendix K'!$G$37))/((1+$Y$16)^AE$34))</f>
        <v>2386858.0480890507</v>
      </c>
      <c r="AF299" s="193">
        <f>(((I299*'Appendix K'!$C$12*1000)-('Appendix K'!$E$38+'Appendix K'!$F$38+'Appendix K'!$H$38+'Appendix K'!$G$38))/((1+$Y$16)^AF$34))</f>
        <v>778737.19443027989</v>
      </c>
      <c r="AG299" s="193">
        <f>(((J299*'Appendix K'!$C$13*1000)-('Appendix K'!$E$39+'Appendix K'!$F$39+'Appendix K'!$H$39+'Appendix K'!$G$39))/((1+$Y$16)^AG$34))</f>
        <v>278422.48376487405</v>
      </c>
      <c r="AH299" s="193">
        <f>(((K299*'Appendix K'!$C$14*1000)-('Appendix K'!$E$40+'Appendix K'!$F$40+'Appendix K'!$H$40+'Appendix K'!$G$40))/((1+$Y$16)^AH$34))</f>
        <v>352498.21061039192</v>
      </c>
      <c r="AI299" s="193">
        <f>(((L299*'Appendix K'!$C$15*1000)-('Appendix K'!$E$41+'Appendix K'!$F$41+'Appendix K'!$H$41+'Appendix K'!$G$41))/((1+$Y$16)^AI$34))</f>
        <v>-1150598.2842252739</v>
      </c>
      <c r="AJ299" s="193">
        <f>(((M299*'Appendix K'!$C$16*1000)-('Appendix K'!$E$42+'Appendix K'!$F$42+'Appendix K'!$H$42+'Appendix K'!$G$42))/((1+$Y$16)^AJ$34))</f>
        <v>-1111607.4043188451</v>
      </c>
      <c r="AK299" s="193">
        <f>(((N299*'Appendix K'!$C$17*1000)-('Appendix K'!$E$43+'Appendix K'!$F$43+'Appendix K'!$H$43))/((1+$Y$16)^AK$34))</f>
        <v>-804877.29007609212</v>
      </c>
      <c r="AL299" s="193">
        <f>(((O299*'Appendix K'!$C$18*1000)-('Appendix K'!$E$44+'Appendix K'!$F$44+'Appendix K'!$H$44+'Appendix K'!$G$44))/((1+$Y$16)^AL$34))</f>
        <v>-1011166.0023322551</v>
      </c>
      <c r="AM299" s="193">
        <f>(((P299*'Appendix K'!$C$19*1000)-('Appendix K'!$E$45+'Appendix K'!$F$45+'Appendix K'!$H$45+'Appendix K'!$G$45))/((1+$Y$16)^AM$34))</f>
        <v>-885406.66767662403</v>
      </c>
      <c r="AN299" s="193">
        <f>(((Q299*'Appendix K'!$C$20*1000)-('Appendix K'!$E$46+'Appendix K'!$F$46+'Appendix K'!$H$46+'Appendix K'!$G$46))/((1+$Y$16)^AN$34))</f>
        <v>-740448.37686429825</v>
      </c>
      <c r="AO299" s="193">
        <f>(((R299*'Appendix K'!$C$21*1000)-('Appendix K'!$E$47+'Appendix K'!$F$47+'Appendix K'!$H$47+'Appendix K'!$G$47))/((1+$Y$16)^AO$34))</f>
        <v>-659455.96662965848</v>
      </c>
      <c r="AP299" s="193">
        <f>(((S299*'Appendix K'!$C$22*1000)-('Appendix K'!$E$48+'Appendix K'!$F$48+'Appendix K'!$H$48+'Appendix K'!$G$48))/((1+$Y$16)^AP$34))</f>
        <v>-605351.70239318255</v>
      </c>
      <c r="AQ299" s="193">
        <f>(((T299*'Appendix K'!$C$23*1000)-('Appendix K'!$E$49+'Appendix K'!$F$49+'Appendix K'!$H$49+'Appendix K'!$G$49))/((1+$Y$16)^AQ$34))</f>
        <v>-557570.10119840456</v>
      </c>
      <c r="AR299" s="193">
        <f>(((U299*'Appendix K'!$C$24*1000)-('Appendix K'!$E$50+'Appendix K'!$F$50+'Appendix K'!$H$50+'Appendix K'!$G$50))/((1+$Y$16)^AR$34))</f>
        <v>-484544.55197161017</v>
      </c>
      <c r="AS299" s="209">
        <f t="shared" si="24"/>
        <v>91145124.931193382</v>
      </c>
      <c r="AU299" s="199">
        <f t="shared" si="23"/>
        <v>7.016102555902584E-9</v>
      </c>
    </row>
    <row r="300" spans="1:47" x14ac:dyDescent="0.35">
      <c r="A300">
        <v>266</v>
      </c>
      <c r="B300" s="70">
        <v>56</v>
      </c>
      <c r="C300" s="70">
        <v>72.854698526043165</v>
      </c>
      <c r="D300" s="70">
        <v>92.020121839977975</v>
      </c>
      <c r="E300" s="70">
        <v>79.9412263153922</v>
      </c>
      <c r="F300" s="70">
        <v>76.157998262795175</v>
      </c>
      <c r="G300" s="70">
        <v>75.230871071142758</v>
      </c>
      <c r="H300" s="70">
        <v>116.65154546289349</v>
      </c>
      <c r="I300" s="70">
        <v>124.05445951342921</v>
      </c>
      <c r="J300" s="70">
        <v>56.291961545346879</v>
      </c>
      <c r="K300" s="70">
        <v>66.285451116914317</v>
      </c>
      <c r="L300" s="70">
        <v>85.293709943963279</v>
      </c>
      <c r="M300" s="70">
        <v>131.69996850586844</v>
      </c>
      <c r="N300" s="70">
        <v>86.967501421640378</v>
      </c>
      <c r="O300" s="70">
        <v>70.410009844523699</v>
      </c>
      <c r="P300" s="70">
        <v>89.63990029345905</v>
      </c>
      <c r="Q300" s="70">
        <v>113.17308463441719</v>
      </c>
      <c r="R300" s="70">
        <v>143.04726935545384</v>
      </c>
      <c r="S300" s="70">
        <v>212.1690115767081</v>
      </c>
      <c r="T300" s="70">
        <v>81.423400806037932</v>
      </c>
      <c r="U300" s="70">
        <v>151.21400202143806</v>
      </c>
      <c r="V300" s="70">
        <v>290.93914206462773</v>
      </c>
      <c r="X300" s="193">
        <f>((0-('Appendix K'!$I$30))/(1+$Y$16)^0)</f>
        <v>-33594902.4440751</v>
      </c>
      <c r="Y300" s="193">
        <f>(((B300*'Appendix K'!$C$5*1000)-('Appendix K'!$E$31+'Appendix K'!$F$31+'Appendix K'!$H$31+'Appendix K'!$G$31))/((1+$Y$16)^1))</f>
        <v>34971064.972647354</v>
      </c>
      <c r="Z300" s="193">
        <f>+(((C300*'Appendix K'!$C$6*1000)-('Appendix K'!$E$32+'Appendix K'!$F$32+'Appendix K'!$H$32+'Appendix K'!$G$32))/((1+$Y$16)^2))</f>
        <v>14917095.22074127</v>
      </c>
      <c r="AA300" s="193">
        <f>(((D300*'Appendix K'!$C$7*1000)-('Appendix K'!$E$33+'Appendix K'!$F$33+'Appendix K'!$H$33+'Appendix K'!$G$33))/((1+$Y$16)^3))</f>
        <v>8756153.2108562384</v>
      </c>
      <c r="AB300" s="193">
        <f>(((E300*'Appendix K'!$C$8*1000)-('Appendix K'!$E$34+'Appendix K'!$F$34+'Appendix K'!$H$34+'Appendix K'!$G$34))/((1+$Y$16)^4))</f>
        <v>14229177.127987716</v>
      </c>
      <c r="AC300" s="193">
        <f>(((F300*'Appendix K'!$C$9*1000)-('Appendix K'!$E$35+'Appendix K'!$F$35+'Appendix K'!$H$35+'Appendix K'!$G$35))/((1+$Y$16)^AC$34))</f>
        <v>17258447.829574183</v>
      </c>
      <c r="AD300" s="193">
        <f>(((G300*'Appendix K'!$C$10*1000)-('Appendix K'!$E$36+'Appendix K'!$F$36+'Appendix K'!$H$36+'Appendix K'!$G$36))/((1+$Y$16)^AD$34))</f>
        <v>9298790.2912359741</v>
      </c>
      <c r="AE300" s="193">
        <f>(((H300*'Appendix K'!$C$11*1000)-('Appendix K'!$E$37+'Appendix K'!$F$37+'Appendix K'!$H$37+'Appendix K'!$G$37))/((1+$Y$16)^AE$34))</f>
        <v>9414607.5791898556</v>
      </c>
      <c r="AF300" s="193">
        <f>(((I300*'Appendix K'!$C$12*1000)-('Appendix K'!$E$38+'Appendix K'!$F$38+'Appendix K'!$H$38+'Appendix K'!$G$38))/((1+$Y$16)^AF$34))</f>
        <v>6149137.8860229133</v>
      </c>
      <c r="AG300" s="193">
        <f>(((J300*'Appendix K'!$C$13*1000)-('Appendix K'!$E$39+'Appendix K'!$F$39+'Appendix K'!$H$39+'Appendix K'!$G$39))/((1+$Y$16)^AG$34))</f>
        <v>775552.11112444603</v>
      </c>
      <c r="AH300" s="193">
        <f>(((K300*'Appendix K'!$C$14*1000)-('Appendix K'!$E$40+'Appendix K'!$F$40+'Appendix K'!$H$40+'Appendix K'!$G$40))/((1+$Y$16)^AH$34))</f>
        <v>601511.1755563668</v>
      </c>
      <c r="AI300" s="193">
        <f>(((L300*'Appendix K'!$C$15*1000)-('Appendix K'!$E$41+'Appendix K'!$F$41+'Appendix K'!$H$41+'Appendix K'!$G$41))/((1+$Y$16)^AI$34))</f>
        <v>718373.35222051479</v>
      </c>
      <c r="AJ300" s="193">
        <f>(((M300*'Appendix K'!$C$16*1000)-('Appendix K'!$E$42+'Appendix K'!$F$42+'Appendix K'!$H$42+'Appendix K'!$G$42))/((1+$Y$16)^AJ$34))</f>
        <v>1257962.2910866435</v>
      </c>
      <c r="AK300" s="193">
        <f>(((N300*'Appendix K'!$C$17*1000)-('Appendix K'!$E$43+'Appendix K'!$F$43+'Appendix K'!$H$43))/((1+$Y$16)^AK$34))</f>
        <v>331901.15803983412</v>
      </c>
      <c r="AL300" s="193">
        <f>(((O300*'Appendix K'!$C$18*1000)-('Appendix K'!$E$44+'Appendix K'!$F$44+'Appendix K'!$H$44+'Appendix K'!$G$44))/((1+$Y$16)^AL$34))</f>
        <v>-299998.56068796554</v>
      </c>
      <c r="AM300" s="193">
        <f>(((P300*'Appendix K'!$C$19*1000)-('Appendix K'!$E$45+'Appendix K'!$F$45+'Appendix K'!$H$45+'Appendix K'!$G$45))/((1+$Y$16)^AM$34))</f>
        <v>-195917.74840711069</v>
      </c>
      <c r="AN300" s="193">
        <f>(((Q300*'Appendix K'!$C$20*1000)-('Appendix K'!$E$46+'Appendix K'!$F$46+'Appendix K'!$H$46+'Appendix K'!$G$46))/((1+$Y$16)^AN$34))</f>
        <v>-96763.852239716318</v>
      </c>
      <c r="AO300" s="193">
        <f>(((R300*'Appendix K'!$C$21*1000)-('Appendix K'!$E$47+'Appendix K'!$F$47+'Appendix K'!$H$47+'Appendix K'!$G$47))/((1+$Y$16)^AO$34))</f>
        <v>2426.2403778028797</v>
      </c>
      <c r="AP300" s="193">
        <f>(((S300*'Appendix K'!$C$22*1000)-('Appendix K'!$E$48+'Appendix K'!$F$48+'Appendix K'!$H$48+'Appendix K'!$G$48))/((1+$Y$16)^AP$34))</f>
        <v>251776.78563802593</v>
      </c>
      <c r="AQ300" s="193">
        <f>(((T300*'Appendix K'!$C$23*1000)-('Appendix K'!$E$49+'Appendix K'!$F$49+'Appendix K'!$H$49+'Appendix K'!$G$49))/((1+$Y$16)^AQ$34))</f>
        <v>-374815.28568215336</v>
      </c>
      <c r="AR300" s="193">
        <f>(((U300*'Appendix K'!$C$24*1000)-('Appendix K'!$E$50+'Appendix K'!$F$50+'Appendix K'!$H$50+'Appendix K'!$G$50))/((1+$Y$16)^AR$34))</f>
        <v>-142375.54595553968</v>
      </c>
      <c r="AS300" s="209">
        <f t="shared" si="24"/>
        <v>85339074.788224012</v>
      </c>
      <c r="AU300" s="199">
        <f t="shared" si="23"/>
        <v>7.0240129662944966E-9</v>
      </c>
    </row>
    <row r="301" spans="1:47" x14ac:dyDescent="0.35">
      <c r="A301">
        <v>267</v>
      </c>
      <c r="B301" s="70">
        <v>56</v>
      </c>
      <c r="C301" s="70">
        <v>38.750872713451727</v>
      </c>
      <c r="D301" s="70">
        <v>33.715645362219398</v>
      </c>
      <c r="E301" s="70">
        <v>34.487581892298145</v>
      </c>
      <c r="F301" s="70">
        <v>25.386374356546618</v>
      </c>
      <c r="G301" s="70">
        <v>33.229105209968274</v>
      </c>
      <c r="H301" s="70">
        <v>14.147948915366669</v>
      </c>
      <c r="I301" s="70">
        <v>16.055721894133164</v>
      </c>
      <c r="J301" s="70">
        <v>18.069461664615549</v>
      </c>
      <c r="K301" s="70">
        <v>27.924567725257894</v>
      </c>
      <c r="L301" s="70">
        <v>30.021264202825449</v>
      </c>
      <c r="M301" s="70">
        <v>30.663067973327422</v>
      </c>
      <c r="N301" s="70">
        <v>33.174526230509919</v>
      </c>
      <c r="O301" s="70">
        <v>16.866576280252218</v>
      </c>
      <c r="P301" s="70">
        <v>17.6202921373661</v>
      </c>
      <c r="Q301" s="70">
        <v>22.586163998560259</v>
      </c>
      <c r="R301" s="70">
        <v>29.916781248593811</v>
      </c>
      <c r="S301" s="70">
        <v>33.343379955552749</v>
      </c>
      <c r="T301" s="70">
        <v>43.746457072604287</v>
      </c>
      <c r="U301" s="70">
        <v>53.247673479997609</v>
      </c>
      <c r="V301" s="70">
        <v>81.191807105395512</v>
      </c>
      <c r="X301" s="193">
        <f>((0-('Appendix K'!$I$30))/(1+$Y$16)^0)</f>
        <v>-33594902.4440751</v>
      </c>
      <c r="Y301" s="193">
        <f>(((B301*'Appendix K'!$C$5*1000)-('Appendix K'!$E$31+'Appendix K'!$F$31+'Appendix K'!$H$31+'Appendix K'!$G$31))/((1+$Y$16)^1))</f>
        <v>34971064.972647354</v>
      </c>
      <c r="Z301" s="193">
        <f>+(((C301*'Appendix K'!$C$6*1000)-('Appendix K'!$E$32+'Appendix K'!$F$32+'Appendix K'!$H$32+'Appendix K'!$G$32))/((1+$Y$16)^2))</f>
        <v>6301885.538515999</v>
      </c>
      <c r="AA301" s="193">
        <f>(((D301*'Appendix K'!$C$7*1000)-('Appendix K'!$E$33+'Appendix K'!$F$33+'Appendix K'!$H$33+'Appendix K'!$G$33))/((1+$Y$16)^3))</f>
        <v>1329627.9615746702</v>
      </c>
      <c r="AB301" s="193">
        <f>(((E301*'Appendix K'!$C$8*1000)-('Appendix K'!$E$34+'Appendix K'!$F$34+'Appendix K'!$H$34+'Appendix K'!$G$34))/((1+$Y$16)^4))</f>
        <v>4266154.3585115718</v>
      </c>
      <c r="AC301" s="193">
        <f>(((F301*'Appendix K'!$C$9*1000)-('Appendix K'!$E$35+'Appendix K'!$F$35+'Appendix K'!$H$35+'Appendix K'!$G$35))/((1+$Y$16)^AC$34))</f>
        <v>3763429.9210496331</v>
      </c>
      <c r="AD301" s="193">
        <f>(((G301*'Appendix K'!$C$10*1000)-('Appendix K'!$E$36+'Appendix K'!$F$36+'Appendix K'!$H$36+'Appendix K'!$G$36))/((1+$Y$16)^AD$34))</f>
        <v>2702667.0097339405</v>
      </c>
      <c r="AE301" s="193">
        <f>(((H301*'Appendix K'!$C$11*1000)-('Appendix K'!$E$37+'Appendix K'!$F$37+'Appendix K'!$H$37+'Appendix K'!$G$37))/((1+$Y$16)^AE$34))</f>
        <v>-808858.08767198888</v>
      </c>
      <c r="AF301" s="193">
        <f>(((I301*'Appendix K'!$C$12*1000)-('Appendix K'!$E$38+'Appendix K'!$F$38+'Appendix K'!$H$38+'Appendix K'!$G$38))/((1+$Y$16)^AF$34))</f>
        <v>-942321.34321237495</v>
      </c>
      <c r="AG301" s="193">
        <f>(((J301*'Appendix K'!$C$13*1000)-('Appendix K'!$E$39+'Appendix K'!$F$39+'Appendix K'!$H$39+'Appendix K'!$G$39))/((1+$Y$16)^AG$34))</f>
        <v>-983406.53323004814</v>
      </c>
      <c r="AH301" s="193">
        <f>(((K301*'Appendix K'!$C$14*1000)-('Appendix K'!$E$40+'Appendix K'!$F$40+'Appendix K'!$H$40+'Appendix K'!$G$40))/((1+$Y$16)^AH$34))</f>
        <v>-691500.9668742487</v>
      </c>
      <c r="AI301" s="193">
        <f>(((L301*'Appendix K'!$C$15*1000)-('Appendix K'!$E$41+'Appendix K'!$F$41+'Appendix K'!$H$41+'Appendix K'!$G$41))/((1+$Y$16)^AI$34))</f>
        <v>-729868.08617765957</v>
      </c>
      <c r="AJ301" s="193">
        <f>(((M301*'Appendix K'!$C$16*1000)-('Appendix K'!$E$42+'Appendix K'!$F$42+'Appendix K'!$H$42+'Appendix K'!$G$42))/((1+$Y$16)^AJ$34))</f>
        <v>-767005.82925069146</v>
      </c>
      <c r="AK301" s="193">
        <f>(((N301*'Appendix K'!$C$17*1000)-('Appendix K'!$E$43+'Appendix K'!$F$43+'Appendix K'!$H$43))/((1+$Y$16)^AK$34))</f>
        <v>-494568.59700616734</v>
      </c>
      <c r="AL301" s="193">
        <f>(((O301*'Appendix K'!$C$18*1000)-('Appendix K'!$E$44+'Appendix K'!$F$44+'Appendix K'!$H$44+'Appendix K'!$G$44))/((1+$Y$16)^AL$34))</f>
        <v>-934664.63399443729</v>
      </c>
      <c r="AM301" s="193">
        <f>(((P301*'Appendix K'!$C$19*1000)-('Appendix K'!$E$45+'Appendix K'!$F$45+'Appendix K'!$H$45+'Appendix K'!$G$45))/((1+$Y$16)^AM$34))</f>
        <v>-863448.18019050418</v>
      </c>
      <c r="AN301" s="193">
        <f>(((Q301*'Appendix K'!$C$20*1000)-('Appendix K'!$E$46+'Appendix K'!$F$46+'Appendix K'!$H$46+'Appendix K'!$G$46))/((1+$Y$16)^AN$34))</f>
        <v>-752270.45743816381</v>
      </c>
      <c r="AO301" s="193">
        <f>(((R301*'Appendix K'!$C$21*1000)-('Appendix K'!$E$47+'Appendix K'!$F$47+'Appendix K'!$H$47+'Appendix K'!$G$47))/((1+$Y$16)^AO$34))</f>
        <v>-666187.44299461797</v>
      </c>
      <c r="AP301" s="193">
        <f>(((S301*'Appendix K'!$C$22*1000)-('Appendix K'!$E$48+'Appendix K'!$F$48+'Appendix K'!$H$48+'Appendix K'!$G$48))/((1+$Y$16)^AP$34))</f>
        <v>-604747.80092681153</v>
      </c>
      <c r="AQ301" s="193">
        <f>(((T301*'Appendix K'!$C$23*1000)-('Appendix K'!$E$49+'Appendix K'!$F$49+'Appendix K'!$H$49+'Appendix K'!$G$49))/((1+$Y$16)^AQ$34))</f>
        <v>-522273.19790984574</v>
      </c>
      <c r="AR301" s="193">
        <f>(((U301*'Appendix K'!$C$24*1000)-('Appendix K'!$E$50+'Appendix K'!$F$50+'Appendix K'!$H$50+'Appendix K'!$G$50))/((1+$Y$16)^AR$34))</f>
        <v>-457829.86876368203</v>
      </c>
      <c r="AS301" s="209">
        <f t="shared" si="24"/>
        <v>19739927.317958072</v>
      </c>
      <c r="AU301" s="199">
        <f t="shared" si="23"/>
        <v>3.4379506224864304E-9</v>
      </c>
    </row>
    <row r="302" spans="1:47" x14ac:dyDescent="0.35">
      <c r="A302">
        <v>268</v>
      </c>
      <c r="B302" s="70">
        <v>56</v>
      </c>
      <c r="C302" s="70">
        <v>57.379530270347331</v>
      </c>
      <c r="D302" s="70">
        <v>64.165860539332485</v>
      </c>
      <c r="E302" s="70">
        <v>86.963132653759203</v>
      </c>
      <c r="F302" s="70">
        <v>94.655821746202562</v>
      </c>
      <c r="G302" s="70">
        <v>138.29127388151326</v>
      </c>
      <c r="H302" s="70">
        <v>139.60226297801637</v>
      </c>
      <c r="I302" s="70">
        <v>200.56218399366279</v>
      </c>
      <c r="J302" s="70">
        <v>255.9744567867611</v>
      </c>
      <c r="K302" s="70">
        <v>140.86757833634471</v>
      </c>
      <c r="L302" s="70">
        <v>200.38762832577288</v>
      </c>
      <c r="M302" s="70">
        <v>230.59859330368641</v>
      </c>
      <c r="N302" s="70">
        <v>260.14442918345424</v>
      </c>
      <c r="O302" s="70">
        <v>316.62367207211969</v>
      </c>
      <c r="P302" s="70">
        <v>270.21277305655815</v>
      </c>
      <c r="Q302" s="70">
        <v>375.80521519887748</v>
      </c>
      <c r="R302" s="70">
        <v>490.32114114794479</v>
      </c>
      <c r="S302" s="70">
        <v>500</v>
      </c>
      <c r="T302" s="70">
        <v>500</v>
      </c>
      <c r="U302" s="70">
        <v>500</v>
      </c>
      <c r="V302" s="70">
        <v>500</v>
      </c>
      <c r="X302" s="193">
        <f>((0-('Appendix K'!$I$30))/(1+$Y$16)^0)</f>
        <v>-33594902.4440751</v>
      </c>
      <c r="Y302" s="193">
        <f>(((B302*'Appendix K'!$C$5*1000)-('Appendix K'!$E$31+'Appendix K'!$F$31+'Appendix K'!$H$31+'Appendix K'!$G$31))/((1+$Y$16)^1))</f>
        <v>34971064.972647354</v>
      </c>
      <c r="Z302" s="193">
        <f>+(((C302*'Appendix K'!$C$6*1000)-('Appendix K'!$E$32+'Appendix K'!$F$32+'Appendix K'!$H$32+'Appendix K'!$G$32))/((1+$Y$16)^2))</f>
        <v>11007803.04562958</v>
      </c>
      <c r="AA302" s="193">
        <f>(((D302*'Appendix K'!$C$7*1000)-('Appendix K'!$E$33+'Appendix K'!$F$33+'Appendix K'!$H$33+'Appendix K'!$G$33))/((1+$Y$16)^3))</f>
        <v>5208220.2330472125</v>
      </c>
      <c r="AB302" s="193">
        <f>(((E302*'Appendix K'!$C$8*1000)-('Appendix K'!$E$34+'Appendix K'!$F$34+'Appendix K'!$H$34+'Appendix K'!$G$34))/((1+$Y$16)^4))</f>
        <v>15768314.717992147</v>
      </c>
      <c r="AC302" s="193">
        <f>(((F302*'Appendix K'!$C$9*1000)-('Appendix K'!$E$35+'Appendix K'!$F$35+'Appendix K'!$H$35+'Appendix K'!$G$35))/((1+$Y$16)^AC$34))</f>
        <v>22175140.26466855</v>
      </c>
      <c r="AD302" s="193">
        <f>(((G302*'Appendix K'!$C$10*1000)-('Appendix K'!$E$36+'Appendix K'!$F$36+'Appendix K'!$H$36+'Appendix K'!$G$36))/((1+$Y$16)^AD$34))</f>
        <v>19202045.132787295</v>
      </c>
      <c r="AE302" s="193">
        <f>(((H302*'Appendix K'!$C$11*1000)-('Appendix K'!$E$37+'Appendix K'!$F$37+'Appendix K'!$H$37+'Appendix K'!$G$37))/((1+$Y$16)^AE$34))</f>
        <v>11703657.724244151</v>
      </c>
      <c r="AF302" s="193">
        <f>(((I302*'Appendix K'!$C$12*1000)-('Appendix K'!$E$38+'Appendix K'!$F$38+'Appendix K'!$H$38+'Appendix K'!$G$38))/((1+$Y$16)^AF$34))</f>
        <v>11172820.762629112</v>
      </c>
      <c r="AG302" s="193">
        <f>(((J302*'Appendix K'!$C$13*1000)-('Appendix K'!$E$39+'Appendix K'!$F$39+'Appendix K'!$H$39+'Appendix K'!$G$39))/((1+$Y$16)^AG$34))</f>
        <v>9964727.3934095241</v>
      </c>
      <c r="AH302" s="193">
        <f>(((K302*'Appendix K'!$C$14*1000)-('Appendix K'!$E$40+'Appendix K'!$F$40+'Appendix K'!$H$40+'Appendix K'!$G$40))/((1+$Y$16)^AH$34))</f>
        <v>3115415.6422090656</v>
      </c>
      <c r="AI302" s="193">
        <f>(((L302*'Appendix K'!$C$15*1000)-('Appendix K'!$E$41+'Appendix K'!$F$41+'Appendix K'!$H$41+'Appendix K'!$G$41))/((1+$Y$16)^AI$34))</f>
        <v>3734049.2405066676</v>
      </c>
      <c r="AJ302" s="193">
        <f>(((M302*'Appendix K'!$C$16*1000)-('Appendix K'!$E$42+'Appendix K'!$F$42+'Appendix K'!$H$42+'Appendix K'!$G$42))/((1+$Y$16)^AJ$34))</f>
        <v>3240075.3735864866</v>
      </c>
      <c r="AK302" s="193">
        <f>(((N302*'Appendix K'!$C$17*1000)-('Appendix K'!$E$43+'Appendix K'!$F$43+'Appendix K'!$H$43))/((1+$Y$16)^AK$34))</f>
        <v>2992573.7190645747</v>
      </c>
      <c r="AL302" s="193">
        <f>(((O302*'Appendix K'!$C$18*1000)-('Appendix K'!$E$44+'Appendix K'!$F$44+'Appendix K'!$H$44+'Appendix K'!$G$44))/((1+$Y$16)^AL$34))</f>
        <v>2618444.4265893004</v>
      </c>
      <c r="AM302" s="193">
        <f>(((P302*'Appendix K'!$C$19*1000)-('Appendix K'!$E$45+'Appendix K'!$F$45+'Appendix K'!$H$45+'Appendix K'!$G$45))/((1+$Y$16)^AM$34))</f>
        <v>1477763.7781942205</v>
      </c>
      <c r="AN302" s="193">
        <f>(((Q302*'Appendix K'!$C$20*1000)-('Appendix K'!$E$46+'Appendix K'!$F$46+'Appendix K'!$H$46+'Appendix K'!$G$46))/((1+$Y$16)^AN$34))</f>
        <v>1803699.2070399479</v>
      </c>
      <c r="AO302" s="193">
        <f>(((R302*'Appendix K'!$C$21*1000)-('Appendix K'!$E$47+'Appendix K'!$F$47+'Appendix K'!$H$47+'Appendix K'!$G$47))/((1+$Y$16)^AO$34))</f>
        <v>2054853.1895027531</v>
      </c>
      <c r="AP302" s="193">
        <f>(((S302*'Appendix K'!$C$22*1000)-('Appendix K'!$E$48+'Appendix K'!$F$48+'Appendix K'!$H$48+'Appendix K'!$G$48))/((1+$Y$16)^AP$34))</f>
        <v>1630406.4380253027</v>
      </c>
      <c r="AQ302" s="193">
        <f>(((T302*'Appendix K'!$C$23*1000)-('Appendix K'!$E$49+'Appendix K'!$F$49+'Appendix K'!$H$49+'Appendix K'!$G$49))/((1+$Y$16)^AQ$34))</f>
        <v>1263386.3652054211</v>
      </c>
      <c r="AR302" s="193">
        <f>(((U302*'Appendix K'!$C$24*1000)-('Appendix K'!$E$50+'Appendix K'!$F$50+'Appendix K'!$H$50+'Appendix K'!$G$50))/((1+$Y$16)^AR$34))</f>
        <v>980725.14012097823</v>
      </c>
      <c r="AS302" s="209">
        <f t="shared" si="24"/>
        <v>132490284.32302451</v>
      </c>
      <c r="AU302" s="199">
        <f t="shared" si="23"/>
        <v>5.1424814210917667E-9</v>
      </c>
    </row>
    <row r="303" spans="1:47" x14ac:dyDescent="0.35">
      <c r="A303">
        <v>269</v>
      </c>
      <c r="B303" s="70">
        <v>56</v>
      </c>
      <c r="C303" s="70">
        <v>46.02133193582538</v>
      </c>
      <c r="D303" s="70">
        <v>44.444685926429237</v>
      </c>
      <c r="E303" s="70">
        <v>37.362890819497814</v>
      </c>
      <c r="F303" s="70">
        <v>38.069730425378388</v>
      </c>
      <c r="G303" s="70">
        <v>39.916073278062477</v>
      </c>
      <c r="H303" s="70">
        <v>50.753775549532371</v>
      </c>
      <c r="I303" s="70">
        <v>53.340154014930867</v>
      </c>
      <c r="J303" s="70">
        <v>61.949610261611241</v>
      </c>
      <c r="K303" s="70">
        <v>67.368710376916013</v>
      </c>
      <c r="L303" s="70">
        <v>85.994494083143266</v>
      </c>
      <c r="M303" s="70">
        <v>100.12884422949853</v>
      </c>
      <c r="N303" s="70">
        <v>89.281343714507841</v>
      </c>
      <c r="O303" s="70">
        <v>82.293218490746114</v>
      </c>
      <c r="P303" s="70">
        <v>79.776923353478182</v>
      </c>
      <c r="Q303" s="70">
        <v>88.797467162129735</v>
      </c>
      <c r="R303" s="70">
        <v>20.017312612216543</v>
      </c>
      <c r="S303" s="70">
        <v>16.487619566862403</v>
      </c>
      <c r="T303" s="70">
        <v>14.187282122956795</v>
      </c>
      <c r="U303" s="70">
        <v>14.512881051694793</v>
      </c>
      <c r="V303" s="70">
        <v>20.066005512172097</v>
      </c>
      <c r="X303" s="193">
        <f>((0-('Appendix K'!$I$30))/(1+$Y$16)^0)</f>
        <v>-33594902.4440751</v>
      </c>
      <c r="Y303" s="193">
        <f>(((B303*'Appendix K'!$C$5*1000)-('Appendix K'!$E$31+'Appendix K'!$F$31+'Appendix K'!$H$31+'Appendix K'!$G$31))/((1+$Y$16)^1))</f>
        <v>34971064.972647354</v>
      </c>
      <c r="Z303" s="193">
        <f>+(((C303*'Appendix K'!$C$6*1000)-('Appendix K'!$E$32+'Appendix K'!$F$32+'Appendix K'!$H$32+'Appendix K'!$G$32))/((1+$Y$16)^2))</f>
        <v>8138527.8856538255</v>
      </c>
      <c r="AA303" s="193">
        <f>(((D303*'Appendix K'!$C$7*1000)-('Appendix K'!$E$33+'Appendix K'!$F$33+'Appendix K'!$H$33+'Appendix K'!$G$33))/((1+$Y$16)^3))</f>
        <v>2696238.1339696813</v>
      </c>
      <c r="AB303" s="193">
        <f>(((E303*'Appendix K'!$C$8*1000)-('Appendix K'!$E$34+'Appendix K'!$F$34+'Appendix K'!$H$34+'Appendix K'!$G$34))/((1+$Y$16)^4))</f>
        <v>4896395.7544339085</v>
      </c>
      <c r="AC303" s="193">
        <f>(((F303*'Appendix K'!$C$9*1000)-('Appendix K'!$E$35+'Appendix K'!$F$35+'Appendix K'!$H$35+'Appendix K'!$G$35))/((1+$Y$16)^AC$34))</f>
        <v>7134646.0477020843</v>
      </c>
      <c r="AD303" s="193">
        <f>(((G303*'Appendix K'!$C$10*1000)-('Appendix K'!$E$36+'Appendix K'!$F$36+'Appendix K'!$H$36+'Appendix K'!$G$36))/((1+$Y$16)^AD$34))</f>
        <v>3752814.8988108933</v>
      </c>
      <c r="AE303" s="193">
        <f>(((H303*'Appendix K'!$C$11*1000)-('Appendix K'!$E$37+'Appendix K'!$F$37+'Appendix K'!$H$37+'Appendix K'!$G$37))/((1+$Y$16)^AE$34))</f>
        <v>2842120.262419078</v>
      </c>
      <c r="AF303" s="193">
        <f>(((I303*'Appendix K'!$C$12*1000)-('Appendix K'!$E$38+'Appendix K'!$F$38+'Appendix K'!$H$38+'Appendix K'!$G$38))/((1+$Y$16)^AF$34))</f>
        <v>1505864.9606114875</v>
      </c>
      <c r="AG303" s="193">
        <f>(((J303*'Appendix K'!$C$13*1000)-('Appendix K'!$E$39+'Appendix K'!$F$39+'Appendix K'!$H$39+'Appendix K'!$G$39))/((1+$Y$16)^AG$34))</f>
        <v>1035911.065856527</v>
      </c>
      <c r="AH303" s="193">
        <f>(((K303*'Appendix K'!$C$14*1000)-('Appendix K'!$E$40+'Appendix K'!$F$40+'Appendix K'!$H$40+'Appendix K'!$G$40))/((1+$Y$16)^AH$34))</f>
        <v>638024.0827874667</v>
      </c>
      <c r="AI303" s="193">
        <f>(((L303*'Appendix K'!$C$15*1000)-('Appendix K'!$E$41+'Appendix K'!$F$41+'Appendix K'!$H$41+'Appendix K'!$G$41))/((1+$Y$16)^AI$34))</f>
        <v>736735.20713979646</v>
      </c>
      <c r="AJ303" s="193">
        <f>(((M303*'Appendix K'!$C$16*1000)-('Appendix K'!$E$42+'Appendix K'!$F$42+'Appendix K'!$H$42+'Appendix K'!$G$42))/((1+$Y$16)^AJ$34))</f>
        <v>625218.01799537765</v>
      </c>
      <c r="AK303" s="193">
        <f>(((N303*'Appendix K'!$C$17*1000)-('Appendix K'!$E$43+'Appendix K'!$F$43+'Appendix K'!$H$43))/((1+$Y$16)^AK$34))</f>
        <v>367450.79377213249</v>
      </c>
      <c r="AL303" s="193">
        <f>(((O303*'Appendix K'!$C$18*1000)-('Appendix K'!$E$44+'Appendix K'!$F$44+'Appendix K'!$H$44+'Appendix K'!$G$44))/((1+$Y$16)^AL$34))</f>
        <v>-159143.39194488298</v>
      </c>
      <c r="AM303" s="193">
        <f>(((P303*'Appendix K'!$C$19*1000)-('Appendix K'!$E$45+'Appendix K'!$F$45+'Appendix K'!$H$45+'Appendix K'!$G$45))/((1+$Y$16)^AM$34))</f>
        <v>-287335.03633716289</v>
      </c>
      <c r="AN303" s="193">
        <f>(((Q303*'Appendix K'!$C$20*1000)-('Appendix K'!$E$46+'Appendix K'!$F$46+'Appendix K'!$H$46+'Appendix K'!$G$46))/((1+$Y$16)^AN$34))</f>
        <v>-273151.10711843445</v>
      </c>
      <c r="AO303" s="193">
        <f>(((R303*'Appendix K'!$C$21*1000)-('Appendix K'!$E$47+'Appendix K'!$F$47+'Appendix K'!$H$47+'Appendix K'!$G$47))/((1+$Y$16)^AO$34))</f>
        <v>-724694.39632930083</v>
      </c>
      <c r="AP303" s="193">
        <f>(((S303*'Appendix K'!$C$22*1000)-('Appendix K'!$E$48+'Appendix K'!$F$48+'Appendix K'!$H$48+'Appendix K'!$G$48))/((1+$Y$16)^AP$34))</f>
        <v>-685482.16247932508</v>
      </c>
      <c r="AQ303" s="193">
        <f>(((T303*'Appendix K'!$C$23*1000)-('Appendix K'!$E$49+'Appendix K'!$F$49+'Appendix K'!$H$49+'Appendix K'!$G$49))/((1+$Y$16)^AQ$34))</f>
        <v>-637960.24131990573</v>
      </c>
      <c r="AR303" s="193">
        <f>(((U303*'Appendix K'!$C$24*1000)-('Appendix K'!$E$50+'Appendix K'!$F$50+'Appendix K'!$H$50+'Appendix K'!$G$50))/((1+$Y$16)^AR$34))</f>
        <v>-582556.98568748788</v>
      </c>
      <c r="AS303" s="209">
        <f t="shared" si="24"/>
        <v>35746109.639724486</v>
      </c>
      <c r="AU303" s="199">
        <f t="shared" si="23"/>
        <v>4.6294439450049505E-9</v>
      </c>
    </row>
    <row r="304" spans="1:47" x14ac:dyDescent="0.35">
      <c r="A304">
        <v>270</v>
      </c>
      <c r="B304" s="70">
        <v>56</v>
      </c>
      <c r="C304" s="70">
        <v>83.25017816761482</v>
      </c>
      <c r="D304" s="70">
        <v>52.407518300196273</v>
      </c>
      <c r="E304" s="70">
        <v>32.104727921117771</v>
      </c>
      <c r="F304" s="70">
        <v>40.834113761706973</v>
      </c>
      <c r="G304" s="70">
        <v>35.249082880840014</v>
      </c>
      <c r="H304" s="70">
        <v>33.70110046264589</v>
      </c>
      <c r="I304" s="70">
        <v>42.562314797437473</v>
      </c>
      <c r="J304" s="70">
        <v>28.013598279204821</v>
      </c>
      <c r="K304" s="70">
        <v>37.214802254772273</v>
      </c>
      <c r="L304" s="70">
        <v>45.109789710901701</v>
      </c>
      <c r="M304" s="70">
        <v>50.081437503356668</v>
      </c>
      <c r="N304" s="70">
        <v>64.272975759365423</v>
      </c>
      <c r="O304" s="70">
        <v>90.975532594321862</v>
      </c>
      <c r="P304" s="70">
        <v>103.0107594287781</v>
      </c>
      <c r="Q304" s="70">
        <v>127.83936275880669</v>
      </c>
      <c r="R304" s="70">
        <v>161.18885376847723</v>
      </c>
      <c r="S304" s="70">
        <v>251.12450586657059</v>
      </c>
      <c r="T304" s="70">
        <v>348.95653876901503</v>
      </c>
      <c r="U304" s="70">
        <v>186.6399786556899</v>
      </c>
      <c r="V304" s="70">
        <v>129.903091635816</v>
      </c>
      <c r="X304" s="193">
        <f>((0-('Appendix K'!$I$30))/(1+$Y$16)^0)</f>
        <v>-33594902.4440751</v>
      </c>
      <c r="Y304" s="193">
        <f>(((B304*'Appendix K'!$C$5*1000)-('Appendix K'!$E$31+'Appendix K'!$F$31+'Appendix K'!$H$31+'Appendix K'!$G$31))/((1+$Y$16)^1))</f>
        <v>34971064.972647354</v>
      </c>
      <c r="Z304" s="193">
        <f>+(((C304*'Appendix K'!$C$6*1000)-('Appendix K'!$E$32+'Appendix K'!$F$32+'Appendix K'!$H$32+'Appendix K'!$G$32))/((1+$Y$16)^2))</f>
        <v>17543171.173380516</v>
      </c>
      <c r="AA304" s="193">
        <f>(((D304*'Appendix K'!$C$7*1000)-('Appendix K'!$E$33+'Appendix K'!$F$33+'Appendix K'!$H$33+'Appendix K'!$G$33))/((1+$Y$16)^3))</f>
        <v>3710502.8911901028</v>
      </c>
      <c r="AB304" s="193">
        <f>(((E304*'Appendix K'!$C$8*1000)-('Appendix K'!$E$34+'Appendix K'!$F$34+'Appendix K'!$H$34+'Appendix K'!$G$34))/((1+$Y$16)^4))</f>
        <v>3743854.5809574379</v>
      </c>
      <c r="AC304" s="193">
        <f>(((F304*'Appendix K'!$C$9*1000)-('Appendix K'!$E$35+'Appendix K'!$F$35+'Appendix K'!$H$35+'Appendix K'!$G$35))/((1+$Y$16)^AC$34))</f>
        <v>7869414.7976374188</v>
      </c>
      <c r="AD304" s="193">
        <f>(((G304*'Appendix K'!$C$10*1000)-('Appendix K'!$E$36+'Appendix K'!$F$36+'Appendix K'!$H$36+'Appendix K'!$G$36))/((1+$Y$16)^AD$34))</f>
        <v>3019892.2851423677</v>
      </c>
      <c r="AE304" s="193">
        <f>(((H304*'Appendix K'!$C$11*1000)-('Appendix K'!$E$37+'Appendix K'!$F$37+'Appendix K'!$H$37+'Appendix K'!$G$37))/((1+$Y$16)^AE$34))</f>
        <v>1141326.883934052</v>
      </c>
      <c r="AF304" s="193">
        <f>(((I304*'Appendix K'!$C$12*1000)-('Appendix K'!$E$38+'Appendix K'!$F$38+'Appendix K'!$H$38+'Appendix K'!$G$38))/((1+$Y$16)^AF$34))</f>
        <v>798165.87935433968</v>
      </c>
      <c r="AG304" s="193">
        <f>(((J304*'Appendix K'!$C$13*1000)-('Appendix K'!$E$39+'Appendix K'!$F$39+'Appendix K'!$H$39+'Appendix K'!$G$39))/((1+$Y$16)^AG$34))</f>
        <v>-525787.9809780136</v>
      </c>
      <c r="AH304" s="193">
        <f>(((K304*'Appendix K'!$C$14*1000)-('Appendix K'!$E$40+'Appendix K'!$F$40+'Appendix K'!$H$40+'Appendix K'!$G$40))/((1+$Y$16)^AH$34))</f>
        <v>-378359.42813421576</v>
      </c>
      <c r="AI304" s="193">
        <f>(((L304*'Appendix K'!$C$15*1000)-('Appendix K'!$E$41+'Appendix K'!$F$41+'Appendix K'!$H$41+'Appendix K'!$G$41))/((1+$Y$16)^AI$34))</f>
        <v>-334520.50218500552</v>
      </c>
      <c r="AJ304" s="193">
        <f>(((M304*'Appendix K'!$C$16*1000)-('Appendix K'!$E$42+'Appendix K'!$F$42+'Appendix K'!$H$42+'Appendix K'!$G$42))/((1+$Y$16)^AJ$34))</f>
        <v>-377825.45020120975</v>
      </c>
      <c r="AK304" s="193">
        <f>(((N304*'Appendix K'!$C$17*1000)-('Appendix K'!$E$43+'Appendix K'!$F$43+'Appendix K'!$H$43))/((1+$Y$16)^AK$34))</f>
        <v>-16775.207198245818</v>
      </c>
      <c r="AL304" s="193">
        <f>(((O304*'Appendix K'!$C$18*1000)-('Appendix K'!$E$44+'Appendix K'!$F$44+'Appendix K'!$H$44+'Appendix K'!$G$44))/((1+$Y$16)^AL$34))</f>
        <v>-56229.368085815688</v>
      </c>
      <c r="AM304" s="193">
        <f>(((P304*'Appendix K'!$C$19*1000)-('Appendix K'!$E$45+'Appendix K'!$F$45+'Appendix K'!$H$45+'Appendix K'!$G$45))/((1+$Y$16)^AM$34))</f>
        <v>-71986.841249580626</v>
      </c>
      <c r="AN304" s="193">
        <f>(((Q304*'Appendix K'!$C$20*1000)-('Appendix K'!$E$46+'Appendix K'!$F$46+'Appendix K'!$H$46+'Appendix K'!$G$46))/((1+$Y$16)^AN$34))</f>
        <v>9364.5172504083203</v>
      </c>
      <c r="AO304" s="193">
        <f>(((R304*'Appendix K'!$C$21*1000)-('Appendix K'!$E$47+'Appendix K'!$F$47+'Appendix K'!$H$47+'Appendix K'!$G$47))/((1+$Y$16)^AO$34))</f>
        <v>109645.00854174694</v>
      </c>
      <c r="AP304" s="193">
        <f>(((S304*'Appendix K'!$C$22*1000)-('Appendix K'!$E$48+'Appendix K'!$F$48+'Appendix K'!$H$48+'Appendix K'!$G$48))/((1+$Y$16)^AP$34))</f>
        <v>438362.67010306951</v>
      </c>
      <c r="AQ304" s="193">
        <f>(((T304*'Appendix K'!$C$23*1000)-('Appendix K'!$E$49+'Appendix K'!$F$49+'Appendix K'!$H$49+'Appendix K'!$G$49))/((1+$Y$16)^AQ$34))</f>
        <v>672240.92606510944</v>
      </c>
      <c r="AR304" s="193">
        <f>(((U304*'Appendix K'!$C$24*1000)-('Appendix K'!$E$50+'Appendix K'!$F$50+'Appendix K'!$H$50+'Appendix K'!$G$50))/((1+$Y$16)^AR$34))</f>
        <v>-28302.908597819711</v>
      </c>
      <c r="AS304" s="209">
        <f t="shared" si="24"/>
        <v>40432104.142128818</v>
      </c>
      <c r="AU304" s="199">
        <f t="shared" si="23"/>
        <v>4.9753616667115872E-9</v>
      </c>
    </row>
    <row r="305" spans="1:47" x14ac:dyDescent="0.35">
      <c r="A305">
        <v>271</v>
      </c>
      <c r="B305" s="70">
        <v>56</v>
      </c>
      <c r="C305" s="70">
        <v>62.759546743207508</v>
      </c>
      <c r="D305" s="70">
        <v>65.122820050327974</v>
      </c>
      <c r="E305" s="70">
        <v>66.985276373627869</v>
      </c>
      <c r="F305" s="70">
        <v>55.022378551601207</v>
      </c>
      <c r="G305" s="70">
        <v>46.782802603278512</v>
      </c>
      <c r="H305" s="70">
        <v>40.910108724233403</v>
      </c>
      <c r="I305" s="70">
        <v>30.428177204414546</v>
      </c>
      <c r="J305" s="70">
        <v>32.425069519602644</v>
      </c>
      <c r="K305" s="70">
        <v>26.431989129951418</v>
      </c>
      <c r="L305" s="70">
        <v>26.036826555324588</v>
      </c>
      <c r="M305" s="70">
        <v>25.608588534922077</v>
      </c>
      <c r="N305" s="70">
        <v>30.683178848516313</v>
      </c>
      <c r="O305" s="70">
        <v>18.965812997412726</v>
      </c>
      <c r="P305" s="70">
        <v>12.61954769786194</v>
      </c>
      <c r="Q305" s="70">
        <v>20.293182641594033</v>
      </c>
      <c r="R305" s="70">
        <v>21.154382389423549</v>
      </c>
      <c r="S305" s="70">
        <v>23.377268666773091</v>
      </c>
      <c r="T305" s="70">
        <v>26.361440669322292</v>
      </c>
      <c r="U305" s="70">
        <v>40.057911319291819</v>
      </c>
      <c r="V305" s="70">
        <v>47.795720248753447</v>
      </c>
      <c r="X305" s="193">
        <f>((0-('Appendix K'!$I$30))/(1+$Y$16)^0)</f>
        <v>-33594902.4440751</v>
      </c>
      <c r="Y305" s="193">
        <f>(((B305*'Appendix K'!$C$5*1000)-('Appendix K'!$E$31+'Appendix K'!$F$31+'Appendix K'!$H$31+'Appendix K'!$G$31))/((1+$Y$16)^1))</f>
        <v>34971064.972647354</v>
      </c>
      <c r="Z305" s="193">
        <f>+(((C305*'Appendix K'!$C$6*1000)-('Appendix K'!$E$32+'Appendix K'!$F$32+'Appendix K'!$H$32+'Appendix K'!$G$32))/((1+$Y$16)^2))</f>
        <v>12366887.221763376</v>
      </c>
      <c r="AA305" s="193">
        <f>(((D305*'Appendix K'!$C$7*1000)-('Appendix K'!$E$33+'Appendix K'!$F$33+'Appendix K'!$H$33+'Appendix K'!$G$33))/((1+$Y$16)^3))</f>
        <v>5330112.8286124831</v>
      </c>
      <c r="AB305" s="193">
        <f>(((E305*'Appendix K'!$C$8*1000)-('Appendix K'!$E$34+'Appendix K'!$F$34+'Appendix K'!$H$34+'Appendix K'!$G$34))/((1+$Y$16)^4))</f>
        <v>11389351.501059372</v>
      </c>
      <c r="AC305" s="193">
        <f>(((F305*'Appendix K'!$C$9*1000)-('Appendix K'!$E$35+'Appendix K'!$F$35+'Appendix K'!$H$35+'Appendix K'!$G$35))/((1+$Y$16)^AC$34))</f>
        <v>11640633.299217515</v>
      </c>
      <c r="AD305" s="193">
        <f>(((G305*'Appendix K'!$C$10*1000)-('Appendix K'!$E$36+'Appendix K'!$F$36+'Appendix K'!$H$36+'Appendix K'!$G$36))/((1+$Y$16)^AD$34))</f>
        <v>4831193.2060358012</v>
      </c>
      <c r="AE305" s="193">
        <f>(((H305*'Appendix K'!$C$11*1000)-('Appendix K'!$E$37+'Appendix K'!$F$37+'Appendix K'!$H$37+'Appendix K'!$G$37))/((1+$Y$16)^AE$34))</f>
        <v>1860336.2742074076</v>
      </c>
      <c r="AF305" s="193">
        <f>(((I305*'Appendix K'!$C$12*1000)-('Appendix K'!$E$38+'Appendix K'!$F$38+'Appendix K'!$H$38+'Appendix K'!$G$38))/((1+$Y$16)^AF$34))</f>
        <v>1408.9549708175084</v>
      </c>
      <c r="AG305" s="193">
        <f>(((J305*'Appendix K'!$C$13*1000)-('Appendix K'!$E$39+'Appendix K'!$F$39+'Appendix K'!$H$39+'Appendix K'!$G$39))/((1+$Y$16)^AG$34))</f>
        <v>-322776.78346785944</v>
      </c>
      <c r="AH305" s="193">
        <f>(((K305*'Appendix K'!$C$14*1000)-('Appendix K'!$E$40+'Appendix K'!$F$40+'Appendix K'!$H$40+'Appendix K'!$G$40))/((1+$Y$16)^AH$34))</f>
        <v>-741810.60723261081</v>
      </c>
      <c r="AI305" s="193">
        <f>(((L305*'Appendix K'!$C$15*1000)-('Appendix K'!$E$41+'Appendix K'!$F$41+'Appendix K'!$H$41+'Appendix K'!$G$41))/((1+$Y$16)^AI$34))</f>
        <v>-834267.80347711861</v>
      </c>
      <c r="AJ305" s="193">
        <f>(((M305*'Appendix K'!$C$16*1000)-('Appendix K'!$E$42+'Appendix K'!$F$42+'Appendix K'!$H$42+'Appendix K'!$G$42))/((1+$Y$16)^AJ$34))</f>
        <v>-868307.03379798413</v>
      </c>
      <c r="AK305" s="193">
        <f>(((N305*'Appendix K'!$C$17*1000)-('Appendix K'!$E$43+'Appendix K'!$F$43+'Appendix K'!$H$43))/((1+$Y$16)^AK$34))</f>
        <v>-532845.40272689366</v>
      </c>
      <c r="AL305" s="193">
        <f>(((O305*'Appendix K'!$C$18*1000)-('Appendix K'!$E$44+'Appendix K'!$F$44+'Appendix K'!$H$44+'Appendix K'!$G$44))/((1+$Y$16)^AL$34))</f>
        <v>-909781.76348106656</v>
      </c>
      <c r="AM305" s="193">
        <f>(((P305*'Appendix K'!$C$19*1000)-('Appendix K'!$E$45+'Appendix K'!$F$45+'Appendix K'!$H$45+'Appendix K'!$G$45))/((1+$Y$16)^AM$34))</f>
        <v>-909798.73916196683</v>
      </c>
      <c r="AN305" s="193">
        <f>(((Q305*'Appendix K'!$C$20*1000)-('Appendix K'!$E$46+'Appendix K'!$F$46+'Appendix K'!$H$46+'Appendix K'!$G$46))/((1+$Y$16)^AN$34))</f>
        <v>-768862.96786392725</v>
      </c>
      <c r="AO305" s="193">
        <f>(((R305*'Appendix K'!$C$21*1000)-('Appendix K'!$E$47+'Appendix K'!$F$47+'Appendix K'!$H$47+'Appendix K'!$G$47))/((1+$Y$16)^AO$34))</f>
        <v>-717974.18832249276</v>
      </c>
      <c r="AP305" s="193">
        <f>(((S305*'Appendix K'!$C$22*1000)-('Appendix K'!$E$48+'Appendix K'!$F$48+'Appendix K'!$H$48+'Appendix K'!$G$48))/((1+$Y$16)^AP$34))</f>
        <v>-652482.67692806199</v>
      </c>
      <c r="AQ305" s="193">
        <f>(((T305*'Appendix K'!$C$23*1000)-('Appendix K'!$E$49+'Appendix K'!$F$49+'Appendix K'!$H$49+'Appendix K'!$G$49))/((1+$Y$16)^AQ$34))</f>
        <v>-590313.70143394952</v>
      </c>
      <c r="AR305" s="193">
        <f>(((U305*'Appendix K'!$C$24*1000)-('Appendix K'!$E$50+'Appendix K'!$F$50+'Appendix K'!$H$50+'Appendix K'!$G$50))/((1+$Y$16)^AR$34))</f>
        <v>-500301.27248323523</v>
      </c>
      <c r="AS305" s="209">
        <f t="shared" si="24"/>
        <v>48796085.814439036</v>
      </c>
      <c r="AU305" s="199">
        <f t="shared" si="23"/>
        <v>5.5632054391893169E-9</v>
      </c>
    </row>
    <row r="306" spans="1:47" x14ac:dyDescent="0.35">
      <c r="A306">
        <v>272</v>
      </c>
      <c r="B306" s="70">
        <v>56</v>
      </c>
      <c r="C306" s="70">
        <v>79.408357487101426</v>
      </c>
      <c r="D306" s="70">
        <v>53.447923098641851</v>
      </c>
      <c r="E306" s="70">
        <v>52.90729905842516</v>
      </c>
      <c r="F306" s="70">
        <v>80.835045606611772</v>
      </c>
      <c r="G306" s="70">
        <v>94.677226714184144</v>
      </c>
      <c r="H306" s="70">
        <v>114.8074208252942</v>
      </c>
      <c r="I306" s="70">
        <v>137.21894153605393</v>
      </c>
      <c r="J306" s="70">
        <v>209.64219541503516</v>
      </c>
      <c r="K306" s="70">
        <v>247.81636434239579</v>
      </c>
      <c r="L306" s="70">
        <v>199.6469553139936</v>
      </c>
      <c r="M306" s="70">
        <v>246.00205305899175</v>
      </c>
      <c r="N306" s="70">
        <v>242.0695639975506</v>
      </c>
      <c r="O306" s="70">
        <v>249.20363153729505</v>
      </c>
      <c r="P306" s="70">
        <v>339.85392924633891</v>
      </c>
      <c r="Q306" s="70">
        <v>310.98133846685795</v>
      </c>
      <c r="R306" s="70">
        <v>488.15087221460777</v>
      </c>
      <c r="S306" s="70">
        <v>500</v>
      </c>
      <c r="T306" s="70">
        <v>327.5071108544812</v>
      </c>
      <c r="U306" s="70">
        <v>393.98095474369222</v>
      </c>
      <c r="V306" s="70">
        <v>313.13125159934827</v>
      </c>
      <c r="X306" s="193">
        <f>((0-('Appendix K'!$I$30))/(1+$Y$16)^0)</f>
        <v>-33594902.4440751</v>
      </c>
      <c r="Y306" s="193">
        <f>(((B306*'Appendix K'!$C$5*1000)-('Appendix K'!$E$31+'Appendix K'!$F$31+'Appendix K'!$H$31+'Appendix K'!$G$31))/((1+$Y$16)^1))</f>
        <v>34971064.972647354</v>
      </c>
      <c r="Z306" s="193">
        <f>+(((C306*'Appendix K'!$C$6*1000)-('Appendix K'!$E$32+'Appendix K'!$F$32+'Appendix K'!$H$32+'Appendix K'!$G$32))/((1+$Y$16)^2))</f>
        <v>16572661.562347015</v>
      </c>
      <c r="AA306" s="193">
        <f>(((D306*'Appendix K'!$C$7*1000)-('Appendix K'!$E$33+'Appendix K'!$F$33+'Appendix K'!$H$33+'Appendix K'!$G$33))/((1+$Y$16)^3))</f>
        <v>3843024.3195932414</v>
      </c>
      <c r="AB306" s="193">
        <f>(((E306*'Appendix K'!$C$8*1000)-('Appendix K'!$E$34+'Appendix K'!$F$34+'Appendix K'!$H$34+'Appendix K'!$G$34))/((1+$Y$16)^4))</f>
        <v>8303587.7450453332</v>
      </c>
      <c r="AC306" s="193">
        <f>(((F306*'Appendix K'!$C$9*1000)-('Appendix K'!$E$35+'Appendix K'!$F$35+'Appendix K'!$H$35+'Appendix K'!$G$35))/((1+$Y$16)^AC$34))</f>
        <v>18501599.669278376</v>
      </c>
      <c r="AD306" s="193">
        <f>(((G306*'Appendix K'!$C$10*1000)-('Appendix K'!$E$36+'Appendix K'!$F$36+'Appendix K'!$H$36+'Appendix K'!$G$36))/((1+$Y$16)^AD$34))</f>
        <v>12352722.824010845</v>
      </c>
      <c r="AE306" s="193">
        <f>(((H306*'Appendix K'!$C$11*1000)-('Appendix K'!$E$37+'Appendix K'!$F$37+'Appendix K'!$H$37+'Appendix K'!$G$37))/((1+$Y$16)^AE$34))</f>
        <v>9230678.9605567623</v>
      </c>
      <c r="AF306" s="193">
        <f>(((I306*'Appendix K'!$C$12*1000)-('Appendix K'!$E$38+'Appendix K'!$F$38+'Appendix K'!$H$38+'Appendix K'!$G$38))/((1+$Y$16)^AF$34))</f>
        <v>7013549.7263402427</v>
      </c>
      <c r="AG306" s="193">
        <f>(((J306*'Appendix K'!$C$13*1000)-('Appendix K'!$E$39+'Appendix K'!$F$39+'Appendix K'!$H$39+'Appendix K'!$G$39))/((1+$Y$16)^AG$34))</f>
        <v>7832566.1819087267</v>
      </c>
      <c r="AH306" s="193">
        <f>(((K306*'Appendix K'!$C$14*1000)-('Appendix K'!$E$40+'Appendix K'!$F$40+'Appendix K'!$H$40+'Appendix K'!$G$40))/((1+$Y$16)^AH$34))</f>
        <v>6720287.7592603397</v>
      </c>
      <c r="AI306" s="193">
        <f>(((L306*'Appendix K'!$C$15*1000)-('Appendix K'!$E$41+'Appendix K'!$F$41+'Appendix K'!$H$41+'Appendix K'!$G$41))/((1+$Y$16)^AI$34))</f>
        <v>3714642.2225327268</v>
      </c>
      <c r="AJ306" s="193">
        <f>(((M306*'Appendix K'!$C$16*1000)-('Appendix K'!$E$42+'Appendix K'!$F$42+'Appendix K'!$H$42+'Appendix K'!$G$42))/((1+$Y$16)^AJ$34))</f>
        <v>3548789.4650024893</v>
      </c>
      <c r="AK306" s="193">
        <f>(((N306*'Appendix K'!$C$17*1000)-('Appendix K'!$E$43+'Appendix K'!$F$43+'Appendix K'!$H$43))/((1+$Y$16)^AK$34))</f>
        <v>2714873.3436976005</v>
      </c>
      <c r="AL306" s="193">
        <f>(((O306*'Appendix K'!$C$18*1000)-('Appendix K'!$E$44+'Appendix K'!$F$44+'Appendix K'!$H$44+'Appendix K'!$G$44))/((1+$Y$16)^AL$34))</f>
        <v>1819294.8476397591</v>
      </c>
      <c r="AM306" s="193">
        <f>(((P306*'Appendix K'!$C$19*1000)-('Appendix K'!$E$45+'Appendix K'!$F$45+'Appendix K'!$H$45+'Appendix K'!$G$45))/((1+$Y$16)^AM$34))</f>
        <v>2123248.976621063</v>
      </c>
      <c r="AN306" s="193">
        <f>(((Q306*'Appendix K'!$C$20*1000)-('Appendix K'!$E$46+'Appendix K'!$F$46+'Appendix K'!$H$46+'Appendix K'!$G$46))/((1+$Y$16)^AN$34))</f>
        <v>1334619.5752990602</v>
      </c>
      <c r="AO306" s="193">
        <f>(((R306*'Appendix K'!$C$21*1000)-('Appendix K'!$E$47+'Appendix K'!$F$47+'Appendix K'!$H$47+'Appendix K'!$G$47))/((1+$Y$16)^AO$34))</f>
        <v>2042026.6603353319</v>
      </c>
      <c r="AP306" s="193">
        <f>(((S306*'Appendix K'!$C$22*1000)-('Appendix K'!$E$48+'Appendix K'!$F$48+'Appendix K'!$H$48+'Appendix K'!$G$48))/((1+$Y$16)^AP$34))</f>
        <v>1630406.4380253027</v>
      </c>
      <c r="AQ306" s="193">
        <f>(((T306*'Appendix K'!$C$23*1000)-('Appendix K'!$E$49+'Appendix K'!$F$49+'Appendix K'!$H$49+'Appendix K'!$G$49))/((1+$Y$16)^AQ$34))</f>
        <v>588293.35640199808</v>
      </c>
      <c r="AR306" s="193">
        <f>(((U306*'Appendix K'!$C$24*1000)-('Appendix K'!$E$50+'Appendix K'!$F$50+'Appendix K'!$H$50+'Appendix K'!$G$50))/((1+$Y$16)^AR$34))</f>
        <v>639340.84386303241</v>
      </c>
      <c r="AS306" s="209">
        <f t="shared" si="24"/>
        <v>111902377.00633153</v>
      </c>
      <c r="AU306" s="199">
        <f t="shared" si="23"/>
        <v>6.4146193406262761E-9</v>
      </c>
    </row>
    <row r="307" spans="1:47" x14ac:dyDescent="0.35">
      <c r="A307">
        <v>273</v>
      </c>
      <c r="B307" s="70">
        <v>56</v>
      </c>
      <c r="C307" s="70">
        <v>36.448708602511729</v>
      </c>
      <c r="D307" s="70">
        <v>25.390317158048312</v>
      </c>
      <c r="E307" s="70">
        <v>40.283457554382878</v>
      </c>
      <c r="F307" s="70">
        <v>34.48952774399698</v>
      </c>
      <c r="G307" s="70">
        <v>49.531851659997763</v>
      </c>
      <c r="H307" s="70">
        <v>72.467289068191974</v>
      </c>
      <c r="I307" s="70">
        <v>67.209594594301876</v>
      </c>
      <c r="J307" s="70">
        <v>67.404538425945233</v>
      </c>
      <c r="K307" s="70">
        <v>83.778140755051666</v>
      </c>
      <c r="L307" s="70">
        <v>93.972812340220699</v>
      </c>
      <c r="M307" s="70">
        <v>78.263960521100699</v>
      </c>
      <c r="N307" s="70">
        <v>88.316333646571636</v>
      </c>
      <c r="O307" s="70">
        <v>58.265732016139822</v>
      </c>
      <c r="P307" s="70">
        <v>66.422135585116607</v>
      </c>
      <c r="Q307" s="70">
        <v>64.467912998142751</v>
      </c>
      <c r="R307" s="70">
        <v>48.117743678271829</v>
      </c>
      <c r="S307" s="70">
        <v>43.774979680430427</v>
      </c>
      <c r="T307" s="70">
        <v>55.934379778983434</v>
      </c>
      <c r="U307" s="70">
        <v>57.536059679797802</v>
      </c>
      <c r="V307" s="70">
        <v>75.762084020842082</v>
      </c>
      <c r="X307" s="193">
        <f>((0-('Appendix K'!$I$30))/(1+$Y$16)^0)</f>
        <v>-33594902.4440751</v>
      </c>
      <c r="Y307" s="193">
        <f>(((B307*'Appendix K'!$C$5*1000)-('Appendix K'!$E$31+'Appendix K'!$F$31+'Appendix K'!$H$31+'Appendix K'!$G$31))/((1+$Y$16)^1))</f>
        <v>34971064.972647354</v>
      </c>
      <c r="Z307" s="193">
        <f>+(((C307*'Appendix K'!$C$6*1000)-('Appendix K'!$E$32+'Appendix K'!$F$32+'Appendix K'!$H$32+'Appendix K'!$G$32))/((1+$Y$16)^2))</f>
        <v>5720319.5098941</v>
      </c>
      <c r="AA307" s="193">
        <f>(((D307*'Appendix K'!$C$7*1000)-('Appendix K'!$E$33+'Appendix K'!$F$33+'Appendix K'!$H$33+'Appendix K'!$G$33))/((1+$Y$16)^3))</f>
        <v>269190.34422605706</v>
      </c>
      <c r="AB307" s="193">
        <f>(((E307*'Appendix K'!$C$8*1000)-('Appendix K'!$E$34+'Appendix K'!$F$34+'Appendix K'!$H$34+'Appendix K'!$G$34))/((1+$Y$16)^4))</f>
        <v>5536557.2475055298</v>
      </c>
      <c r="AC307" s="193">
        <f>(((F307*'Appendix K'!$C$9*1000)-('Appendix K'!$E$35+'Appendix K'!$F$35+'Appendix K'!$H$35+'Appendix K'!$G$35))/((1+$Y$16)^AC$34))</f>
        <v>6183033.7969179712</v>
      </c>
      <c r="AD307" s="193">
        <f>(((G307*'Appendix K'!$C$10*1000)-('Appendix K'!$E$36+'Appendix K'!$F$36+'Appendix K'!$H$36+'Appendix K'!$G$36))/((1+$Y$16)^AD$34))</f>
        <v>5262914.7328151995</v>
      </c>
      <c r="AE307" s="193">
        <f>(((H307*'Appendix K'!$C$11*1000)-('Appendix K'!$E$37+'Appendix K'!$F$37+'Appendix K'!$H$37+'Appendix K'!$G$37))/((1+$Y$16)^AE$34))</f>
        <v>5007774.6144791096</v>
      </c>
      <c r="AF307" s="193">
        <f>(((I307*'Appendix K'!$C$12*1000)-('Appendix K'!$E$38+'Appendix K'!$F$38+'Appendix K'!$H$38+'Appendix K'!$G$38))/((1+$Y$16)^AF$34))</f>
        <v>2416566.0907267164</v>
      </c>
      <c r="AG307" s="193">
        <f>(((J307*'Appendix K'!$C$13*1000)-('Appendix K'!$E$39+'Appendix K'!$F$39+'Appendix K'!$H$39+'Appendix K'!$G$39))/((1+$Y$16)^AG$34))</f>
        <v>1286941.0371804351</v>
      </c>
      <c r="AH307" s="193">
        <f>(((K307*'Appendix K'!$C$14*1000)-('Appendix K'!$E$40+'Appendix K'!$F$40+'Appendix K'!$H$40+'Appendix K'!$G$40))/((1+$Y$16)^AH$34))</f>
        <v>1191128.9868813616</v>
      </c>
      <c r="AI307" s="193">
        <f>(((L307*'Appendix K'!$C$15*1000)-('Appendix K'!$E$41+'Appendix K'!$F$41+'Appendix K'!$H$41+'Appendix K'!$G$41))/((1+$Y$16)^AI$34))</f>
        <v>945782.0650035243</v>
      </c>
      <c r="AJ307" s="193">
        <f>(((M307*'Appendix K'!$C$16*1000)-('Appendix K'!$E$42+'Appendix K'!$F$42+'Appendix K'!$H$42+'Appendix K'!$G$42))/((1+$Y$16)^AJ$34))</f>
        <v>187004.92722336965</v>
      </c>
      <c r="AK307" s="193">
        <f>(((N307*'Appendix K'!$C$17*1000)-('Appendix K'!$E$43+'Appendix K'!$F$43+'Appendix K'!$H$43))/((1+$Y$16)^AK$34))</f>
        <v>352624.478037961</v>
      </c>
      <c r="AL307" s="193">
        <f>(((O307*'Appendix K'!$C$18*1000)-('Appendix K'!$E$44+'Appendix K'!$F$44+'Appendix K'!$H$44+'Appendix K'!$G$44))/((1+$Y$16)^AL$34))</f>
        <v>-443948.25926736987</v>
      </c>
      <c r="AM307" s="193">
        <f>(((P307*'Appendix K'!$C$19*1000)-('Appendix K'!$E$45+'Appendix K'!$F$45+'Appendix K'!$H$45+'Appendix K'!$G$45))/((1+$Y$16)^AM$34))</f>
        <v>-411116.98230482906</v>
      </c>
      <c r="AN307" s="193">
        <f>(((Q307*'Appendix K'!$C$20*1000)-('Appendix K'!$E$46+'Appendix K'!$F$46+'Appendix K'!$H$46+'Appendix K'!$G$46))/((1+$Y$16)^AN$34))</f>
        <v>-449205.03790757881</v>
      </c>
      <c r="AO307" s="193">
        <f>(((R307*'Appendix K'!$C$21*1000)-('Appendix K'!$E$47+'Appendix K'!$F$47+'Appendix K'!$H$47+'Appendix K'!$G$47))/((1+$Y$16)^AO$34))</f>
        <v>-558617.74419215927</v>
      </c>
      <c r="AP307" s="193">
        <f>(((S307*'Appendix K'!$C$22*1000)-('Appendix K'!$E$48+'Appendix K'!$F$48+'Appendix K'!$H$48+'Appendix K'!$G$48))/((1+$Y$16)^AP$34))</f>
        <v>-554783.36595985177</v>
      </c>
      <c r="AQ307" s="193">
        <f>(((T307*'Appendix K'!$C$23*1000)-('Appendix K'!$E$49+'Appendix K'!$F$49+'Appendix K'!$H$49+'Appendix K'!$G$49))/((1+$Y$16)^AQ$34))</f>
        <v>-474572.78862531146</v>
      </c>
      <c r="AR307" s="193">
        <f>(((U307*'Appendix K'!$C$24*1000)-('Appendix K'!$E$50+'Appendix K'!$F$50+'Appendix K'!$H$50+'Appendix K'!$G$50))/((1+$Y$16)^AR$34))</f>
        <v>-444021.14504463901</v>
      </c>
      <c r="AS307" s="209">
        <f t="shared" si="24"/>
        <v>35736000.35946361</v>
      </c>
      <c r="AU307" s="199">
        <f t="shared" si="23"/>
        <v>4.628690190024709E-9</v>
      </c>
    </row>
    <row r="308" spans="1:47" x14ac:dyDescent="0.35">
      <c r="A308">
        <v>274</v>
      </c>
      <c r="B308" s="70">
        <v>56</v>
      </c>
      <c r="C308" s="70">
        <v>45.070245116742399</v>
      </c>
      <c r="D308" s="70">
        <v>57.328339408398733</v>
      </c>
      <c r="E308" s="70">
        <v>46.884972446676002</v>
      </c>
      <c r="F308" s="70">
        <v>54.427106262677718</v>
      </c>
      <c r="G308" s="70">
        <v>65.556942848568639</v>
      </c>
      <c r="H308" s="70">
        <v>51.504750387060156</v>
      </c>
      <c r="I308" s="70">
        <v>35.997907037966144</v>
      </c>
      <c r="J308" s="70">
        <v>49.700639511895581</v>
      </c>
      <c r="K308" s="70">
        <v>57.060118564293973</v>
      </c>
      <c r="L308" s="70">
        <v>58.827693650697007</v>
      </c>
      <c r="M308" s="70">
        <v>73.530071353727436</v>
      </c>
      <c r="N308" s="70">
        <v>89.796128625079916</v>
      </c>
      <c r="O308" s="70">
        <v>68.0095677532031</v>
      </c>
      <c r="P308" s="70">
        <v>67.285157658233643</v>
      </c>
      <c r="Q308" s="70">
        <v>88.935981464160292</v>
      </c>
      <c r="R308" s="70">
        <v>75.820954179008922</v>
      </c>
      <c r="S308" s="70">
        <v>99.355245810285112</v>
      </c>
      <c r="T308" s="70">
        <v>136.40010524768081</v>
      </c>
      <c r="U308" s="70">
        <v>103.85651082693383</v>
      </c>
      <c r="V308" s="70">
        <v>129.22846716452537</v>
      </c>
      <c r="X308" s="193">
        <f>((0-('Appendix K'!$I$30))/(1+$Y$16)^0)</f>
        <v>-33594902.4440751</v>
      </c>
      <c r="Y308" s="193">
        <f>(((B308*'Appendix K'!$C$5*1000)-('Appendix K'!$E$31+'Appendix K'!$F$31+'Appendix K'!$H$31+'Appendix K'!$G$31))/((1+$Y$16)^1))</f>
        <v>34971064.972647354</v>
      </c>
      <c r="Z308" s="193">
        <f>+(((C308*'Appendix K'!$C$6*1000)-('Appendix K'!$E$32+'Appendix K'!$F$32+'Appendix K'!$H$32+'Appendix K'!$G$32))/((1+$Y$16)^2))</f>
        <v>7898267.0885975827</v>
      </c>
      <c r="AA308" s="193">
        <f>(((D308*'Appendix K'!$C$7*1000)-('Appendix K'!$E$33+'Appendix K'!$F$33+'Appendix K'!$H$33+'Appendix K'!$G$33))/((1+$Y$16)^3))</f>
        <v>4337291.8517462267</v>
      </c>
      <c r="AB308" s="193">
        <f>(((E308*'Appendix K'!$C$8*1000)-('Appendix K'!$E$34+'Appendix K'!$F$34+'Appendix K'!$H$34+'Appendix K'!$G$34))/((1+$Y$16)^4))</f>
        <v>6983548.8808438536</v>
      </c>
      <c r="AC308" s="193">
        <f>(((F308*'Appendix K'!$C$9*1000)-('Appendix K'!$E$35+'Appendix K'!$F$35+'Appendix K'!$H$35+'Appendix K'!$G$35))/((1+$Y$16)^AC$34))</f>
        <v>11482410.859566886</v>
      </c>
      <c r="AD308" s="193">
        <f>(((G308*'Appendix K'!$C$10*1000)-('Appendix K'!$E$36+'Appendix K'!$F$36+'Appendix K'!$H$36+'Appendix K'!$G$36))/((1+$Y$16)^AD$34))</f>
        <v>7779558.3764777007</v>
      </c>
      <c r="AE308" s="193">
        <f>(((H308*'Appendix K'!$C$11*1000)-('Appendix K'!$E$37+'Appendix K'!$F$37+'Appendix K'!$H$37+'Appendix K'!$G$37))/((1+$Y$16)^AE$34))</f>
        <v>2917020.7120299628</v>
      </c>
      <c r="AF308" s="193">
        <f>(((I308*'Appendix K'!$C$12*1000)-('Appendix K'!$E$38+'Appendix K'!$F$38+'Appendix K'!$H$38+'Appendix K'!$G$38))/((1+$Y$16)^AF$34))</f>
        <v>367130.93379355513</v>
      </c>
      <c r="AG308" s="193">
        <f>(((J308*'Appendix K'!$C$13*1000)-('Appendix K'!$E$39+'Appendix K'!$F$39+'Appendix K'!$H$39+'Appendix K'!$G$39))/((1+$Y$16)^AG$34))</f>
        <v>472226.5069739942</v>
      </c>
      <c r="AH308" s="193">
        <f>(((K308*'Appendix K'!$C$14*1000)-('Appendix K'!$E$40+'Appendix K'!$F$40+'Appendix K'!$H$40+'Appendix K'!$G$40))/((1+$Y$16)^AH$34))</f>
        <v>290557.2570370399</v>
      </c>
      <c r="AI308" s="193">
        <f>(((L308*'Appendix K'!$C$15*1000)-('Appendix K'!$E$41+'Appendix K'!$F$41+'Appendix K'!$H$41+'Appendix K'!$G$41))/((1+$Y$16)^AI$34))</f>
        <v>24914.233643786785</v>
      </c>
      <c r="AJ308" s="193">
        <f>(((M308*'Appendix K'!$C$16*1000)-('Appendix K'!$E$42+'Appendix K'!$F$42+'Appendix K'!$H$42+'Appendix K'!$G$42))/((1+$Y$16)^AJ$34))</f>
        <v>92128.950242526174</v>
      </c>
      <c r="AK308" s="193">
        <f>(((N308*'Appendix K'!$C$17*1000)-('Appendix K'!$E$43+'Appendix K'!$F$43+'Appendix K'!$H$43))/((1+$Y$16)^AK$34))</f>
        <v>375359.89635346795</v>
      </c>
      <c r="AL308" s="193">
        <f>(((O308*'Appendix K'!$C$18*1000)-('Appendix K'!$E$44+'Appendix K'!$F$44+'Appendix K'!$H$44+'Appendix K'!$G$44))/((1+$Y$16)^AL$34))</f>
        <v>-328451.70713157736</v>
      </c>
      <c r="AM308" s="193">
        <f>(((P308*'Appendix K'!$C$19*1000)-('Appendix K'!$E$45+'Appendix K'!$F$45+'Appendix K'!$H$45+'Appendix K'!$G$45))/((1+$Y$16)^AM$34))</f>
        <v>-403117.86217829614</v>
      </c>
      <c r="AN308" s="193">
        <f>(((Q308*'Appendix K'!$C$20*1000)-('Appendix K'!$E$46+'Appendix K'!$F$46+'Appendix K'!$H$46+'Appendix K'!$G$46))/((1+$Y$16)^AN$34))</f>
        <v>-272148.78758645174</v>
      </c>
      <c r="AO308" s="193">
        <f>(((R308*'Appendix K'!$C$21*1000)-('Appendix K'!$E$47+'Appendix K'!$F$47+'Appendix K'!$H$47+'Appendix K'!$G$47))/((1+$Y$16)^AO$34))</f>
        <v>-394888.70948099223</v>
      </c>
      <c r="AP308" s="193">
        <f>(((S308*'Appendix K'!$C$22*1000)-('Appendix K'!$E$48+'Appendix K'!$F$48+'Appendix K'!$H$48+'Appendix K'!$G$48))/((1+$Y$16)^AP$34))</f>
        <v>-288569.49026170169</v>
      </c>
      <c r="AQ308" s="193">
        <f>(((T308*'Appendix K'!$C$23*1000)-('Appendix K'!$E$49+'Appendix K'!$F$49+'Appendix K'!$H$49+'Appendix K'!$G$49))/((1+$Y$16)^AQ$34))</f>
        <v>-159650.53889485428</v>
      </c>
      <c r="AR308" s="193">
        <f>(((U308*'Appendix K'!$C$24*1000)-('Appendix K'!$E$50+'Appendix K'!$F$50+'Appendix K'!$H$50+'Appendix K'!$G$50))/((1+$Y$16)^AR$34))</f>
        <v>-294867.99450469139</v>
      </c>
      <c r="AS308" s="209">
        <f t="shared" si="24"/>
        <v>44396578.075878836</v>
      </c>
      <c r="AU308" s="199">
        <f t="shared" si="23"/>
        <v>5.2600457343196956E-9</v>
      </c>
    </row>
    <row r="309" spans="1:47" x14ac:dyDescent="0.35">
      <c r="A309">
        <v>275</v>
      </c>
      <c r="B309" s="70">
        <v>56</v>
      </c>
      <c r="C309" s="70">
        <v>55.772463208276449</v>
      </c>
      <c r="D309" s="70">
        <v>65.017202576362166</v>
      </c>
      <c r="E309" s="70">
        <v>73.190576509517072</v>
      </c>
      <c r="F309" s="70">
        <v>30.683185150324356</v>
      </c>
      <c r="G309" s="70">
        <v>24.817554770489668</v>
      </c>
      <c r="H309" s="70">
        <v>22.53711523500753</v>
      </c>
      <c r="I309" s="70">
        <v>28.827703499064278</v>
      </c>
      <c r="J309" s="70">
        <v>40.781937837270434</v>
      </c>
      <c r="K309" s="70">
        <v>60.385126370605121</v>
      </c>
      <c r="L309" s="70">
        <v>78.827576769438451</v>
      </c>
      <c r="M309" s="70">
        <v>91.291661700233078</v>
      </c>
      <c r="N309" s="70">
        <v>100.85060347666253</v>
      </c>
      <c r="O309" s="70">
        <v>95.933354337446275</v>
      </c>
      <c r="P309" s="70">
        <v>110.26560819171384</v>
      </c>
      <c r="Q309" s="70">
        <v>138.78564692650809</v>
      </c>
      <c r="R309" s="70">
        <v>182.88033465426889</v>
      </c>
      <c r="S309" s="70">
        <v>312.81020282789029</v>
      </c>
      <c r="T309" s="70">
        <v>369.85045469012056</v>
      </c>
      <c r="U309" s="70">
        <v>414.76442333128597</v>
      </c>
      <c r="V309" s="70">
        <v>500</v>
      </c>
      <c r="X309" s="193">
        <f>((0-('Appendix K'!$I$30))/(1+$Y$16)^0)</f>
        <v>-33594902.4440751</v>
      </c>
      <c r="Y309" s="193">
        <f>(((B309*'Appendix K'!$C$5*1000)-('Appendix K'!$E$31+'Appendix K'!$F$31+'Appendix K'!$H$31+'Appendix K'!$G$31))/((1+$Y$16)^1))</f>
        <v>34971064.972647354</v>
      </c>
      <c r="Z309" s="193">
        <f>+(((C309*'Appendix K'!$C$6*1000)-('Appendix K'!$E$32+'Appendix K'!$F$32+'Appendix K'!$H$32+'Appendix K'!$G$32))/((1+$Y$16)^2))</f>
        <v>10601830.419883097</v>
      </c>
      <c r="AA309" s="193">
        <f>(((D309*'Appendix K'!$C$7*1000)-('Appendix K'!$E$33+'Appendix K'!$F$33+'Appendix K'!$H$33+'Appendix K'!$G$33))/((1+$Y$16)^3))</f>
        <v>5316659.8163472638</v>
      </c>
      <c r="AB309" s="193">
        <f>(((E309*'Appendix K'!$C$8*1000)-('Appendix K'!$E$34+'Appendix K'!$F$34+'Appendix K'!$H$34+'Appendix K'!$G$34))/((1+$Y$16)^4))</f>
        <v>12749496.486790953</v>
      </c>
      <c r="AC309" s="193">
        <f>(((F309*'Appendix K'!$C$9*1000)-('Appendix K'!$E$35+'Appendix K'!$F$35+'Appendix K'!$H$35+'Appendix K'!$G$35))/((1+$Y$16)^AC$34))</f>
        <v>5171313.912550238</v>
      </c>
      <c r="AD309" s="193">
        <f>(((G309*'Appendix K'!$C$10*1000)-('Appendix K'!$E$36+'Appendix K'!$F$36+'Appendix K'!$H$36+'Appendix K'!$G$36))/((1+$Y$16)^AD$34))</f>
        <v>1381683.8903393971</v>
      </c>
      <c r="AE309" s="193">
        <f>(((H309*'Appendix K'!$C$11*1000)-('Appendix K'!$E$37+'Appendix K'!$F$37+'Appendix K'!$H$37+'Appendix K'!$G$37))/((1+$Y$16)^AE$34))</f>
        <v>27857.468963876443</v>
      </c>
      <c r="AF309" s="193">
        <f>(((I309*'Appendix K'!$C$12*1000)-('Appendix K'!$E$38+'Appendix K'!$F$38+'Appendix K'!$H$38+'Appendix K'!$G$38))/((1+$Y$16)^AF$34))</f>
        <v>-103682.03293464413</v>
      </c>
      <c r="AG309" s="193">
        <f>(((J309*'Appendix K'!$C$13*1000)-('Appendix K'!$E$39+'Appendix K'!$F$39+'Appendix K'!$H$39+'Appendix K'!$G$39))/((1+$Y$16)^AG$34))</f>
        <v>61797.376070674603</v>
      </c>
      <c r="AH309" s="193">
        <f>(((K309*'Appendix K'!$C$14*1000)-('Appendix K'!$E$40+'Appendix K'!$F$40+'Appendix K'!$H$40+'Appendix K'!$G$40))/((1+$Y$16)^AH$34))</f>
        <v>402631.72162489162</v>
      </c>
      <c r="AI309" s="193">
        <f>(((L309*'Appendix K'!$C$15*1000)-('Appendix K'!$E$41+'Appendix K'!$F$41+'Appendix K'!$H$41+'Appendix K'!$G$41))/((1+$Y$16)^AI$34))</f>
        <v>548948.57131963596</v>
      </c>
      <c r="AJ309" s="193">
        <f>(((M309*'Appendix K'!$C$16*1000)-('Appendix K'!$E$42+'Appendix K'!$F$42+'Appendix K'!$H$42+'Appendix K'!$G$42))/((1+$Y$16)^AJ$34))</f>
        <v>448104.38128399471</v>
      </c>
      <c r="AK309" s="193">
        <f>(((N309*'Appendix K'!$C$17*1000)-('Appendix K'!$E$43+'Appendix K'!$F$43+'Appendix K'!$H$43))/((1+$Y$16)^AK$34))</f>
        <v>545199.71447633812</v>
      </c>
      <c r="AL309" s="193">
        <f>(((O309*'Appendix K'!$C$18*1000)-('Appendix K'!$E$44+'Appendix K'!$F$44+'Appendix K'!$H$44+'Appendix K'!$G$44))/((1+$Y$16)^AL$34))</f>
        <v>2537.1518850262883</v>
      </c>
      <c r="AM309" s="193">
        <f>(((P309*'Appendix K'!$C$19*1000)-('Appendix K'!$E$45+'Appendix K'!$F$45+'Appendix K'!$H$45+'Appendix K'!$G$45))/((1+$Y$16)^AM$34))</f>
        <v>-4743.5938724287389</v>
      </c>
      <c r="AN309" s="193">
        <f>(((Q309*'Appendix K'!$C$20*1000)-('Appendix K'!$E$46+'Appendix K'!$F$46+'Appendix K'!$H$46+'Appendix K'!$G$46))/((1+$Y$16)^AN$34))</f>
        <v>88574.203637156184</v>
      </c>
      <c r="AO309" s="193">
        <f>(((R309*'Appendix K'!$C$21*1000)-('Appendix K'!$E$47+'Appendix K'!$F$47+'Appendix K'!$H$47+'Appendix K'!$G$47))/((1+$Y$16)^AO$34))</f>
        <v>237844.05705245692</v>
      </c>
      <c r="AP309" s="193">
        <f>(((S309*'Appendix K'!$C$22*1000)-('Appendix K'!$E$48+'Appendix K'!$F$48+'Appendix K'!$H$48+'Appendix K'!$G$48))/((1+$Y$16)^AP$34))</f>
        <v>733819.845944006</v>
      </c>
      <c r="AQ309" s="193">
        <f>(((T309*'Appendix K'!$C$23*1000)-('Appendix K'!$E$49+'Appendix K'!$F$49+'Appendix K'!$H$49+'Appendix K'!$G$49))/((1+$Y$16)^AQ$34))</f>
        <v>754014.36400066013</v>
      </c>
      <c r="AR309" s="193">
        <f>(((U309*'Appendix K'!$C$24*1000)-('Appendix K'!$E$50+'Appendix K'!$F$50+'Appendix K'!$H$50+'Appendix K'!$G$50))/((1+$Y$16)^AR$34))</f>
        <v>706264.19504415127</v>
      </c>
      <c r="AS309" s="209">
        <f t="shared" si="24"/>
        <v>41154740.105786093</v>
      </c>
      <c r="AU309" s="199">
        <f t="shared" si="23"/>
        <v>5.0279080280863065E-9</v>
      </c>
    </row>
    <row r="310" spans="1:47" x14ac:dyDescent="0.35">
      <c r="A310">
        <v>276</v>
      </c>
      <c r="B310" s="70">
        <v>56</v>
      </c>
      <c r="C310" s="70">
        <v>99.038721637147091</v>
      </c>
      <c r="D310" s="70">
        <v>125.4903800258249</v>
      </c>
      <c r="E310" s="70">
        <v>118.48515501167735</v>
      </c>
      <c r="F310" s="70">
        <v>165.98520766294496</v>
      </c>
      <c r="G310" s="70">
        <v>143.29911928889612</v>
      </c>
      <c r="H310" s="70">
        <v>80.032548812811271</v>
      </c>
      <c r="I310" s="70">
        <v>105.2289753067711</v>
      </c>
      <c r="J310" s="70">
        <v>145.10497857472768</v>
      </c>
      <c r="K310" s="70">
        <v>239.60111276880684</v>
      </c>
      <c r="L310" s="70">
        <v>239.86450169480057</v>
      </c>
      <c r="M310" s="70">
        <v>370.36172245044031</v>
      </c>
      <c r="N310" s="70">
        <v>244.92578478453589</v>
      </c>
      <c r="O310" s="70">
        <v>390.12996588162332</v>
      </c>
      <c r="P310" s="70">
        <v>374.73112398369119</v>
      </c>
      <c r="Q310" s="70">
        <v>316.16557120488778</v>
      </c>
      <c r="R310" s="70">
        <v>463.40915749678618</v>
      </c>
      <c r="S310" s="70">
        <v>473.86792073857492</v>
      </c>
      <c r="T310" s="70">
        <v>230.87251759350355</v>
      </c>
      <c r="U310" s="70">
        <v>368.22631832749806</v>
      </c>
      <c r="V310" s="70">
        <v>500</v>
      </c>
      <c r="X310" s="193">
        <f>((0-('Appendix K'!$I$30))/(1+$Y$16)^0)</f>
        <v>-33594902.4440751</v>
      </c>
      <c r="Y310" s="193">
        <f>(((B310*'Appendix K'!$C$5*1000)-('Appendix K'!$E$31+'Appendix K'!$F$31+'Appendix K'!$H$31+'Appendix K'!$G$31))/((1+$Y$16)^1))</f>
        <v>34971064.972647354</v>
      </c>
      <c r="Z310" s="193">
        <f>+(((C310*'Appendix K'!$C$6*1000)-('Appendix K'!$E$32+'Appendix K'!$F$32+'Appendix K'!$H$32+'Appendix K'!$G$32))/((1+$Y$16)^2))</f>
        <v>21531627.287202459</v>
      </c>
      <c r="AA310" s="193">
        <f>(((D310*'Appendix K'!$C$7*1000)-('Appendix K'!$E$33+'Appendix K'!$F$33+'Appendix K'!$H$33+'Appendix K'!$G$33))/((1+$Y$16)^3))</f>
        <v>13019423.075083328</v>
      </c>
      <c r="AB310" s="193">
        <f>(((E310*'Appendix K'!$C$8*1000)-('Appendix K'!$E$34+'Appendix K'!$F$34+'Appendix K'!$H$34+'Appendix K'!$G$34))/((1+$Y$16)^4))</f>
        <v>22677653.462506767</v>
      </c>
      <c r="AC310" s="193">
        <f>(((F310*'Appendix K'!$C$9*1000)-('Appendix K'!$E$35+'Appendix K'!$F$35+'Appendix K'!$H$35+'Appendix K'!$G$35))/((1+$Y$16)^AC$34))</f>
        <v>41134379.034103096</v>
      </c>
      <c r="AD310" s="193">
        <f>(((G310*'Appendix K'!$C$10*1000)-('Appendix K'!$E$36+'Appendix K'!$F$36+'Appendix K'!$H$36+'Appendix K'!$G$36))/((1+$Y$16)^AD$34))</f>
        <v>19988496.964145541</v>
      </c>
      <c r="AE310" s="193">
        <f>(((H310*'Appendix K'!$C$11*1000)-('Appendix K'!$E$37+'Appendix K'!$F$37+'Appendix K'!$H$37+'Appendix K'!$G$37))/((1+$Y$16)^AE$34))</f>
        <v>5762315.682939535</v>
      </c>
      <c r="AF310" s="193">
        <f>(((I310*'Appendix K'!$C$12*1000)-('Appendix K'!$E$38+'Appendix K'!$F$38+'Appendix K'!$H$38+'Appendix K'!$G$38))/((1+$Y$16)^AF$34))</f>
        <v>4913010.9028286543</v>
      </c>
      <c r="AG310" s="193">
        <f>(((J310*'Appendix K'!$C$13*1000)-('Appendix K'!$E$39+'Appendix K'!$F$39+'Appendix K'!$H$39+'Appendix K'!$G$39))/((1+$Y$16)^AG$34))</f>
        <v>4862632.3524088431</v>
      </c>
      <c r="AH310" s="193">
        <f>(((K310*'Appendix K'!$C$14*1000)-('Appendix K'!$E$40+'Appendix K'!$F$40+'Appendix K'!$H$40+'Appendix K'!$G$40))/((1+$Y$16)^AH$34))</f>
        <v>6443380.1622866169</v>
      </c>
      <c r="AI310" s="193">
        <f>(((L310*'Appendix K'!$C$15*1000)-('Appendix K'!$E$41+'Appendix K'!$F$41+'Appendix K'!$H$41+'Appendix K'!$G$41))/((1+$Y$16)^AI$34))</f>
        <v>4768417.144890381</v>
      </c>
      <c r="AJ310" s="193">
        <f>(((M310*'Appendix K'!$C$16*1000)-('Appendix K'!$E$42+'Appendix K'!$F$42+'Appendix K'!$H$42+'Appendix K'!$G$42))/((1+$Y$16)^AJ$34))</f>
        <v>6041189.4163674721</v>
      </c>
      <c r="AK310" s="193">
        <f>(((N310*'Appendix K'!$C$17*1000)-('Appendix K'!$E$43+'Appendix K'!$F$43+'Appendix K'!$H$43))/((1+$Y$16)^AK$34))</f>
        <v>2758756.0269994568</v>
      </c>
      <c r="AL310" s="193">
        <f>(((O310*'Appendix K'!$C$18*1000)-('Appendix K'!$E$44+'Appendix K'!$F$44+'Appendix K'!$H$44+'Appendix K'!$G$44))/((1+$Y$16)^AL$34))</f>
        <v>3489736.1564965784</v>
      </c>
      <c r="AM310" s="193">
        <f>(((P310*'Appendix K'!$C$19*1000)-('Appendix K'!$E$45+'Appendix K'!$F$45+'Appendix K'!$H$45+'Appendix K'!$G$45))/((1+$Y$16)^AM$34))</f>
        <v>2446516.3403084427</v>
      </c>
      <c r="AN310" s="193">
        <f>(((Q310*'Appendix K'!$C$20*1000)-('Appendix K'!$E$46+'Appendix K'!$F$46+'Appendix K'!$H$46+'Appendix K'!$G$46))/((1+$Y$16)^AN$34))</f>
        <v>1372133.8078042711</v>
      </c>
      <c r="AO310" s="193">
        <f>(((R310*'Appendix K'!$C$21*1000)-('Appendix K'!$E$47+'Appendix K'!$F$47+'Appendix K'!$H$47+'Appendix K'!$G$47))/((1+$Y$16)^AO$34))</f>
        <v>1895800.392887369</v>
      </c>
      <c r="AP310" s="193">
        <f>(((S310*'Appendix K'!$C$22*1000)-('Appendix K'!$E$48+'Appendix K'!$F$48+'Appendix K'!$H$48+'Appendix K'!$G$48))/((1+$Y$16)^AP$34))</f>
        <v>1505241.1125484162</v>
      </c>
      <c r="AQ310" s="193">
        <f>(((T310*'Appendix K'!$C$23*1000)-('Appendix K'!$E$49+'Appendix K'!$F$49+'Appendix K'!$H$49+'Appendix K'!$G$49))/((1+$Y$16)^AQ$34))</f>
        <v>210090.29746886893</v>
      </c>
      <c r="AR310" s="193">
        <f>(((U310*'Appendix K'!$C$24*1000)-('Appendix K'!$E$50+'Appendix K'!$F$50+'Appendix K'!$H$50+'Appendix K'!$G$50))/((1+$Y$16)^AR$34))</f>
        <v>556410.19298737205</v>
      </c>
      <c r="AS310" s="209">
        <f t="shared" si="24"/>
        <v>166753372.34083572</v>
      </c>
      <c r="AU310" s="199">
        <f t="shared" si="23"/>
        <v>2.6588755688351714E-9</v>
      </c>
    </row>
    <row r="311" spans="1:47" x14ac:dyDescent="0.35">
      <c r="A311">
        <v>277</v>
      </c>
      <c r="B311" s="70">
        <v>56</v>
      </c>
      <c r="C311" s="70">
        <v>105.92904277049712</v>
      </c>
      <c r="D311" s="70">
        <v>110.08768555137833</v>
      </c>
      <c r="E311" s="70">
        <v>128.03393278532343</v>
      </c>
      <c r="F311" s="70">
        <v>140.04943381787803</v>
      </c>
      <c r="G311" s="70">
        <v>83.221346878448756</v>
      </c>
      <c r="H311" s="70">
        <v>117.4935041378469</v>
      </c>
      <c r="I311" s="70">
        <v>86.847902258634122</v>
      </c>
      <c r="J311" s="70">
        <v>141.09893848004728</v>
      </c>
      <c r="K311" s="70">
        <v>184.51639607560489</v>
      </c>
      <c r="L311" s="70">
        <v>135.20552274056843</v>
      </c>
      <c r="M311" s="70">
        <v>164.96610262608129</v>
      </c>
      <c r="N311" s="70">
        <v>157.20400461954617</v>
      </c>
      <c r="O311" s="70">
        <v>233.99175849885995</v>
      </c>
      <c r="P311" s="70">
        <v>302.36615215240323</v>
      </c>
      <c r="Q311" s="70">
        <v>367.34633028389663</v>
      </c>
      <c r="R311" s="70">
        <v>421.45484648060449</v>
      </c>
      <c r="S311" s="70">
        <v>338.68724817770237</v>
      </c>
      <c r="T311" s="70">
        <v>348.75693894281699</v>
      </c>
      <c r="U311" s="70">
        <v>484.00265899654607</v>
      </c>
      <c r="V311" s="70">
        <v>474.62365776888402</v>
      </c>
      <c r="X311" s="193">
        <f>((0-('Appendix K'!$I$30))/(1+$Y$16)^0)</f>
        <v>-33594902.4440751</v>
      </c>
      <c r="Y311" s="193">
        <f>(((B311*'Appendix K'!$C$5*1000)-('Appendix K'!$E$31+'Appendix K'!$F$31+'Appendix K'!$H$31+'Appendix K'!$G$31))/((1+$Y$16)^1))</f>
        <v>34971064.972647354</v>
      </c>
      <c r="Z311" s="193">
        <f>+(((C311*'Appendix K'!$C$6*1000)-('Appendix K'!$E$32+'Appendix K'!$F$32+'Appendix K'!$H$32+'Appendix K'!$G$32))/((1+$Y$16)^2))</f>
        <v>23272240.251504011</v>
      </c>
      <c r="AA311" s="193">
        <f>(((D311*'Appendix K'!$C$7*1000)-('Appendix K'!$E$33+'Appendix K'!$F$33+'Appendix K'!$H$33+'Appendix K'!$G$33))/((1+$Y$16)^3))</f>
        <v>11057506.832424276</v>
      </c>
      <c r="AB311" s="193">
        <f>(((E311*'Appendix K'!$C$8*1000)-('Appendix K'!$E$34+'Appendix K'!$F$34+'Appendix K'!$H$34+'Appendix K'!$G$34))/((1+$Y$16)^4))</f>
        <v>24770658.139842771</v>
      </c>
      <c r="AC311" s="193">
        <f>(((F311*'Appendix K'!$C$9*1000)-('Appendix K'!$E$35+'Appendix K'!$F$35+'Appendix K'!$H$35+'Appendix K'!$G$35))/((1+$Y$16)^AC$34))</f>
        <v>34240691.072557606</v>
      </c>
      <c r="AD311" s="193">
        <f>(((G311*'Appendix K'!$C$10*1000)-('Appendix K'!$E$36+'Appendix K'!$F$36+'Appendix K'!$H$36+'Appendix K'!$G$36))/((1+$Y$16)^AD$34))</f>
        <v>10553646.18651085</v>
      </c>
      <c r="AE311" s="193">
        <f>(((H311*'Appendix K'!$C$11*1000)-('Appendix K'!$E$37+'Appendix K'!$F$37+'Appendix K'!$H$37+'Appendix K'!$G$37))/((1+$Y$16)^AE$34))</f>
        <v>9498582.5410080142</v>
      </c>
      <c r="AF311" s="193">
        <f>(((I311*'Appendix K'!$C$12*1000)-('Appendix K'!$E$38+'Appendix K'!$F$38+'Appendix K'!$H$38+'Appendix K'!$G$38))/((1+$Y$16)^AF$34))</f>
        <v>3706065.0349061224</v>
      </c>
      <c r="AG311" s="193">
        <f>(((J311*'Appendix K'!$C$13*1000)-('Appendix K'!$E$39+'Appendix K'!$F$39+'Appendix K'!$H$39+'Appendix K'!$G$39))/((1+$Y$16)^AG$34))</f>
        <v>4678278.66345191</v>
      </c>
      <c r="AH311" s="193">
        <f>(((K311*'Appendix K'!$C$14*1000)-('Appendix K'!$E$40+'Appendix K'!$F$40+'Appendix K'!$H$40+'Appendix K'!$G$40))/((1+$Y$16)^AH$34))</f>
        <v>4586665.6852119779</v>
      </c>
      <c r="AI311" s="193">
        <f>(((L311*'Appendix K'!$C$15*1000)-('Appendix K'!$E$41+'Appendix K'!$F$41+'Appendix K'!$H$41+'Appendix K'!$G$41))/((1+$Y$16)^AI$34))</f>
        <v>2026156.1830391712</v>
      </c>
      <c r="AJ311" s="193">
        <f>(((M311*'Appendix K'!$C$16*1000)-('Appendix K'!$E$42+'Appendix K'!$F$42+'Appendix K'!$H$42+'Appendix K'!$G$42))/((1+$Y$16)^AJ$34))</f>
        <v>1924677.7259945222</v>
      </c>
      <c r="AK311" s="193">
        <f>(((N311*'Appendix K'!$C$17*1000)-('Appendix K'!$E$43+'Appendix K'!$F$43+'Appendix K'!$H$43))/((1+$Y$16)^AK$34))</f>
        <v>1411007.5913057167</v>
      </c>
      <c r="AL311" s="193">
        <f>(((O311*'Appendix K'!$C$18*1000)-('Appendix K'!$E$44+'Appendix K'!$F$44+'Appendix K'!$H$44+'Appendix K'!$G$44))/((1+$Y$16)^AL$34))</f>
        <v>1638984.0403892051</v>
      </c>
      <c r="AM311" s="193">
        <f>(((P311*'Appendix K'!$C$19*1000)-('Appendix K'!$E$45+'Appendix K'!$F$45+'Appendix K'!$H$45+'Appendix K'!$G$45))/((1+$Y$16)^AM$34))</f>
        <v>1775784.8252488724</v>
      </c>
      <c r="AN311" s="193">
        <f>(((Q311*'Appendix K'!$C$20*1000)-('Appendix K'!$E$46+'Appendix K'!$F$46+'Appendix K'!$H$46+'Appendix K'!$G$46))/((1+$Y$16)^AN$34))</f>
        <v>1742488.881140111</v>
      </c>
      <c r="AO311" s="193">
        <f>(((R311*'Appendix K'!$C$21*1000)-('Appendix K'!$E$47+'Appendix K'!$F$47+'Appendix K'!$H$47+'Appendix K'!$G$47))/((1+$Y$16)^AO$34))</f>
        <v>1647845.7796677658</v>
      </c>
      <c r="AP311" s="193">
        <f>(((S311*'Appendix K'!$C$22*1000)-('Appendix K'!$E$48+'Appendix K'!$F$48+'Appendix K'!$H$48+'Appendix K'!$G$48))/((1+$Y$16)^AP$34))</f>
        <v>857763.63056165387</v>
      </c>
      <c r="AQ311" s="193">
        <f>(((T311*'Appendix K'!$C$23*1000)-('Appendix K'!$E$49+'Appendix K'!$F$49+'Appendix K'!$H$49+'Appendix K'!$G$49))/((1+$Y$16)^AQ$34))</f>
        <v>671459.74344423611</v>
      </c>
      <c r="AR311" s="193">
        <f>(((U311*'Appendix K'!$C$24*1000)-('Appendix K'!$E$50+'Appendix K'!$F$50+'Appendix K'!$H$50+'Appendix K'!$G$50))/((1+$Y$16)^AR$34))</f>
        <v>929213.25386262161</v>
      </c>
      <c r="AS311" s="209">
        <f t="shared" si="24"/>
        <v>142365878.59064364</v>
      </c>
      <c r="AU311" s="199">
        <f t="shared" si="23"/>
        <v>4.4140848536383378E-9</v>
      </c>
    </row>
    <row r="312" spans="1:47" x14ac:dyDescent="0.35">
      <c r="A312">
        <v>278</v>
      </c>
      <c r="B312" s="70">
        <v>56</v>
      </c>
      <c r="C312" s="70">
        <v>64.193793785814819</v>
      </c>
      <c r="D312" s="70">
        <v>78.351098071369506</v>
      </c>
      <c r="E312" s="70">
        <v>55.386978702328662</v>
      </c>
      <c r="F312" s="70">
        <v>53.108997787755229</v>
      </c>
      <c r="G312" s="70">
        <v>41.299742338647114</v>
      </c>
      <c r="H312" s="70">
        <v>29.822381448964911</v>
      </c>
      <c r="I312" s="70">
        <v>16.521457454859597</v>
      </c>
      <c r="J312" s="70">
        <v>25.039364115465624</v>
      </c>
      <c r="K312" s="70">
        <v>28.417428575604699</v>
      </c>
      <c r="L312" s="70">
        <v>20.262646476980287</v>
      </c>
      <c r="M312" s="70">
        <v>31.78762905951201</v>
      </c>
      <c r="N312" s="70">
        <v>16.320627681707109</v>
      </c>
      <c r="O312" s="70">
        <v>10.193725049426286</v>
      </c>
      <c r="P312" s="70">
        <v>14.079576269041324</v>
      </c>
      <c r="Q312" s="70">
        <v>21.368182384459605</v>
      </c>
      <c r="R312" s="70">
        <v>30.31527777157488</v>
      </c>
      <c r="S312" s="70">
        <v>22.946541476632618</v>
      </c>
      <c r="T312" s="70">
        <v>29.178964749365019</v>
      </c>
      <c r="U312" s="70">
        <v>26.73148624296909</v>
      </c>
      <c r="V312" s="70">
        <v>32.563383719803518</v>
      </c>
      <c r="X312" s="193">
        <f>((0-('Appendix K'!$I$30))/(1+$Y$16)^0)</f>
        <v>-33594902.4440751</v>
      </c>
      <c r="Y312" s="193">
        <f>(((B312*'Appendix K'!$C$5*1000)-('Appendix K'!$E$31+'Appendix K'!$F$31+'Appendix K'!$H$31+'Appendix K'!$G$31))/((1+$Y$16)^1))</f>
        <v>34971064.972647354</v>
      </c>
      <c r="Z312" s="193">
        <f>+(((C312*'Appendix K'!$C$6*1000)-('Appendix K'!$E$32+'Appendix K'!$F$32+'Appendix K'!$H$32+'Appendix K'!$G$32))/((1+$Y$16)^2))</f>
        <v>12729202.554831123</v>
      </c>
      <c r="AA312" s="193">
        <f>(((D312*'Appendix K'!$C$7*1000)-('Appendix K'!$E$33+'Appendix K'!$F$33+'Appendix K'!$H$33+'Appendix K'!$G$33))/((1+$Y$16)^3))</f>
        <v>7015063.0530649219</v>
      </c>
      <c r="AB312" s="193">
        <f>(((E312*'Appendix K'!$C$8*1000)-('Appendix K'!$E$34+'Appendix K'!$F$34+'Appendix K'!$H$34+'Appendix K'!$G$34))/((1+$Y$16)^4))</f>
        <v>8847110.8237066548</v>
      </c>
      <c r="AC312" s="193">
        <f>(((F312*'Appendix K'!$C$9*1000)-('Appendix K'!$E$35+'Appendix K'!$F$35+'Appendix K'!$H$35+'Appendix K'!$G$35))/((1+$Y$16)^AC$34))</f>
        <v>11132059.696734218</v>
      </c>
      <c r="AD312" s="193">
        <f>(((G312*'Appendix K'!$C$10*1000)-('Appendix K'!$E$36+'Appendix K'!$F$36+'Appendix K'!$H$36+'Appendix K'!$G$36))/((1+$Y$16)^AD$34))</f>
        <v>3970111.7556759771</v>
      </c>
      <c r="AE312" s="193">
        <f>(((H312*'Appendix K'!$C$11*1000)-('Appendix K'!$E$37+'Appendix K'!$F$37+'Appendix K'!$H$37+'Appendix K'!$G$37))/((1+$Y$16)^AE$34))</f>
        <v>754472.64658652851</v>
      </c>
      <c r="AF312" s="193">
        <f>(((I312*'Appendix K'!$C$12*1000)-('Appendix K'!$E$38+'Appendix K'!$F$38+'Appendix K'!$H$38+'Appendix K'!$G$38))/((1+$Y$16)^AF$34))</f>
        <v>-911740.01593669003</v>
      </c>
      <c r="AG312" s="193">
        <f>(((J312*'Appendix K'!$C$13*1000)-('Appendix K'!$E$39+'Appendix K'!$F$39+'Appendix K'!$H$39+'Appendix K'!$G$39))/((1+$Y$16)^AG$34))</f>
        <v>-662659.06238210679</v>
      </c>
      <c r="AH312" s="193">
        <f>(((K312*'Appendix K'!$C$14*1000)-('Appendix K'!$E$40+'Appendix K'!$F$40+'Appendix K'!$H$40+'Appendix K'!$G$40))/((1+$Y$16)^AH$34))</f>
        <v>-674888.33943497273</v>
      </c>
      <c r="AI312" s="193">
        <f>(((L312*'Appendix K'!$C$15*1000)-('Appendix K'!$E$41+'Appendix K'!$F$41+'Appendix K'!$H$41+'Appendix K'!$G$41))/((1+$Y$16)^AI$34))</f>
        <v>-985562.11929943296</v>
      </c>
      <c r="AJ312" s="193">
        <f>(((M312*'Appendix K'!$C$16*1000)-('Appendix K'!$E$42+'Appendix K'!$F$42+'Appendix K'!$H$42+'Appendix K'!$G$42))/((1+$Y$16)^AJ$34))</f>
        <v>-744467.52555280342</v>
      </c>
      <c r="AK312" s="193">
        <f>(((N312*'Appendix K'!$C$17*1000)-('Appendix K'!$E$43+'Appendix K'!$F$43+'Appendix K'!$H$43))/((1+$Y$16)^AK$34))</f>
        <v>-753510.16615544003</v>
      </c>
      <c r="AL312" s="193">
        <f>(((O312*'Appendix K'!$C$18*1000)-('Appendix K'!$E$44+'Appendix K'!$F$44+'Appendix K'!$H$44+'Appendix K'!$G$44))/((1+$Y$16)^AL$34))</f>
        <v>-1013759.9031340784</v>
      </c>
      <c r="AM312" s="193">
        <f>(((P312*'Appendix K'!$C$19*1000)-('Appendix K'!$E$45+'Appendix K'!$F$45+'Appendix K'!$H$45+'Appendix K'!$G$45))/((1+$Y$16)^AM$34))</f>
        <v>-896266.12592665013</v>
      </c>
      <c r="AN312" s="193">
        <f>(((Q312*'Appendix K'!$C$20*1000)-('Appendix K'!$E$46+'Appendix K'!$F$46+'Appendix K'!$H$46+'Appendix K'!$G$46))/((1+$Y$16)^AN$34))</f>
        <v>-761084.03656690626</v>
      </c>
      <c r="AO312" s="193">
        <f>(((R312*'Appendix K'!$C$21*1000)-('Appendix K'!$E$47+'Appendix K'!$F$47+'Appendix K'!$H$47+'Appendix K'!$G$47))/((1+$Y$16)^AO$34))</f>
        <v>-663832.28451788786</v>
      </c>
      <c r="AP312" s="193">
        <f>(((S312*'Appendix K'!$C$22*1000)-('Appendix K'!$E$48+'Appendix K'!$F$48+'Appendix K'!$H$48+'Appendix K'!$G$48))/((1+$Y$16)^AP$34))</f>
        <v>-654545.7392816674</v>
      </c>
      <c r="AQ312" s="193">
        <f>(((T312*'Appendix K'!$C$23*1000)-('Appendix K'!$E$49+'Appendix K'!$F$49+'Appendix K'!$H$49+'Appendix K'!$G$49))/((1+$Y$16)^AQ$34))</f>
        <v>-579286.63348932541</v>
      </c>
      <c r="AR312" s="193">
        <f>(((U312*'Appendix K'!$C$24*1000)-('Appendix K'!$E$50+'Appendix K'!$F$50+'Appendix K'!$H$50+'Appendix K'!$G$50))/((1+$Y$16)^AR$34))</f>
        <v>-543212.73462021386</v>
      </c>
      <c r="AS312" s="209">
        <f t="shared" si="24"/>
        <v>45824183.059171669</v>
      </c>
      <c r="AU312" s="199">
        <f t="shared" si="23"/>
        <v>5.3600923647007533E-9</v>
      </c>
    </row>
    <row r="313" spans="1:47" x14ac:dyDescent="0.35">
      <c r="A313">
        <v>279</v>
      </c>
      <c r="B313" s="70">
        <v>56</v>
      </c>
      <c r="C313" s="70">
        <v>31.569482022869909</v>
      </c>
      <c r="D313" s="70">
        <v>20.086629229577202</v>
      </c>
      <c r="E313" s="70">
        <v>33.863537230534249</v>
      </c>
      <c r="F313" s="70">
        <v>19.457204914362094</v>
      </c>
      <c r="G313" s="70">
        <v>28.155145543850985</v>
      </c>
      <c r="H313" s="70">
        <v>17.209263611397891</v>
      </c>
      <c r="I313" s="70">
        <v>3.996819267609915</v>
      </c>
      <c r="J313" s="70">
        <v>4.3511392507062912</v>
      </c>
      <c r="K313" s="70">
        <v>5.6853974792957791</v>
      </c>
      <c r="L313" s="70">
        <v>6.1798984408461655</v>
      </c>
      <c r="M313" s="70">
        <v>6.5451276218913668</v>
      </c>
      <c r="N313" s="70">
        <v>10.134435280352136</v>
      </c>
      <c r="O313" s="70">
        <v>14.765122163213197</v>
      </c>
      <c r="P313" s="70">
        <v>17.35988181223621</v>
      </c>
      <c r="Q313" s="70">
        <v>19.327282496205438</v>
      </c>
      <c r="R313" s="70">
        <v>21.222503191543442</v>
      </c>
      <c r="S313" s="70">
        <v>32.429145591584074</v>
      </c>
      <c r="T313" s="70">
        <v>32.949911232929281</v>
      </c>
      <c r="U313" s="70">
        <v>40.227163534295741</v>
      </c>
      <c r="V313" s="70">
        <v>48.394753917520283</v>
      </c>
      <c r="X313" s="193">
        <f>((0-('Appendix K'!$I$30))/(1+$Y$16)^0)</f>
        <v>-33594902.4440751</v>
      </c>
      <c r="Y313" s="193">
        <f>(((B313*'Appendix K'!$C$5*1000)-('Appendix K'!$E$31+'Appendix K'!$F$31+'Appendix K'!$H$31+'Appendix K'!$G$31))/((1+$Y$16)^1))</f>
        <v>34971064.972647354</v>
      </c>
      <c r="Z313" s="193">
        <f>+(((C313*'Appendix K'!$C$6*1000)-('Appendix K'!$E$32+'Appendix K'!$F$32+'Appendix K'!$H$32+'Appendix K'!$G$32))/((1+$Y$16)^2))</f>
        <v>4487743.4258589419</v>
      </c>
      <c r="AA313" s="193">
        <f>(((D313*'Appendix K'!$C$7*1000)-('Appendix K'!$E$33+'Appendix K'!$F$33+'Appendix K'!$H$33+'Appendix K'!$G$33))/((1+$Y$16)^3))</f>
        <v>-406366.22869207669</v>
      </c>
      <c r="AB313" s="193">
        <f>(((E313*'Appendix K'!$C$8*1000)-('Appendix K'!$E$34+'Appendix K'!$F$34+'Appendix K'!$H$34+'Appendix K'!$G$34))/((1+$Y$16)^4))</f>
        <v>4129369.4812319656</v>
      </c>
      <c r="AC313" s="193">
        <f>(((F313*'Appendix K'!$C$9*1000)-('Appendix K'!$E$35+'Appendix K'!$F$35+'Appendix K'!$H$35+'Appendix K'!$G$35))/((1+$Y$16)^AC$34))</f>
        <v>2187465.9937837743</v>
      </c>
      <c r="AD313" s="193">
        <f>(((G313*'Appendix K'!$C$10*1000)-('Appendix K'!$E$36+'Appendix K'!$F$36+'Appendix K'!$H$36+'Appendix K'!$G$36))/((1+$Y$16)^AD$34))</f>
        <v>1905832.3339324624</v>
      </c>
      <c r="AE313" s="193">
        <f>(((H313*'Appendix K'!$C$11*1000)-('Appendix K'!$E$37+'Appendix K'!$F$37+'Appendix K'!$H$37+'Appendix K'!$G$37))/((1+$Y$16)^AE$34))</f>
        <v>-503529.81876755587</v>
      </c>
      <c r="AF313" s="193">
        <f>(((I313*'Appendix K'!$C$12*1000)-('Appendix K'!$E$38+'Appendix K'!$F$38+'Appendix K'!$H$38+'Appendix K'!$G$38))/((1+$Y$16)^AF$34))</f>
        <v>-1734138.1570973278</v>
      </c>
      <c r="AG313" s="193">
        <f>(((J313*'Appendix K'!$C$13*1000)-('Appendix K'!$E$39+'Appendix K'!$F$39+'Appendix K'!$H$39+'Appendix K'!$G$39))/((1+$Y$16)^AG$34))</f>
        <v>-1614709.0872566639</v>
      </c>
      <c r="AH313" s="193">
        <f>(((K313*'Appendix K'!$C$14*1000)-('Appendix K'!$E$40+'Appendix K'!$F$40+'Appendix K'!$H$40+'Appendix K'!$G$40))/((1+$Y$16)^AH$34))</f>
        <v>-1441106.1538044605</v>
      </c>
      <c r="AI313" s="193">
        <f>(((L313*'Appendix K'!$C$15*1000)-('Appendix K'!$E$41+'Appendix K'!$F$41+'Appendix K'!$H$41+'Appendix K'!$G$41))/((1+$Y$16)^AI$34))</f>
        <v>-1354556.4527141079</v>
      </c>
      <c r="AJ313" s="193">
        <f>(((M313*'Appendix K'!$C$16*1000)-('Appendix K'!$E$42+'Appendix K'!$F$42+'Appendix K'!$H$42+'Appendix K'!$G$42))/((1+$Y$16)^AJ$34))</f>
        <v>-1250374.3815562539</v>
      </c>
      <c r="AK313" s="193">
        <f>(((N313*'Appendix K'!$C$17*1000)-('Appendix K'!$E$43+'Appendix K'!$F$43+'Appendix K'!$H$43))/((1+$Y$16)^AK$34))</f>
        <v>-848554.19189392123</v>
      </c>
      <c r="AL313" s="193">
        <f>(((O313*'Appendix K'!$C$18*1000)-('Appendix K'!$E$44+'Appendix K'!$F$44+'Appendix K'!$H$44+'Appendix K'!$G$44))/((1+$Y$16)^AL$34))</f>
        <v>-959573.78800104233</v>
      </c>
      <c r="AM313" s="193">
        <f>(((P313*'Appendix K'!$C$19*1000)-('Appendix K'!$E$45+'Appendix K'!$F$45+'Appendix K'!$H$45+'Appendix K'!$G$45))/((1+$Y$16)^AM$34))</f>
        <v>-865861.85365007166</v>
      </c>
      <c r="AN313" s="193">
        <f>(((Q313*'Appendix K'!$C$20*1000)-('Appendix K'!$E$46+'Appendix K'!$F$46+'Appendix K'!$H$46+'Appendix K'!$G$46))/((1+$Y$16)^AN$34))</f>
        <v>-775852.43081089656</v>
      </c>
      <c r="AO313" s="193">
        <f>(((R313*'Appendix K'!$C$21*1000)-('Appendix K'!$E$47+'Appendix K'!$F$47+'Appendix K'!$H$47+'Appendix K'!$G$47))/((1+$Y$16)^AO$34))</f>
        <v>-717571.58685597521</v>
      </c>
      <c r="AP313" s="193">
        <f>(((S313*'Appendix K'!$C$22*1000)-('Appendix K'!$E$48+'Appendix K'!$F$48+'Appendix K'!$H$48+'Appendix K'!$G$48))/((1+$Y$16)^AP$34))</f>
        <v>-609126.72694274515</v>
      </c>
      <c r="AQ313" s="193">
        <f>(((T313*'Appendix K'!$C$23*1000)-('Appendix K'!$E$49+'Appendix K'!$F$49+'Appendix K'!$H$49+'Appendix K'!$G$49))/((1+$Y$16)^AQ$34))</f>
        <v>-564528.11433971312</v>
      </c>
      <c r="AR313" s="193">
        <f>(((U313*'Appendix K'!$C$24*1000)-('Appendix K'!$E$50+'Appendix K'!$F$50+'Appendix K'!$H$50+'Appendix K'!$G$50))/((1+$Y$16)^AR$34))</f>
        <v>-499756.27560866869</v>
      </c>
      <c r="AS313" s="209">
        <f t="shared" si="24"/>
        <v>14086573.763379395</v>
      </c>
      <c r="AU313" s="199">
        <f t="shared" si="23"/>
        <v>3.0366889802422392E-9</v>
      </c>
    </row>
    <row r="314" spans="1:47" x14ac:dyDescent="0.35">
      <c r="A314">
        <v>280</v>
      </c>
      <c r="B314" s="70">
        <v>56</v>
      </c>
      <c r="C314" s="70">
        <v>48.631999065247726</v>
      </c>
      <c r="D314" s="70">
        <v>28.312558005666304</v>
      </c>
      <c r="E314" s="70">
        <v>19.558499514106586</v>
      </c>
      <c r="F314" s="70">
        <v>31.247154546554896</v>
      </c>
      <c r="G314" s="70">
        <v>43.874152071597905</v>
      </c>
      <c r="H314" s="70">
        <v>42.962307493082371</v>
      </c>
      <c r="I314" s="70">
        <v>55.945117363539126</v>
      </c>
      <c r="J314" s="70">
        <v>63.060814097347532</v>
      </c>
      <c r="K314" s="70">
        <v>46.261291904023054</v>
      </c>
      <c r="L314" s="70">
        <v>59.415323300214041</v>
      </c>
      <c r="M314" s="70">
        <v>84.992742957590082</v>
      </c>
      <c r="N314" s="70">
        <v>131.71795564291949</v>
      </c>
      <c r="O314" s="70">
        <v>159.04230690795958</v>
      </c>
      <c r="P314" s="70">
        <v>128.62515499241428</v>
      </c>
      <c r="Q314" s="70">
        <v>118.74562498640881</v>
      </c>
      <c r="R314" s="70">
        <v>136.34182524481747</v>
      </c>
      <c r="S314" s="70">
        <v>172.62190009547527</v>
      </c>
      <c r="T314" s="70">
        <v>213.91066961715279</v>
      </c>
      <c r="U314" s="70">
        <v>223.07280622437762</v>
      </c>
      <c r="V314" s="70">
        <v>294.50324948420678</v>
      </c>
      <c r="X314" s="193">
        <f>((0-('Appendix K'!$I$30))/(1+$Y$16)^0)</f>
        <v>-33594902.4440751</v>
      </c>
      <c r="Y314" s="193">
        <f>(((B314*'Appendix K'!$C$5*1000)-('Appendix K'!$E$31+'Appendix K'!$F$31+'Appendix K'!$H$31+'Appendix K'!$G$31))/((1+$Y$16)^1))</f>
        <v>34971064.972647354</v>
      </c>
      <c r="Z314" s="193">
        <f>+(((C314*'Appendix K'!$C$6*1000)-('Appendix K'!$E$32+'Appendix K'!$F$32+'Appendix K'!$H$32+'Appendix K'!$G$32))/((1+$Y$16)^2))</f>
        <v>8798027.0531097725</v>
      </c>
      <c r="AA314" s="193">
        <f>(((D314*'Appendix K'!$C$7*1000)-('Appendix K'!$E$33+'Appendix K'!$F$33+'Appendix K'!$H$33+'Appendix K'!$G$33))/((1+$Y$16)^3))</f>
        <v>641410.39919208921</v>
      </c>
      <c r="AB314" s="193">
        <f>(((E314*'Appendix K'!$C$8*1000)-('Appendix K'!$E$34+'Appendix K'!$F$34+'Appendix K'!$H$34+'Appendix K'!$G$34))/((1+$Y$16)^4))</f>
        <v>993836.16380733158</v>
      </c>
      <c r="AC314" s="193">
        <f>(((F314*'Appendix K'!$C$9*1000)-('Appendix K'!$E$35+'Appendix K'!$F$35+'Appendix K'!$H$35+'Appendix K'!$G$35))/((1+$Y$16)^AC$34))</f>
        <v>5321216.0924774446</v>
      </c>
      <c r="AD314" s="193">
        <f>(((G314*'Appendix K'!$C$10*1000)-('Appendix K'!$E$36+'Appendix K'!$F$36+'Appendix K'!$H$36+'Appendix K'!$G$36))/((1+$Y$16)^AD$34))</f>
        <v>4374407.2329606386</v>
      </c>
      <c r="AE314" s="193">
        <f>(((H314*'Appendix K'!$C$11*1000)-('Appendix K'!$E$37+'Appendix K'!$F$37+'Appendix K'!$H$37+'Appendix K'!$G$37))/((1+$Y$16)^AE$34))</f>
        <v>2065017.7133135539</v>
      </c>
      <c r="AF314" s="193">
        <f>(((I314*'Appendix K'!$C$12*1000)-('Appendix K'!$E$38+'Appendix K'!$F$38+'Appendix K'!$H$38+'Appendix K'!$G$38))/((1+$Y$16)^AF$34))</f>
        <v>1676913.1764288468</v>
      </c>
      <c r="AG314" s="193">
        <f>(((J314*'Appendix K'!$C$13*1000)-('Appendix K'!$E$39+'Appendix K'!$F$39+'Appendix K'!$H$39+'Appendix K'!$G$39))/((1+$Y$16)^AG$34))</f>
        <v>1087047.4802356805</v>
      </c>
      <c r="AH314" s="193">
        <f>(((K314*'Appendix K'!$C$14*1000)-('Appendix K'!$E$40+'Appendix K'!$F$40+'Appendix K'!$H$40+'Appendix K'!$G$40))/((1+$Y$16)^AH$34))</f>
        <v>-73433.682722463433</v>
      </c>
      <c r="AI314" s="193">
        <f>(((L314*'Appendix K'!$C$15*1000)-('Appendix K'!$E$41+'Appendix K'!$F$41+'Appendix K'!$H$41+'Appendix K'!$G$41))/((1+$Y$16)^AI$34))</f>
        <v>40311.229333965937</v>
      </c>
      <c r="AJ314" s="193">
        <f>(((M314*'Appendix K'!$C$16*1000)-('Appendix K'!$E$42+'Appendix K'!$F$42+'Appendix K'!$H$42+'Appendix K'!$G$42))/((1+$Y$16)^AJ$34))</f>
        <v>321862.28973904159</v>
      </c>
      <c r="AK314" s="193">
        <f>(((N314*'Appendix K'!$C$17*1000)-('Appendix K'!$E$43+'Appendix K'!$F$43+'Appendix K'!$H$43))/((1+$Y$16)^AK$34))</f>
        <v>1019442.5481014132</v>
      </c>
      <c r="AL314" s="193">
        <f>(((O314*'Appendix K'!$C$18*1000)-('Appendix K'!$E$44+'Appendix K'!$F$44+'Appendix K'!$H$44+'Appendix K'!$G$44))/((1+$Y$16)^AL$34))</f>
        <v>750586.13664678682</v>
      </c>
      <c r="AM314" s="193">
        <f>(((P314*'Appendix K'!$C$19*1000)-('Appendix K'!$E$45+'Appendix K'!$F$45+'Appendix K'!$H$45+'Appendix K'!$G$45))/((1+$Y$16)^AM$34))</f>
        <v>165426.12125094022</v>
      </c>
      <c r="AN314" s="193">
        <f>(((Q314*'Appendix K'!$C$20*1000)-('Appendix K'!$E$46+'Appendix K'!$F$46+'Appendix K'!$H$46+'Appendix K'!$G$46))/((1+$Y$16)^AN$34))</f>
        <v>-56439.741619496228</v>
      </c>
      <c r="AO314" s="193">
        <f>(((R314*'Appendix K'!$C$21*1000)-('Appendix K'!$E$47+'Appendix K'!$F$47+'Appendix K'!$H$47+'Appendix K'!$G$47))/((1+$Y$16)^AO$34))</f>
        <v>-37203.675133793287</v>
      </c>
      <c r="AP314" s="193">
        <f>(((S314*'Appendix K'!$C$22*1000)-('Appendix K'!$E$48+'Appendix K'!$F$48+'Appendix K'!$H$48+'Appendix K'!$G$48))/((1+$Y$16)^AP$34))</f>
        <v>62357.220868602504</v>
      </c>
      <c r="AQ314" s="193">
        <f>(((T314*'Appendix K'!$C$23*1000)-('Appendix K'!$E$49+'Appendix K'!$F$49+'Appendix K'!$H$49+'Appendix K'!$G$49))/((1+$Y$16)^AQ$34))</f>
        <v>143705.96683387825</v>
      </c>
      <c r="AR314" s="193">
        <f>(((U314*'Appendix K'!$C$24*1000)-('Appendix K'!$E$50+'Appendix K'!$F$50+'Appendix K'!$H$50+'Appendix K'!$G$50))/((1+$Y$16)^AR$34))</f>
        <v>89011.816979597643</v>
      </c>
      <c r="AS314" s="209">
        <f t="shared" si="24"/>
        <v>28926741.169851832</v>
      </c>
      <c r="AU314" s="199">
        <f t="shared" si="23"/>
        <v>4.1180836094056931E-9</v>
      </c>
    </row>
    <row r="315" spans="1:47" x14ac:dyDescent="0.35">
      <c r="A315">
        <v>281</v>
      </c>
      <c r="B315" s="70">
        <v>56</v>
      </c>
      <c r="C315" s="70">
        <v>46.917035547738877</v>
      </c>
      <c r="D315" s="70">
        <v>46.998978397050877</v>
      </c>
      <c r="E315" s="70">
        <v>36.676424150307739</v>
      </c>
      <c r="F315" s="70">
        <v>51.226578701690926</v>
      </c>
      <c r="G315" s="70">
        <v>60.832538465374398</v>
      </c>
      <c r="H315" s="70">
        <v>45.459064906614998</v>
      </c>
      <c r="I315" s="70">
        <v>37.091551138529397</v>
      </c>
      <c r="J315" s="70">
        <v>36.641704101525058</v>
      </c>
      <c r="K315" s="70">
        <v>42.203553516319879</v>
      </c>
      <c r="L315" s="70">
        <v>45.520286086322628</v>
      </c>
      <c r="M315" s="70">
        <v>43.114939294518507</v>
      </c>
      <c r="N315" s="70">
        <v>53.708629960770352</v>
      </c>
      <c r="O315" s="70">
        <v>55.700985515406416</v>
      </c>
      <c r="P315" s="70">
        <v>41.235919805443928</v>
      </c>
      <c r="Q315" s="70">
        <v>48.784715106314202</v>
      </c>
      <c r="R315" s="70">
        <v>83.840115580844355</v>
      </c>
      <c r="S315" s="70">
        <v>86.705215846002318</v>
      </c>
      <c r="T315" s="70">
        <v>123.45240560305896</v>
      </c>
      <c r="U315" s="70">
        <v>133.00557650609844</v>
      </c>
      <c r="V315" s="70">
        <v>160.14651159872437</v>
      </c>
      <c r="X315" s="193">
        <f>((0-('Appendix K'!$I$30))/(1+$Y$16)^0)</f>
        <v>-33594902.4440751</v>
      </c>
      <c r="Y315" s="193">
        <f>(((B315*'Appendix K'!$C$5*1000)-('Appendix K'!$E$31+'Appendix K'!$F$31+'Appendix K'!$H$31+'Appendix K'!$G$31))/((1+$Y$16)^1))</f>
        <v>34971064.972647354</v>
      </c>
      <c r="Z315" s="193">
        <f>+(((C315*'Appendix K'!$C$6*1000)-('Appendix K'!$E$32+'Appendix K'!$F$32+'Appendix K'!$H$32+'Appendix K'!$G$32))/((1+$Y$16)^2))</f>
        <v>8364797.9373531938</v>
      </c>
      <c r="AA315" s="193">
        <f>(((D315*'Appendix K'!$C$7*1000)-('Appendix K'!$E$33+'Appendix K'!$F$33+'Appendix K'!$H$33+'Appendix K'!$G$33))/((1+$Y$16)^3))</f>
        <v>3021590.8113812986</v>
      </c>
      <c r="AB315" s="193">
        <f>(((E315*'Appendix K'!$C$8*1000)-('Appendix K'!$E$34+'Appendix K'!$F$34+'Appendix K'!$H$34+'Appendix K'!$G$34))/((1+$Y$16)^4))</f>
        <v>4745928.5445449632</v>
      </c>
      <c r="AC315" s="193">
        <f>(((F315*'Appendix K'!$C$9*1000)-('Appendix K'!$E$35+'Appendix K'!$F$35+'Appendix K'!$H$35+'Appendix K'!$G$35))/((1+$Y$16)^AC$34))</f>
        <v>10631715.659586733</v>
      </c>
      <c r="AD315" s="193">
        <f>(((G315*'Appendix K'!$C$10*1000)-('Appendix K'!$E$36+'Appendix K'!$F$36+'Appendix K'!$H$36+'Appendix K'!$G$36))/((1+$Y$16)^AD$34))</f>
        <v>7037619.2435798626</v>
      </c>
      <c r="AE315" s="193">
        <f>(((H315*'Appendix K'!$C$11*1000)-('Appendix K'!$E$37+'Appendix K'!$F$37+'Appendix K'!$H$37+'Appendix K'!$G$37))/((1+$Y$16)^AE$34))</f>
        <v>2314038.3775192085</v>
      </c>
      <c r="AF315" s="193">
        <f>(((I315*'Appendix K'!$C$12*1000)-('Appendix K'!$E$38+'Appendix K'!$F$38+'Appendix K'!$H$38+'Appendix K'!$G$38))/((1+$Y$16)^AF$34))</f>
        <v>438942.25975346501</v>
      </c>
      <c r="AG315" s="193">
        <f>(((J315*'Appendix K'!$C$13*1000)-('Appendix K'!$E$39+'Appendix K'!$F$39+'Appendix K'!$H$39+'Appendix K'!$G$39))/((1+$Y$16)^AG$34))</f>
        <v>-128731.76100465008</v>
      </c>
      <c r="AH315" s="193">
        <f>(((K315*'Appendix K'!$C$14*1000)-('Appendix K'!$E$40+'Appendix K'!$F$40+'Appendix K'!$H$40+'Appendix K'!$G$40))/((1+$Y$16)^AH$34))</f>
        <v>-210205.95025705843</v>
      </c>
      <c r="AI315" s="193">
        <f>(((L315*'Appendix K'!$C$15*1000)-('Appendix K'!$E$41+'Appendix K'!$F$41+'Appendix K'!$H$41+'Appendix K'!$G$41))/((1+$Y$16)^AI$34))</f>
        <v>-323764.72951699124</v>
      </c>
      <c r="AJ315" s="193">
        <f>(((M315*'Appendix K'!$C$16*1000)-('Appendix K'!$E$42+'Appendix K'!$F$42+'Appendix K'!$H$42+'Appendix K'!$G$42))/((1+$Y$16)^AJ$34))</f>
        <v>-517447.08060485608</v>
      </c>
      <c r="AK315" s="193">
        <f>(((N315*'Appendix K'!$C$17*1000)-('Appendix K'!$E$43+'Appendix K'!$F$43+'Appendix K'!$H$43))/((1+$Y$16)^AK$34))</f>
        <v>-179084.73280756231</v>
      </c>
      <c r="AL315" s="193">
        <f>(((O315*'Appendix K'!$C$18*1000)-('Appendix K'!$E$44+'Appendix K'!$F$44+'Appendix K'!$H$44+'Appendix K'!$G$44))/((1+$Y$16)^AL$34))</f>
        <v>-474348.95422267355</v>
      </c>
      <c r="AM315" s="193">
        <f>(((P315*'Appendix K'!$C$19*1000)-('Appendix K'!$E$45+'Appendix K'!$F$45+'Appendix K'!$H$45+'Appendix K'!$G$45))/((1+$Y$16)^AM$34))</f>
        <v>-644561.26122891891</v>
      </c>
      <c r="AN315" s="193">
        <f>(((Q315*'Appendix K'!$C$20*1000)-('Appendix K'!$E$46+'Appendix K'!$F$46+'Appendix K'!$H$46+'Appendix K'!$G$46))/((1+$Y$16)^AN$34))</f>
        <v>-562692.0593955206</v>
      </c>
      <c r="AO315" s="193">
        <f>(((R315*'Appendix K'!$C$21*1000)-('Appendix K'!$E$47+'Appendix K'!$F$47+'Appendix K'!$H$47+'Appendix K'!$G$47))/((1+$Y$16)^AO$34))</f>
        <v>-347494.57963887049</v>
      </c>
      <c r="AP315" s="193">
        <f>(((S315*'Appendix K'!$C$22*1000)-('Appendix K'!$E$48+'Appendix K'!$F$48+'Appendix K'!$H$48+'Appendix K'!$G$48))/((1+$Y$16)^AP$34))</f>
        <v>-349159.58345451846</v>
      </c>
      <c r="AQ315" s="193">
        <f>(((T315*'Appendix K'!$C$23*1000)-('Appendix K'!$E$49+'Appendix K'!$F$49+'Appendix K'!$H$49+'Appendix K'!$G$49))/((1+$Y$16)^AQ$34))</f>
        <v>-210324.52060778596</v>
      </c>
      <c r="AR315" s="193">
        <f>(((U315*'Appendix K'!$C$24*1000)-('Appendix K'!$E$50+'Appendix K'!$F$50+'Appendix K'!$H$50+'Appendix K'!$G$50))/((1+$Y$16)^AR$34))</f>
        <v>-201007.18629423261</v>
      </c>
      <c r="AS315" s="209">
        <f t="shared" si="24"/>
        <v>37930795.362290971</v>
      </c>
      <c r="AU315" s="199">
        <f t="shared" si="23"/>
        <v>4.791680807431714E-9</v>
      </c>
    </row>
    <row r="316" spans="1:47" x14ac:dyDescent="0.35">
      <c r="A316">
        <v>282</v>
      </c>
      <c r="B316" s="70">
        <v>56</v>
      </c>
      <c r="C316" s="70">
        <v>66.67574839381561</v>
      </c>
      <c r="D316" s="70">
        <v>60.398692936349427</v>
      </c>
      <c r="E316" s="70">
        <v>69.208250626439778</v>
      </c>
      <c r="F316" s="70">
        <v>43.179101996012804</v>
      </c>
      <c r="G316" s="70">
        <v>45.399222172891761</v>
      </c>
      <c r="H316" s="70">
        <v>40.737903401384713</v>
      </c>
      <c r="I316" s="70">
        <v>55.075476164789613</v>
      </c>
      <c r="J316" s="70">
        <v>80.646146698600262</v>
      </c>
      <c r="K316" s="70">
        <v>74.871917345911584</v>
      </c>
      <c r="L316" s="70">
        <v>102.16698943503062</v>
      </c>
      <c r="M316" s="70">
        <v>48.792683060123778</v>
      </c>
      <c r="N316" s="70">
        <v>60.570388187417265</v>
      </c>
      <c r="O316" s="70">
        <v>22.937017847080632</v>
      </c>
      <c r="P316" s="70">
        <v>15.685438657836704</v>
      </c>
      <c r="Q316" s="70">
        <v>15.190909770756591</v>
      </c>
      <c r="R316" s="70">
        <v>21.339853545110753</v>
      </c>
      <c r="S316" s="70">
        <v>13.886153533594236</v>
      </c>
      <c r="T316" s="70">
        <v>16.833015509537365</v>
      </c>
      <c r="U316" s="70">
        <v>20.927377735245578</v>
      </c>
      <c r="V316" s="70">
        <v>16.271783665591055</v>
      </c>
      <c r="X316" s="193">
        <f>((0-('Appendix K'!$I$30))/(1+$Y$16)^0)</f>
        <v>-33594902.4440751</v>
      </c>
      <c r="Y316" s="193">
        <f>(((B316*'Appendix K'!$C$5*1000)-('Appendix K'!$E$31+'Appendix K'!$F$31+'Appendix K'!$H$31+'Appendix K'!$G$31))/((1+$Y$16)^1))</f>
        <v>34971064.972647354</v>
      </c>
      <c r="Z316" s="193">
        <f>+(((C316*'Appendix K'!$C$6*1000)-('Appendix K'!$E$32+'Appendix K'!$F$32+'Appendix K'!$H$32+'Appendix K'!$G$32))/((1+$Y$16)^2))</f>
        <v>13356186.737989759</v>
      </c>
      <c r="AA316" s="193">
        <f>(((D316*'Appendix K'!$C$7*1000)-('Appendix K'!$E$33+'Appendix K'!$F$33+'Appendix K'!$H$33+'Appendix K'!$G$33))/((1+$Y$16)^3))</f>
        <v>4728377.7404643055</v>
      </c>
      <c r="AB316" s="193">
        <f>(((E316*'Appendix K'!$C$8*1000)-('Appendix K'!$E$34+'Appendix K'!$F$34+'Appendix K'!$H$34+'Appendix K'!$G$34))/((1+$Y$16)^4))</f>
        <v>11876607.107905092</v>
      </c>
      <c r="AC316" s="193">
        <f>(((F316*'Appendix K'!$C$9*1000)-('Appendix K'!$E$35+'Appendix K'!$F$35+'Appendix K'!$H$35+'Appendix K'!$G$35))/((1+$Y$16)^AC$34))</f>
        <v>8492708.9880235922</v>
      </c>
      <c r="AD316" s="193">
        <f>(((G316*'Appendix K'!$C$10*1000)-('Appendix K'!$E$36+'Appendix K'!$F$36+'Appendix K'!$H$36+'Appendix K'!$G$36))/((1+$Y$16)^AD$34))</f>
        <v>4613910.268007217</v>
      </c>
      <c r="AE316" s="193">
        <f>(((H316*'Appendix K'!$C$11*1000)-('Appendix K'!$E$37+'Appendix K'!$F$37+'Appendix K'!$H$37+'Appendix K'!$G$37))/((1+$Y$16)^AE$34))</f>
        <v>1843160.9236334586</v>
      </c>
      <c r="AF316" s="193">
        <f>(((I316*'Appendix K'!$C$12*1000)-('Appendix K'!$E$38+'Appendix K'!$F$38+'Appendix K'!$H$38+'Appendix K'!$G$38))/((1+$Y$16)^AF$34))</f>
        <v>1619810.424665815</v>
      </c>
      <c r="AG316" s="193">
        <f>(((J316*'Appendix K'!$C$13*1000)-('Appendix K'!$E$39+'Appendix K'!$F$39+'Appendix K'!$H$39+'Appendix K'!$G$39))/((1+$Y$16)^AG$34))</f>
        <v>1896305.7152894195</v>
      </c>
      <c r="AH316" s="193">
        <f>(((K316*'Appendix K'!$C$14*1000)-('Appendix K'!$E$40+'Appendix K'!$F$40+'Appendix K'!$H$40+'Appendix K'!$G$40))/((1+$Y$16)^AH$34))</f>
        <v>890931.12924488599</v>
      </c>
      <c r="AI316" s="193">
        <f>(((L316*'Appendix K'!$C$15*1000)-('Appendix K'!$E$41+'Appendix K'!$F$41+'Appendix K'!$H$41+'Appendix K'!$G$41))/((1+$Y$16)^AI$34))</f>
        <v>1160484.8280738487</v>
      </c>
      <c r="AJ316" s="193">
        <f>(((M316*'Appendix K'!$C$16*1000)-('Appendix K'!$E$42+'Appendix K'!$F$42+'Appendix K'!$H$42+'Appendix K'!$G$42))/((1+$Y$16)^AJ$34))</f>
        <v>-403654.49531972251</v>
      </c>
      <c r="AK316" s="193">
        <f>(((N316*'Appendix K'!$C$17*1000)-('Appendix K'!$E$43+'Appendix K'!$F$43+'Appendix K'!$H$43))/((1+$Y$16)^AK$34))</f>
        <v>-73661.383000042915</v>
      </c>
      <c r="AL316" s="193">
        <f>(((O316*'Appendix K'!$C$18*1000)-('Appendix K'!$E$44+'Appendix K'!$F$44+'Appendix K'!$H$44+'Appendix K'!$G$44))/((1+$Y$16)^AL$34))</f>
        <v>-862709.90386248298</v>
      </c>
      <c r="AM316" s="193">
        <f>(((P316*'Appendix K'!$C$19*1000)-('Appendix K'!$E$45+'Appendix K'!$F$45+'Appendix K'!$H$45+'Appendix K'!$G$45))/((1+$Y$16)^AM$34))</f>
        <v>-881381.81814960763</v>
      </c>
      <c r="AN316" s="193">
        <f>(((Q316*'Appendix K'!$C$20*1000)-('Appendix K'!$E$46+'Appendix K'!$F$46+'Appendix K'!$H$46+'Appendix K'!$G$46))/((1+$Y$16)^AN$34))</f>
        <v>-805784.12099378556</v>
      </c>
      <c r="AO316" s="193">
        <f>(((R316*'Appendix K'!$C$21*1000)-('Appendix K'!$E$47+'Appendix K'!$F$47+'Appendix K'!$H$47+'Appendix K'!$G$47))/((1+$Y$16)^AO$34))</f>
        <v>-716878.03330152063</v>
      </c>
      <c r="AP316" s="193">
        <f>(((S316*'Appendix K'!$C$22*1000)-('Appendix K'!$E$48+'Appendix K'!$F$48+'Appendix K'!$H$48+'Appendix K'!$G$48))/((1+$Y$16)^AP$34))</f>
        <v>-697942.45465560548</v>
      </c>
      <c r="AQ316" s="193">
        <f>(((T316*'Appendix K'!$C$23*1000)-('Appendix K'!$E$49+'Appendix K'!$F$49+'Appendix K'!$H$49+'Appendix K'!$G$49))/((1+$Y$16)^AQ$34))</f>
        <v>-627605.51816994708</v>
      </c>
      <c r="AR316" s="193">
        <f>(((U316*'Appendix K'!$C$24*1000)-('Appendix K'!$E$50+'Appendix K'!$F$50+'Appendix K'!$H$50+'Appendix K'!$G$50))/((1+$Y$16)^AR$34))</f>
        <v>-561902.12663957896</v>
      </c>
      <c r="AS316" s="209">
        <f t="shared" si="24"/>
        <v>51854646.391869627</v>
      </c>
      <c r="AU316" s="199">
        <f t="shared" si="23"/>
        <v>5.7637528153771645E-9</v>
      </c>
    </row>
    <row r="317" spans="1:47" x14ac:dyDescent="0.35">
      <c r="A317">
        <v>283</v>
      </c>
      <c r="B317" s="70">
        <v>56</v>
      </c>
      <c r="C317" s="70">
        <v>72.493719037434602</v>
      </c>
      <c r="D317" s="70">
        <v>80.345117120297488</v>
      </c>
      <c r="E317" s="70">
        <v>104.2511220501961</v>
      </c>
      <c r="F317" s="70">
        <v>140.69102127333073</v>
      </c>
      <c r="G317" s="70">
        <v>166.43908113661846</v>
      </c>
      <c r="H317" s="70">
        <v>207.80426946707269</v>
      </c>
      <c r="I317" s="70">
        <v>62.678030976937322</v>
      </c>
      <c r="J317" s="70">
        <v>65.85240680296431</v>
      </c>
      <c r="K317" s="70">
        <v>14.375758782797377</v>
      </c>
      <c r="L317" s="70">
        <v>22.026257682348223</v>
      </c>
      <c r="M317" s="70">
        <v>20.750672461233108</v>
      </c>
      <c r="N317" s="70">
        <v>19.306497226312676</v>
      </c>
      <c r="O317" s="70">
        <v>13.544829838402105</v>
      </c>
      <c r="P317" s="70">
        <v>17.546559540054005</v>
      </c>
      <c r="Q317" s="70">
        <v>25.891349456510859</v>
      </c>
      <c r="R317" s="70">
        <v>30.024179872121799</v>
      </c>
      <c r="S317" s="70">
        <v>31.423679979588535</v>
      </c>
      <c r="T317" s="70">
        <v>31.317608999240001</v>
      </c>
      <c r="U317" s="70">
        <v>36.584906212315538</v>
      </c>
      <c r="V317" s="70">
        <v>34.693936351398833</v>
      </c>
      <c r="X317" s="193">
        <f>((0-('Appendix K'!$I$30))/(1+$Y$16)^0)</f>
        <v>-33594902.4440751</v>
      </c>
      <c r="Y317" s="193">
        <f>(((B317*'Appendix K'!$C$5*1000)-('Appendix K'!$E$31+'Appendix K'!$F$31+'Appendix K'!$H$31+'Appendix K'!$G$31))/((1+$Y$16)^1))</f>
        <v>34971064.972647354</v>
      </c>
      <c r="Z317" s="193">
        <f>+(((C317*'Appendix K'!$C$6*1000)-('Appendix K'!$E$32+'Appendix K'!$F$32+'Appendix K'!$H$32+'Appendix K'!$G$32))/((1+$Y$16)^2))</f>
        <v>14825905.628041763</v>
      </c>
      <c r="AA317" s="193">
        <f>(((D317*'Appendix K'!$C$7*1000)-('Appendix K'!$E$33+'Appendix K'!$F$33+'Appendix K'!$H$33+'Appendix K'!$G$33))/((1+$Y$16)^3))</f>
        <v>7269050.9749024697</v>
      </c>
      <c r="AB317" s="193">
        <f>(((E317*'Appendix K'!$C$8*1000)-('Appendix K'!$E$34+'Appendix K'!$F$34+'Appendix K'!$H$34+'Appendix K'!$G$34))/((1+$Y$16)^4))</f>
        <v>19557683.737380415</v>
      </c>
      <c r="AC317" s="193">
        <f>(((F317*'Appendix K'!$C$9*1000)-('Appendix K'!$E$35+'Appendix K'!$F$35+'Appendix K'!$H$35+'Appendix K'!$G$35))/((1+$Y$16)^AC$34))</f>
        <v>34411224.010743842</v>
      </c>
      <c r="AD317" s="193">
        <f>(((G317*'Appendix K'!$C$10*1000)-('Appendix K'!$E$36+'Appendix K'!$F$36+'Appendix K'!$H$36+'Appendix K'!$G$36))/((1+$Y$16)^AD$34))</f>
        <v>23622488.010648701</v>
      </c>
      <c r="AE317" s="193">
        <f>(((H317*'Appendix K'!$C$11*1000)-('Appendix K'!$E$37+'Appendix K'!$F$37+'Appendix K'!$H$37+'Appendix K'!$G$37))/((1+$Y$16)^AE$34))</f>
        <v>18505964.133353066</v>
      </c>
      <c r="AF317" s="193">
        <f>(((I317*'Appendix K'!$C$12*1000)-('Appendix K'!$E$38+'Appendix K'!$F$38+'Appendix K'!$H$38+'Appendix K'!$G$38))/((1+$Y$16)^AF$34))</f>
        <v>2119012.625328755</v>
      </c>
      <c r="AG317" s="193">
        <f>(((J317*'Appendix K'!$C$13*1000)-('Appendix K'!$E$39+'Appendix K'!$F$39+'Appendix K'!$H$39+'Appendix K'!$G$39))/((1+$Y$16)^AG$34))</f>
        <v>1215513.5966954506</v>
      </c>
      <c r="AH317" s="193">
        <f>(((K317*'Appendix K'!$C$14*1000)-('Appendix K'!$E$40+'Appendix K'!$F$40+'Appendix K'!$H$40+'Appendix K'!$G$40))/((1+$Y$16)^AH$34))</f>
        <v>-1148184.2580073285</v>
      </c>
      <c r="AI317" s="193">
        <f>(((L317*'Appendix K'!$C$15*1000)-('Appendix K'!$E$41+'Appendix K'!$F$41+'Appendix K'!$H$41+'Appendix K'!$G$41))/((1+$Y$16)^AI$34))</f>
        <v>-939352.20774966723</v>
      </c>
      <c r="AJ317" s="193">
        <f>(((M317*'Appendix K'!$C$16*1000)-('Appendix K'!$E$42+'Appendix K'!$F$42+'Appendix K'!$H$42+'Appendix K'!$G$42))/((1+$Y$16)^AJ$34))</f>
        <v>-965668.74153689295</v>
      </c>
      <c r="AK317" s="193">
        <f>(((N317*'Appendix K'!$C$17*1000)-('Appendix K'!$E$43+'Appendix K'!$F$43+'Appendix K'!$H$43))/((1+$Y$16)^AK$34))</f>
        <v>-707635.57263534842</v>
      </c>
      <c r="AL317" s="193">
        <f>(((O317*'Appendix K'!$C$18*1000)-('Appendix K'!$E$44+'Appendix K'!$F$44+'Appendix K'!$H$44+'Appendix K'!$G$44))/((1+$Y$16)^AL$34))</f>
        <v>-974038.27200063935</v>
      </c>
      <c r="AM317" s="193">
        <f>(((P317*'Appendix K'!$C$19*1000)-('Appendix K'!$E$45+'Appendix K'!$F$45+'Appendix K'!$H$45+'Appendix K'!$G$45))/((1+$Y$16)^AM$34))</f>
        <v>-864131.58785933768</v>
      </c>
      <c r="AN317" s="193">
        <f>(((Q317*'Appendix K'!$C$20*1000)-('Appendix K'!$E$46+'Appendix K'!$F$46+'Appendix K'!$H$46+'Appendix K'!$G$46))/((1+$Y$16)^AN$34))</f>
        <v>-728353.4185998342</v>
      </c>
      <c r="AO317" s="193">
        <f>(((R317*'Appendix K'!$C$21*1000)-('Appendix K'!$E$47+'Appendix K'!$F$47+'Appendix K'!$H$47+'Appendix K'!$G$47))/((1+$Y$16)^AO$34))</f>
        <v>-665552.70526416332</v>
      </c>
      <c r="AP317" s="193">
        <f>(((S317*'Appendix K'!$C$22*1000)-('Appendix K'!$E$48+'Appendix K'!$F$48+'Appendix K'!$H$48+'Appendix K'!$G$48))/((1+$Y$16)^AP$34))</f>
        <v>-613942.62503191899</v>
      </c>
      <c r="AQ317" s="193">
        <f>(((T317*'Appendix K'!$C$23*1000)-('Appendix K'!$E$49+'Appendix K'!$F$49+'Appendix K'!$H$49+'Appendix K'!$G$49))/((1+$Y$16)^AQ$34))</f>
        <v>-570916.52740228409</v>
      </c>
      <c r="AR317" s="193">
        <f>(((U317*'Appendix K'!$C$24*1000)-('Appendix K'!$E$50+'Appendix K'!$F$50+'Appendix K'!$H$50+'Appendix K'!$G$50))/((1+$Y$16)^AR$34))</f>
        <v>-511484.44623733778</v>
      </c>
      <c r="AS317" s="209">
        <f t="shared" si="24"/>
        <v>122903005.24566668</v>
      </c>
      <c r="AU317" s="199">
        <f t="shared" si="23"/>
        <v>5.7941199349259318E-9</v>
      </c>
    </row>
    <row r="318" spans="1:47" x14ac:dyDescent="0.35">
      <c r="A318">
        <v>284</v>
      </c>
      <c r="B318" s="70">
        <v>56</v>
      </c>
      <c r="C318" s="70">
        <v>85.243229886769328</v>
      </c>
      <c r="D318" s="70">
        <v>95.331933818307959</v>
      </c>
      <c r="E318" s="70">
        <v>94.538809285908698</v>
      </c>
      <c r="F318" s="70">
        <v>63.087159665743172</v>
      </c>
      <c r="G318" s="70">
        <v>71.803524836984167</v>
      </c>
      <c r="H318" s="70">
        <v>90.21737910496033</v>
      </c>
      <c r="I318" s="70">
        <v>65.21011312641906</v>
      </c>
      <c r="J318" s="70">
        <v>88.212484009213853</v>
      </c>
      <c r="K318" s="70">
        <v>111.75526565778708</v>
      </c>
      <c r="L318" s="70">
        <v>155.59409998052178</v>
      </c>
      <c r="M318" s="70">
        <v>174.70306756416863</v>
      </c>
      <c r="N318" s="70">
        <v>195.63956887698299</v>
      </c>
      <c r="O318" s="70">
        <v>163.44074485624088</v>
      </c>
      <c r="P318" s="70">
        <v>198.09082741076463</v>
      </c>
      <c r="Q318" s="70">
        <v>208.70429776121534</v>
      </c>
      <c r="R318" s="70">
        <v>185.64313062983345</v>
      </c>
      <c r="S318" s="70">
        <v>78.423105955452243</v>
      </c>
      <c r="T318" s="70">
        <v>56.623248648961045</v>
      </c>
      <c r="U318" s="70">
        <v>55.163442394148632</v>
      </c>
      <c r="V318" s="70">
        <v>35.526149482423833</v>
      </c>
      <c r="X318" s="193">
        <f>((0-('Appendix K'!$I$30))/(1+$Y$16)^0)</f>
        <v>-33594902.4440751</v>
      </c>
      <c r="Y318" s="193">
        <f>(((B318*'Appendix K'!$C$5*1000)-('Appendix K'!$E$31+'Appendix K'!$F$31+'Appendix K'!$H$31+'Appendix K'!$G$31))/((1+$Y$16)^1))</f>
        <v>34971064.972647354</v>
      </c>
      <c r="Z318" s="193">
        <f>+(((C318*'Appendix K'!$C$6*1000)-('Appendix K'!$E$32+'Appendix K'!$F$32+'Appendix K'!$H$32+'Appendix K'!$G$32))/((1+$Y$16)^2))</f>
        <v>18046650.125049807</v>
      </c>
      <c r="AA318" s="193">
        <f>(((D318*'Appendix K'!$C$7*1000)-('Appendix K'!$E$33+'Appendix K'!$F$33+'Appendix K'!$H$33+'Appendix K'!$G$33))/((1+$Y$16)^3))</f>
        <v>9177994.8388712518</v>
      </c>
      <c r="AB318" s="193">
        <f>(((E318*'Appendix K'!$C$8*1000)-('Appendix K'!$E$34+'Appendix K'!$F$34+'Appendix K'!$H$34+'Appendix K'!$G$34))/((1+$Y$16)^4))</f>
        <v>17428833.687114581</v>
      </c>
      <c r="AC318" s="193">
        <f>(((F318*'Appendix K'!$C$9*1000)-('Appendix K'!$E$35+'Appendix K'!$F$35+'Appendix K'!$H$35+'Appendix K'!$G$35))/((1+$Y$16)^AC$34))</f>
        <v>13784239.455377549</v>
      </c>
      <c r="AD318" s="193">
        <f>(((G318*'Appendix K'!$C$10*1000)-('Appendix K'!$E$36+'Appendix K'!$F$36+'Appendix K'!$H$36+'Appendix K'!$G$36))/((1+$Y$16)^AD$34))</f>
        <v>8760546.2954091337</v>
      </c>
      <c r="AE318" s="193">
        <f>(((H318*'Appendix K'!$C$11*1000)-('Appendix K'!$E$37+'Appendix K'!$F$37+'Appendix K'!$H$37+'Appendix K'!$G$37))/((1+$Y$16)^AE$34))</f>
        <v>6778126.5063804677</v>
      </c>
      <c r="AF318" s="193">
        <f>(((I318*'Appendix K'!$C$12*1000)-('Appendix K'!$E$38+'Appendix K'!$F$38+'Appendix K'!$H$38+'Appendix K'!$G$38))/((1+$Y$16)^AF$34))</f>
        <v>2285275.2847259515</v>
      </c>
      <c r="AG318" s="193">
        <f>(((J318*'Appendix K'!$C$13*1000)-('Appendix K'!$E$39+'Appendix K'!$F$39+'Appendix K'!$H$39+'Appendix K'!$G$39))/((1+$Y$16)^AG$34))</f>
        <v>2244500.4817263209</v>
      </c>
      <c r="AH318" s="193">
        <f>(((K318*'Appendix K'!$C$14*1000)-('Appendix K'!$E$40+'Appendix K'!$F$40+'Appendix K'!$H$40+'Appendix K'!$G$40))/((1+$Y$16)^AH$34))</f>
        <v>2134140.6959757074</v>
      </c>
      <c r="AI318" s="193">
        <f>(((L318*'Appendix K'!$C$15*1000)-('Appendix K'!$E$41+'Appendix K'!$F$41+'Appendix K'!$H$41+'Appendix K'!$G$41))/((1+$Y$16)^AI$34))</f>
        <v>2560375.033552343</v>
      </c>
      <c r="AJ318" s="193">
        <f>(((M318*'Appendix K'!$C$16*1000)-('Appendix K'!$E$42+'Appendix K'!$F$42+'Appendix K'!$H$42+'Appendix K'!$G$42))/((1+$Y$16)^AJ$34))</f>
        <v>2119824.6820526104</v>
      </c>
      <c r="AK318" s="193">
        <f>(((N318*'Appendix K'!$C$17*1000)-('Appendix K'!$E$43+'Appendix K'!$F$43+'Appendix K'!$H$43))/((1+$Y$16)^AK$34))</f>
        <v>2001527.6594750695</v>
      </c>
      <c r="AL318" s="193">
        <f>(((O318*'Appendix K'!$C$18*1000)-('Appendix K'!$E$44+'Appendix K'!$F$44+'Appendix K'!$H$44+'Appendix K'!$G$44))/((1+$Y$16)^AL$34))</f>
        <v>802722.11589748249</v>
      </c>
      <c r="AM318" s="193">
        <f>(((P318*'Appendix K'!$C$19*1000)-('Appendix K'!$E$45+'Appendix K'!$F$45+'Appendix K'!$H$45+'Appendix K'!$G$45))/((1+$Y$16)^AM$34))</f>
        <v>809284.80766649765</v>
      </c>
      <c r="AN318" s="193">
        <f>(((Q318*'Appendix K'!$C$20*1000)-('Appendix K'!$E$46+'Appendix K'!$F$46+'Appendix K'!$H$46+'Appendix K'!$G$46))/((1+$Y$16)^AN$34))</f>
        <v>594520.72579515597</v>
      </c>
      <c r="AO318" s="193">
        <f>(((R318*'Appendix K'!$C$21*1000)-('Appendix K'!$E$47+'Appendix K'!$F$47+'Appendix K'!$H$47+'Appendix K'!$G$47))/((1+$Y$16)^AO$34))</f>
        <v>254172.48650185385</v>
      </c>
      <c r="AP318" s="193">
        <f>(((S318*'Appendix K'!$C$22*1000)-('Appendix K'!$E$48+'Appendix K'!$F$48+'Appendix K'!$H$48+'Appendix K'!$G$48))/((1+$Y$16)^AP$34))</f>
        <v>-388828.56538724463</v>
      </c>
      <c r="AQ318" s="193">
        <f>(((T318*'Appendix K'!$C$23*1000)-('Appendix K'!$E$49+'Appendix K'!$F$49+'Appendix K'!$H$49+'Appendix K'!$G$49))/((1+$Y$16)^AQ$34))</f>
        <v>-471876.73222317256</v>
      </c>
      <c r="AR318" s="193">
        <f>(((U318*'Appendix K'!$C$24*1000)-('Appendix K'!$E$50+'Appendix K'!$F$50+'Appendix K'!$H$50+'Appendix K'!$G$50))/((1+$Y$16)^AR$34))</f>
        <v>-451661.03918245749</v>
      </c>
      <c r="AS318" s="209">
        <f t="shared" si="24"/>
        <v>91158897.410144031</v>
      </c>
      <c r="AU318" s="199">
        <f t="shared" si="23"/>
        <v>7.0159964982862831E-9</v>
      </c>
    </row>
    <row r="319" spans="1:47" x14ac:dyDescent="0.35">
      <c r="A319">
        <v>285</v>
      </c>
      <c r="B319" s="70">
        <v>56</v>
      </c>
      <c r="C319" s="70">
        <v>88.334566278193776</v>
      </c>
      <c r="D319" s="70">
        <v>70.196028932472728</v>
      </c>
      <c r="E319" s="70">
        <v>72.394820026311635</v>
      </c>
      <c r="F319" s="70">
        <v>91.417798092868324</v>
      </c>
      <c r="G319" s="70">
        <v>126.49049665538628</v>
      </c>
      <c r="H319" s="70">
        <v>186.43040906157177</v>
      </c>
      <c r="I319" s="70">
        <v>193.7160947012193</v>
      </c>
      <c r="J319" s="70">
        <v>180.3816724151155</v>
      </c>
      <c r="K319" s="70">
        <v>136.89791248377762</v>
      </c>
      <c r="L319" s="70">
        <v>175.88189536226628</v>
      </c>
      <c r="M319" s="70">
        <v>111.66104465106449</v>
      </c>
      <c r="N319" s="70">
        <v>119.58914104568035</v>
      </c>
      <c r="O319" s="70">
        <v>139.80430367609776</v>
      </c>
      <c r="P319" s="70">
        <v>198.99363847391643</v>
      </c>
      <c r="Q319" s="70">
        <v>204.36019862518449</v>
      </c>
      <c r="R319" s="70">
        <v>189.7034092992719</v>
      </c>
      <c r="S319" s="70">
        <v>175.95857257418459</v>
      </c>
      <c r="T319" s="70">
        <v>113.99298760486205</v>
      </c>
      <c r="U319" s="70">
        <v>125.62709019931263</v>
      </c>
      <c r="V319" s="70">
        <v>139.22066588194332</v>
      </c>
      <c r="X319" s="193">
        <f>((0-('Appendix K'!$I$30))/(1+$Y$16)^0)</f>
        <v>-33594902.4440751</v>
      </c>
      <c r="Y319" s="193">
        <f>(((B319*'Appendix K'!$C$5*1000)-('Appendix K'!$E$31+'Appendix K'!$F$31+'Appendix K'!$H$31+'Appendix K'!$G$31))/((1+$Y$16)^1))</f>
        <v>34971064.972647354</v>
      </c>
      <c r="Z319" s="193">
        <f>+(((C319*'Appendix K'!$C$6*1000)-('Appendix K'!$E$32+'Appendix K'!$F$32+'Appendix K'!$H$32+'Appendix K'!$G$32))/((1+$Y$16)^2))</f>
        <v>18827574.569033515</v>
      </c>
      <c r="AA319" s="193">
        <f>(((D319*'Appendix K'!$C$7*1000)-('Appendix K'!$E$33+'Appendix K'!$F$33+'Appendix K'!$H$33+'Appendix K'!$G$33))/((1+$Y$16)^3))</f>
        <v>5976312.1624234961</v>
      </c>
      <c r="AB319" s="193">
        <f>(((E319*'Appendix K'!$C$8*1000)-('Appendix K'!$E$34+'Appendix K'!$F$34+'Appendix K'!$H$34+'Appendix K'!$G$34))/((1+$Y$16)^4))</f>
        <v>12575073.95012179</v>
      </c>
      <c r="AC319" s="193">
        <f>(((F319*'Appendix K'!$C$9*1000)-('Appendix K'!$E$35+'Appendix K'!$F$35+'Appendix K'!$H$35+'Appendix K'!$G$35))/((1+$Y$16)^AC$34))</f>
        <v>21314478.662221879</v>
      </c>
      <c r="AD319" s="193">
        <f>(((G319*'Appendix K'!$C$10*1000)-('Appendix K'!$E$36+'Appendix K'!$F$36+'Appendix K'!$H$36+'Appendix K'!$G$36))/((1+$Y$16)^AD$34))</f>
        <v>17348804.446232535</v>
      </c>
      <c r="AE319" s="193">
        <f>(((H319*'Appendix K'!$C$11*1000)-('Appendix K'!$E$37+'Appendix K'!$F$37+'Appendix K'!$H$37+'Appendix K'!$G$37))/((1+$Y$16)^AE$34))</f>
        <v>16374185.977426412</v>
      </c>
      <c r="AF319" s="193">
        <f>(((I319*'Appendix K'!$C$12*1000)-('Appendix K'!$E$38+'Appendix K'!$F$38+'Appendix K'!$H$38+'Appendix K'!$G$38))/((1+$Y$16)^AF$34))</f>
        <v>10723289.923961299</v>
      </c>
      <c r="AG319" s="193">
        <f>(((J319*'Appendix K'!$C$13*1000)-('Appendix K'!$E$39+'Appendix K'!$F$39+'Appendix K'!$H$39+'Appendix K'!$G$39))/((1+$Y$16)^AG$34))</f>
        <v>6486028.1472526481</v>
      </c>
      <c r="AH319" s="193">
        <f>(((K319*'Appendix K'!$C$14*1000)-('Appendix K'!$E$40+'Appendix K'!$F$40+'Appendix K'!$H$40+'Appendix K'!$G$40))/((1+$Y$16)^AH$34))</f>
        <v>2981611.9939365177</v>
      </c>
      <c r="AI319" s="193">
        <f>(((L319*'Appendix K'!$C$15*1000)-('Appendix K'!$E$41+'Appendix K'!$F$41+'Appendix K'!$H$41+'Appendix K'!$G$41))/((1+$Y$16)^AI$34))</f>
        <v>3091953.2109174444</v>
      </c>
      <c r="AJ319" s="193">
        <f>(((M319*'Appendix K'!$C$16*1000)-('Appendix K'!$E$42+'Appendix K'!$F$42+'Appendix K'!$H$42+'Appendix K'!$G$42))/((1+$Y$16)^AJ$34))</f>
        <v>856344.84480743704</v>
      </c>
      <c r="AK319" s="193">
        <f>(((N319*'Appendix K'!$C$17*1000)-('Appendix K'!$E$43+'Appendix K'!$F$43+'Appendix K'!$H$43))/((1+$Y$16)^AK$34))</f>
        <v>833096.68428625434</v>
      </c>
      <c r="AL319" s="193">
        <f>(((O319*'Appendix K'!$C$18*1000)-('Appendix K'!$E$44+'Appendix K'!$F$44+'Appendix K'!$H$44+'Appendix K'!$G$44))/((1+$Y$16)^AL$34))</f>
        <v>522552.42351617687</v>
      </c>
      <c r="AM319" s="193">
        <f>(((P319*'Appendix K'!$C$19*1000)-('Appendix K'!$E$45+'Appendix K'!$F$45+'Appendix K'!$H$45+'Appendix K'!$G$45))/((1+$Y$16)^AM$34))</f>
        <v>817652.72126994829</v>
      </c>
      <c r="AN319" s="193">
        <f>(((Q319*'Appendix K'!$C$20*1000)-('Appendix K'!$E$46+'Appendix K'!$F$46+'Appendix K'!$H$46+'Appendix K'!$G$46))/((1+$Y$16)^AN$34))</f>
        <v>563085.88225133042</v>
      </c>
      <c r="AO319" s="193">
        <f>(((R319*'Appendix K'!$C$21*1000)-('Appendix K'!$E$47+'Appendix K'!$F$47+'Appendix K'!$H$47+'Appendix K'!$G$47))/((1+$Y$16)^AO$34))</f>
        <v>278169.18201798579</v>
      </c>
      <c r="AP319" s="193">
        <f>(((S319*'Appendix K'!$C$22*1000)-('Appendix K'!$E$48+'Appendix K'!$F$48+'Appendix K'!$H$48+'Appendix K'!$G$48))/((1+$Y$16)^AP$34))</f>
        <v>78338.945576743543</v>
      </c>
      <c r="AQ319" s="193">
        <f>(((T319*'Appendix K'!$C$23*1000)-('Appendix K'!$E$49+'Appendix K'!$F$49+'Appendix K'!$H$49+'Appendix K'!$G$49))/((1+$Y$16)^AQ$34))</f>
        <v>-247346.26097961454</v>
      </c>
      <c r="AR319" s="193">
        <f>(((U319*'Appendix K'!$C$24*1000)-('Appendix K'!$E$50+'Appendix K'!$F$50+'Appendix K'!$H$50+'Appendix K'!$G$50))/((1+$Y$16)^AR$34))</f>
        <v>-224766.11893884721</v>
      </c>
      <c r="AS319" s="209">
        <f t="shared" si="24"/>
        <v>121024716.25582567</v>
      </c>
      <c r="AU319" s="199">
        <f t="shared" si="23"/>
        <v>5.9113512521940877E-9</v>
      </c>
    </row>
    <row r="320" spans="1:47" x14ac:dyDescent="0.35">
      <c r="A320">
        <v>286</v>
      </c>
      <c r="B320" s="70">
        <v>56</v>
      </c>
      <c r="C320" s="70">
        <v>64.276621020174161</v>
      </c>
      <c r="D320" s="70">
        <v>53.581222797681406</v>
      </c>
      <c r="E320" s="70">
        <v>69.592345321566285</v>
      </c>
      <c r="F320" s="70">
        <v>48.529133787097791</v>
      </c>
      <c r="G320" s="70">
        <v>41.647331547285283</v>
      </c>
      <c r="H320" s="70">
        <v>17.413138657257182</v>
      </c>
      <c r="I320" s="70">
        <v>21.773638222862083</v>
      </c>
      <c r="J320" s="70">
        <v>20.702013367235669</v>
      </c>
      <c r="K320" s="70">
        <v>32.106488600637753</v>
      </c>
      <c r="L320" s="70">
        <v>56.97238223981438</v>
      </c>
      <c r="M320" s="70">
        <v>62.012876160384153</v>
      </c>
      <c r="N320" s="70">
        <v>48.975751915153111</v>
      </c>
      <c r="O320" s="70">
        <v>46.404723772043489</v>
      </c>
      <c r="P320" s="70">
        <v>66.66805039341844</v>
      </c>
      <c r="Q320" s="70">
        <v>78.537819970439102</v>
      </c>
      <c r="R320" s="70">
        <v>66.294841700428677</v>
      </c>
      <c r="S320" s="70">
        <v>84.626166746865294</v>
      </c>
      <c r="T320" s="70">
        <v>68.593341234367628</v>
      </c>
      <c r="U320" s="70">
        <v>92.583502002056179</v>
      </c>
      <c r="V320" s="70">
        <v>61.108067698110112</v>
      </c>
      <c r="X320" s="193">
        <f>((0-('Appendix K'!$I$30))/(1+$Y$16)^0)</f>
        <v>-33594902.4440751</v>
      </c>
      <c r="Y320" s="193">
        <f>(((B320*'Appendix K'!$C$5*1000)-('Appendix K'!$E$31+'Appendix K'!$F$31+'Appendix K'!$H$31+'Appendix K'!$G$31))/((1+$Y$16)^1))</f>
        <v>34971064.972647354</v>
      </c>
      <c r="Z320" s="193">
        <f>+(((C320*'Appendix K'!$C$6*1000)-('Appendix K'!$E$32+'Appendix K'!$F$32+'Appendix K'!$H$32+'Appendix K'!$G$32))/((1+$Y$16)^2))</f>
        <v>12750126.130834762</v>
      </c>
      <c r="AA320" s="193">
        <f>(((D320*'Appendix K'!$C$7*1000)-('Appendix K'!$E$33+'Appendix K'!$F$33+'Appendix K'!$H$33+'Appendix K'!$G$33))/((1+$Y$16)^3))</f>
        <v>3860003.3517438266</v>
      </c>
      <c r="AB320" s="193">
        <f>(((E320*'Appendix K'!$C$8*1000)-('Appendix K'!$E$34+'Appendix K'!$F$34+'Appendix K'!$H$34+'Appendix K'!$G$34))/((1+$Y$16)^4))</f>
        <v>11960797.149028309</v>
      </c>
      <c r="AC320" s="193">
        <f>(((F320*'Appendix K'!$C$9*1000)-('Appendix K'!$E$35+'Appendix K'!$F$35+'Appendix K'!$H$35+'Appendix K'!$G$35))/((1+$Y$16)^AC$34))</f>
        <v>9914739.0370365009</v>
      </c>
      <c r="AD320" s="193">
        <f>(((G320*'Appendix K'!$C$10*1000)-('Appendix K'!$E$36+'Appendix K'!$F$36+'Appendix K'!$H$36+'Appendix K'!$G$36))/((1+$Y$16)^AD$34))</f>
        <v>4024698.5385049446</v>
      </c>
      <c r="AE320" s="193">
        <f>(((H320*'Appendix K'!$C$11*1000)-('Appendix K'!$E$37+'Appendix K'!$F$37+'Appendix K'!$H$37+'Appendix K'!$G$37))/((1+$Y$16)^AE$34))</f>
        <v>-483195.80511462083</v>
      </c>
      <c r="AF320" s="193">
        <f>(((I320*'Appendix K'!$C$12*1000)-('Appendix K'!$E$38+'Appendix K'!$F$38+'Appendix K'!$H$38+'Appendix K'!$G$38))/((1+$Y$16)^AF$34))</f>
        <v>-566869.0794618855</v>
      </c>
      <c r="AG320" s="193">
        <f>(((J320*'Appendix K'!$C$13*1000)-('Appendix K'!$E$39+'Appendix K'!$F$39+'Appendix K'!$H$39+'Appendix K'!$G$39))/((1+$Y$16)^AG$34))</f>
        <v>-862259.31396174105</v>
      </c>
      <c r="AH320" s="193">
        <f>(((K320*'Appendix K'!$C$14*1000)-('Appendix K'!$E$40+'Appendix K'!$F$40+'Appendix K'!$H$40+'Appendix K'!$G$40))/((1+$Y$16)^AH$34))</f>
        <v>-550542.93899613363</v>
      </c>
      <c r="AI320" s="193">
        <f>(((L320*'Appendix K'!$C$15*1000)-('Appendix K'!$E$41+'Appendix K'!$F$41+'Appendix K'!$H$41+'Appendix K'!$G$41))/((1+$Y$16)^AI$34))</f>
        <v>-23698.394770688989</v>
      </c>
      <c r="AJ320" s="193">
        <f>(((M320*'Appendix K'!$C$16*1000)-('Appendix K'!$E$42+'Appendix K'!$F$42+'Appendix K'!$H$42+'Appendix K'!$G$42))/((1+$Y$16)^AJ$34))</f>
        <v>-138697.14378152008</v>
      </c>
      <c r="AK320" s="193">
        <f>(((N320*'Appendix K'!$C$17*1000)-('Appendix K'!$E$43+'Appendix K'!$F$43+'Appendix K'!$H$43))/((1+$Y$16)^AK$34))</f>
        <v>-251800.1858035296</v>
      </c>
      <c r="AL320" s="193">
        <f>(((O320*'Appendix K'!$C$18*1000)-('Appendix K'!$E$44+'Appendix K'!$F$44+'Appendix K'!$H$44+'Appendix K'!$G$44))/((1+$Y$16)^AL$34))</f>
        <v>-584540.28011153662</v>
      </c>
      <c r="AM320" s="193">
        <f>(((P320*'Appendix K'!$C$19*1000)-('Appendix K'!$E$45+'Appendix K'!$F$45+'Appendix K'!$H$45+'Appendix K'!$G$45))/((1+$Y$16)^AM$34))</f>
        <v>-408837.66390293121</v>
      </c>
      <c r="AN320" s="193">
        <f>(((Q320*'Appendix K'!$C$20*1000)-('Appendix K'!$E$46+'Appendix K'!$F$46+'Appendix K'!$H$46+'Appendix K'!$G$46))/((1+$Y$16)^AN$34))</f>
        <v>-347392.1394214672</v>
      </c>
      <c r="AO320" s="193">
        <f>(((R320*'Appendix K'!$C$21*1000)-('Appendix K'!$E$47+'Appendix K'!$F$47+'Appendix K'!$H$47+'Appendix K'!$G$47))/((1+$Y$16)^AO$34))</f>
        <v>-451189.08667469141</v>
      </c>
      <c r="AP320" s="193">
        <f>(((S320*'Appendix K'!$C$22*1000)-('Appendix K'!$E$48+'Appendix K'!$F$48+'Appendix K'!$H$48+'Appendix K'!$G$48))/((1+$Y$16)^AP$34))</f>
        <v>-359117.64513696736</v>
      </c>
      <c r="AQ320" s="193">
        <f>(((T320*'Appendix K'!$C$23*1000)-('Appendix K'!$E$49+'Appendix K'!$F$49+'Appendix K'!$H$49+'Appendix K'!$G$49))/((1+$Y$16)^AQ$34))</f>
        <v>-425028.85426618368</v>
      </c>
      <c r="AR320" s="193">
        <f>(((U320*'Appendix K'!$C$24*1000)-('Appendix K'!$E$50+'Appendix K'!$F$50+'Appendix K'!$H$50+'Appendix K'!$G$50))/((1+$Y$16)^AR$34))</f>
        <v>-331167.39877763728</v>
      </c>
      <c r="AS320" s="209">
        <f t="shared" si="24"/>
        <v>43886526.735720597</v>
      </c>
      <c r="AU320" s="199">
        <f t="shared" si="23"/>
        <v>5.2239543305206548E-9</v>
      </c>
    </row>
    <row r="321" spans="1:47" x14ac:dyDescent="0.35">
      <c r="A321">
        <v>287</v>
      </c>
      <c r="B321" s="70">
        <v>56</v>
      </c>
      <c r="C321" s="70">
        <v>51.706687276542674</v>
      </c>
      <c r="D321" s="70">
        <v>36.432386439770866</v>
      </c>
      <c r="E321" s="70">
        <v>52.102368485748592</v>
      </c>
      <c r="F321" s="70">
        <v>59.515479884588217</v>
      </c>
      <c r="G321" s="70">
        <v>95.710447061132712</v>
      </c>
      <c r="H321" s="70">
        <v>105.49126488515405</v>
      </c>
      <c r="I321" s="70">
        <v>57.554094209782775</v>
      </c>
      <c r="J321" s="70">
        <v>83.237607775573494</v>
      </c>
      <c r="K321" s="70">
        <v>98.241897875675505</v>
      </c>
      <c r="L321" s="70">
        <v>83.260883510646238</v>
      </c>
      <c r="M321" s="70">
        <v>88.89200432318799</v>
      </c>
      <c r="N321" s="70">
        <v>125.51799979826428</v>
      </c>
      <c r="O321" s="70">
        <v>168.65308150187212</v>
      </c>
      <c r="P321" s="70">
        <v>233.56167142473515</v>
      </c>
      <c r="Q321" s="70">
        <v>351.92654921479465</v>
      </c>
      <c r="R321" s="70">
        <v>458.58880747739073</v>
      </c>
      <c r="S321" s="70">
        <v>500</v>
      </c>
      <c r="T321" s="70">
        <v>408.5920000379399</v>
      </c>
      <c r="U321" s="70">
        <v>210.04764527575702</v>
      </c>
      <c r="V321" s="70">
        <v>137.33869276519755</v>
      </c>
      <c r="X321" s="193">
        <f>((0-('Appendix K'!$I$30))/(1+$Y$16)^0)</f>
        <v>-33594902.4440751</v>
      </c>
      <c r="Y321" s="193">
        <f>(((B321*'Appendix K'!$C$5*1000)-('Appendix K'!$E$31+'Appendix K'!$F$31+'Appendix K'!$H$31+'Appendix K'!$G$31))/((1+$Y$16)^1))</f>
        <v>34971064.972647354</v>
      </c>
      <c r="Z321" s="193">
        <f>+(((C321*'Appendix K'!$C$6*1000)-('Appendix K'!$E$32+'Appendix K'!$F$32+'Appendix K'!$H$32+'Appendix K'!$G$32))/((1+$Y$16)^2))</f>
        <v>9574745.8820568789</v>
      </c>
      <c r="AA321" s="193">
        <f>(((D321*'Appendix K'!$C$7*1000)-('Appendix K'!$E$33+'Appendix K'!$F$33+'Appendix K'!$H$33+'Appendix K'!$G$33))/((1+$Y$16)^3))</f>
        <v>1675672.5095587848</v>
      </c>
      <c r="AB321" s="193">
        <f>(((E321*'Appendix K'!$C$8*1000)-('Appendix K'!$E$34+'Appendix K'!$F$34+'Appendix K'!$H$34+'Appendix K'!$G$34))/((1+$Y$16)^4))</f>
        <v>8127154.3319448074</v>
      </c>
      <c r="AC321" s="193">
        <f>(((F321*'Appendix K'!$C$9*1000)-('Appendix K'!$E$35+'Appendix K'!$F$35+'Appendix K'!$H$35+'Appendix K'!$G$35))/((1+$Y$16)^AC$34))</f>
        <v>12834892.578090271</v>
      </c>
      <c r="AD321" s="193">
        <f>(((G321*'Appendix K'!$C$10*1000)-('Appendix K'!$E$36+'Appendix K'!$F$36+'Appendix K'!$H$36+'Appendix K'!$G$36))/((1+$Y$16)^AD$34))</f>
        <v>12514983.830082709</v>
      </c>
      <c r="AE321" s="193">
        <f>(((H321*'Appendix K'!$C$11*1000)-('Appendix K'!$E$37+'Appendix K'!$F$37+'Appendix K'!$H$37+'Appendix K'!$G$37))/((1+$Y$16)^AE$34))</f>
        <v>8301507.6572162667</v>
      </c>
      <c r="AF321" s="193">
        <f>(((I321*'Appendix K'!$C$12*1000)-('Appendix K'!$E$38+'Appendix K'!$F$38+'Appendix K'!$H$38+'Appendix K'!$G$38))/((1+$Y$16)^AF$34))</f>
        <v>1782562.5012028227</v>
      </c>
      <c r="AG321" s="193">
        <f>(((J321*'Appendix K'!$C$13*1000)-('Appendix K'!$E$39+'Appendix K'!$F$39+'Appendix K'!$H$39+'Appendix K'!$G$39))/((1+$Y$16)^AG$34))</f>
        <v>2015561.9878271604</v>
      </c>
      <c r="AH321" s="193">
        <f>(((K321*'Appendix K'!$C$14*1000)-('Appendix K'!$E$40+'Appendix K'!$F$40+'Appendix K'!$H$40+'Appendix K'!$G$40))/((1+$Y$16)^AH$34))</f>
        <v>1678652.0032621985</v>
      </c>
      <c r="AI321" s="193">
        <f>(((L321*'Appendix K'!$C$15*1000)-('Appendix K'!$E$41+'Appendix K'!$F$41+'Appendix K'!$H$41+'Appendix K'!$G$41))/((1+$Y$16)^AI$34))</f>
        <v>665109.49826353777</v>
      </c>
      <c r="AJ321" s="193">
        <f>(((M321*'Appendix K'!$C$16*1000)-('Appendix K'!$E$42+'Appendix K'!$F$42+'Appendix K'!$H$42+'Appendix K'!$G$42))/((1+$Y$16)^AJ$34))</f>
        <v>400010.76734060608</v>
      </c>
      <c r="AK321" s="193">
        <f>(((N321*'Appendix K'!$C$17*1000)-('Appendix K'!$E$43+'Appendix K'!$F$43+'Appendix K'!$H$43))/((1+$Y$16)^AK$34))</f>
        <v>924187.06223133428</v>
      </c>
      <c r="AL321" s="193">
        <f>(((O321*'Appendix K'!$C$18*1000)-('Appendix K'!$E$44+'Appendix K'!$F$44+'Appendix K'!$H$44+'Appendix K'!$G$44))/((1+$Y$16)^AL$34))</f>
        <v>864505.47589928901</v>
      </c>
      <c r="AM321" s="193">
        <f>(((P321*'Appendix K'!$C$19*1000)-('Appendix K'!$E$45+'Appendix K'!$F$45+'Appendix K'!$H$45+'Appendix K'!$G$45))/((1+$Y$16)^AM$34))</f>
        <v>1138054.5472775283</v>
      </c>
      <c r="AN321" s="193">
        <f>(((Q321*'Appendix K'!$C$20*1000)-('Appendix K'!$E$46+'Appendix K'!$F$46+'Appendix K'!$H$46+'Appendix K'!$G$46))/((1+$Y$16)^AN$34))</f>
        <v>1630908.0009141264</v>
      </c>
      <c r="AO321" s="193">
        <f>(((R321*'Appendix K'!$C$21*1000)-('Appendix K'!$E$47+'Appendix K'!$F$47+'Appendix K'!$H$47+'Appendix K'!$G$47))/((1+$Y$16)^AO$34))</f>
        <v>1867311.5917202777</v>
      </c>
      <c r="AP321" s="193">
        <f>(((S321*'Appendix K'!$C$22*1000)-('Appendix K'!$E$48+'Appendix K'!$F$48+'Appendix K'!$H$48+'Appendix K'!$G$48))/((1+$Y$16)^AP$34))</f>
        <v>1630406.4380253027</v>
      </c>
      <c r="AQ321" s="193">
        <f>(((T321*'Appendix K'!$C$23*1000)-('Appendix K'!$E$49+'Appendix K'!$F$49+'Appendix K'!$H$49+'Appendix K'!$G$49))/((1+$Y$16)^AQ$34))</f>
        <v>905638.8544020548</v>
      </c>
      <c r="AR321" s="193">
        <f>(((U321*'Appendix K'!$C$24*1000)-('Appendix K'!$E$50+'Appendix K'!$F$50+'Appendix K'!$H$50+'Appendix K'!$G$50))/((1+$Y$16)^AR$34))</f>
        <v>47070.433774896766</v>
      </c>
      <c r="AS321" s="209">
        <f t="shared" si="24"/>
        <v>69955098.479663104</v>
      </c>
      <c r="AU321" s="199">
        <f t="shared" si="23"/>
        <v>6.6973523106401129E-9</v>
      </c>
    </row>
    <row r="322" spans="1:47" x14ac:dyDescent="0.35">
      <c r="A322">
        <v>288</v>
      </c>
      <c r="B322" s="70">
        <v>56</v>
      </c>
      <c r="C322" s="70">
        <v>64.738639269721801</v>
      </c>
      <c r="D322" s="70">
        <v>97.08178630746329</v>
      </c>
      <c r="E322" s="70">
        <v>96.901640538683893</v>
      </c>
      <c r="F322" s="70">
        <v>32.041534504214368</v>
      </c>
      <c r="G322" s="70">
        <v>38.05801746801508</v>
      </c>
      <c r="H322" s="70">
        <v>35.104589209189285</v>
      </c>
      <c r="I322" s="70">
        <v>54.619100806501152</v>
      </c>
      <c r="J322" s="70">
        <v>42.519577185852647</v>
      </c>
      <c r="K322" s="70">
        <v>31.397053903949669</v>
      </c>
      <c r="L322" s="70">
        <v>45.281454351684765</v>
      </c>
      <c r="M322" s="70">
        <v>35.191637858324256</v>
      </c>
      <c r="N322" s="70">
        <v>44.687114661358713</v>
      </c>
      <c r="O322" s="70">
        <v>60.687748192106646</v>
      </c>
      <c r="P322" s="70">
        <v>62.950345811896192</v>
      </c>
      <c r="Q322" s="70">
        <v>31.429761720028296</v>
      </c>
      <c r="R322" s="70">
        <v>27.807391906205194</v>
      </c>
      <c r="S322" s="70">
        <v>30.245507503557032</v>
      </c>
      <c r="T322" s="70">
        <v>34.62676926679309</v>
      </c>
      <c r="U322" s="70">
        <v>38.660677640290018</v>
      </c>
      <c r="V322" s="70">
        <v>21.638311532779475</v>
      </c>
      <c r="X322" s="193">
        <f>((0-('Appendix K'!$I$30))/(1+$Y$16)^0)</f>
        <v>-33594902.4440751</v>
      </c>
      <c r="Y322" s="193">
        <f>(((B322*'Appendix K'!$C$5*1000)-('Appendix K'!$E$31+'Appendix K'!$F$31+'Appendix K'!$H$31+'Appendix K'!$G$31))/((1+$Y$16)^1))</f>
        <v>34971064.972647354</v>
      </c>
      <c r="Z322" s="193">
        <f>+(((C322*'Appendix K'!$C$6*1000)-('Appendix K'!$E$32+'Appendix K'!$F$32+'Appendix K'!$H$32+'Appendix K'!$G$32))/((1+$Y$16)^2))</f>
        <v>12866839.842625946</v>
      </c>
      <c r="AA322" s="193">
        <f>(((D322*'Appendix K'!$C$7*1000)-('Appendix K'!$E$33+'Appendix K'!$F$33+'Appendix K'!$H$33+'Appendix K'!$G$33))/((1+$Y$16)^3))</f>
        <v>9400882.0763235521</v>
      </c>
      <c r="AB322" s="193">
        <f>(((E322*'Appendix K'!$C$8*1000)-('Appendix K'!$E$34+'Appendix K'!$F$34+'Appendix K'!$H$34+'Appendix K'!$G$34))/((1+$Y$16)^4))</f>
        <v>17946744.668084644</v>
      </c>
      <c r="AC322" s="193">
        <f>(((F322*'Appendix K'!$C$9*1000)-('Appendix K'!$E$35+'Appendix K'!$F$35+'Appendix K'!$H$35+'Appendix K'!$G$35))/((1+$Y$16)^AC$34))</f>
        <v>5532361.0378229525</v>
      </c>
      <c r="AD322" s="193">
        <f>(((G322*'Appendix K'!$C$10*1000)-('Appendix K'!$E$36+'Appendix K'!$F$36+'Appendix K'!$H$36+'Appendix K'!$G$36))/((1+$Y$16)^AD$34))</f>
        <v>3461018.4722631974</v>
      </c>
      <c r="AE322" s="193">
        <f>(((H322*'Appendix K'!$C$11*1000)-('Appendix K'!$E$37+'Appendix K'!$F$37+'Appendix K'!$H$37+'Appendix K'!$G$37))/((1+$Y$16)^AE$34))</f>
        <v>1281307.5236129784</v>
      </c>
      <c r="AF322" s="193">
        <f>(((I322*'Appendix K'!$C$12*1000)-('Appendix K'!$E$38+'Appendix K'!$F$38+'Appendix K'!$H$38+'Appendix K'!$G$38))/((1+$Y$16)^AF$34))</f>
        <v>1589843.7109997841</v>
      </c>
      <c r="AG322" s="193">
        <f>(((J322*'Appendix K'!$C$13*1000)-('Appendix K'!$E$39+'Appendix K'!$F$39+'Appendix K'!$H$39+'Appendix K'!$G$39))/((1+$Y$16)^AG$34))</f>
        <v>141761.684069796</v>
      </c>
      <c r="AH322" s="193">
        <f>(((K322*'Appendix K'!$C$14*1000)-('Appendix K'!$E$40+'Appendix K'!$F$40+'Appendix K'!$H$40+'Appendix K'!$G$40))/((1+$Y$16)^AH$34))</f>
        <v>-574455.51858179527</v>
      </c>
      <c r="AI322" s="193">
        <f>(((L322*'Appendix K'!$C$15*1000)-('Appendix K'!$E$41+'Appendix K'!$F$41+'Appendix K'!$H$41+'Appendix K'!$G$41))/((1+$Y$16)^AI$34))</f>
        <v>-330022.56758203689</v>
      </c>
      <c r="AJ322" s="193">
        <f>(((M322*'Appendix K'!$C$16*1000)-('Appendix K'!$E$42+'Appendix K'!$F$42+'Appendix K'!$H$42+'Appendix K'!$G$42))/((1+$Y$16)^AJ$34))</f>
        <v>-676244.83401524439</v>
      </c>
      <c r="AK322" s="193">
        <f>(((N322*'Appendix K'!$C$17*1000)-('Appendix K'!$E$43+'Appendix K'!$F$43+'Appendix K'!$H$43))/((1+$Y$16)^AK$34))</f>
        <v>-317690.36882521579</v>
      </c>
      <c r="AL322" s="193">
        <f>(((O322*'Appendix K'!$C$18*1000)-('Appendix K'!$E$44+'Appendix K'!$F$44+'Appendix K'!$H$44+'Appendix K'!$G$44))/((1+$Y$16)^AL$34))</f>
        <v>-415239.38885022607</v>
      </c>
      <c r="AM322" s="193">
        <f>(((P322*'Appendix K'!$C$19*1000)-('Appendix K'!$E$45+'Appendix K'!$F$45+'Appendix K'!$H$45+'Appendix K'!$G$45))/((1+$Y$16)^AM$34))</f>
        <v>-443296.07055196405</v>
      </c>
      <c r="AN322" s="193">
        <f>(((Q322*'Appendix K'!$C$20*1000)-('Appendix K'!$E$46+'Appendix K'!$F$46+'Appendix K'!$H$46+'Appendix K'!$G$46))/((1+$Y$16)^AN$34))</f>
        <v>-688276.26622988458</v>
      </c>
      <c r="AO322" s="193">
        <f>(((R322*'Appendix K'!$C$21*1000)-('Appendix K'!$E$47+'Appendix K'!$F$47+'Appendix K'!$H$47+'Appendix K'!$G$47))/((1+$Y$16)^AO$34))</f>
        <v>-678654.16705355409</v>
      </c>
      <c r="AP322" s="193">
        <f>(((S322*'Appendix K'!$C$22*1000)-('Appendix K'!$E$48+'Appendix K'!$F$48+'Appendix K'!$H$48+'Appendix K'!$G$48))/((1+$Y$16)^AP$34))</f>
        <v>-619585.74052820774</v>
      </c>
      <c r="AQ322" s="193">
        <f>(((T322*'Appendix K'!$C$23*1000)-('Appendix K'!$E$49+'Appendix K'!$F$49+'Appendix K'!$H$49+'Appendix K'!$G$49))/((1+$Y$16)^AQ$34))</f>
        <v>-557965.32128183648</v>
      </c>
      <c r="AR322" s="193">
        <f>(((U322*'Appendix K'!$C$24*1000)-('Appendix K'!$E$50+'Appendix K'!$F$50+'Appendix K'!$H$50+'Appendix K'!$G$50))/((1+$Y$16)^AR$34))</f>
        <v>-504800.40407851385</v>
      </c>
      <c r="AS322" s="209">
        <f t="shared" si="24"/>
        <v>53596921.544375114</v>
      </c>
      <c r="AU322" s="199">
        <f t="shared" si="23"/>
        <v>5.8735759556214101E-9</v>
      </c>
    </row>
    <row r="323" spans="1:47" x14ac:dyDescent="0.35">
      <c r="A323">
        <v>289</v>
      </c>
      <c r="B323" s="70">
        <v>56</v>
      </c>
      <c r="C323" s="70">
        <v>54.955659314065535</v>
      </c>
      <c r="D323" s="70">
        <v>57.898090237156211</v>
      </c>
      <c r="E323" s="70">
        <v>71.212156535061155</v>
      </c>
      <c r="F323" s="70">
        <v>54.755359514005036</v>
      </c>
      <c r="G323" s="70">
        <v>79.967816259138345</v>
      </c>
      <c r="H323" s="70">
        <v>105.53977770913177</v>
      </c>
      <c r="I323" s="70">
        <v>84.891792143532427</v>
      </c>
      <c r="J323" s="70">
        <v>71.666890373039635</v>
      </c>
      <c r="K323" s="70">
        <v>106.07220696806107</v>
      </c>
      <c r="L323" s="70">
        <v>126.51438493467282</v>
      </c>
      <c r="M323" s="70">
        <v>107.23294604701132</v>
      </c>
      <c r="N323" s="70">
        <v>151.02675506465624</v>
      </c>
      <c r="O323" s="70">
        <v>139.99509514220344</v>
      </c>
      <c r="P323" s="70">
        <v>71.644196973507619</v>
      </c>
      <c r="Q323" s="70">
        <v>82.195368538610978</v>
      </c>
      <c r="R323" s="70">
        <v>102.01397307111486</v>
      </c>
      <c r="S323" s="70">
        <v>151.89000322531052</v>
      </c>
      <c r="T323" s="70">
        <v>207.03942012270272</v>
      </c>
      <c r="U323" s="70">
        <v>240.08023864929515</v>
      </c>
      <c r="V323" s="70">
        <v>341.16733677051116</v>
      </c>
      <c r="X323" s="193">
        <f>((0-('Appendix K'!$I$30))/(1+$Y$16)^0)</f>
        <v>-33594902.4440751</v>
      </c>
      <c r="Y323" s="193">
        <f>(((B323*'Appendix K'!$C$5*1000)-('Appendix K'!$E$31+'Appendix K'!$F$31+'Appendix K'!$H$31+'Appendix K'!$G$31))/((1+$Y$16)^1))</f>
        <v>34971064.972647354</v>
      </c>
      <c r="Z323" s="193">
        <f>+(((C323*'Appendix K'!$C$6*1000)-('Appendix K'!$E$32+'Appendix K'!$F$32+'Appendix K'!$H$32+'Appendix K'!$G$32))/((1+$Y$16)^2))</f>
        <v>10395491.786307061</v>
      </c>
      <c r="AA323" s="193">
        <f>(((D323*'Appendix K'!$C$7*1000)-('Appendix K'!$E$33+'Appendix K'!$F$33+'Appendix K'!$H$33+'Appendix K'!$G$33))/((1+$Y$16)^3))</f>
        <v>4409863.7908353396</v>
      </c>
      <c r="AB323" s="193">
        <f>(((E323*'Appendix K'!$C$8*1000)-('Appendix K'!$E$34+'Appendix K'!$F$34+'Appendix K'!$H$34+'Appendix K'!$G$34))/((1+$Y$16)^4))</f>
        <v>12315844.939081918</v>
      </c>
      <c r="AC323" s="193">
        <f>(((F323*'Appendix K'!$C$9*1000)-('Appendix K'!$E$35+'Appendix K'!$F$35+'Appendix K'!$H$35+'Appendix K'!$G$35))/((1+$Y$16)^AC$34))</f>
        <v>11569660.058319585</v>
      </c>
      <c r="AD323" s="193">
        <f>(((G323*'Appendix K'!$C$10*1000)-('Appendix K'!$E$36+'Appendix K'!$F$36+'Appendix K'!$H$36+'Appendix K'!$G$36))/((1+$Y$16)^AD$34))</f>
        <v>10042698.881675009</v>
      </c>
      <c r="AE323" s="193">
        <f>(((H323*'Appendix K'!$C$11*1000)-('Appendix K'!$E$37+'Appendix K'!$F$37+'Appendix K'!$H$37+'Appendix K'!$G$37))/((1+$Y$16)^AE$34))</f>
        <v>8306346.2112479676</v>
      </c>
      <c r="AF323" s="193">
        <f>(((I323*'Appendix K'!$C$12*1000)-('Appendix K'!$E$38+'Appendix K'!$F$38+'Appendix K'!$H$38+'Appendix K'!$G$38))/((1+$Y$16)^AF$34))</f>
        <v>3577622.0971929333</v>
      </c>
      <c r="AG323" s="193">
        <f>(((J323*'Appendix K'!$C$13*1000)-('Appendix K'!$E$39+'Appendix K'!$F$39+'Appendix K'!$H$39+'Appendix K'!$G$39))/((1+$Y$16)^AG$34))</f>
        <v>1483089.9239883975</v>
      </c>
      <c r="AH323" s="193">
        <f>(((K323*'Appendix K'!$C$14*1000)-('Appendix K'!$E$40+'Appendix K'!$F$40+'Appendix K'!$H$40+'Appendix K'!$G$40))/((1+$Y$16)^AH$34))</f>
        <v>1942584.5261936579</v>
      </c>
      <c r="AI323" s="193">
        <f>(((L323*'Appendix K'!$C$15*1000)-('Appendix K'!$E$41+'Appendix K'!$F$41+'Appendix K'!$H$41+'Appendix K'!$G$41))/((1+$Y$16)^AI$34))</f>
        <v>1798432.1200173155</v>
      </c>
      <c r="AJ323" s="193">
        <f>(((M323*'Appendix K'!$C$16*1000)-('Appendix K'!$E$42+'Appendix K'!$F$42+'Appendix K'!$H$42+'Appendix K'!$G$42))/((1+$Y$16)^AJ$34))</f>
        <v>767597.48161976691</v>
      </c>
      <c r="AK323" s="193">
        <f>(((N323*'Appendix K'!$C$17*1000)-('Appendix K'!$E$43+'Appendix K'!$F$43+'Appendix K'!$H$43))/((1+$Y$16)^AK$34))</f>
        <v>1316100.9625433488</v>
      </c>
      <c r="AL323" s="193">
        <f>(((O323*'Appendix K'!$C$18*1000)-('Appendix K'!$E$44+'Appendix K'!$F$44+'Appendix K'!$H$44+'Appendix K'!$G$44))/((1+$Y$16)^AL$34))</f>
        <v>524813.93090472196</v>
      </c>
      <c r="AM323" s="193">
        <f>(((P323*'Appendix K'!$C$19*1000)-('Appendix K'!$E$45+'Appendix K'!$F$45+'Appendix K'!$H$45+'Appendix K'!$G$45))/((1+$Y$16)^AM$34))</f>
        <v>-362715.09589305019</v>
      </c>
      <c r="AN323" s="193">
        <f>(((Q323*'Appendix K'!$C$20*1000)-('Appendix K'!$E$46+'Appendix K'!$F$46+'Appendix K'!$H$46+'Appendix K'!$G$46))/((1+$Y$16)^AN$34))</f>
        <v>-320925.32469322957</v>
      </c>
      <c r="AO323" s="193">
        <f>(((R323*'Appendix K'!$C$21*1000)-('Appendix K'!$E$47+'Appendix K'!$F$47+'Appendix K'!$H$47+'Appendix K'!$G$47))/((1+$Y$16)^AO$34))</f>
        <v>-240085.07402286507</v>
      </c>
      <c r="AP323" s="193">
        <f>(((S323*'Appendix K'!$C$22*1000)-('Appendix K'!$E$48+'Appendix K'!$F$48+'Appendix K'!$H$48+'Appendix K'!$G$48))/((1+$Y$16)^AP$34))</f>
        <v>-36942.746560238855</v>
      </c>
      <c r="AQ323" s="193">
        <f>(((T323*'Appendix K'!$C$23*1000)-('Appendix K'!$E$49+'Appendix K'!$F$49+'Appendix K'!$H$49+'Appendix K'!$G$49))/((1+$Y$16)^AQ$34))</f>
        <v>116813.65539758519</v>
      </c>
      <c r="AR323" s="193">
        <f>(((U323*'Appendix K'!$C$24*1000)-('Appendix K'!$E$50+'Appendix K'!$F$50+'Appendix K'!$H$50+'Appendix K'!$G$50))/((1+$Y$16)^AR$34))</f>
        <v>143776.22591667582</v>
      </c>
      <c r="AS323" s="209">
        <f t="shared" si="24"/>
        <v>70086899.119813532</v>
      </c>
      <c r="AU323" s="199">
        <f t="shared" si="23"/>
        <v>6.702176696130638E-9</v>
      </c>
    </row>
    <row r="324" spans="1:47" x14ac:dyDescent="0.35">
      <c r="A324">
        <v>290</v>
      </c>
      <c r="B324" s="70">
        <v>56</v>
      </c>
      <c r="C324" s="70">
        <v>47.516610804812558</v>
      </c>
      <c r="D324" s="70">
        <v>8.9660623071881318</v>
      </c>
      <c r="E324" s="70">
        <v>12.134319873439338</v>
      </c>
      <c r="F324" s="70">
        <v>19.19735641235274</v>
      </c>
      <c r="G324" s="70">
        <v>22.233638146082598</v>
      </c>
      <c r="H324" s="70">
        <v>32.232969286941255</v>
      </c>
      <c r="I324" s="70">
        <v>23.460805619494298</v>
      </c>
      <c r="J324" s="70">
        <v>33.70325143993449</v>
      </c>
      <c r="K324" s="70">
        <v>42.428773490068231</v>
      </c>
      <c r="L324" s="70">
        <v>26.814698462224431</v>
      </c>
      <c r="M324" s="70">
        <v>49.463337660921084</v>
      </c>
      <c r="N324" s="70">
        <v>53.109994509794781</v>
      </c>
      <c r="O324" s="70">
        <v>50.712757994497423</v>
      </c>
      <c r="P324" s="70">
        <v>51.018652185003013</v>
      </c>
      <c r="Q324" s="70">
        <v>59.347948055863938</v>
      </c>
      <c r="R324" s="70">
        <v>69.97419234111301</v>
      </c>
      <c r="S324" s="70">
        <v>67.398053980856858</v>
      </c>
      <c r="T324" s="70">
        <v>78.597873526077578</v>
      </c>
      <c r="U324" s="70">
        <v>63.185014602708598</v>
      </c>
      <c r="V324" s="70">
        <v>92.697811320869704</v>
      </c>
      <c r="X324" s="193">
        <f>((0-('Appendix K'!$I$30))/(1+$Y$16)^0)</f>
        <v>-33594902.4440751</v>
      </c>
      <c r="Y324" s="193">
        <f>(((B324*'Appendix K'!$C$5*1000)-('Appendix K'!$E$31+'Appendix K'!$F$31+'Appendix K'!$H$31+'Appendix K'!$G$31))/((1+$Y$16)^1))</f>
        <v>34971064.972647354</v>
      </c>
      <c r="Z324" s="193">
        <f>+(((C324*'Appendix K'!$C$6*1000)-('Appendix K'!$E$32+'Appendix K'!$F$32+'Appendix K'!$H$32+'Appendix K'!$G$32))/((1+$Y$16)^2))</f>
        <v>8516260.9019000251</v>
      </c>
      <c r="AA324" s="193">
        <f>(((D324*'Appendix K'!$C$7*1000)-('Appendix K'!$E$33+'Appendix K'!$F$33+'Appendix K'!$H$33+'Appendix K'!$G$33))/((1+$Y$16)^3))</f>
        <v>-1822847.0209851416</v>
      </c>
      <c r="AB324" s="193">
        <f>(((E324*'Appendix K'!$C$8*1000)-('Appendix K'!$E$34+'Appendix K'!$F$34+'Appendix K'!$H$34+'Appendix K'!$G$34))/((1+$Y$16)^4))</f>
        <v>-633476.05160366802</v>
      </c>
      <c r="AC324" s="193">
        <f>(((F324*'Appendix K'!$C$9*1000)-('Appendix K'!$E$35+'Appendix K'!$F$35+'Appendix K'!$H$35+'Appendix K'!$G$35))/((1+$Y$16)^AC$34))</f>
        <v>2118398.6699850587</v>
      </c>
      <c r="AD324" s="193">
        <f>(((G324*'Appendix K'!$C$10*1000)-('Appendix K'!$E$36+'Appendix K'!$F$36+'Appendix K'!$H$36+'Appendix K'!$G$36))/((1+$Y$16)^AD$34))</f>
        <v>975895.41325380467</v>
      </c>
      <c r="AE324" s="193">
        <f>(((H324*'Appendix K'!$C$11*1000)-('Appendix K'!$E$37+'Appendix K'!$F$37+'Appendix K'!$H$37+'Appendix K'!$G$37))/((1+$Y$16)^AE$34))</f>
        <v>994898.96164835349</v>
      </c>
      <c r="AF324" s="193">
        <f>(((I324*'Appendix K'!$C$12*1000)-('Appendix K'!$E$38+'Appendix K'!$F$38+'Appendix K'!$H$38+'Appendix K'!$G$38))/((1+$Y$16)^AF$34))</f>
        <v>-456085.57337787811</v>
      </c>
      <c r="AG324" s="193">
        <f>(((J324*'Appendix K'!$C$13*1000)-('Appendix K'!$E$39+'Appendix K'!$F$39+'Appendix K'!$H$39+'Appendix K'!$G$39))/((1+$Y$16)^AG$34))</f>
        <v>-263956.21587440593</v>
      </c>
      <c r="AH324" s="193">
        <f>(((K324*'Appendix K'!$C$14*1000)-('Appendix K'!$E$40+'Appendix K'!$F$40+'Appendix K'!$H$40+'Appendix K'!$G$40))/((1+$Y$16)^AH$34))</f>
        <v>-202614.56718588897</v>
      </c>
      <c r="AI324" s="193">
        <f>(((L324*'Appendix K'!$C$15*1000)-('Appendix K'!$E$41+'Appendix K'!$F$41+'Appendix K'!$H$41+'Appendix K'!$G$41))/((1+$Y$16)^AI$34))</f>
        <v>-813886.10488874407</v>
      </c>
      <c r="AJ324" s="193">
        <f>(((M324*'Appendix K'!$C$16*1000)-('Appendix K'!$E$42+'Appendix K'!$F$42+'Appendix K'!$H$42+'Appendix K'!$G$42))/((1+$Y$16)^AJ$34))</f>
        <v>-390213.32502239413</v>
      </c>
      <c r="AK324" s="193">
        <f>(((N324*'Appendix K'!$C$17*1000)-('Appendix K'!$E$43+'Appendix K'!$F$43+'Appendix K'!$H$43))/((1+$Y$16)^AK$34))</f>
        <v>-188282.10649384258</v>
      </c>
      <c r="AL324" s="193">
        <f>(((O324*'Appendix K'!$C$18*1000)-('Appendix K'!$E$44+'Appendix K'!$F$44+'Appendix K'!$H$44+'Appendix K'!$G$44))/((1+$Y$16)^AL$34))</f>
        <v>-533475.88282456109</v>
      </c>
      <c r="AM324" s="193">
        <f>(((P324*'Appendix K'!$C$19*1000)-('Appendix K'!$E$45+'Appendix K'!$F$45+'Appendix K'!$H$45+'Appendix K'!$G$45))/((1+$Y$16)^AM$34))</f>
        <v>-553887.7386072051</v>
      </c>
      <c r="AN324" s="193">
        <f>(((Q324*'Appendix K'!$C$20*1000)-('Appendix K'!$E$46+'Appendix K'!$F$46+'Appendix K'!$H$46+'Appendix K'!$G$46))/((1+$Y$16)^AN$34))</f>
        <v>-486254.21470363584</v>
      </c>
      <c r="AO324" s="193">
        <f>(((R324*'Appendix K'!$C$21*1000)-('Appendix K'!$E$47+'Appendix K'!$F$47+'Appendix K'!$H$47+'Appendix K'!$G$47))/((1+$Y$16)^AO$34))</f>
        <v>-429443.71789344016</v>
      </c>
      <c r="AP324" s="193">
        <f>(((S324*'Appendix K'!$C$22*1000)-('Appendix K'!$E$48+'Appendix K'!$F$48+'Appendix K'!$H$48+'Appendix K'!$G$48))/((1+$Y$16)^AP$34))</f>
        <v>-441635.47007304366</v>
      </c>
      <c r="AQ324" s="193">
        <f>(((T324*'Appendix K'!$C$23*1000)-('Appendix K'!$E$49+'Appendix K'!$F$49+'Appendix K'!$H$49+'Appendix K'!$G$49))/((1+$Y$16)^AQ$34))</f>
        <v>-385873.6761023833</v>
      </c>
      <c r="AR324" s="193">
        <f>(((U324*'Appendix K'!$C$24*1000)-('Appendix K'!$E$50+'Appendix K'!$F$50+'Appendix K'!$H$50+'Appendix K'!$G$50))/((1+$Y$16)^AR$34))</f>
        <v>-425831.35191559716</v>
      </c>
      <c r="AS324" s="209">
        <f t="shared" si="24"/>
        <v>13981616.475359492</v>
      </c>
      <c r="AU324" s="199">
        <f t="shared" si="23"/>
        <v>3.0294158791299097E-9</v>
      </c>
    </row>
    <row r="325" spans="1:47" x14ac:dyDescent="0.35">
      <c r="A325">
        <v>291</v>
      </c>
      <c r="B325" s="70">
        <v>56</v>
      </c>
      <c r="C325" s="70">
        <v>59.794918616050865</v>
      </c>
      <c r="D325" s="70">
        <v>77.757828428679602</v>
      </c>
      <c r="E325" s="70">
        <v>83.203653440367972</v>
      </c>
      <c r="F325" s="70">
        <v>99.146076364463056</v>
      </c>
      <c r="G325" s="70">
        <v>136.04141124088139</v>
      </c>
      <c r="H325" s="70">
        <v>187.30003859754117</v>
      </c>
      <c r="I325" s="70">
        <v>106.76788753520894</v>
      </c>
      <c r="J325" s="70">
        <v>128.32244968972066</v>
      </c>
      <c r="K325" s="70">
        <v>181.7078206809951</v>
      </c>
      <c r="L325" s="70">
        <v>333.37673214271263</v>
      </c>
      <c r="M325" s="70">
        <v>390.23887479718633</v>
      </c>
      <c r="N325" s="70">
        <v>500</v>
      </c>
      <c r="O325" s="70">
        <v>500</v>
      </c>
      <c r="P325" s="70">
        <v>500</v>
      </c>
      <c r="Q325" s="70">
        <v>500</v>
      </c>
      <c r="R325" s="70">
        <v>147.92409604254311</v>
      </c>
      <c r="S325" s="70">
        <v>93.875683405232252</v>
      </c>
      <c r="T325" s="70">
        <v>150.43153698241522</v>
      </c>
      <c r="U325" s="70">
        <v>149.12133883067955</v>
      </c>
      <c r="V325" s="70">
        <v>212.53939499416055</v>
      </c>
      <c r="X325" s="193">
        <f>((0-('Appendix K'!$I$30))/(1+$Y$16)^0)</f>
        <v>-33594902.4440751</v>
      </c>
      <c r="Y325" s="193">
        <f>(((B325*'Appendix K'!$C$5*1000)-('Appendix K'!$E$31+'Appendix K'!$F$31+'Appendix K'!$H$31+'Appendix K'!$G$31))/((1+$Y$16)^1))</f>
        <v>34971064.972647354</v>
      </c>
      <c r="Z325" s="193">
        <f>+(((C325*'Appendix K'!$C$6*1000)-('Appendix K'!$E$32+'Appendix K'!$F$32+'Appendix K'!$H$32+'Appendix K'!$G$32))/((1+$Y$16)^2))</f>
        <v>11617971.452440884</v>
      </c>
      <c r="AA325" s="193">
        <f>(((D325*'Appendix K'!$C$7*1000)-('Appendix K'!$E$33+'Appendix K'!$F$33+'Appendix K'!$H$33+'Appendix K'!$G$33))/((1+$Y$16)^3))</f>
        <v>6939495.4080531448</v>
      </c>
      <c r="AB325" s="193">
        <f>(((E325*'Appendix K'!$C$8*1000)-('Appendix K'!$E$34+'Appendix K'!$F$34+'Appendix K'!$H$34+'Appendix K'!$G$34))/((1+$Y$16)^4))</f>
        <v>14944271.289136557</v>
      </c>
      <c r="AC325" s="193">
        <f>(((F325*'Appendix K'!$C$9*1000)-('Appendix K'!$E$35+'Appendix K'!$F$35+'Appendix K'!$H$35+'Appendix K'!$G$35))/((1+$Y$16)^AC$34))</f>
        <v>23368642.891237143</v>
      </c>
      <c r="AD325" s="193">
        <f>(((G325*'Appendix K'!$C$10*1000)-('Appendix K'!$E$36+'Appendix K'!$F$36+'Appendix K'!$H$36+'Appendix K'!$G$36))/((1+$Y$16)^AD$34))</f>
        <v>18848717.813333523</v>
      </c>
      <c r="AE325" s="193">
        <f>(((H325*'Appendix K'!$C$11*1000)-('Appendix K'!$E$37+'Appendix K'!$F$37+'Appendix K'!$H$37+'Appendix K'!$G$37))/((1+$Y$16)^AE$34))</f>
        <v>16460920.765310172</v>
      </c>
      <c r="AF325" s="193">
        <f>(((I325*'Appendix K'!$C$12*1000)-('Appendix K'!$E$38+'Appendix K'!$F$38+'Appendix K'!$H$38+'Appendix K'!$G$38))/((1+$Y$16)^AF$34))</f>
        <v>5014059.6147479387</v>
      </c>
      <c r="AG325" s="193">
        <f>(((J325*'Appendix K'!$C$13*1000)-('Appendix K'!$E$39+'Appendix K'!$F$39+'Appendix K'!$H$39+'Appendix K'!$G$39))/((1+$Y$16)^AG$34))</f>
        <v>4090318.2874333719</v>
      </c>
      <c r="AH325" s="193">
        <f>(((K325*'Appendix K'!$C$14*1000)-('Appendix K'!$E$40+'Appendix K'!$F$40+'Appendix K'!$H$40+'Appendix K'!$G$40))/((1+$Y$16)^AH$34))</f>
        <v>4491998.3635268854</v>
      </c>
      <c r="AI325" s="193">
        <f>(((L325*'Appendix K'!$C$15*1000)-('Appendix K'!$E$41+'Appendix K'!$F$41+'Appendix K'!$H$41+'Appendix K'!$G$41))/((1+$Y$16)^AI$34))</f>
        <v>7218612.4513540855</v>
      </c>
      <c r="AJ325" s="193">
        <f>(((M325*'Appendix K'!$C$16*1000)-('Appendix K'!$E$42+'Appendix K'!$F$42+'Appendix K'!$H$42+'Appendix K'!$G$42))/((1+$Y$16)^AJ$34))</f>
        <v>6439564.6596013615</v>
      </c>
      <c r="AK325" s="193">
        <f>(((N325*'Appendix K'!$C$17*1000)-('Appendix K'!$E$43+'Appendix K'!$F$43+'Appendix K'!$H$43))/((1+$Y$16)^AK$34))</f>
        <v>6677690.1149291173</v>
      </c>
      <c r="AL325" s="193">
        <f>(((O325*'Appendix K'!$C$18*1000)-('Appendix K'!$E$44+'Appendix K'!$F$44+'Appendix K'!$H$44+'Appendix K'!$G$44))/((1+$Y$16)^AL$34))</f>
        <v>4792058.0003928225</v>
      </c>
      <c r="AM325" s="193">
        <f>(((P325*'Appendix K'!$C$19*1000)-('Appendix K'!$E$45+'Appendix K'!$F$45+'Appendix K'!$H$45+'Appendix K'!$G$45))/((1+$Y$16)^AM$34))</f>
        <v>3607599.9540230581</v>
      </c>
      <c r="AN325" s="193">
        <f>(((Q325*'Appendix K'!$C$20*1000)-('Appendix K'!$E$46+'Appendix K'!$F$46+'Appendix K'!$H$46+'Appendix K'!$G$46))/((1+$Y$16)^AN$34))</f>
        <v>2702399.606577659</v>
      </c>
      <c r="AO325" s="193">
        <f>(((R325*'Appendix K'!$C$21*1000)-('Appendix K'!$E$47+'Appendix K'!$F$47+'Appendix K'!$H$47+'Appendix K'!$G$47))/((1+$Y$16)^AO$34))</f>
        <v>31248.824890509186</v>
      </c>
      <c r="AP325" s="193">
        <f>(((S325*'Appendix K'!$C$22*1000)-('Appendix K'!$E$48+'Appendix K'!$F$48+'Appendix K'!$H$48+'Appendix K'!$G$48))/((1+$Y$16)^AP$34))</f>
        <v>-314815.0562971519</v>
      </c>
      <c r="AQ325" s="193">
        <f>(((T325*'Appendix K'!$C$23*1000)-('Appendix K'!$E$49+'Appendix K'!$F$49+'Appendix K'!$H$49+'Appendix K'!$G$49))/((1+$Y$16)^AQ$34))</f>
        <v>-104735.10722375249</v>
      </c>
      <c r="AR325" s="193">
        <f>(((U325*'Appendix K'!$C$24*1000)-('Appendix K'!$E$50+'Appendix K'!$F$50+'Appendix K'!$H$50+'Appendix K'!$G$50))/((1+$Y$16)^AR$34))</f>
        <v>-149113.98006381604</v>
      </c>
      <c r="AS325" s="209">
        <f t="shared" si="24"/>
        <v>138621732.02556047</v>
      </c>
      <c r="AU325" s="199">
        <f t="shared" si="23"/>
        <v>4.6939348002481042E-9</v>
      </c>
    </row>
    <row r="326" spans="1:47" x14ac:dyDescent="0.35">
      <c r="A326">
        <v>292</v>
      </c>
      <c r="B326" s="70">
        <v>56</v>
      </c>
      <c r="C326" s="70">
        <v>55.277041366182594</v>
      </c>
      <c r="D326" s="70">
        <v>70.315051082476373</v>
      </c>
      <c r="E326" s="70">
        <v>125.90483351799384</v>
      </c>
      <c r="F326" s="70">
        <v>48.84253467704022</v>
      </c>
      <c r="G326" s="70">
        <v>28.327432257517994</v>
      </c>
      <c r="H326" s="70">
        <v>20.268965887615199</v>
      </c>
      <c r="I326" s="70">
        <v>12.497631103642387</v>
      </c>
      <c r="J326" s="70">
        <v>16.083702921130019</v>
      </c>
      <c r="K326" s="70">
        <v>22.299132730976666</v>
      </c>
      <c r="L326" s="70">
        <v>16.455445982351453</v>
      </c>
      <c r="M326" s="70">
        <v>20.970137170747673</v>
      </c>
      <c r="N326" s="70">
        <v>26.013184743475531</v>
      </c>
      <c r="O326" s="70">
        <v>33.434857506388667</v>
      </c>
      <c r="P326" s="70">
        <v>39.32700893946155</v>
      </c>
      <c r="Q326" s="70">
        <v>38.025380000731168</v>
      </c>
      <c r="R326" s="70">
        <v>23.378497269479894</v>
      </c>
      <c r="S326" s="70">
        <v>27.686546235098863</v>
      </c>
      <c r="T326" s="70">
        <v>45.477243217327569</v>
      </c>
      <c r="U326" s="70">
        <v>43.2610198932529</v>
      </c>
      <c r="V326" s="70">
        <v>61.371785502160272</v>
      </c>
      <c r="X326" s="193">
        <f>((0-('Appendix K'!$I$30))/(1+$Y$16)^0)</f>
        <v>-33594902.4440751</v>
      </c>
      <c r="Y326" s="193">
        <f>(((B326*'Appendix K'!$C$5*1000)-('Appendix K'!$E$31+'Appendix K'!$F$31+'Appendix K'!$H$31+'Appendix K'!$G$31))/((1+$Y$16)^1))</f>
        <v>34971064.972647354</v>
      </c>
      <c r="Z326" s="193">
        <f>+(((C326*'Appendix K'!$C$6*1000)-('Appendix K'!$E$32+'Appendix K'!$F$32+'Appendix K'!$H$32+'Appendix K'!$G$32))/((1+$Y$16)^2))</f>
        <v>10476678.389308948</v>
      </c>
      <c r="AA326" s="193">
        <f>(((D326*'Appendix K'!$C$7*1000)-('Appendix K'!$E$33+'Appendix K'!$F$33+'Appendix K'!$H$33+'Appendix K'!$G$33))/((1+$Y$16)^3))</f>
        <v>5991472.5935880402</v>
      </c>
      <c r="AB326" s="193">
        <f>(((E326*'Appendix K'!$C$8*1000)-('Appendix K'!$E$34+'Appendix K'!$F$34+'Appendix K'!$H$34+'Appendix K'!$G$34))/((1+$Y$16)^4))</f>
        <v>24303979.070471995</v>
      </c>
      <c r="AC326" s="193">
        <f>(((F326*'Appendix K'!$C$9*1000)-('Appendix K'!$E$35+'Appendix K'!$F$35+'Appendix K'!$H$35+'Appendix K'!$G$35))/((1+$Y$16)^AC$34))</f>
        <v>9998040.5014554877</v>
      </c>
      <c r="AD326" s="193">
        <f>(((G326*'Appendix K'!$C$10*1000)-('Appendix K'!$E$36+'Appendix K'!$F$36+'Appendix K'!$H$36+'Appendix K'!$G$36))/((1+$Y$16)^AD$34))</f>
        <v>1932888.92024049</v>
      </c>
      <c r="AE326" s="193">
        <f>(((H326*'Appendix K'!$C$11*1000)-('Appendix K'!$E$37+'Appendix K'!$F$37+'Appendix K'!$H$37+'Appendix K'!$G$37))/((1+$Y$16)^AE$34))</f>
        <v>-198362.36879205125</v>
      </c>
      <c r="AF326" s="193">
        <f>(((I326*'Appendix K'!$C$12*1000)-('Appendix K'!$E$38+'Appendix K'!$F$38+'Appendix K'!$H$38+'Appendix K'!$G$38))/((1+$Y$16)^AF$34))</f>
        <v>-1175954.2201412504</v>
      </c>
      <c r="AG326" s="193">
        <f>(((J326*'Appendix K'!$C$13*1000)-('Appendix K'!$E$39+'Appendix K'!$F$39+'Appendix K'!$H$39+'Appendix K'!$G$39))/((1+$Y$16)^AG$34))</f>
        <v>-1074789.0309304984</v>
      </c>
      <c r="AH326" s="193">
        <f>(((K326*'Appendix K'!$C$14*1000)-('Appendix K'!$E$40+'Appendix K'!$F$40+'Appendix K'!$H$40+'Appendix K'!$G$40))/((1+$Y$16)^AH$34))</f>
        <v>-881114.84202400036</v>
      </c>
      <c r="AI326" s="193">
        <f>(((L326*'Appendix K'!$C$15*1000)-('Appendix K'!$E$41+'Appendix K'!$F$41+'Appendix K'!$H$41+'Appendix K'!$G$41))/((1+$Y$16)^AI$34))</f>
        <v>-1085317.8917585439</v>
      </c>
      <c r="AJ326" s="193">
        <f>(((M326*'Appendix K'!$C$16*1000)-('Appendix K'!$E$42+'Appendix K'!$F$42+'Appendix K'!$H$42+'Appendix K'!$G$42))/((1+$Y$16)^AJ$34))</f>
        <v>-961270.2590224481</v>
      </c>
      <c r="AK326" s="193">
        <f>(((N326*'Appendix K'!$C$17*1000)-('Appendix K'!$E$43+'Appendix K'!$F$43+'Appendix K'!$H$43))/((1+$Y$16)^AK$34))</f>
        <v>-604594.71330779849</v>
      </c>
      <c r="AL326" s="193">
        <f>(((O326*'Appendix K'!$C$18*1000)-('Appendix K'!$E$44+'Appendix K'!$F$44+'Appendix K'!$H$44+'Appendix K'!$G$44))/((1+$Y$16)^AL$34))</f>
        <v>-738275.92136906623</v>
      </c>
      <c r="AM326" s="193">
        <f>(((P326*'Appendix K'!$C$19*1000)-('Appendix K'!$E$45+'Appendix K'!$F$45+'Appendix K'!$H$45+'Appendix K'!$G$45))/((1+$Y$16)^AM$34))</f>
        <v>-662254.44406106451</v>
      </c>
      <c r="AN326" s="193">
        <f>(((Q326*'Appendix K'!$C$20*1000)-('Appendix K'!$E$46+'Appendix K'!$F$46+'Appendix K'!$H$46+'Appendix K'!$G$46))/((1+$Y$16)^AN$34))</f>
        <v>-640548.94182123255</v>
      </c>
      <c r="AO326" s="193">
        <f>(((R326*'Appendix K'!$C$21*1000)-('Appendix K'!$E$47+'Appendix K'!$F$47+'Appendix K'!$H$47+'Appendix K'!$G$47))/((1+$Y$16)^AO$34))</f>
        <v>-704829.42366105819</v>
      </c>
      <c r="AP326" s="193">
        <f>(((S326*'Appendix K'!$C$22*1000)-('Appendix K'!$E$48+'Appendix K'!$F$48+'Appendix K'!$H$48+'Appendix K'!$G$48))/((1+$Y$16)^AP$34))</f>
        <v>-631842.44681036391</v>
      </c>
      <c r="AQ326" s="193">
        <f>(((T326*'Appendix K'!$C$23*1000)-('Appendix K'!$E$49+'Appendix K'!$F$49+'Appendix K'!$H$49+'Appendix K'!$G$49))/((1+$Y$16)^AQ$34))</f>
        <v>-515499.34403201548</v>
      </c>
      <c r="AR326" s="193">
        <f>(((U326*'Appendix K'!$C$24*1000)-('Appendix K'!$E$50+'Appendix K'!$F$50+'Appendix K'!$H$50+'Appendix K'!$G$50))/((1+$Y$16)^AR$34))</f>
        <v>-489987.17312763445</v>
      </c>
      <c r="AS326" s="209">
        <f t="shared" si="24"/>
        <v>54079222.003637202</v>
      </c>
      <c r="AU326" s="199">
        <f t="shared" si="23"/>
        <v>5.9033621912248467E-9</v>
      </c>
    </row>
    <row r="327" spans="1:47" x14ac:dyDescent="0.35">
      <c r="A327">
        <v>293</v>
      </c>
      <c r="B327" s="70">
        <v>56</v>
      </c>
      <c r="C327" s="70">
        <v>69.068535056584722</v>
      </c>
      <c r="D327" s="70">
        <v>72.201701630766081</v>
      </c>
      <c r="E327" s="70">
        <v>86.799981928495825</v>
      </c>
      <c r="F327" s="70">
        <v>127.37743540523867</v>
      </c>
      <c r="G327" s="70">
        <v>131.90651066408049</v>
      </c>
      <c r="H327" s="70">
        <v>106.14170268443075</v>
      </c>
      <c r="I327" s="70">
        <v>126.68988162736876</v>
      </c>
      <c r="J327" s="70">
        <v>159.24826613576948</v>
      </c>
      <c r="K327" s="70">
        <v>262.62526200810339</v>
      </c>
      <c r="L327" s="70">
        <v>277.05473034906339</v>
      </c>
      <c r="M327" s="70">
        <v>264.14248027649478</v>
      </c>
      <c r="N327" s="70">
        <v>240.02202319041075</v>
      </c>
      <c r="O327" s="70">
        <v>216.85742242970394</v>
      </c>
      <c r="P327" s="70">
        <v>227.21256557222171</v>
      </c>
      <c r="Q327" s="70">
        <v>313.4635456671636</v>
      </c>
      <c r="R327" s="70">
        <v>240.94794682077398</v>
      </c>
      <c r="S327" s="70">
        <v>358.51415970251088</v>
      </c>
      <c r="T327" s="70">
        <v>454.40529604949279</v>
      </c>
      <c r="U327" s="70">
        <v>235.42283398515247</v>
      </c>
      <c r="V327" s="70">
        <v>318.34287845781171</v>
      </c>
      <c r="X327" s="193">
        <f>((0-('Appendix K'!$I$30))/(1+$Y$16)^0)</f>
        <v>-33594902.4440751</v>
      </c>
      <c r="Y327" s="193">
        <f>(((B327*'Appendix K'!$C$5*1000)-('Appendix K'!$E$31+'Appendix K'!$F$31+'Appendix K'!$H$31+'Appendix K'!$G$31))/((1+$Y$16)^1))</f>
        <v>34971064.972647354</v>
      </c>
      <c r="Z327" s="193">
        <f>+(((C327*'Appendix K'!$C$6*1000)-('Appendix K'!$E$32+'Appendix K'!$F$32+'Appendix K'!$H$32+'Appendix K'!$G$32))/((1+$Y$16)^2))</f>
        <v>13960645.573132442</v>
      </c>
      <c r="AA327" s="193">
        <f>(((D327*'Appendix K'!$C$7*1000)-('Appendix K'!$E$33+'Appendix K'!$F$33+'Appendix K'!$H$33+'Appendix K'!$G$33))/((1+$Y$16)^3))</f>
        <v>6231784.4663614687</v>
      </c>
      <c r="AB327" s="193">
        <f>(((E327*'Appendix K'!$C$8*1000)-('Appendix K'!$E$34+'Appendix K'!$F$34+'Appendix K'!$H$34+'Appendix K'!$G$34))/((1+$Y$16)^4))</f>
        <v>15732553.572515555</v>
      </c>
      <c r="AC327" s="193">
        <f>(((F327*'Appendix K'!$C$9*1000)-('Appendix K'!$E$35+'Appendix K'!$F$35+'Appendix K'!$H$35+'Appendix K'!$G$35))/((1+$Y$16)^AC$34))</f>
        <v>30872493.793086372</v>
      </c>
      <c r="AD327" s="193">
        <f>(((G327*'Appendix K'!$C$10*1000)-('Appendix K'!$E$36+'Appendix K'!$F$36+'Appendix K'!$H$36+'Appendix K'!$G$36))/((1+$Y$16)^AD$34))</f>
        <v>18199356.687625609</v>
      </c>
      <c r="AE327" s="193">
        <f>(((H327*'Appendix K'!$C$11*1000)-('Appendix K'!$E$37+'Appendix K'!$F$37+'Appendix K'!$H$37+'Appendix K'!$G$37))/((1+$Y$16)^AE$34))</f>
        <v>8366380.7810217468</v>
      </c>
      <c r="AF327" s="193">
        <f>(((I327*'Appendix K'!$C$12*1000)-('Appendix K'!$E$38+'Appendix K'!$F$38+'Appendix K'!$H$38+'Appendix K'!$G$38))/((1+$Y$16)^AF$34))</f>
        <v>6322186.0982965389</v>
      </c>
      <c r="AG327" s="193">
        <f>(((J327*'Appendix K'!$C$13*1000)-('Appendix K'!$E$39+'Appendix K'!$F$39+'Appendix K'!$H$39+'Appendix K'!$G$39))/((1+$Y$16)^AG$34))</f>
        <v>5513491.3488824628</v>
      </c>
      <c r="AH327" s="193">
        <f>(((K327*'Appendix K'!$C$14*1000)-('Appendix K'!$E$40+'Appendix K'!$F$40+'Appendix K'!$H$40+'Appendix K'!$G$40))/((1+$Y$16)^AH$34))</f>
        <v>7219444.2646586765</v>
      </c>
      <c r="AI327" s="193">
        <f>(((L327*'Appendix K'!$C$15*1000)-('Appendix K'!$E$41+'Appendix K'!$F$41+'Appendix K'!$H$41+'Appendix K'!$G$41))/((1+$Y$16)^AI$34))</f>
        <v>5742870.6817006702</v>
      </c>
      <c r="AJ327" s="193">
        <f>(((M327*'Appendix K'!$C$16*1000)-('Appendix K'!$E$42+'Appendix K'!$F$42+'Appendix K'!$H$42+'Appendix K'!$G$42))/((1+$Y$16)^AJ$34))</f>
        <v>3912357.4942188291</v>
      </c>
      <c r="AK327" s="193">
        <f>(((N327*'Appendix K'!$C$17*1000)-('Appendix K'!$E$43+'Appendix K'!$F$43+'Appendix K'!$H$43))/((1+$Y$16)^AK$34))</f>
        <v>2683415.1366861654</v>
      </c>
      <c r="AL327" s="193">
        <f>(((O327*'Appendix K'!$C$18*1000)-('Appendix K'!$E$44+'Appendix K'!$F$44+'Appendix K'!$H$44+'Appendix K'!$G$44))/((1+$Y$16)^AL$34))</f>
        <v>1435885.7131466824</v>
      </c>
      <c r="AM327" s="193">
        <f>(((P327*'Appendix K'!$C$19*1000)-('Appendix K'!$E$45+'Appendix K'!$F$45+'Appendix K'!$H$45+'Appendix K'!$G$45))/((1+$Y$16)^AM$34))</f>
        <v>1079206.3880098332</v>
      </c>
      <c r="AN327" s="193">
        <f>(((Q327*'Appendix K'!$C$20*1000)-('Appendix K'!$E$46+'Appendix K'!$F$46+'Appendix K'!$H$46+'Appendix K'!$G$46))/((1+$Y$16)^AN$34))</f>
        <v>1352581.3649685886</v>
      </c>
      <c r="AO327" s="193">
        <f>(((R327*'Appendix K'!$C$21*1000)-('Appendix K'!$E$47+'Appendix K'!$F$47+'Appendix K'!$H$47+'Appendix K'!$G$47))/((1+$Y$16)^AO$34))</f>
        <v>581030.06026863051</v>
      </c>
      <c r="AP327" s="193">
        <f>(((S327*'Appendix K'!$C$22*1000)-('Appendix K'!$E$48+'Appendix K'!$F$48+'Appendix K'!$H$48+'Appendix K'!$G$48))/((1+$Y$16)^AP$34))</f>
        <v>952728.97217790119</v>
      </c>
      <c r="AQ327" s="193">
        <f>(((T327*'Appendix K'!$C$23*1000)-('Appendix K'!$E$49+'Appendix K'!$F$49+'Appendix K'!$H$49+'Appendix K'!$G$49))/((1+$Y$16)^AQ$34))</f>
        <v>1084940.3664867028</v>
      </c>
      <c r="AR327" s="193">
        <f>(((U327*'Appendix K'!$C$24*1000)-('Appendix K'!$E$50+'Appendix K'!$F$50+'Appendix K'!$H$50+'Appendix K'!$G$50))/((1+$Y$16)^AR$34))</f>
        <v>128779.25240297383</v>
      </c>
      <c r="AS327" s="209">
        <f t="shared" si="24"/>
        <v>132748294.54422015</v>
      </c>
      <c r="AU327" s="199">
        <f t="shared" si="23"/>
        <v>5.1239754646732879E-9</v>
      </c>
    </row>
    <row r="328" spans="1:47" x14ac:dyDescent="0.35">
      <c r="A328">
        <v>294</v>
      </c>
      <c r="B328" s="70">
        <v>56</v>
      </c>
      <c r="C328" s="70">
        <v>49.755585907747374</v>
      </c>
      <c r="D328" s="70">
        <v>59.006102300224455</v>
      </c>
      <c r="E328" s="70">
        <v>61.158727581244207</v>
      </c>
      <c r="F328" s="70">
        <v>51.552867973994836</v>
      </c>
      <c r="G328" s="70">
        <v>81.444607981690226</v>
      </c>
      <c r="H328" s="70">
        <v>97.382553695922084</v>
      </c>
      <c r="I328" s="70">
        <v>149.83440536170664</v>
      </c>
      <c r="J328" s="70">
        <v>207.94489452910818</v>
      </c>
      <c r="K328" s="70">
        <v>316.49943223777268</v>
      </c>
      <c r="L328" s="70">
        <v>434.339690485407</v>
      </c>
      <c r="M328" s="70">
        <v>500</v>
      </c>
      <c r="N328" s="70">
        <v>500</v>
      </c>
      <c r="O328" s="70">
        <v>500</v>
      </c>
      <c r="P328" s="70">
        <v>344.03378814138915</v>
      </c>
      <c r="Q328" s="70">
        <v>344.59157683659998</v>
      </c>
      <c r="R328" s="70">
        <v>359.45971645121688</v>
      </c>
      <c r="S328" s="70">
        <v>393.82157349673776</v>
      </c>
      <c r="T328" s="70">
        <v>319.6849446528625</v>
      </c>
      <c r="U328" s="70">
        <v>62.117643101020292</v>
      </c>
      <c r="V328" s="70">
        <v>66.041332007055715</v>
      </c>
      <c r="X328" s="193">
        <f>((0-('Appendix K'!$I$30))/(1+$Y$16)^0)</f>
        <v>-33594902.4440751</v>
      </c>
      <c r="Y328" s="193">
        <f>(((B328*'Appendix K'!$C$5*1000)-('Appendix K'!$E$31+'Appendix K'!$F$31+'Appendix K'!$H$31+'Appendix K'!$G$31))/((1+$Y$16)^1))</f>
        <v>34971064.972647354</v>
      </c>
      <c r="Z328" s="193">
        <f>+(((C328*'Appendix K'!$C$6*1000)-('Appendix K'!$E$32+'Appendix K'!$F$32+'Appendix K'!$H$32+'Appendix K'!$G$32))/((1+$Y$16)^2))</f>
        <v>9081864.3063703701</v>
      </c>
      <c r="AA328" s="193">
        <f>(((D328*'Appendix K'!$C$7*1000)-('Appendix K'!$E$33+'Appendix K'!$F$33+'Appendix K'!$H$33+'Appendix K'!$G$33))/((1+$Y$16)^3))</f>
        <v>4550996.6859402964</v>
      </c>
      <c r="AB328" s="193">
        <f>(((E328*'Appendix K'!$C$8*1000)-('Appendix K'!$E$34+'Appendix K'!$F$34+'Appendix K'!$H$34+'Appendix K'!$G$34))/((1+$Y$16)^4))</f>
        <v>10112225.342689369</v>
      </c>
      <c r="AC328" s="193">
        <f>(((F328*'Appendix K'!$C$9*1000)-('Appendix K'!$E$35+'Appendix K'!$F$35+'Appendix K'!$H$35+'Appendix K'!$G$35))/((1+$Y$16)^AC$34))</f>
        <v>10718442.835799012</v>
      </c>
      <c r="AD328" s="193">
        <f>(((G328*'Appendix K'!$C$10*1000)-('Appendix K'!$E$36+'Appendix K'!$F$36+'Appendix K'!$H$36+'Appendix K'!$G$36))/((1+$Y$16)^AD$34))</f>
        <v>10274620.089351147</v>
      </c>
      <c r="AE328" s="193">
        <f>(((H328*'Appendix K'!$C$11*1000)-('Appendix K'!$E$37+'Appendix K'!$F$37+'Appendix K'!$H$37+'Appendix K'!$G$37))/((1+$Y$16)^AE$34))</f>
        <v>7492764.0302824108</v>
      </c>
      <c r="AF328" s="193">
        <f>(((I328*'Appendix K'!$C$12*1000)-('Appendix K'!$E$38+'Appendix K'!$F$38+'Appendix K'!$H$38+'Appendix K'!$G$38))/((1+$Y$16)^AF$34))</f>
        <v>7841911.699355796</v>
      </c>
      <c r="AG328" s="193">
        <f>(((J328*'Appendix K'!$C$13*1000)-('Appendix K'!$E$39+'Appendix K'!$F$39+'Appendix K'!$H$39+'Appendix K'!$G$39))/((1+$Y$16)^AG$34))</f>
        <v>7754458.2069021827</v>
      </c>
      <c r="AH328" s="193">
        <f>(((K328*'Appendix K'!$C$14*1000)-('Appendix K'!$E$40+'Appendix K'!$F$40+'Appendix K'!$H$40+'Appendix K'!$G$40))/((1+$Y$16)^AH$34))</f>
        <v>9035355.4249706827</v>
      </c>
      <c r="AI328" s="193">
        <f>(((L328*'Appendix K'!$C$15*1000)-('Appendix K'!$E$41+'Appendix K'!$F$41+'Appendix K'!$H$41+'Appendix K'!$G$41))/((1+$Y$16)^AI$34))</f>
        <v>9864030.7615905702</v>
      </c>
      <c r="AJ328" s="193">
        <f>(((M328*'Appendix K'!$C$16*1000)-('Appendix K'!$E$42+'Appendix K'!$F$42+'Appendix K'!$H$42+'Appendix K'!$G$42))/((1+$Y$16)^AJ$34))</f>
        <v>8639382.5302660316</v>
      </c>
      <c r="AK328" s="193">
        <f>(((N328*'Appendix K'!$C$17*1000)-('Appendix K'!$E$43+'Appendix K'!$F$43+'Appendix K'!$H$43))/((1+$Y$16)^AK$34))</f>
        <v>6677690.1149291173</v>
      </c>
      <c r="AL328" s="193">
        <f>(((O328*'Appendix K'!$C$18*1000)-('Appendix K'!$E$44+'Appendix K'!$F$44+'Appendix K'!$H$44+'Appendix K'!$G$44))/((1+$Y$16)^AL$34))</f>
        <v>4792058.0003928225</v>
      </c>
      <c r="AM328" s="193">
        <f>(((P328*'Appendix K'!$C$19*1000)-('Appendix K'!$E$45+'Appendix K'!$F$45+'Appendix K'!$H$45+'Appendix K'!$G$45))/((1+$Y$16)^AM$34))</f>
        <v>2161990.9676488279</v>
      </c>
      <c r="AN328" s="193">
        <f>(((Q328*'Appendix K'!$C$20*1000)-('Appendix K'!$E$46+'Appendix K'!$F$46+'Appendix K'!$H$46+'Appendix K'!$G$46))/((1+$Y$16)^AN$34))</f>
        <v>1577830.5498968591</v>
      </c>
      <c r="AO328" s="193">
        <f>(((R328*'Appendix K'!$C$21*1000)-('Appendix K'!$E$47+'Appendix K'!$F$47+'Appendix K'!$H$47+'Appendix K'!$G$47))/((1+$Y$16)^AO$34))</f>
        <v>1281447.711969625</v>
      </c>
      <c r="AP328" s="193">
        <f>(((S328*'Appendix K'!$C$22*1000)-('Appendix K'!$E$48+'Appendix K'!$F$48+'Appendix K'!$H$48+'Appendix K'!$G$48))/((1+$Y$16)^AP$34))</f>
        <v>1121841.5749329762</v>
      </c>
      <c r="AQ328" s="193">
        <f>(((T328*'Appendix K'!$C$23*1000)-('Appendix K'!$E$49+'Appendix K'!$F$49+'Appendix K'!$H$49+'Appendix K'!$G$49))/((1+$Y$16)^AQ$34))</f>
        <v>557679.40041476709</v>
      </c>
      <c r="AR328" s="193">
        <f>(((U328*'Appendix K'!$C$24*1000)-('Appendix K'!$E$50+'Appendix K'!$F$50+'Appendix K'!$H$50+'Appendix K'!$G$50))/((1+$Y$16)^AR$34))</f>
        <v>-429268.31805756467</v>
      </c>
      <c r="AS328" s="209">
        <f t="shared" si="24"/>
        <v>114912752.7622751</v>
      </c>
      <c r="AU328" s="199">
        <f t="shared" si="23"/>
        <v>6.2618352939444644E-9</v>
      </c>
    </row>
    <row r="329" spans="1:47" x14ac:dyDescent="0.35">
      <c r="A329">
        <v>295</v>
      </c>
      <c r="B329" s="70">
        <v>56</v>
      </c>
      <c r="C329" s="70">
        <v>27.375500041619937</v>
      </c>
      <c r="D329" s="70">
        <v>14.76878193885244</v>
      </c>
      <c r="E329" s="70">
        <v>14.463578160238207</v>
      </c>
      <c r="F329" s="70">
        <v>14.090996230997828</v>
      </c>
      <c r="G329" s="70">
        <v>13.306971027910127</v>
      </c>
      <c r="H329" s="70">
        <v>16.752807009421517</v>
      </c>
      <c r="I329" s="70">
        <v>7.2558404712283071</v>
      </c>
      <c r="J329" s="70">
        <v>6.3954297074717701</v>
      </c>
      <c r="K329" s="70">
        <v>4.6795799510198535</v>
      </c>
      <c r="L329" s="70">
        <v>5.4666209382517312</v>
      </c>
      <c r="M329" s="70">
        <v>3.9552784642263745</v>
      </c>
      <c r="N329" s="70">
        <v>6.0145632636103006</v>
      </c>
      <c r="O329" s="70">
        <v>4.8800338630145639</v>
      </c>
      <c r="P329" s="70">
        <v>5.8248614345854826</v>
      </c>
      <c r="Q329" s="70">
        <v>6.0676383703023822</v>
      </c>
      <c r="R329" s="70">
        <v>6.0235288926968176</v>
      </c>
      <c r="S329" s="70">
        <v>6.3560974977571592</v>
      </c>
      <c r="T329" s="70">
        <v>7.9550530982857932</v>
      </c>
      <c r="U329" s="70">
        <v>8.3754041385341989</v>
      </c>
      <c r="V329" s="70">
        <v>10.451256969248508</v>
      </c>
      <c r="X329" s="193">
        <f>((0-('Appendix K'!$I$30))/(1+$Y$16)^0)</f>
        <v>-33594902.4440751</v>
      </c>
      <c r="Y329" s="193">
        <f>(((B329*'Appendix K'!$C$5*1000)-('Appendix K'!$E$31+'Appendix K'!$F$31+'Appendix K'!$H$31+'Appendix K'!$G$31))/((1+$Y$16)^1))</f>
        <v>34971064.972647354</v>
      </c>
      <c r="Z329" s="193">
        <f>+(((C329*'Appendix K'!$C$6*1000)-('Appendix K'!$E$32+'Appendix K'!$F$32+'Appendix K'!$H$32+'Appendix K'!$G$32))/((1+$Y$16)^2))</f>
        <v>3428271.8472009604</v>
      </c>
      <c r="AA329" s="193">
        <f>(((D329*'Appendix K'!$C$7*1000)-('Appendix K'!$E$33+'Appendix K'!$F$33+'Appendix K'!$H$33+'Appendix K'!$G$33))/((1+$Y$16)^3))</f>
        <v>-1083726.3485699471</v>
      </c>
      <c r="AB329" s="193">
        <f>(((E329*'Appendix K'!$C$8*1000)-('Appendix K'!$E$34+'Appendix K'!$F$34+'Appendix K'!$H$34+'Appendix K'!$G$34))/((1+$Y$16)^4))</f>
        <v>-122923.95744469239</v>
      </c>
      <c r="AC329" s="193">
        <f>(((F329*'Appendix K'!$C$9*1000)-('Appendix K'!$E$35+'Appendix K'!$F$35+'Appendix K'!$H$35+'Appendix K'!$G$35))/((1+$Y$16)^AC$34))</f>
        <v>761136.15220531379</v>
      </c>
      <c r="AD329" s="193">
        <f>(((G329*'Appendix K'!$C$10*1000)-('Appendix K'!$E$36+'Appendix K'!$F$36+'Appendix K'!$H$36+'Appendix K'!$G$36))/((1+$Y$16)^AD$34))</f>
        <v>-425983.66485478432</v>
      </c>
      <c r="AE329" s="193">
        <f>(((H329*'Appendix K'!$C$11*1000)-('Appendix K'!$E$37+'Appendix K'!$F$37+'Appendix K'!$H$37+'Appendix K'!$G$37))/((1+$Y$16)^AE$34))</f>
        <v>-549055.71791543777</v>
      </c>
      <c r="AF329" s="193">
        <f>(((I329*'Appendix K'!$C$12*1000)-('Appendix K'!$E$38+'Appendix K'!$F$38+'Appendix K'!$H$38+'Appendix K'!$G$38))/((1+$Y$16)^AF$34))</f>
        <v>-1520142.9150960555</v>
      </c>
      <c r="AG329" s="193">
        <f>(((J329*'Appendix K'!$C$13*1000)-('Appendix K'!$E$39+'Appendix K'!$F$39+'Appendix K'!$H$39+'Appendix K'!$G$39))/((1+$Y$16)^AG$34))</f>
        <v>-1520633.0225900575</v>
      </c>
      <c r="AH329" s="193">
        <f>(((K329*'Appendix K'!$C$14*1000)-('Appendix K'!$E$40+'Appendix K'!$F$40+'Appendix K'!$H$40+'Appendix K'!$G$40))/((1+$Y$16)^AH$34))</f>
        <v>-1475008.7692331027</v>
      </c>
      <c r="AI329" s="193">
        <f>(((L329*'Appendix K'!$C$15*1000)-('Appendix K'!$E$41+'Appendix K'!$F$41+'Appendix K'!$H$41+'Appendix K'!$G$41))/((1+$Y$16)^AI$34))</f>
        <v>-1373245.6571175524</v>
      </c>
      <c r="AJ329" s="193">
        <f>(((M329*'Appendix K'!$C$16*1000)-('Appendix K'!$E$42+'Appendix K'!$F$42+'Appendix K'!$H$42+'Appendix K'!$G$42))/((1+$Y$16)^AJ$34))</f>
        <v>-1302279.7938671259</v>
      </c>
      <c r="AK329" s="193">
        <f>(((N329*'Appendix K'!$C$17*1000)-('Appendix K'!$E$43+'Appendix K'!$F$43+'Appendix K'!$H$43))/((1+$Y$16)^AK$34))</f>
        <v>-911851.48311827634</v>
      </c>
      <c r="AL329" s="193">
        <f>(((O329*'Appendix K'!$C$18*1000)-('Appendix K'!$E$44+'Appendix K'!$F$44+'Appendix K'!$H$44+'Appendix K'!$G$44))/((1+$Y$16)^AL$34))</f>
        <v>-1076744.6483315453</v>
      </c>
      <c r="AM329" s="193">
        <f>(((P329*'Appendix K'!$C$19*1000)-('Appendix K'!$E$45+'Appendix K'!$F$45+'Appendix K'!$H$45+'Appendix K'!$G$45))/((1+$Y$16)^AM$34))</f>
        <v>-972776.86374891514</v>
      </c>
      <c r="AN329" s="193">
        <f>(((Q329*'Appendix K'!$C$20*1000)-('Appendix K'!$E$46+'Appendix K'!$F$46+'Appendix K'!$H$46+'Appendix K'!$G$46))/((1+$Y$16)^AN$34))</f>
        <v>-871802.09160188038</v>
      </c>
      <c r="AO329" s="193">
        <f>(((R329*'Appendix K'!$C$21*1000)-('Appendix K'!$E$47+'Appendix K'!$F$47+'Appendix K'!$H$47+'Appendix K'!$G$47))/((1+$Y$16)^AO$34))</f>
        <v>-807399.20414545084</v>
      </c>
      <c r="AP329" s="193">
        <f>(((S329*'Appendix K'!$C$22*1000)-('Appendix K'!$E$48+'Appendix K'!$F$48+'Appendix K'!$H$48+'Appendix K'!$G$48))/((1+$Y$16)^AP$34))</f>
        <v>-734009.30969442427</v>
      </c>
      <c r="AQ329" s="193">
        <f>(((T329*'Appendix K'!$C$23*1000)-('Appendix K'!$E$49+'Appendix K'!$F$49+'Appendix K'!$H$49+'Appendix K'!$G$49))/((1+$Y$16)^AQ$34))</f>
        <v>-662351.59023091942</v>
      </c>
      <c r="AR329" s="193">
        <f>(((U329*'Appendix K'!$C$24*1000)-('Appendix K'!$E$50+'Appendix K'!$F$50+'Appendix K'!$H$50+'Appendix K'!$G$50))/((1+$Y$16)^AR$34))</f>
        <v>-602319.83331296267</v>
      </c>
      <c r="AS329" s="209">
        <f t="shared" si="24"/>
        <v>5565570.5279785246</v>
      </c>
      <c r="AU329" s="199">
        <f t="shared" si="23"/>
        <v>2.4718233370887732E-9</v>
      </c>
    </row>
    <row r="330" spans="1:47" x14ac:dyDescent="0.35">
      <c r="A330">
        <v>296</v>
      </c>
      <c r="B330" s="70">
        <v>56</v>
      </c>
      <c r="C330" s="70">
        <v>60.00357293652457</v>
      </c>
      <c r="D330" s="70">
        <v>21.593141936018753</v>
      </c>
      <c r="E330" s="70">
        <v>42.32352760438588</v>
      </c>
      <c r="F330" s="70">
        <v>45.549944696793759</v>
      </c>
      <c r="G330" s="70">
        <v>37.925003762955846</v>
      </c>
      <c r="H330" s="70">
        <v>45.355108019108222</v>
      </c>
      <c r="I330" s="70">
        <v>39.485662016087375</v>
      </c>
      <c r="J330" s="70">
        <v>48.784053640469999</v>
      </c>
      <c r="K330" s="70">
        <v>51.503316538068518</v>
      </c>
      <c r="L330" s="70">
        <v>37.375265166595952</v>
      </c>
      <c r="M330" s="70">
        <v>50.306908046537743</v>
      </c>
      <c r="N330" s="70">
        <v>41.710710903929382</v>
      </c>
      <c r="O330" s="70">
        <v>16.283352475126847</v>
      </c>
      <c r="P330" s="70">
        <v>12.003979939944751</v>
      </c>
      <c r="Q330" s="70">
        <v>14.441958707780842</v>
      </c>
      <c r="R330" s="70">
        <v>24.572064244884274</v>
      </c>
      <c r="S330" s="70">
        <v>28.987517744369079</v>
      </c>
      <c r="T330" s="70">
        <v>40.179755602527493</v>
      </c>
      <c r="U330" s="70">
        <v>49.619739465843907</v>
      </c>
      <c r="V330" s="70">
        <v>37.170185647631044</v>
      </c>
      <c r="X330" s="193">
        <f>((0-('Appendix K'!$I$30))/(1+$Y$16)^0)</f>
        <v>-33594902.4440751</v>
      </c>
      <c r="Y330" s="193">
        <f>(((B330*'Appendix K'!$C$5*1000)-('Appendix K'!$E$31+'Appendix K'!$F$31+'Appendix K'!$H$31+'Appendix K'!$G$31))/((1+$Y$16)^1))</f>
        <v>34971064.972647354</v>
      </c>
      <c r="Z330" s="193">
        <f>+(((C330*'Appendix K'!$C$6*1000)-('Appendix K'!$E$32+'Appendix K'!$F$32+'Appendix K'!$H$32+'Appendix K'!$G$32))/((1+$Y$16)^2))</f>
        <v>11670681.102433272</v>
      </c>
      <c r="AA330" s="193">
        <f>(((D330*'Appendix K'!$C$7*1000)-('Appendix K'!$E$33+'Appendix K'!$F$33+'Appendix K'!$H$33+'Appendix K'!$G$33))/((1+$Y$16)^3))</f>
        <v>-214474.36500267993</v>
      </c>
      <c r="AB330" s="193">
        <f>(((E330*'Appendix K'!$C$8*1000)-('Appendix K'!$E$34+'Appendix K'!$F$34+'Appendix K'!$H$34+'Appendix K'!$G$34))/((1+$Y$16)^4))</f>
        <v>5983721.9274223577</v>
      </c>
      <c r="AC330" s="193">
        <f>(((F330*'Appendix K'!$C$9*1000)-('Appendix K'!$E$35+'Appendix K'!$F$35+'Appendix K'!$H$35+'Appendix K'!$G$35))/((1+$Y$16)^AC$34))</f>
        <v>9122875.2550000567</v>
      </c>
      <c r="AD330" s="193">
        <f>(((G330*'Appendix K'!$C$10*1000)-('Appendix K'!$E$36+'Appendix K'!$F$36+'Appendix K'!$H$36+'Appendix K'!$G$36))/((1+$Y$16)^AD$34))</f>
        <v>3440129.4744148687</v>
      </c>
      <c r="AE330" s="193">
        <f>(((H330*'Appendix K'!$C$11*1000)-('Appendix K'!$E$37+'Appendix K'!$F$37+'Appendix K'!$H$37+'Appendix K'!$G$37))/((1+$Y$16)^AE$34))</f>
        <v>2303669.9640580611</v>
      </c>
      <c r="AF330" s="193">
        <f>(((I330*'Appendix K'!$C$12*1000)-('Appendix K'!$E$38+'Appendix K'!$F$38+'Appendix K'!$H$38+'Appendix K'!$G$38))/((1+$Y$16)^AF$34))</f>
        <v>596145.39057448413</v>
      </c>
      <c r="AG330" s="193">
        <f>(((J330*'Appendix K'!$C$13*1000)-('Appendix K'!$E$39+'Appendix K'!$F$39+'Appendix K'!$H$39+'Appendix K'!$G$39))/((1+$Y$16)^AG$34))</f>
        <v>430046.2035697684</v>
      </c>
      <c r="AH330" s="193">
        <f>(((K330*'Appendix K'!$C$14*1000)-('Appendix K'!$E$40+'Appendix K'!$F$40+'Appendix K'!$H$40+'Appendix K'!$G$40))/((1+$Y$16)^AH$34))</f>
        <v>103256.76086141453</v>
      </c>
      <c r="AI330" s="193">
        <f>(((L330*'Appendix K'!$C$15*1000)-('Appendix K'!$E$41+'Appendix K'!$F$41+'Appendix K'!$H$41+'Appendix K'!$G$41))/((1+$Y$16)^AI$34))</f>
        <v>-537179.50887763663</v>
      </c>
      <c r="AJ330" s="193">
        <f>(((M330*'Appendix K'!$C$16*1000)-('Appendix K'!$E$42+'Appendix K'!$F$42+'Appendix K'!$H$42+'Appendix K'!$G$42))/((1+$Y$16)^AJ$34))</f>
        <v>-373306.59956732905</v>
      </c>
      <c r="AK330" s="193">
        <f>(((N330*'Appendix K'!$C$17*1000)-('Appendix K'!$E$43+'Appendix K'!$F$43+'Appendix K'!$H$43))/((1+$Y$16)^AK$34))</f>
        <v>-363419.53096172871</v>
      </c>
      <c r="AL330" s="193">
        <f>(((O330*'Appendix K'!$C$18*1000)-('Appendix K'!$E$44+'Appendix K'!$F$44+'Appendix K'!$H$44+'Appendix K'!$G$44))/((1+$Y$16)^AL$34))</f>
        <v>-941577.75737143285</v>
      </c>
      <c r="AM330" s="193">
        <f>(((P330*'Appendix K'!$C$19*1000)-('Appendix K'!$E$45+'Appendix K'!$F$45+'Appendix K'!$H$45+'Appendix K'!$G$45))/((1+$Y$16)^AM$34))</f>
        <v>-915504.27161007188</v>
      </c>
      <c r="AN330" s="193">
        <f>(((Q330*'Appendix K'!$C$20*1000)-('Appendix K'!$E$46+'Appendix K'!$F$46+'Appendix K'!$H$46+'Appendix K'!$G$46))/((1+$Y$16)^AN$34))</f>
        <v>-811203.69332613691</v>
      </c>
      <c r="AO330" s="193">
        <f>(((R330*'Appendix K'!$C$21*1000)-('Appendix K'!$E$47+'Appendix K'!$F$47+'Appendix K'!$H$47+'Appendix K'!$G$47))/((1+$Y$16)^AO$34))</f>
        <v>-697775.31097109092</v>
      </c>
      <c r="AP330" s="193">
        <f>(((S330*'Appendix K'!$C$22*1000)-('Appendix K'!$E$48+'Appendix K'!$F$48+'Appendix K'!$H$48+'Appendix K'!$G$48))/((1+$Y$16)^AP$34))</f>
        <v>-625611.15840943169</v>
      </c>
      <c r="AQ330" s="193">
        <f>(((T330*'Appendix K'!$C$23*1000)-('Appendix K'!$E$49+'Appendix K'!$F$49+'Appendix K'!$H$49+'Appendix K'!$G$49))/((1+$Y$16)^AQ$34))</f>
        <v>-536232.35436473251</v>
      </c>
      <c r="AR330" s="193">
        <f>(((U330*'Appendix K'!$C$24*1000)-('Appendix K'!$E$50+'Appendix K'!$F$50+'Appendix K'!$H$50+'Appendix K'!$G$50))/((1+$Y$16)^AR$34))</f>
        <v>-469511.91793982696</v>
      </c>
      <c r="AS330" s="209">
        <f t="shared" si="24"/>
        <v>35026688.606906541</v>
      </c>
      <c r="AU330" s="199">
        <f t="shared" si="23"/>
        <v>4.5757461496816273E-9</v>
      </c>
    </row>
    <row r="331" spans="1:47" x14ac:dyDescent="0.35">
      <c r="A331">
        <v>297</v>
      </c>
      <c r="B331" s="70">
        <v>56</v>
      </c>
      <c r="C331" s="70">
        <v>60.109987767867715</v>
      </c>
      <c r="D331" s="70">
        <v>78.773058099827168</v>
      </c>
      <c r="E331" s="70">
        <v>104.36126003406034</v>
      </c>
      <c r="F331" s="70">
        <v>83.1813438453392</v>
      </c>
      <c r="G331" s="70">
        <v>98.765618534386164</v>
      </c>
      <c r="H331" s="70">
        <v>103.04795390484814</v>
      </c>
      <c r="I331" s="70">
        <v>87.719963866781299</v>
      </c>
      <c r="J331" s="70">
        <v>119.94751569021891</v>
      </c>
      <c r="K331" s="70">
        <v>121.0776790060595</v>
      </c>
      <c r="L331" s="70">
        <v>109.01755141865453</v>
      </c>
      <c r="M331" s="70">
        <v>124.4476803700525</v>
      </c>
      <c r="N331" s="70">
        <v>189.85097940864767</v>
      </c>
      <c r="O331" s="70">
        <v>144.33209044828737</v>
      </c>
      <c r="P331" s="70">
        <v>156.2404274174007</v>
      </c>
      <c r="Q331" s="70">
        <v>191.44799306107754</v>
      </c>
      <c r="R331" s="70">
        <v>249.6683587635699</v>
      </c>
      <c r="S331" s="70">
        <v>310.67013074837541</v>
      </c>
      <c r="T331" s="70">
        <v>416.67970765053758</v>
      </c>
      <c r="U331" s="70">
        <v>496.73493748534975</v>
      </c>
      <c r="V331" s="70">
        <v>496.30461375426586</v>
      </c>
      <c r="X331" s="193">
        <f>((0-('Appendix K'!$I$30))/(1+$Y$16)^0)</f>
        <v>-33594902.4440751</v>
      </c>
      <c r="Y331" s="193">
        <f>(((B331*'Appendix K'!$C$5*1000)-('Appendix K'!$E$31+'Appendix K'!$F$31+'Appendix K'!$H$31+'Appendix K'!$G$31))/((1+$Y$16)^1))</f>
        <v>34971064.972647354</v>
      </c>
      <c r="Z331" s="193">
        <f>+(((C331*'Appendix K'!$C$6*1000)-('Appendix K'!$E$32+'Appendix K'!$F$32+'Appendix K'!$H$32+'Appendix K'!$G$32))/((1+$Y$16)^2))</f>
        <v>11697563.308856616</v>
      </c>
      <c r="AA331" s="193">
        <f>(((D331*'Appendix K'!$C$7*1000)-('Appendix K'!$E$33+'Appendix K'!$F$33+'Appendix K'!$H$33+'Appendix K'!$G$33))/((1+$Y$16)^3))</f>
        <v>7068810.1578300912</v>
      </c>
      <c r="AB331" s="193">
        <f>(((E331*'Appendix K'!$C$8*1000)-('Appendix K'!$E$34+'Appendix K'!$F$34+'Appendix K'!$H$34+'Appendix K'!$G$34))/((1+$Y$16)^4))</f>
        <v>19581824.975227252</v>
      </c>
      <c r="AC331" s="193">
        <f>(((F331*'Appendix K'!$C$9*1000)-('Appendix K'!$E$35+'Appendix K'!$F$35+'Appendix K'!$H$35+'Appendix K'!$G$35))/((1+$Y$16)^AC$34))</f>
        <v>19125242.056782734</v>
      </c>
      <c r="AD331" s="193">
        <f>(((G331*'Appendix K'!$C$10*1000)-('Appendix K'!$E$36+'Appendix K'!$F$36+'Appendix K'!$H$36+'Appendix K'!$G$36))/((1+$Y$16)^AD$34))</f>
        <v>12994780.030802365</v>
      </c>
      <c r="AE331" s="193">
        <f>(((H331*'Appendix K'!$C$11*1000)-('Appendix K'!$E$37+'Appendix K'!$F$37+'Appendix K'!$H$37+'Appendix K'!$G$37))/((1+$Y$16)^AE$34))</f>
        <v>8057817.6135304114</v>
      </c>
      <c r="AF331" s="193">
        <f>(((I331*'Appendix K'!$C$12*1000)-('Appendix K'!$E$38+'Appendix K'!$F$38+'Appendix K'!$H$38+'Appendix K'!$G$38))/((1+$Y$16)^AF$34))</f>
        <v>3763326.7166246334</v>
      </c>
      <c r="AG331" s="193">
        <f>(((J331*'Appendix K'!$C$13*1000)-('Appendix K'!$E$39+'Appendix K'!$F$39+'Appendix K'!$H$39+'Appendix K'!$G$39))/((1+$Y$16)^AG$34))</f>
        <v>3704912.7645008382</v>
      </c>
      <c r="AH331" s="193">
        <f>(((K331*'Appendix K'!$C$14*1000)-('Appendix K'!$E$40+'Appendix K'!$F$40+'Appendix K'!$H$40+'Appendix K'!$G$40))/((1+$Y$16)^AH$34))</f>
        <v>2448366.8709311895</v>
      </c>
      <c r="AI331" s="193">
        <f>(((L331*'Appendix K'!$C$15*1000)-('Appendix K'!$E$41+'Appendix K'!$F$41+'Appendix K'!$H$41+'Appendix K'!$G$41))/((1+$Y$16)^AI$34))</f>
        <v>1339982.3626585219</v>
      </c>
      <c r="AJ331" s="193">
        <f>(((M331*'Appendix K'!$C$16*1000)-('Appendix K'!$E$42+'Appendix K'!$F$42+'Appendix K'!$H$42+'Appendix K'!$G$42))/((1+$Y$16)^AJ$34))</f>
        <v>1112612.8969828712</v>
      </c>
      <c r="AK331" s="193">
        <f>(((N331*'Appendix K'!$C$17*1000)-('Appendix K'!$E$43+'Appendix K'!$F$43+'Appendix K'!$H$43))/((1+$Y$16)^AK$34))</f>
        <v>1912592.3644303416</v>
      </c>
      <c r="AL331" s="193">
        <f>(((O331*'Appendix K'!$C$18*1000)-('Appendix K'!$E$44+'Appendix K'!$F$44+'Appendix K'!$H$44+'Appendix K'!$G$44))/((1+$Y$16)^AL$34))</f>
        <v>576221.61243782425</v>
      </c>
      <c r="AM331" s="193">
        <f>(((P331*'Appendix K'!$C$19*1000)-('Appendix K'!$E$45+'Appendix K'!$F$45+'Appendix K'!$H$45+'Appendix K'!$G$45))/((1+$Y$16)^AM$34))</f>
        <v>421384.67472868052</v>
      </c>
      <c r="AN331" s="193">
        <f>(((Q331*'Appendix K'!$C$20*1000)-('Appendix K'!$E$46+'Appendix K'!$F$46+'Appendix K'!$H$46+'Appendix K'!$G$46))/((1+$Y$16)^AN$34))</f>
        <v>469650.36224976031</v>
      </c>
      <c r="AO331" s="193">
        <f>(((R331*'Appendix K'!$C$21*1000)-('Appendix K'!$E$47+'Appendix K'!$F$47+'Appendix K'!$H$47+'Appendix K'!$G$47))/((1+$Y$16)^AO$34))</f>
        <v>632568.65828201652</v>
      </c>
      <c r="AP331" s="193">
        <f>(((S331*'Appendix K'!$C$22*1000)-('Appendix K'!$E$48+'Appendix K'!$F$48+'Appendix K'!$H$48+'Appendix K'!$G$48))/((1+$Y$16)^AP$34))</f>
        <v>723569.50131215376</v>
      </c>
      <c r="AQ331" s="193">
        <f>(((T331*'Appendix K'!$C$23*1000)-('Appendix K'!$E$49+'Appendix K'!$F$49+'Appendix K'!$H$49+'Appendix K'!$G$49))/((1+$Y$16)^AQ$34))</f>
        <v>937292.07149151282</v>
      </c>
      <c r="AR331" s="193">
        <f>(((U331*'Appendix K'!$C$24*1000)-('Appendix K'!$E$50+'Appendix K'!$F$50+'Appendix K'!$H$50+'Appendix K'!$G$50))/((1+$Y$16)^AR$34))</f>
        <v>970211.5473404798</v>
      </c>
      <c r="AS331" s="209">
        <f t="shared" si="24"/>
        <v>98914893.07557255</v>
      </c>
      <c r="AU331" s="199">
        <f t="shared" si="23"/>
        <v>6.8917458217553231E-9</v>
      </c>
    </row>
    <row r="332" spans="1:47" x14ac:dyDescent="0.35">
      <c r="A332">
        <v>298</v>
      </c>
      <c r="B332" s="70">
        <v>56</v>
      </c>
      <c r="C332" s="70">
        <v>78.503579110788294</v>
      </c>
      <c r="D332" s="70">
        <v>34.208365650100994</v>
      </c>
      <c r="E332" s="70">
        <v>24.592495694402423</v>
      </c>
      <c r="F332" s="70">
        <v>26.821952141690076</v>
      </c>
      <c r="G332" s="70">
        <v>12.154809051319052</v>
      </c>
      <c r="H332" s="70">
        <v>12.793547903785493</v>
      </c>
      <c r="I332" s="70">
        <v>13.359493454441806</v>
      </c>
      <c r="J332" s="70">
        <v>12.467004972804485</v>
      </c>
      <c r="K332" s="70">
        <v>8.1015691315388487</v>
      </c>
      <c r="L332" s="70">
        <v>8.8143757864974805</v>
      </c>
      <c r="M332" s="70">
        <v>10.441036241067057</v>
      </c>
      <c r="N332" s="70">
        <v>13.716015778279667</v>
      </c>
      <c r="O332" s="70">
        <v>8.7797389769924763</v>
      </c>
      <c r="P332" s="70">
        <v>11.14699432713488</v>
      </c>
      <c r="Q332" s="70">
        <v>15.693760159167944</v>
      </c>
      <c r="R332" s="70">
        <v>14.712049160154638</v>
      </c>
      <c r="S332" s="70">
        <v>14.171676724118223</v>
      </c>
      <c r="T332" s="70">
        <v>14.825201323036024</v>
      </c>
      <c r="U332" s="70">
        <v>16.704864611558161</v>
      </c>
      <c r="V332" s="70">
        <v>20.954842722910804</v>
      </c>
      <c r="X332" s="193">
        <f>((0-('Appendix K'!$I$30))/(1+$Y$16)^0)</f>
        <v>-33594902.4440751</v>
      </c>
      <c r="Y332" s="193">
        <f>(((B332*'Appendix K'!$C$5*1000)-('Appendix K'!$E$31+'Appendix K'!$F$31+'Appendix K'!$H$31+'Appendix K'!$G$31))/((1+$Y$16)^1))</f>
        <v>34971064.972647354</v>
      </c>
      <c r="Z332" s="193">
        <f>+(((C332*'Appendix K'!$C$6*1000)-('Appendix K'!$E$32+'Appendix K'!$F$32+'Appendix K'!$H$32+'Appendix K'!$G$32))/((1+$Y$16)^2))</f>
        <v>16344099.069953477</v>
      </c>
      <c r="AA332" s="193">
        <f>(((D332*'Appendix K'!$C$7*1000)-('Appendix K'!$E$33+'Appendix K'!$F$33+'Appendix K'!$H$33+'Appendix K'!$G$33))/((1+$Y$16)^3))</f>
        <v>1392388.1453520139</v>
      </c>
      <c r="AB332" s="193">
        <f>(((E332*'Appendix K'!$C$8*1000)-('Appendix K'!$E$34+'Appendix K'!$F$34+'Appendix K'!$H$34+'Appendix K'!$G$34))/((1+$Y$16)^4))</f>
        <v>2097242.0447285371</v>
      </c>
      <c r="AC332" s="193">
        <f>(((F332*'Appendix K'!$C$9*1000)-('Appendix K'!$E$35+'Appendix K'!$F$35+'Appendix K'!$H$35+'Appendix K'!$G$35))/((1+$Y$16)^AC$34))</f>
        <v>4145004.2420791155</v>
      </c>
      <c r="AD332" s="193">
        <f>(((G332*'Appendix K'!$C$10*1000)-('Appendix K'!$E$36+'Appendix K'!$F$36+'Appendix K'!$H$36+'Appendix K'!$G$36))/((1+$Y$16)^AD$34))</f>
        <v>-606923.73444549821</v>
      </c>
      <c r="AE332" s="193">
        <f>(((H332*'Appendix K'!$C$11*1000)-('Appendix K'!$E$37+'Appendix K'!$F$37+'Appendix K'!$H$37+'Appendix K'!$G$37))/((1+$Y$16)^AE$34))</f>
        <v>-943942.83306082955</v>
      </c>
      <c r="AF332" s="193">
        <f>(((I332*'Appendix K'!$C$12*1000)-('Appendix K'!$E$38+'Appendix K'!$F$38+'Appendix K'!$H$38+'Appendix K'!$G$38))/((1+$Y$16)^AF$34))</f>
        <v>-1119362.2464141895</v>
      </c>
      <c r="AG332" s="193">
        <f>(((J332*'Appendix K'!$C$13*1000)-('Appendix K'!$E$39+'Appendix K'!$F$39+'Appendix K'!$H$39+'Appendix K'!$G$39))/((1+$Y$16)^AG$34))</f>
        <v>-1241225.6099108642</v>
      </c>
      <c r="AH332" s="193">
        <f>(((K332*'Appendix K'!$C$14*1000)-('Appendix K'!$E$40+'Appendix K'!$F$40+'Appendix K'!$H$40+'Appendix K'!$G$40))/((1+$Y$16)^AH$34))</f>
        <v>-1359665.3993606658</v>
      </c>
      <c r="AI332" s="193">
        <f>(((L332*'Appendix K'!$C$15*1000)-('Appendix K'!$E$41+'Appendix K'!$F$41+'Appendix K'!$H$41+'Appendix K'!$G$41))/((1+$Y$16)^AI$34))</f>
        <v>-1285528.2197612498</v>
      </c>
      <c r="AJ332" s="193">
        <f>(((M332*'Appendix K'!$C$16*1000)-('Appendix K'!$E$42+'Appendix K'!$F$42+'Appendix K'!$H$42+'Appendix K'!$G$42))/((1+$Y$16)^AJ$34))</f>
        <v>-1172293.0992524941</v>
      </c>
      <c r="AK332" s="193">
        <f>(((N332*'Appendix K'!$C$17*1000)-('Appendix K'!$E$43+'Appendix K'!$F$43+'Appendix K'!$H$43))/((1+$Y$16)^AK$34))</f>
        <v>-793527.15636962897</v>
      </c>
      <c r="AL332" s="193">
        <f>(((O332*'Appendix K'!$C$18*1000)-('Appendix K'!$E$44+'Appendix K'!$F$44+'Appendix K'!$H$44+'Appendix K'!$G$44))/((1+$Y$16)^AL$34))</f>
        <v>-1030520.2961190444</v>
      </c>
      <c r="AM332" s="193">
        <f>(((P332*'Appendix K'!$C$19*1000)-('Appendix K'!$E$45+'Appendix K'!$F$45+'Appendix K'!$H$45+'Appendix K'!$G$45))/((1+$Y$16)^AM$34))</f>
        <v>-923447.44140504301</v>
      </c>
      <c r="AN332" s="193">
        <f>(((Q332*'Appendix K'!$C$20*1000)-('Appendix K'!$E$46+'Appendix K'!$F$46+'Appendix K'!$H$46+'Appendix K'!$G$46))/((1+$Y$16)^AN$34))</f>
        <v>-802145.38651957514</v>
      </c>
      <c r="AO332" s="193">
        <f>(((R332*'Appendix K'!$C$21*1000)-('Appendix K'!$E$47+'Appendix K'!$F$47+'Appendix K'!$H$47+'Appendix K'!$G$47))/((1+$Y$16)^AO$34))</f>
        <v>-756049.08945670642</v>
      </c>
      <c r="AP332" s="193">
        <f>(((S332*'Appendix K'!$C$22*1000)-('Appendix K'!$E$48+'Appendix K'!$F$48+'Appendix K'!$H$48+'Appendix K'!$G$48))/((1+$Y$16)^AP$34))</f>
        <v>-696574.87870745326</v>
      </c>
      <c r="AQ332" s="193">
        <f>(((T332*'Appendix K'!$C$23*1000)-('Appendix K'!$E$49+'Appendix K'!$F$49+'Appendix K'!$H$49+'Appendix K'!$G$49))/((1+$Y$16)^AQ$34))</f>
        <v>-635463.58888229914</v>
      </c>
      <c r="AR332" s="193">
        <f>(((U332*'Appendix K'!$C$24*1000)-('Appendix K'!$E$50+'Appendix K'!$F$50+'Appendix K'!$H$50+'Appendix K'!$G$50))/((1+$Y$16)^AR$34))</f>
        <v>-575498.73720785056</v>
      </c>
      <c r="AS332" s="209">
        <f t="shared" si="24"/>
        <v>25354896.030685402</v>
      </c>
      <c r="AU332" s="199">
        <f t="shared" si="23"/>
        <v>3.8509429882306237E-9</v>
      </c>
    </row>
    <row r="333" spans="1:47" x14ac:dyDescent="0.35">
      <c r="A333">
        <v>299</v>
      </c>
      <c r="B333" s="70">
        <v>56</v>
      </c>
      <c r="C333" s="70">
        <v>69.586179921390169</v>
      </c>
      <c r="D333" s="70">
        <v>79.134757092921191</v>
      </c>
      <c r="E333" s="70">
        <v>79.50264821485456</v>
      </c>
      <c r="F333" s="70">
        <v>40.396762113839962</v>
      </c>
      <c r="G333" s="70">
        <v>28.579578620581756</v>
      </c>
      <c r="H333" s="70">
        <v>25.456849774125509</v>
      </c>
      <c r="I333" s="70">
        <v>28.451008071355293</v>
      </c>
      <c r="J333" s="70">
        <v>34.343276097848303</v>
      </c>
      <c r="K333" s="70">
        <v>22.046447965550893</v>
      </c>
      <c r="L333" s="70">
        <v>18.832542890095606</v>
      </c>
      <c r="M333" s="70">
        <v>18.103037165733593</v>
      </c>
      <c r="N333" s="70">
        <v>15.352036021311914</v>
      </c>
      <c r="O333" s="70">
        <v>19.835853410967371</v>
      </c>
      <c r="P333" s="70">
        <v>27.761863010420953</v>
      </c>
      <c r="Q333" s="70">
        <v>32.216204970393555</v>
      </c>
      <c r="R333" s="70">
        <v>56.470265769684282</v>
      </c>
      <c r="S333" s="70">
        <v>53.242957845530022</v>
      </c>
      <c r="T333" s="70">
        <v>73.387903331907239</v>
      </c>
      <c r="U333" s="70">
        <v>93.378131096407913</v>
      </c>
      <c r="V333" s="70">
        <v>108.47592240494114</v>
      </c>
      <c r="X333" s="193">
        <f>((0-('Appendix K'!$I$30))/(1+$Y$16)^0)</f>
        <v>-33594902.4440751</v>
      </c>
      <c r="Y333" s="193">
        <f>(((B333*'Appendix K'!$C$5*1000)-('Appendix K'!$E$31+'Appendix K'!$F$31+'Appendix K'!$H$31+'Appendix K'!$G$31))/((1+$Y$16)^1))</f>
        <v>34971064.972647354</v>
      </c>
      <c r="Z333" s="193">
        <f>+(((C333*'Appendix K'!$C$6*1000)-('Appendix K'!$E$32+'Appendix K'!$F$32+'Appendix K'!$H$32+'Appendix K'!$G$32))/((1+$Y$16)^2))</f>
        <v>14091411.519326651</v>
      </c>
      <c r="AA333" s="193">
        <f>(((D333*'Appendix K'!$C$7*1000)-('Appendix K'!$E$33+'Appendix K'!$F$33+'Appendix K'!$H$33+'Appendix K'!$G$33))/((1+$Y$16)^3))</f>
        <v>7114881.5209076283</v>
      </c>
      <c r="AB333" s="193">
        <f>(((E333*'Appendix K'!$C$8*1000)-('Appendix K'!$E$34+'Appendix K'!$F$34+'Appendix K'!$H$34+'Appendix K'!$G$34))/((1+$Y$16)^4))</f>
        <v>14133044.823145954</v>
      </c>
      <c r="AC333" s="193">
        <f>(((F333*'Appendix K'!$C$9*1000)-('Appendix K'!$E$35+'Appendix K'!$F$35+'Appendix K'!$H$35+'Appendix K'!$G$35))/((1+$Y$16)^AC$34))</f>
        <v>7753167.4163996931</v>
      </c>
      <c r="AD333" s="193">
        <f>(((G333*'Appendix K'!$C$10*1000)-('Appendix K'!$E$36+'Appendix K'!$F$36+'Appendix K'!$H$36+'Appendix K'!$G$36))/((1+$Y$16)^AD$34))</f>
        <v>1972486.9814564921</v>
      </c>
      <c r="AE333" s="193">
        <f>(((H333*'Appendix K'!$C$11*1000)-('Appendix K'!$E$37+'Appendix K'!$F$37+'Appendix K'!$H$37+'Appendix K'!$G$37))/((1+$Y$16)^AE$34))</f>
        <v>319064.86872748565</v>
      </c>
      <c r="AF333" s="193">
        <f>(((I333*'Appendix K'!$C$12*1000)-('Appendix K'!$E$38+'Appendix K'!$F$38+'Appendix K'!$H$38+'Appendix K'!$G$38))/((1+$Y$16)^AF$34))</f>
        <v>-128416.76897252462</v>
      </c>
      <c r="AG333" s="193">
        <f>(((J333*'Appendix K'!$C$13*1000)-('Appendix K'!$E$39+'Appendix K'!$F$39+'Appendix K'!$H$39+'Appendix K'!$G$39))/((1+$Y$16)^AG$34))</f>
        <v>-234502.96430398599</v>
      </c>
      <c r="AH333" s="193">
        <f>(((K333*'Appendix K'!$C$14*1000)-('Appendix K'!$E$40+'Appendix K'!$F$40+'Appendix K'!$H$40+'Appendix K'!$G$40))/((1+$Y$16)^AH$34))</f>
        <v>-889631.96783069696</v>
      </c>
      <c r="AI333" s="193">
        <f>(((L333*'Appendix K'!$C$15*1000)-('Appendix K'!$E$41+'Appendix K'!$F$41+'Appendix K'!$H$41+'Appendix K'!$G$41))/((1+$Y$16)^AI$34))</f>
        <v>-1023033.5075826326</v>
      </c>
      <c r="AJ333" s="193">
        <f>(((M333*'Appendix K'!$C$16*1000)-('Appendix K'!$E$42+'Appendix K'!$F$42+'Appendix K'!$H$42+'Appendix K'!$G$42))/((1+$Y$16)^AJ$34))</f>
        <v>-1018732.295935414</v>
      </c>
      <c r="AK333" s="193">
        <f>(((N333*'Appendix K'!$C$17*1000)-('Appendix K'!$E$43+'Appendix K'!$F$43+'Appendix K'!$H$43))/((1+$Y$16)^AK$34))</f>
        <v>-768391.5091089044</v>
      </c>
      <c r="AL333" s="193">
        <f>(((O333*'Appendix K'!$C$18*1000)-('Appendix K'!$E$44+'Appendix K'!$F$44+'Appendix K'!$H$44+'Appendix K'!$G$44))/((1+$Y$16)^AL$34))</f>
        <v>-899468.91844796203</v>
      </c>
      <c r="AM333" s="193">
        <f>(((P333*'Appendix K'!$C$19*1000)-('Appendix K'!$E$45+'Appendix K'!$F$45+'Appendix K'!$H$45+'Appendix K'!$G$45))/((1+$Y$16)^AM$34))</f>
        <v>-769448.67981583497</v>
      </c>
      <c r="AN333" s="193">
        <f>(((Q333*'Appendix K'!$C$20*1000)-('Appendix K'!$E$46+'Appendix K'!$F$46+'Appendix K'!$H$46+'Appendix K'!$G$46))/((1+$Y$16)^AN$34))</f>
        <v>-682585.39229786908</v>
      </c>
      <c r="AO333" s="193">
        <f>(((R333*'Appendix K'!$C$21*1000)-('Appendix K'!$E$47+'Appendix K'!$F$47+'Appendix K'!$H$47+'Appendix K'!$G$47))/((1+$Y$16)^AO$34))</f>
        <v>-509253.41584493505</v>
      </c>
      <c r="AP333" s="193">
        <f>(((S333*'Appendix K'!$C$22*1000)-('Appendix K'!$E$48+'Appendix K'!$F$48+'Appendix K'!$H$48+'Appendix K'!$G$48))/((1+$Y$16)^AP$34))</f>
        <v>-509434.40781582549</v>
      </c>
      <c r="AQ333" s="193">
        <f>(((T333*'Appendix K'!$C$23*1000)-('Appendix K'!$E$49+'Appendix K'!$F$49+'Appendix K'!$H$49+'Appendix K'!$G$49))/((1+$Y$16)^AQ$34))</f>
        <v>-406264.16565578978</v>
      </c>
      <c r="AR333" s="193">
        <f>(((U333*'Appendix K'!$C$24*1000)-('Appendix K'!$E$50+'Appendix K'!$F$50+'Appendix K'!$H$50+'Appendix K'!$G$50))/((1+$Y$16)^AR$34))</f>
        <v>-328608.67082922452</v>
      </c>
      <c r="AS333" s="209">
        <f t="shared" si="24"/>
        <v>46760219.658536144</v>
      </c>
      <c r="AU333" s="199">
        <f t="shared" si="23"/>
        <v>5.4248568617825257E-9</v>
      </c>
    </row>
    <row r="334" spans="1:47" x14ac:dyDescent="0.35">
      <c r="A334">
        <v>300</v>
      </c>
      <c r="B334" s="70">
        <v>56</v>
      </c>
      <c r="C334" s="70">
        <v>59.267507735459134</v>
      </c>
      <c r="D334" s="70">
        <v>57.071495459462653</v>
      </c>
      <c r="E334" s="70">
        <v>44.808814988268423</v>
      </c>
      <c r="F334" s="70">
        <v>49.773348198673702</v>
      </c>
      <c r="G334" s="70">
        <v>76.117390916693552</v>
      </c>
      <c r="H334" s="70">
        <v>102.25386456218055</v>
      </c>
      <c r="I334" s="70">
        <v>81.137540699255766</v>
      </c>
      <c r="J334" s="70">
        <v>95.003611226678544</v>
      </c>
      <c r="K334" s="70">
        <v>96.628676643842141</v>
      </c>
      <c r="L334" s="70">
        <v>63.425760851365276</v>
      </c>
      <c r="M334" s="70">
        <v>79.119108811774865</v>
      </c>
      <c r="N334" s="70">
        <v>56.607648615647236</v>
      </c>
      <c r="O334" s="70">
        <v>53.512877388461462</v>
      </c>
      <c r="P334" s="70">
        <v>61.951810862203729</v>
      </c>
      <c r="Q334" s="70">
        <v>51.118457676398499</v>
      </c>
      <c r="R334" s="70">
        <v>52.904773815118126</v>
      </c>
      <c r="S334" s="70">
        <v>39.864145891575014</v>
      </c>
      <c r="T334" s="70">
        <v>48.285048380487105</v>
      </c>
      <c r="U334" s="70">
        <v>76.045513483439862</v>
      </c>
      <c r="V334" s="70">
        <v>75.162948005412531</v>
      </c>
      <c r="X334" s="193">
        <f>((0-('Appendix K'!$I$30))/(1+$Y$16)^0)</f>
        <v>-33594902.4440751</v>
      </c>
      <c r="Y334" s="193">
        <f>(((B334*'Appendix K'!$C$5*1000)-('Appendix K'!$E$31+'Appendix K'!$F$31+'Appendix K'!$H$31+'Appendix K'!$G$31))/((1+$Y$16)^1))</f>
        <v>34971064.972647354</v>
      </c>
      <c r="Z334" s="193">
        <f>+(((C334*'Appendix K'!$C$6*1000)-('Appendix K'!$E$32+'Appendix K'!$F$32+'Appendix K'!$H$32+'Appendix K'!$G$32))/((1+$Y$16)^2))</f>
        <v>11484738.443629676</v>
      </c>
      <c r="AA334" s="193">
        <f>(((D334*'Appendix K'!$C$7*1000)-('Appendix K'!$E$33+'Appendix K'!$F$33+'Appendix K'!$H$33+'Appendix K'!$G$33))/((1+$Y$16)^3))</f>
        <v>4304576.3865344506</v>
      </c>
      <c r="AB334" s="193">
        <f>(((E334*'Appendix K'!$C$8*1000)-('Appendix K'!$E$34+'Appendix K'!$F$34+'Appendix K'!$H$34+'Appendix K'!$G$34))/((1+$Y$16)^4))</f>
        <v>6528474.1713531688</v>
      </c>
      <c r="AC334" s="193">
        <f>(((F334*'Appendix K'!$C$9*1000)-('Appendix K'!$E$35+'Appendix K'!$F$35+'Appendix K'!$H$35+'Appendix K'!$G$35))/((1+$Y$16)^AC$34))</f>
        <v>10245449.273866147</v>
      </c>
      <c r="AD334" s="193">
        <f>(((G334*'Appendix K'!$C$10*1000)-('Appendix K'!$E$36+'Appendix K'!$F$36+'Appendix K'!$H$36+'Appendix K'!$G$36))/((1+$Y$16)^AD$34))</f>
        <v>9438012.8708789069</v>
      </c>
      <c r="AE334" s="193">
        <f>(((H334*'Appendix K'!$C$11*1000)-('Appendix K'!$E$37+'Appendix K'!$F$37+'Appendix K'!$H$37+'Appendix K'!$G$37))/((1+$Y$16)^AE$34))</f>
        <v>7978617.0254084254</v>
      </c>
      <c r="AF334" s="193">
        <f>(((I334*'Appendix K'!$C$12*1000)-('Appendix K'!$E$38+'Appendix K'!$F$38+'Appendix K'!$H$38+'Appendix K'!$G$38))/((1+$Y$16)^AF$34))</f>
        <v>3331108.835646912</v>
      </c>
      <c r="AG334" s="193">
        <f>(((J334*'Appendix K'!$C$13*1000)-('Appendix K'!$E$39+'Appendix K'!$F$39+'Appendix K'!$H$39+'Appendix K'!$G$39))/((1+$Y$16)^AG$34))</f>
        <v>2557020.9071653807</v>
      </c>
      <c r="AH334" s="193">
        <f>(((K334*'Appendix K'!$C$14*1000)-('Appendix K'!$E$40+'Appendix K'!$F$40+'Appendix K'!$H$40+'Appendix K'!$G$40))/((1+$Y$16)^AH$34))</f>
        <v>1624275.9186478101</v>
      </c>
      <c r="AI334" s="193">
        <f>(((L334*'Appendix K'!$C$15*1000)-('Appendix K'!$E$41+'Appendix K'!$F$41+'Appendix K'!$H$41+'Appendix K'!$G$41))/((1+$Y$16)^AI$34))</f>
        <v>145392.19272912308</v>
      </c>
      <c r="AJ334" s="193">
        <f>(((M334*'Appendix K'!$C$16*1000)-('Appendix K'!$E$42+'Appendix K'!$F$42+'Appendix K'!$H$42+'Appendix K'!$G$42))/((1+$Y$16)^AJ$34))</f>
        <v>204143.69551148074</v>
      </c>
      <c r="AK334" s="193">
        <f>(((N334*'Appendix K'!$C$17*1000)-('Appendix K'!$E$43+'Appendix K'!$F$43+'Appendix K'!$H$43))/((1+$Y$16)^AK$34))</f>
        <v>-134544.5074517999</v>
      </c>
      <c r="AL334" s="193">
        <f>(((O334*'Appendix K'!$C$18*1000)-('Appendix K'!$E$44+'Appendix K'!$F$44+'Appendix K'!$H$44+'Appendix K'!$G$44))/((1+$Y$16)^AL$34))</f>
        <v>-500285.24370682053</v>
      </c>
      <c r="AM334" s="193">
        <f>(((P334*'Appendix K'!$C$19*1000)-('Appendix K'!$E$45+'Appendix K'!$F$45+'Appendix K'!$H$45+'Appendix K'!$G$45))/((1+$Y$16)^AM$34))</f>
        <v>-452551.22318587371</v>
      </c>
      <c r="AN334" s="193">
        <f>(((Q334*'Appendix K'!$C$20*1000)-('Appendix K'!$E$46+'Appendix K'!$F$46+'Appendix K'!$H$46+'Appendix K'!$G$46))/((1+$Y$16)^AN$34))</f>
        <v>-545804.59199089918</v>
      </c>
      <c r="AO334" s="193">
        <f>(((R334*'Appendix K'!$C$21*1000)-('Appendix K'!$E$47+'Appendix K'!$F$47+'Appendix K'!$H$47+'Appendix K'!$G$47))/((1+$Y$16)^AO$34))</f>
        <v>-530325.86721211555</v>
      </c>
      <c r="AP334" s="193">
        <f>(((S334*'Appendix K'!$C$22*1000)-('Appendix K'!$E$48+'Appendix K'!$F$48+'Appendix K'!$H$48+'Appendix K'!$G$48))/((1+$Y$16)^AP$34))</f>
        <v>-573515.16220044671</v>
      </c>
      <c r="AQ334" s="193">
        <f>(((T334*'Appendix K'!$C$23*1000)-('Appendix K'!$E$49+'Appendix K'!$F$49+'Appendix K'!$H$49+'Appendix K'!$G$49))/((1+$Y$16)^AQ$34))</f>
        <v>-504510.31343996577</v>
      </c>
      <c r="AR334" s="193">
        <f>(((U334*'Appendix K'!$C$24*1000)-('Appendix K'!$E$50+'Appendix K'!$F$50+'Appendix K'!$H$50+'Appendix K'!$G$50))/((1+$Y$16)^AR$34))</f>
        <v>-384420.18518314318</v>
      </c>
      <c r="AS334" s="209">
        <f t="shared" si="24"/>
        <v>59217972.249943741</v>
      </c>
      <c r="AU334" s="199">
        <f t="shared" si="23"/>
        <v>6.2023821074944219E-9</v>
      </c>
    </row>
    <row r="335" spans="1:47" x14ac:dyDescent="0.35">
      <c r="A335">
        <v>301</v>
      </c>
      <c r="B335" s="70">
        <v>56</v>
      </c>
      <c r="C335" s="70">
        <v>69.949404269408461</v>
      </c>
      <c r="D335" s="70">
        <v>80.917453539324299</v>
      </c>
      <c r="E335" s="70">
        <v>61.357124213350218</v>
      </c>
      <c r="F335" s="70">
        <v>81.613386100124927</v>
      </c>
      <c r="G335" s="70">
        <v>88.248295279807706</v>
      </c>
      <c r="H335" s="70">
        <v>102.96243985884395</v>
      </c>
      <c r="I335" s="70">
        <v>172.19554732917641</v>
      </c>
      <c r="J335" s="70">
        <v>133.8065477878186</v>
      </c>
      <c r="K335" s="70">
        <v>148.34153643852562</v>
      </c>
      <c r="L335" s="70">
        <v>229.14286642107862</v>
      </c>
      <c r="M335" s="70">
        <v>140.41304596411578</v>
      </c>
      <c r="N335" s="70">
        <v>180.54626732462083</v>
      </c>
      <c r="O335" s="70">
        <v>173.2988513437576</v>
      </c>
      <c r="P335" s="70">
        <v>183.78213923104491</v>
      </c>
      <c r="Q335" s="70">
        <v>277.94732145406374</v>
      </c>
      <c r="R335" s="70">
        <v>330.08864314402672</v>
      </c>
      <c r="S335" s="70">
        <v>405.10150428453346</v>
      </c>
      <c r="T335" s="70">
        <v>500</v>
      </c>
      <c r="U335" s="70">
        <v>409.50512597794341</v>
      </c>
      <c r="V335" s="70">
        <v>106.153083899492</v>
      </c>
      <c r="X335" s="193">
        <f>((0-('Appendix K'!$I$30))/(1+$Y$16)^0)</f>
        <v>-33594902.4440751</v>
      </c>
      <c r="Y335" s="193">
        <f>(((B335*'Appendix K'!$C$5*1000)-('Appendix K'!$E$31+'Appendix K'!$F$31+'Appendix K'!$H$31+'Appendix K'!$G$31))/((1+$Y$16)^1))</f>
        <v>34971064.972647354</v>
      </c>
      <c r="Z335" s="193">
        <f>+(((C335*'Appendix K'!$C$6*1000)-('Appendix K'!$E$32+'Appendix K'!$F$32+'Appendix K'!$H$32+'Appendix K'!$G$32))/((1+$Y$16)^2))</f>
        <v>14183168.201907167</v>
      </c>
      <c r="AA335" s="193">
        <f>(((D335*'Appendix K'!$C$7*1000)-('Appendix K'!$E$33+'Appendix K'!$F$33+'Appendix K'!$H$33+'Appendix K'!$G$33))/((1+$Y$16)^3))</f>
        <v>7341952.2532221107</v>
      </c>
      <c r="AB335" s="193">
        <f>(((E335*'Appendix K'!$C$8*1000)-('Appendix K'!$E$34+'Appendix K'!$F$34+'Appendix K'!$H$34+'Appendix K'!$G$34))/((1+$Y$16)^4))</f>
        <v>10155712.068300646</v>
      </c>
      <c r="AC335" s="193">
        <f>(((F335*'Appendix K'!$C$9*1000)-('Appendix K'!$E$35+'Appendix K'!$F$35+'Appendix K'!$H$35+'Appendix K'!$G$35))/((1+$Y$16)^AC$34))</f>
        <v>18708481.350240268</v>
      </c>
      <c r="AD335" s="193">
        <f>(((G335*'Appendix K'!$C$10*1000)-('Appendix K'!$E$36+'Appendix K'!$F$36+'Appendix K'!$H$36+'Appendix K'!$G$36))/((1+$Y$16)^AD$34))</f>
        <v>11343098.027528897</v>
      </c>
      <c r="AE335" s="193">
        <f>(((H335*'Appendix K'!$C$11*1000)-('Appendix K'!$E$37+'Appendix K'!$F$37+'Appendix K'!$H$37+'Appendix K'!$G$37))/((1+$Y$16)^AE$34))</f>
        <v>8049288.645349741</v>
      </c>
      <c r="AF335" s="193">
        <f>(((I335*'Appendix K'!$C$12*1000)-('Appendix K'!$E$38+'Appendix K'!$F$38+'Appendix K'!$H$38+'Appendix K'!$G$38))/((1+$Y$16)^AF$34))</f>
        <v>9310198.552304361</v>
      </c>
      <c r="AG335" s="193">
        <f>(((J335*'Appendix K'!$C$13*1000)-('Appendix K'!$E$39+'Appendix K'!$F$39+'Appendix K'!$H$39+'Appendix K'!$G$39))/((1+$Y$16)^AG$34))</f>
        <v>4342690.6279719947</v>
      </c>
      <c r="AH335" s="193">
        <f>(((K335*'Appendix K'!$C$14*1000)-('Appendix K'!$E$40+'Appendix K'!$F$40+'Appendix K'!$H$40+'Appendix K'!$G$40))/((1+$Y$16)^AH$34))</f>
        <v>3367336.8109546085</v>
      </c>
      <c r="AI335" s="193">
        <f>(((L335*'Appendix K'!$C$15*1000)-('Appendix K'!$E$41+'Appendix K'!$F$41+'Appendix K'!$H$41+'Appendix K'!$G$41))/((1+$Y$16)^AI$34))</f>
        <v>4487490.2511625905</v>
      </c>
      <c r="AJ335" s="193">
        <f>(((M335*'Appendix K'!$C$16*1000)-('Appendix K'!$E$42+'Appendix K'!$F$42+'Appendix K'!$H$42+'Appendix K'!$G$42))/((1+$Y$16)^AJ$34))</f>
        <v>1432588.630473393</v>
      </c>
      <c r="AK335" s="193">
        <f>(((N335*'Appendix K'!$C$17*1000)-('Appendix K'!$E$43+'Appendix K'!$F$43+'Appendix K'!$H$43))/((1+$Y$16)^AK$34))</f>
        <v>1769635.7220521146</v>
      </c>
      <c r="AL335" s="193">
        <f>(((O335*'Appendix K'!$C$18*1000)-('Appendix K'!$E$44+'Appendix K'!$F$44+'Appendix K'!$H$44+'Appendix K'!$G$44))/((1+$Y$16)^AL$34))</f>
        <v>919573.152862811</v>
      </c>
      <c r="AM335" s="193">
        <f>(((P335*'Appendix K'!$C$19*1000)-('Appendix K'!$E$45+'Appendix K'!$F$45+'Appendix K'!$H$45+'Appendix K'!$G$45))/((1+$Y$16)^AM$34))</f>
        <v>676661.41462941433</v>
      </c>
      <c r="AN335" s="193">
        <f>(((Q335*'Appendix K'!$C$20*1000)-('Appendix K'!$E$46+'Appendix K'!$F$46+'Appendix K'!$H$46+'Appendix K'!$G$46))/((1+$Y$16)^AN$34))</f>
        <v>1095578.2634172961</v>
      </c>
      <c r="AO335" s="193">
        <f>(((R335*'Appendix K'!$C$21*1000)-('Appendix K'!$E$47+'Appendix K'!$F$47+'Appendix K'!$H$47+'Appendix K'!$G$47))/((1+$Y$16)^AO$34))</f>
        <v>1107861.4238067705</v>
      </c>
      <c r="AP335" s="193">
        <f>(((S335*'Appendix K'!$C$22*1000)-('Appendix K'!$E$48+'Appendix K'!$F$48+'Appendix K'!$H$48+'Appendix K'!$G$48))/((1+$Y$16)^AP$34))</f>
        <v>1175869.2776001464</v>
      </c>
      <c r="AQ335" s="193">
        <f>(((T335*'Appendix K'!$C$23*1000)-('Appendix K'!$E$49+'Appendix K'!$F$49+'Appendix K'!$H$49+'Appendix K'!$G$49))/((1+$Y$16)^AQ$34))</f>
        <v>1263386.3652054211</v>
      </c>
      <c r="AR335" s="193">
        <f>(((U335*'Appendix K'!$C$24*1000)-('Appendix K'!$E$50+'Appendix K'!$F$50+'Appendix K'!$H$50+'Appendix K'!$G$50))/((1+$Y$16)^AR$34))</f>
        <v>689329.11020687979</v>
      </c>
      <c r="AS335" s="209">
        <f t="shared" si="24"/>
        <v>102796062.67776886</v>
      </c>
      <c r="AU335" s="199">
        <f t="shared" si="23"/>
        <v>6.7826722629790768E-9</v>
      </c>
    </row>
    <row r="336" spans="1:47" x14ac:dyDescent="0.35">
      <c r="A336">
        <v>302</v>
      </c>
      <c r="B336" s="70">
        <v>56</v>
      </c>
      <c r="C336" s="70">
        <v>84.760346846334386</v>
      </c>
      <c r="D336" s="70">
        <v>103.74072997264841</v>
      </c>
      <c r="E336" s="70">
        <v>136.91442808232935</v>
      </c>
      <c r="F336" s="70">
        <v>139.97291629198921</v>
      </c>
      <c r="G336" s="70">
        <v>156.15385005151128</v>
      </c>
      <c r="H336" s="70">
        <v>119.85713650286293</v>
      </c>
      <c r="I336" s="70">
        <v>82.7229978251506</v>
      </c>
      <c r="J336" s="70">
        <v>122.84358094250794</v>
      </c>
      <c r="K336" s="70">
        <v>123.76621773471497</v>
      </c>
      <c r="L336" s="70">
        <v>83.722176681703019</v>
      </c>
      <c r="M336" s="70">
        <v>69.815128744918553</v>
      </c>
      <c r="N336" s="70">
        <v>48.45842219162769</v>
      </c>
      <c r="O336" s="70">
        <v>49.277826803939945</v>
      </c>
      <c r="P336" s="70">
        <v>64.846148412668327</v>
      </c>
      <c r="Q336" s="70">
        <v>64.046622431651912</v>
      </c>
      <c r="R336" s="70">
        <v>70.323338383367158</v>
      </c>
      <c r="S336" s="70">
        <v>46.532320974949926</v>
      </c>
      <c r="T336" s="70">
        <v>61.683823848060108</v>
      </c>
      <c r="U336" s="70">
        <v>54.498159288803059</v>
      </c>
      <c r="V336" s="70">
        <v>62.209954403282325</v>
      </c>
      <c r="X336" s="193">
        <f>((0-('Appendix K'!$I$30))/(1+$Y$16)^0)</f>
        <v>-33594902.4440751</v>
      </c>
      <c r="Y336" s="193">
        <f>(((B336*'Appendix K'!$C$5*1000)-('Appendix K'!$E$31+'Appendix K'!$F$31+'Appendix K'!$H$31+'Appendix K'!$G$31))/((1+$Y$16)^1))</f>
        <v>34971064.972647354</v>
      </c>
      <c r="Z336" s="193">
        <f>+(((C336*'Appendix K'!$C$6*1000)-('Appendix K'!$E$32+'Appendix K'!$F$32+'Appendix K'!$H$32+'Appendix K'!$G$32))/((1+$Y$16)^2))</f>
        <v>17924665.61022738</v>
      </c>
      <c r="AA336" s="193">
        <f>(((D336*'Appendix K'!$C$7*1000)-('Appendix K'!$E$33+'Appendix K'!$F$33+'Appendix K'!$H$33+'Appendix K'!$G$33))/((1+$Y$16)^3))</f>
        <v>10249064.17571871</v>
      </c>
      <c r="AB336" s="193">
        <f>(((E336*'Appendix K'!$C$8*1000)-('Appendix K'!$E$34+'Appendix K'!$F$34+'Appendix K'!$H$34+'Appendix K'!$G$34))/((1+$Y$16)^4))</f>
        <v>26717181.41583652</v>
      </c>
      <c r="AC336" s="193">
        <f>(((F336*'Appendix K'!$C$9*1000)-('Appendix K'!$E$35+'Appendix K'!$F$35+'Appendix K'!$H$35+'Appendix K'!$G$35))/((1+$Y$16)^AC$34))</f>
        <v>34220352.834330432</v>
      </c>
      <c r="AD336" s="193">
        <f>(((G336*'Appendix K'!$C$10*1000)-('Appendix K'!$E$36+'Appendix K'!$F$36+'Appendix K'!$H$36+'Appendix K'!$G$36))/((1+$Y$16)^AD$34))</f>
        <v>22007254.678785</v>
      </c>
      <c r="AE336" s="193">
        <f>(((H336*'Appendix K'!$C$11*1000)-('Appendix K'!$E$37+'Appendix K'!$F$37+'Appendix K'!$H$37+'Appendix K'!$G$37))/((1+$Y$16)^AE$34))</f>
        <v>9734325.6285358816</v>
      </c>
      <c r="AF336" s="193">
        <f>(((I336*'Appendix K'!$C$12*1000)-('Appendix K'!$E$38+'Appendix K'!$F$38+'Appendix K'!$H$38+'Appendix K'!$G$38))/((1+$Y$16)^AF$34))</f>
        <v>3435213.798499505</v>
      </c>
      <c r="AG336" s="193">
        <f>(((J336*'Appendix K'!$C$13*1000)-('Appendix K'!$E$39+'Appendix K'!$F$39+'Appendix K'!$H$39+'Appendix K'!$G$39))/((1+$Y$16)^AG$34))</f>
        <v>3838186.596040477</v>
      </c>
      <c r="AH336" s="193">
        <f>(((K336*'Appendix K'!$C$14*1000)-('Appendix K'!$E$40+'Appendix K'!$F$40+'Appendix K'!$H$40+'Appendix K'!$G$40))/((1+$Y$16)^AH$34))</f>
        <v>2538988.1735235746</v>
      </c>
      <c r="AI336" s="193">
        <f>(((L336*'Appendix K'!$C$15*1000)-('Appendix K'!$E$41+'Appendix K'!$F$41+'Appendix K'!$H$41+'Appendix K'!$G$41))/((1+$Y$16)^AI$34))</f>
        <v>677196.24196768517</v>
      </c>
      <c r="AJ336" s="193">
        <f>(((M336*'Appendix K'!$C$16*1000)-('Appendix K'!$E$42+'Appendix K'!$F$42+'Appendix K'!$H$42+'Appendix K'!$G$42))/((1+$Y$16)^AJ$34))</f>
        <v>17674.564646068087</v>
      </c>
      <c r="AK336" s="193">
        <f>(((N336*'Appendix K'!$C$17*1000)-('Appendix K'!$E$43+'Appendix K'!$F$43+'Appendix K'!$H$43))/((1+$Y$16)^AK$34))</f>
        <v>-259748.3866301417</v>
      </c>
      <c r="AL336" s="193">
        <f>(((O336*'Appendix K'!$C$18*1000)-('Appendix K'!$E$44+'Appendix K'!$F$44+'Appendix K'!$H$44+'Appendix K'!$G$44))/((1+$Y$16)^AL$34))</f>
        <v>-550484.54445779242</v>
      </c>
      <c r="AM336" s="193">
        <f>(((P336*'Appendix K'!$C$19*1000)-('Appendix K'!$E$45+'Appendix K'!$F$45+'Appendix K'!$H$45+'Appendix K'!$G$45))/((1+$Y$16)^AM$34))</f>
        <v>-425724.38471431419</v>
      </c>
      <c r="AN336" s="193">
        <f>(((Q336*'Appendix K'!$C$20*1000)-('Appendix K'!$E$46+'Appendix K'!$F$46+'Appendix K'!$H$46+'Appendix K'!$G$46))/((1+$Y$16)^AN$34))</f>
        <v>-452253.58782079036</v>
      </c>
      <c r="AO336" s="193">
        <f>(((R336*'Appendix K'!$C$21*1000)-('Appendix K'!$E$47+'Appendix K'!$F$47+'Appendix K'!$H$47+'Appendix K'!$G$47))/((1+$Y$16)^AO$34))</f>
        <v>-427380.22621004947</v>
      </c>
      <c r="AP336" s="193">
        <f>(((S336*'Appendix K'!$C$22*1000)-('Appendix K'!$E$48+'Appendix K'!$F$48+'Appendix K'!$H$48+'Appendix K'!$G$48))/((1+$Y$16)^AP$34))</f>
        <v>-541576.47502986575</v>
      </c>
      <c r="AQ336" s="193">
        <f>(((T336*'Appendix K'!$C$23*1000)-('Appendix K'!$E$49+'Appendix K'!$F$49+'Appendix K'!$H$49+'Appendix K'!$G$49))/((1+$Y$16)^AQ$34))</f>
        <v>-452070.93643437541</v>
      </c>
      <c r="AR336" s="193">
        <f>(((U336*'Appendix K'!$C$24*1000)-('Appendix K'!$E$50+'Appendix K'!$F$50+'Appendix K'!$H$50+'Appendix K'!$G$50))/((1+$Y$16)^AR$34))</f>
        <v>-453803.26942214346</v>
      </c>
      <c r="AS336" s="209">
        <f t="shared" si="24"/>
        <v>132736266.24668348</v>
      </c>
      <c r="AU336" s="199">
        <f t="shared" si="23"/>
        <v>5.124839074565319E-9</v>
      </c>
    </row>
    <row r="337" spans="1:47" x14ac:dyDescent="0.35">
      <c r="A337">
        <v>303</v>
      </c>
      <c r="B337" s="70">
        <v>56</v>
      </c>
      <c r="C337" s="70">
        <v>90.410958700323647</v>
      </c>
      <c r="D337" s="70">
        <v>88.458947300169427</v>
      </c>
      <c r="E337" s="70">
        <v>88.488426152300704</v>
      </c>
      <c r="F337" s="70">
        <v>86.90087545274092</v>
      </c>
      <c r="G337" s="70">
        <v>51.444150186947944</v>
      </c>
      <c r="H337" s="70">
        <v>60.488114954394661</v>
      </c>
      <c r="I337" s="70">
        <v>99.15552303955937</v>
      </c>
      <c r="J337" s="70">
        <v>140.65853588032775</v>
      </c>
      <c r="K337" s="70">
        <v>125.32445125542796</v>
      </c>
      <c r="L337" s="70">
        <v>111.44175421191844</v>
      </c>
      <c r="M337" s="70">
        <v>163.96619709950909</v>
      </c>
      <c r="N337" s="70">
        <v>115.43928249405894</v>
      </c>
      <c r="O337" s="70">
        <v>112.75391460173155</v>
      </c>
      <c r="P337" s="70">
        <v>50.703688111719018</v>
      </c>
      <c r="Q337" s="70">
        <v>39.041895526223527</v>
      </c>
      <c r="R337" s="70">
        <v>45.194028669279632</v>
      </c>
      <c r="S337" s="70">
        <v>47.783718333221813</v>
      </c>
      <c r="T337" s="70">
        <v>32.157488776441824</v>
      </c>
      <c r="U337" s="70">
        <v>37.290268485697183</v>
      </c>
      <c r="V337" s="70">
        <v>41.081494973867805</v>
      </c>
      <c r="X337" s="193">
        <f>((0-('Appendix K'!$I$30))/(1+$Y$16)^0)</f>
        <v>-33594902.4440751</v>
      </c>
      <c r="Y337" s="193">
        <f>(((B337*'Appendix K'!$C$5*1000)-('Appendix K'!$E$31+'Appendix K'!$F$31+'Appendix K'!$H$31+'Appendix K'!$G$31))/((1+$Y$16)^1))</f>
        <v>34971064.972647354</v>
      </c>
      <c r="Z337" s="193">
        <f>+(((C337*'Appendix K'!$C$6*1000)-('Appendix K'!$E$32+'Appendix K'!$F$32+'Appendix K'!$H$32+'Appendix K'!$G$32))/((1+$Y$16)^2))</f>
        <v>19352106.807660766</v>
      </c>
      <c r="AA337" s="193">
        <f>(((D337*'Appendix K'!$C$7*1000)-('Appendix K'!$E$33+'Appendix K'!$F$33+'Appendix K'!$H$33+'Appendix K'!$G$33))/((1+$Y$16)^3))</f>
        <v>8302549.0584019125</v>
      </c>
      <c r="AB337" s="193">
        <f>(((E337*'Appendix K'!$C$8*1000)-('Appendix K'!$E$34+'Appendix K'!$F$34+'Appendix K'!$H$34+'Appendix K'!$G$34))/((1+$Y$16)^4))</f>
        <v>16102645.090154383</v>
      </c>
      <c r="AC337" s="193">
        <f>(((F337*'Appendix K'!$C$9*1000)-('Appendix K'!$E$35+'Appendix K'!$F$35+'Appendix K'!$H$35+'Appendix K'!$G$35))/((1+$Y$16)^AC$34))</f>
        <v>20113887.717317369</v>
      </c>
      <c r="AD337" s="193">
        <f>(((G337*'Appendix K'!$C$10*1000)-('Appendix K'!$E$36+'Appendix K'!$F$36+'Appendix K'!$H$36+'Appendix K'!$G$36))/((1+$Y$16)^AD$34))</f>
        <v>5563229.6499662912</v>
      </c>
      <c r="AE337" s="193">
        <f>(((H337*'Appendix K'!$C$11*1000)-('Appendix K'!$E$37+'Appendix K'!$F$37+'Appendix K'!$H$37+'Appendix K'!$G$37))/((1+$Y$16)^AE$34))</f>
        <v>3813000.1929495852</v>
      </c>
      <c r="AF337" s="193">
        <f>(((I337*'Appendix K'!$C$12*1000)-('Appendix K'!$E$38+'Appendix K'!$F$38+'Appendix K'!$H$38+'Appendix K'!$G$38))/((1+$Y$16)^AF$34))</f>
        <v>4514213.2864577817</v>
      </c>
      <c r="AG337" s="193">
        <f>(((J337*'Appendix K'!$C$13*1000)-('Appendix K'!$E$39+'Appendix K'!$F$39+'Appendix K'!$H$39+'Appendix K'!$G$39))/((1+$Y$16)^AG$34))</f>
        <v>4658011.805915378</v>
      </c>
      <c r="AH337" s="193">
        <f>(((K337*'Appendix K'!$C$14*1000)-('Appendix K'!$E$40+'Appendix K'!$F$40+'Appendix K'!$H$40+'Appendix K'!$G$40))/((1+$Y$16)^AH$34))</f>
        <v>2591510.8133818256</v>
      </c>
      <c r="AI337" s="193">
        <f>(((L337*'Appendix K'!$C$15*1000)-('Appendix K'!$E$41+'Appendix K'!$F$41+'Appendix K'!$H$41+'Appendix K'!$G$41))/((1+$Y$16)^AI$34))</f>
        <v>1403501.0091234883</v>
      </c>
      <c r="AJ337" s="193">
        <f>(((M337*'Appendix K'!$C$16*1000)-('Appendix K'!$E$42+'Appendix K'!$F$42+'Appendix K'!$H$42+'Appendix K'!$G$42))/((1+$Y$16)^AJ$34))</f>
        <v>1904637.7524404463</v>
      </c>
      <c r="AK337" s="193">
        <f>(((N337*'Appendix K'!$C$17*1000)-('Appendix K'!$E$43+'Appendix K'!$F$43+'Appendix K'!$H$43))/((1+$Y$16)^AK$34))</f>
        <v>769338.68301475001</v>
      </c>
      <c r="AL337" s="193">
        <f>(((O337*'Appendix K'!$C$18*1000)-('Appendix K'!$E$44+'Appendix K'!$F$44+'Appendix K'!$H$44+'Appendix K'!$G$44))/((1+$Y$16)^AL$34))</f>
        <v>201916.20218321896</v>
      </c>
      <c r="AM337" s="193">
        <f>(((P337*'Appendix K'!$C$19*1000)-('Appendix K'!$E$45+'Appendix K'!$F$45+'Appendix K'!$H$45+'Appendix K'!$G$45))/((1+$Y$16)^AM$34))</f>
        <v>-556807.05612667615</v>
      </c>
      <c r="AN337" s="193">
        <f>(((Q337*'Appendix K'!$C$20*1000)-('Appendix K'!$E$46+'Appendix K'!$F$46+'Appendix K'!$H$46+'Appendix K'!$G$46))/((1+$Y$16)^AN$34))</f>
        <v>-633193.21500581794</v>
      </c>
      <c r="AO337" s="193">
        <f>(((R337*'Appendix K'!$C$21*1000)-('Appendix K'!$E$47+'Appendix K'!$F$47+'Appendix K'!$H$47+'Appendix K'!$G$47))/((1+$Y$16)^AO$34))</f>
        <v>-575897.22290745494</v>
      </c>
      <c r="AP337" s="193">
        <f>(((S337*'Appendix K'!$C$22*1000)-('Appendix K'!$E$48+'Appendix K'!$F$48+'Appendix K'!$H$48+'Appendix K'!$G$48))/((1+$Y$16)^AP$34))</f>
        <v>-535582.63289881765</v>
      </c>
      <c r="AQ337" s="193">
        <f>(((T337*'Appendix K'!$C$23*1000)-('Appendix K'!$E$49+'Appendix K'!$F$49+'Appendix K'!$H$49+'Appendix K'!$G$49))/((1+$Y$16)^AQ$34))</f>
        <v>-567629.45296905353</v>
      </c>
      <c r="AR337" s="193">
        <f>(((U337*'Appendix K'!$C$24*1000)-('Appendix K'!$E$50+'Appendix K'!$F$50+'Appendix K'!$H$50+'Appendix K'!$G$50))/((1+$Y$16)^AR$34))</f>
        <v>-509213.15995360306</v>
      </c>
      <c r="AS337" s="209">
        <f t="shared" si="24"/>
        <v>90666710.597539455</v>
      </c>
      <c r="AU337" s="199">
        <f t="shared" si="23"/>
        <v>7.0195310644233328E-9</v>
      </c>
    </row>
    <row r="338" spans="1:47" x14ac:dyDescent="0.35">
      <c r="A338">
        <v>304</v>
      </c>
      <c r="B338" s="70">
        <v>56</v>
      </c>
      <c r="C338" s="70">
        <v>71.494551962226751</v>
      </c>
      <c r="D338" s="70">
        <v>100.27066827267814</v>
      </c>
      <c r="E338" s="70">
        <v>120.89990573832685</v>
      </c>
      <c r="F338" s="70">
        <v>107.60184018125713</v>
      </c>
      <c r="G338" s="70">
        <v>152.26078656762374</v>
      </c>
      <c r="H338" s="70">
        <v>94.545337083091695</v>
      </c>
      <c r="I338" s="70">
        <v>84.417959725570427</v>
      </c>
      <c r="J338" s="70">
        <v>77.946250000825415</v>
      </c>
      <c r="K338" s="70">
        <v>83.584790289841948</v>
      </c>
      <c r="L338" s="70">
        <v>113.23477588116033</v>
      </c>
      <c r="M338" s="70">
        <v>128.89473798298249</v>
      </c>
      <c r="N338" s="70">
        <v>113.79042731002278</v>
      </c>
      <c r="O338" s="70">
        <v>112.40518722706895</v>
      </c>
      <c r="P338" s="70">
        <v>92.578883647883558</v>
      </c>
      <c r="Q338" s="70">
        <v>147.00073179115864</v>
      </c>
      <c r="R338" s="70">
        <v>216.89492948058125</v>
      </c>
      <c r="S338" s="70">
        <v>235.96144615498937</v>
      </c>
      <c r="T338" s="70">
        <v>265.55270779482004</v>
      </c>
      <c r="U338" s="70">
        <v>189.39522661016827</v>
      </c>
      <c r="V338" s="70">
        <v>181.84584955849428</v>
      </c>
      <c r="X338" s="193">
        <f>((0-('Appendix K'!$I$30))/(1+$Y$16)^0)</f>
        <v>-33594902.4440751</v>
      </c>
      <c r="Y338" s="193">
        <f>(((B338*'Appendix K'!$C$5*1000)-('Appendix K'!$E$31+'Appendix K'!$F$31+'Appendix K'!$H$31+'Appendix K'!$G$31))/((1+$Y$16)^1))</f>
        <v>34971064.972647354</v>
      </c>
      <c r="Z338" s="193">
        <f>+(((C338*'Appendix K'!$C$6*1000)-('Appendix K'!$E$32+'Appendix K'!$F$32+'Appendix K'!$H$32+'Appendix K'!$G$32))/((1+$Y$16)^2))</f>
        <v>14573498.935965788</v>
      </c>
      <c r="AA338" s="193">
        <f>(((D338*'Appendix K'!$C$7*1000)-('Appendix K'!$E$33+'Appendix K'!$F$33+'Appendix K'!$H$33+'Appendix K'!$G$33))/((1+$Y$16)^3))</f>
        <v>9807065.5096090008</v>
      </c>
      <c r="AB338" s="193">
        <f>(((E338*'Appendix K'!$C$8*1000)-('Appendix K'!$E$34+'Appendix K'!$F$34+'Appendix K'!$H$34+'Appendix K'!$G$34))/((1+$Y$16)^4))</f>
        <v>23206944.716873042</v>
      </c>
      <c r="AC338" s="193">
        <f>(((F338*'Appendix K'!$C$9*1000)-('Appendix K'!$E$35+'Appendix K'!$F$35+'Appendix K'!$H$35+'Appendix K'!$G$35))/((1+$Y$16)^AC$34))</f>
        <v>25616171.63580909</v>
      </c>
      <c r="AD338" s="193">
        <f>(((G338*'Appendix K'!$C$10*1000)-('Appendix K'!$E$36+'Appendix K'!$F$36+'Appendix K'!$H$36+'Appendix K'!$G$36))/((1+$Y$16)^AD$34))</f>
        <v>21395872.605771419</v>
      </c>
      <c r="AE338" s="193">
        <f>(((H338*'Appendix K'!$C$11*1000)-('Appendix K'!$E$37+'Appendix K'!$F$37+'Appendix K'!$H$37+'Appendix K'!$G$37))/((1+$Y$16)^AE$34))</f>
        <v>7209786.7728232294</v>
      </c>
      <c r="AF338" s="193">
        <f>(((I338*'Appendix K'!$C$12*1000)-('Appendix K'!$E$38+'Appendix K'!$F$38+'Appendix K'!$H$38+'Appendix K'!$G$38))/((1+$Y$16)^AF$34))</f>
        <v>3546509.1106197718</v>
      </c>
      <c r="AG338" s="193">
        <f>(((J338*'Appendix K'!$C$13*1000)-('Appendix K'!$E$39+'Appendix K'!$F$39+'Appendix K'!$H$39+'Appendix K'!$G$39))/((1+$Y$16)^AG$34))</f>
        <v>1772059.3512307128</v>
      </c>
      <c r="AH338" s="193">
        <f>(((K338*'Appendix K'!$C$14*1000)-('Appendix K'!$E$40+'Appendix K'!$F$40+'Appendix K'!$H$40+'Appendix K'!$G$40))/((1+$Y$16)^AH$34))</f>
        <v>1184611.8142524553</v>
      </c>
      <c r="AI338" s="193">
        <f>(((L338*'Appendix K'!$C$15*1000)-('Appendix K'!$E$41+'Appendix K'!$F$41+'Appendix K'!$H$41+'Appendix K'!$G$41))/((1+$Y$16)^AI$34))</f>
        <v>1450481.5298245887</v>
      </c>
      <c r="AJ338" s="193">
        <f>(((M338*'Appendix K'!$C$16*1000)-('Appendix K'!$E$42+'Appendix K'!$F$42+'Appendix K'!$H$42+'Appendix K'!$G$42))/((1+$Y$16)^AJ$34))</f>
        <v>1201740.2341044843</v>
      </c>
      <c r="AK338" s="193">
        <f>(((N338*'Appendix K'!$C$17*1000)-('Appendix K'!$E$43+'Appendix K'!$F$43+'Appendix K'!$H$43))/((1+$Y$16)^AK$34))</f>
        <v>744005.8410365025</v>
      </c>
      <c r="AL338" s="193">
        <f>(((O338*'Appendix K'!$C$18*1000)-('Appendix K'!$E$44+'Appendix K'!$F$44+'Appendix K'!$H$44+'Appendix K'!$G$44))/((1+$Y$16)^AL$34))</f>
        <v>197782.63399757151</v>
      </c>
      <c r="AM338" s="193">
        <f>(((P338*'Appendix K'!$C$19*1000)-('Appendix K'!$E$45+'Appendix K'!$F$45+'Appendix K'!$H$45+'Appendix K'!$G$45))/((1+$Y$16)^AM$34))</f>
        <v>-168677.09995299645</v>
      </c>
      <c r="AN338" s="193">
        <f>(((Q338*'Appendix K'!$C$20*1000)-('Appendix K'!$E$46+'Appendix K'!$F$46+'Appendix K'!$H$46+'Appendix K'!$G$46))/((1+$Y$16)^AN$34))</f>
        <v>148020.33949479449</v>
      </c>
      <c r="AO338" s="193">
        <f>(((R338*'Appendix K'!$C$21*1000)-('Appendix K'!$E$47+'Appendix K'!$F$47+'Appendix K'!$H$47+'Appendix K'!$G$47))/((1+$Y$16)^AO$34))</f>
        <v>438874.07040976785</v>
      </c>
      <c r="AP338" s="193">
        <f>(((S338*'Appendix K'!$C$22*1000)-('Appendix K'!$E$48+'Appendix K'!$F$48+'Appendix K'!$H$48+'Appendix K'!$G$48))/((1+$Y$16)^AP$34))</f>
        <v>365735.86972338858</v>
      </c>
      <c r="AQ338" s="193">
        <f>(((T338*'Appendix K'!$C$23*1000)-('Appendix K'!$E$49+'Appendix K'!$F$49+'Appendix K'!$H$49+'Appendix K'!$G$49))/((1+$Y$16)^AQ$34))</f>
        <v>345819.68356043432</v>
      </c>
      <c r="AR338" s="193">
        <f>(((U338*'Appendix K'!$C$24*1000)-('Appendix K'!$E$50+'Appendix K'!$F$50+'Appendix K'!$H$50+'Appendix K'!$G$50))/((1+$Y$16)^AR$34))</f>
        <v>-19430.932985496696</v>
      </c>
      <c r="AS338" s="209">
        <f t="shared" si="24"/>
        <v>114581143.1836783</v>
      </c>
      <c r="AU338" s="199">
        <f t="shared" si="23"/>
        <v>6.2793512590034927E-9</v>
      </c>
    </row>
    <row r="339" spans="1:47" x14ac:dyDescent="0.35">
      <c r="A339">
        <v>305</v>
      </c>
      <c r="B339" s="70">
        <v>56</v>
      </c>
      <c r="C339" s="70">
        <v>47.029260535895418</v>
      </c>
      <c r="D339" s="70">
        <v>51.60208195085427</v>
      </c>
      <c r="E339" s="70">
        <v>61.354323189934846</v>
      </c>
      <c r="F339" s="70">
        <v>70.001819934661299</v>
      </c>
      <c r="G339" s="70">
        <v>59.205128707383722</v>
      </c>
      <c r="H339" s="70">
        <v>27.433992538913124</v>
      </c>
      <c r="I339" s="70">
        <v>24.752842223319902</v>
      </c>
      <c r="J339" s="70">
        <v>22.959819014541132</v>
      </c>
      <c r="K339" s="70">
        <v>40.203309828482809</v>
      </c>
      <c r="L339" s="70">
        <v>47.580836782593664</v>
      </c>
      <c r="M339" s="70">
        <v>54.691663401150123</v>
      </c>
      <c r="N339" s="70">
        <v>43.839557804123018</v>
      </c>
      <c r="O339" s="70">
        <v>66.687018613904286</v>
      </c>
      <c r="P339" s="70">
        <v>57.110745955239224</v>
      </c>
      <c r="Q339" s="70">
        <v>61.841164951949672</v>
      </c>
      <c r="R339" s="70">
        <v>70.908961121316551</v>
      </c>
      <c r="S339" s="70">
        <v>96.363156932665433</v>
      </c>
      <c r="T339" s="70">
        <v>49.362995935948092</v>
      </c>
      <c r="U339" s="70">
        <v>63.753967692732274</v>
      </c>
      <c r="V339" s="70">
        <v>75.379468984083559</v>
      </c>
      <c r="X339" s="193">
        <f>((0-('Appendix K'!$I$30))/(1+$Y$16)^0)</f>
        <v>-33594902.4440751</v>
      </c>
      <c r="Y339" s="193">
        <f>(((B339*'Appendix K'!$C$5*1000)-('Appendix K'!$E$31+'Appendix K'!$F$31+'Appendix K'!$H$31+'Appendix K'!$G$31))/((1+$Y$16)^1))</f>
        <v>34971064.972647354</v>
      </c>
      <c r="Z339" s="193">
        <f>+(((C339*'Appendix K'!$C$6*1000)-('Appendix K'!$E$32+'Appendix K'!$F$32+'Appendix K'!$H$32+'Appendix K'!$G$32))/((1+$Y$16)^2))</f>
        <v>8393147.8887594342</v>
      </c>
      <c r="AA339" s="193">
        <f>(((D339*'Appendix K'!$C$7*1000)-('Appendix K'!$E$33+'Appendix K'!$F$33+'Appendix K'!$H$33+'Appendix K'!$G$33))/((1+$Y$16)^3))</f>
        <v>3607910.5389997978</v>
      </c>
      <c r="AB339" s="193">
        <f>(((E339*'Appendix K'!$C$8*1000)-('Appendix K'!$E$34+'Appendix K'!$F$34+'Appendix K'!$H$34+'Appendix K'!$G$34))/((1+$Y$16)^4))</f>
        <v>10155098.109608896</v>
      </c>
      <c r="AC339" s="193">
        <f>(((F339*'Appendix K'!$C$9*1000)-('Appendix K'!$E$35+'Appendix K'!$F$35+'Appendix K'!$H$35+'Appendix K'!$G$35))/((1+$Y$16)^AC$34))</f>
        <v>15622145.296890903</v>
      </c>
      <c r="AD339" s="193">
        <f>(((G339*'Appendix K'!$C$10*1000)-('Appendix K'!$E$36+'Appendix K'!$F$36+'Appendix K'!$H$36+'Appendix K'!$G$36))/((1+$Y$16)^AD$34))</f>
        <v>6782044.3844487928</v>
      </c>
      <c r="AE339" s="193">
        <f>(((H339*'Appendix K'!$C$11*1000)-('Appendix K'!$E$37+'Appendix K'!$F$37+'Appendix K'!$H$37+'Appendix K'!$G$37))/((1+$Y$16)^AE$34))</f>
        <v>516260.39995861071</v>
      </c>
      <c r="AF339" s="193">
        <f>(((I339*'Appendix K'!$C$12*1000)-('Appendix K'!$E$38+'Appendix K'!$F$38+'Appendix K'!$H$38+'Appendix K'!$G$38))/((1+$Y$16)^AF$34))</f>
        <v>-371247.31414741219</v>
      </c>
      <c r="AG339" s="193">
        <f>(((J339*'Appendix K'!$C$13*1000)-('Appendix K'!$E$39+'Appendix K'!$F$39+'Appendix K'!$H$39+'Appendix K'!$G$39))/((1+$Y$16)^AG$34))</f>
        <v>-758357.50814075687</v>
      </c>
      <c r="AH339" s="193">
        <f>(((K339*'Appendix K'!$C$14*1000)-('Appendix K'!$E$40+'Appendix K'!$F$40+'Appendix K'!$H$40+'Appendix K'!$G$40))/((1+$Y$16)^AH$34))</f>
        <v>-277627.21763996908</v>
      </c>
      <c r="AI339" s="193">
        <f>(((L339*'Appendix K'!$C$15*1000)-('Appendix K'!$E$41+'Appendix K'!$F$41+'Appendix K'!$H$41+'Appendix K'!$G$41))/((1+$Y$16)^AI$34))</f>
        <v>-269774.4480259936</v>
      </c>
      <c r="AJ339" s="193">
        <f>(((M339*'Appendix K'!$C$16*1000)-('Appendix K'!$E$42+'Appendix K'!$F$42+'Appendix K'!$H$42+'Appendix K'!$G$42))/((1+$Y$16)^AJ$34))</f>
        <v>-285427.91601934307</v>
      </c>
      <c r="AK339" s="193">
        <f>(((N339*'Appendix K'!$C$17*1000)-('Appendix K'!$E$43+'Appendix K'!$F$43+'Appendix K'!$H$43))/((1+$Y$16)^AK$34))</f>
        <v>-330712.14547352889</v>
      </c>
      <c r="AL339" s="193">
        <f>(((O339*'Appendix K'!$C$18*1000)-('Appendix K'!$E$44+'Appendix K'!$F$44+'Appendix K'!$H$44+'Appendix K'!$G$44))/((1+$Y$16)^AL$34))</f>
        <v>-344128.2712425823</v>
      </c>
      <c r="AM339" s="193">
        <f>(((P339*'Appendix K'!$C$19*1000)-('Appendix K'!$E$45+'Appendix K'!$F$45+'Appendix K'!$H$45+'Appendix K'!$G$45))/((1+$Y$16)^AM$34))</f>
        <v>-497421.75539751083</v>
      </c>
      <c r="AN339" s="193">
        <f>(((Q339*'Appendix K'!$C$20*1000)-('Appendix K'!$E$46+'Appendix K'!$F$46+'Appendix K'!$H$46+'Appendix K'!$G$46))/((1+$Y$16)^AN$34))</f>
        <v>-468212.75648754032</v>
      </c>
      <c r="AO339" s="193">
        <f>(((R339*'Appendix K'!$C$21*1000)-('Appendix K'!$E$47+'Appendix K'!$F$47+'Appendix K'!$H$47+'Appendix K'!$G$47))/((1+$Y$16)^AO$34))</f>
        <v>-423919.13112914475</v>
      </c>
      <c r="AP339" s="193">
        <f>(((S339*'Appendix K'!$C$22*1000)-('Appendix K'!$E$48+'Appendix K'!$F$48+'Appendix K'!$H$48+'Appendix K'!$G$48))/((1+$Y$16)^AP$34))</f>
        <v>-302900.75623087649</v>
      </c>
      <c r="AQ339" s="193">
        <f>(((T339*'Appendix K'!$C$23*1000)-('Appendix K'!$E$49+'Appendix K'!$F$49+'Appendix K'!$H$49+'Appendix K'!$G$49))/((1+$Y$16)^AQ$34))</f>
        <v>-500291.50266954297</v>
      </c>
      <c r="AR339" s="193">
        <f>(((U339*'Appendix K'!$C$24*1000)-('Appendix K'!$E$50+'Appendix K'!$F$50+'Appendix K'!$H$50+'Appendix K'!$G$50))/((1+$Y$16)^AR$34))</f>
        <v>-423999.30702430476</v>
      </c>
      <c r="AS339" s="209">
        <f t="shared" si="24"/>
        <v>46452769.147238694</v>
      </c>
      <c r="AU339" s="199">
        <f t="shared" si="23"/>
        <v>5.4036605973512785E-9</v>
      </c>
    </row>
    <row r="340" spans="1:47" x14ac:dyDescent="0.35">
      <c r="A340">
        <v>306</v>
      </c>
      <c r="B340" s="70">
        <v>56</v>
      </c>
      <c r="C340" s="70">
        <v>18.533368380245705</v>
      </c>
      <c r="D340" s="70">
        <v>24.753115358791284</v>
      </c>
      <c r="E340" s="70">
        <v>30.235518437966533</v>
      </c>
      <c r="F340" s="70">
        <v>36.704909949441948</v>
      </c>
      <c r="G340" s="70">
        <v>44.78481534519387</v>
      </c>
      <c r="H340" s="70">
        <v>29.661606243896443</v>
      </c>
      <c r="I340" s="70">
        <v>39.873230398520505</v>
      </c>
      <c r="J340" s="70">
        <v>36.599472999261394</v>
      </c>
      <c r="K340" s="70">
        <v>37.184641566698112</v>
      </c>
      <c r="L340" s="70">
        <v>39.336133310425296</v>
      </c>
      <c r="M340" s="70">
        <v>44.262440250217701</v>
      </c>
      <c r="N340" s="70">
        <v>40.778173455053171</v>
      </c>
      <c r="O340" s="70">
        <v>34.356966840021322</v>
      </c>
      <c r="P340" s="70">
        <v>38.081253251395033</v>
      </c>
      <c r="Q340" s="70">
        <v>15.298536434729535</v>
      </c>
      <c r="R340" s="70">
        <v>9.7740051916580324</v>
      </c>
      <c r="S340" s="70">
        <v>8.7437087206881241</v>
      </c>
      <c r="T340" s="70">
        <v>8.6466061279732269</v>
      </c>
      <c r="U340" s="70">
        <v>9.8239552469823419</v>
      </c>
      <c r="V340" s="70">
        <v>16.25284167255694</v>
      </c>
      <c r="X340" s="193">
        <f>((0-('Appendix K'!$I$30))/(1+$Y$16)^0)</f>
        <v>-33594902.4440751</v>
      </c>
      <c r="Y340" s="193">
        <f>(((B340*'Appendix K'!$C$5*1000)-('Appendix K'!$E$31+'Appendix K'!$F$31+'Appendix K'!$H$31+'Appendix K'!$G$31))/((1+$Y$16)^1))</f>
        <v>34971064.972647354</v>
      </c>
      <c r="Z340" s="193">
        <f>+(((C340*'Appendix K'!$C$6*1000)-('Appendix K'!$E$32+'Appendix K'!$F$32+'Appendix K'!$H$32+'Appendix K'!$G$32))/((1+$Y$16)^2))</f>
        <v>1194598.1614628404</v>
      </c>
      <c r="AA340" s="193">
        <f>(((D340*'Appendix K'!$C$7*1000)-('Appendix K'!$E$33+'Appendix K'!$F$33+'Appendix K'!$H$33+'Appendix K'!$G$33))/((1+$Y$16)^3))</f>
        <v>188026.84637910983</v>
      </c>
      <c r="AB340" s="193">
        <f>(((E340*'Appendix K'!$C$8*1000)-('Appendix K'!$E$34+'Appendix K'!$F$34+'Appendix K'!$H$34+'Appendix K'!$G$34))/((1+$Y$16)^4))</f>
        <v>3334140.9732165677</v>
      </c>
      <c r="AC340" s="193">
        <f>(((F340*'Appendix K'!$C$9*1000)-('Appendix K'!$E$35+'Appendix K'!$F$35+'Appendix K'!$H$35+'Appendix K'!$G$35))/((1+$Y$16)^AC$34))</f>
        <v>6771878.9083509147</v>
      </c>
      <c r="AD340" s="193">
        <f>(((G340*'Appendix K'!$C$10*1000)-('Appendix K'!$E$36+'Appendix K'!$F$36+'Appendix K'!$H$36+'Appendix K'!$G$36))/((1+$Y$16)^AD$34))</f>
        <v>4517421.3919469351</v>
      </c>
      <c r="AE340" s="193">
        <f>(((H340*'Appendix K'!$C$11*1000)-('Appendix K'!$E$37+'Appendix K'!$F$37+'Appendix K'!$H$37+'Appendix K'!$G$37))/((1+$Y$16)^AE$34))</f>
        <v>738437.30885729997</v>
      </c>
      <c r="AF340" s="193">
        <f>(((I340*'Appendix K'!$C$12*1000)-('Appendix K'!$E$38+'Appendix K'!$F$38+'Appendix K'!$H$38+'Appendix K'!$G$38))/((1+$Y$16)^AF$34))</f>
        <v>621594.07120863791</v>
      </c>
      <c r="AG340" s="193">
        <f>(((J340*'Appendix K'!$C$13*1000)-('Appendix K'!$E$39+'Appendix K'!$F$39+'Appendix K'!$H$39+'Appendix K'!$G$39))/((1+$Y$16)^AG$34))</f>
        <v>-130675.19125173177</v>
      </c>
      <c r="AH340" s="193">
        <f>(((K340*'Appendix K'!$C$14*1000)-('Appendix K'!$E$40+'Appendix K'!$F$40+'Appendix K'!$H$40+'Appendix K'!$G$40))/((1+$Y$16)^AH$34))</f>
        <v>-379376.04017377138</v>
      </c>
      <c r="AI340" s="193">
        <f>(((L340*'Appendix K'!$C$15*1000)-('Appendix K'!$E$41+'Appendix K'!$F$41+'Appendix K'!$H$41+'Appendix K'!$G$41))/((1+$Y$16)^AI$34))</f>
        <v>-485801.09666789853</v>
      </c>
      <c r="AJ340" s="193">
        <f>(((M340*'Appendix K'!$C$16*1000)-('Appendix K'!$E$42+'Appendix K'!$F$42+'Appendix K'!$H$42+'Appendix K'!$G$42))/((1+$Y$16)^AJ$34))</f>
        <v>-494449.01909366483</v>
      </c>
      <c r="AK340" s="193">
        <f>(((N340*'Appendix K'!$C$17*1000)-('Appendix K'!$E$43+'Appendix K'!$F$43+'Appendix K'!$H$43))/((1+$Y$16)^AK$34))</f>
        <v>-377746.9407063197</v>
      </c>
      <c r="AL340" s="193">
        <f>(((O340*'Appendix K'!$C$18*1000)-('Appendix K'!$E$44+'Appendix K'!$F$44+'Appendix K'!$H$44+'Appendix K'!$G$44))/((1+$Y$16)^AL$34))</f>
        <v>-727345.88810488652</v>
      </c>
      <c r="AM340" s="193">
        <f>(((P340*'Appendix K'!$C$19*1000)-('Appendix K'!$E$45+'Appendix K'!$F$45+'Appendix K'!$H$45+'Appendix K'!$G$45))/((1+$Y$16)^AM$34))</f>
        <v>-673801.01941245096</v>
      </c>
      <c r="AN340" s="193">
        <f>(((Q340*'Appendix K'!$C$20*1000)-('Appendix K'!$E$46+'Appendix K'!$F$46+'Appendix K'!$H$46+'Appendix K'!$G$46))/((1+$Y$16)^AN$34))</f>
        <v>-805005.31111003482</v>
      </c>
      <c r="AO340" s="193">
        <f>(((R340*'Appendix K'!$C$21*1000)-('Appendix K'!$E$47+'Appendix K'!$F$47+'Appendix K'!$H$47+'Appendix K'!$G$47))/((1+$Y$16)^AO$34))</f>
        <v>-785233.47486581758</v>
      </c>
      <c r="AP340" s="193">
        <f>(((S340*'Appendix K'!$C$22*1000)-('Appendix K'!$E$48+'Appendix K'!$F$48+'Appendix K'!$H$48+'Appendix K'!$G$48))/((1+$Y$16)^AP$34))</f>
        <v>-722573.32203952828</v>
      </c>
      <c r="AQ340" s="193">
        <f>(((T340*'Appendix K'!$C$23*1000)-('Appendix K'!$E$49+'Appendix K'!$F$49+'Appendix K'!$H$49+'Appendix K'!$G$49))/((1+$Y$16)^AQ$34))</f>
        <v>-659645.02871483879</v>
      </c>
      <c r="AR340" s="193">
        <f>(((U340*'Appendix K'!$C$24*1000)-('Appendix K'!$E$50+'Appendix K'!$F$50+'Appendix K'!$H$50+'Appendix K'!$G$50))/((1+$Y$16)^AR$34))</f>
        <v>-597655.45815701096</v>
      </c>
      <c r="AS340" s="209">
        <f t="shared" si="24"/>
        <v>18742260.189994566</v>
      </c>
      <c r="AU340" s="199">
        <f t="shared" si="23"/>
        <v>3.3658983647929143E-9</v>
      </c>
    </row>
    <row r="341" spans="1:47" x14ac:dyDescent="0.35">
      <c r="A341">
        <v>307</v>
      </c>
      <c r="B341" s="70">
        <v>56</v>
      </c>
      <c r="C341" s="70">
        <v>72.797873850790182</v>
      </c>
      <c r="D341" s="70">
        <v>59.90646109591173</v>
      </c>
      <c r="E341" s="70">
        <v>50.184801392181136</v>
      </c>
      <c r="F341" s="70">
        <v>80.659860629714373</v>
      </c>
      <c r="G341" s="70">
        <v>102.78471300953481</v>
      </c>
      <c r="H341" s="70">
        <v>84.468497675794325</v>
      </c>
      <c r="I341" s="70">
        <v>115.1967767244446</v>
      </c>
      <c r="J341" s="70">
        <v>113.90576747136949</v>
      </c>
      <c r="K341" s="70">
        <v>73.69403373415949</v>
      </c>
      <c r="L341" s="70">
        <v>51.450415702966588</v>
      </c>
      <c r="M341" s="70">
        <v>52.185156520280096</v>
      </c>
      <c r="N341" s="70">
        <v>65.412767999378829</v>
      </c>
      <c r="O341" s="70">
        <v>58.537361520466618</v>
      </c>
      <c r="P341" s="70">
        <v>64.454912917448908</v>
      </c>
      <c r="Q341" s="70">
        <v>57.51759213518131</v>
      </c>
      <c r="R341" s="70">
        <v>75.610063426892566</v>
      </c>
      <c r="S341" s="70">
        <v>51.372016517178594</v>
      </c>
      <c r="T341" s="70">
        <v>47.508020189483418</v>
      </c>
      <c r="U341" s="70">
        <v>34.30056992526616</v>
      </c>
      <c r="V341" s="70">
        <v>51.829119353306979</v>
      </c>
      <c r="X341" s="193">
        <f>((0-('Appendix K'!$I$30))/(1+$Y$16)^0)</f>
        <v>-33594902.4440751</v>
      </c>
      <c r="Y341" s="193">
        <f>(((B341*'Appendix K'!$C$5*1000)-('Appendix K'!$E$31+'Appendix K'!$F$31+'Appendix K'!$H$31+'Appendix K'!$G$31))/((1+$Y$16)^1))</f>
        <v>34971064.972647354</v>
      </c>
      <c r="Z341" s="193">
        <f>+(((C341*'Appendix K'!$C$6*1000)-('Appendix K'!$E$32+'Appendix K'!$F$32+'Appendix K'!$H$32+'Appendix K'!$G$32))/((1+$Y$16)^2))</f>
        <v>14902740.335892895</v>
      </c>
      <c r="AA341" s="193">
        <f>(((D341*'Appendix K'!$C$7*1000)-('Appendix K'!$E$33+'Appendix K'!$F$33+'Appendix K'!$H$33+'Appendix K'!$G$33))/((1+$Y$16)^3))</f>
        <v>4665679.7726177825</v>
      </c>
      <c r="AB341" s="193">
        <f>(((E341*'Appendix K'!$C$8*1000)-('Appendix K'!$E$34+'Appendix K'!$F$34+'Appendix K'!$H$34+'Appendix K'!$G$34))/((1+$Y$16)^4))</f>
        <v>7706841.1786720203</v>
      </c>
      <c r="AC341" s="193">
        <f>(((F341*'Appendix K'!$C$9*1000)-('Appendix K'!$E$35+'Appendix K'!$F$35+'Appendix K'!$H$35+'Appendix K'!$G$35))/((1+$Y$16)^AC$34))</f>
        <v>18455035.777508821</v>
      </c>
      <c r="AD341" s="193">
        <f>(((G341*'Appendix K'!$C$10*1000)-('Appendix K'!$E$36+'Appendix K'!$F$36+'Appendix K'!$H$36+'Appendix K'!$G$36))/((1+$Y$16)^AD$34))</f>
        <v>13625954.508697107</v>
      </c>
      <c r="AE341" s="193">
        <f>(((H341*'Appendix K'!$C$11*1000)-('Appendix K'!$E$37+'Appendix K'!$F$37+'Appendix K'!$H$37+'Appendix K'!$G$37))/((1+$Y$16)^AE$34))</f>
        <v>6204746.7041733591</v>
      </c>
      <c r="AF341" s="193">
        <f>(((I341*'Appendix K'!$C$12*1000)-('Appendix K'!$E$38+'Appendix K'!$F$38+'Appendix K'!$H$38+'Appendix K'!$G$38))/((1+$Y$16)^AF$34))</f>
        <v>5567520.9361562654</v>
      </c>
      <c r="AG341" s="193">
        <f>(((J341*'Appendix K'!$C$13*1000)-('Appendix K'!$E$39+'Appendix K'!$F$39+'Appendix K'!$H$39+'Appendix K'!$G$39))/((1+$Y$16)^AG$34))</f>
        <v>3426877.9606622769</v>
      </c>
      <c r="AH341" s="193">
        <f>(((K341*'Appendix K'!$C$14*1000)-('Appendix K'!$E$40+'Appendix K'!$F$40+'Appendix K'!$H$40+'Appendix K'!$G$40))/((1+$Y$16)^AH$34))</f>
        <v>851228.7637697272</v>
      </c>
      <c r="AI341" s="193">
        <f>(((L341*'Appendix K'!$C$15*1000)-('Appendix K'!$E$41+'Appendix K'!$F$41+'Appendix K'!$H$41+'Appendix K'!$G$41))/((1+$Y$16)^AI$34))</f>
        <v>-168384.24416415926</v>
      </c>
      <c r="AJ341" s="193">
        <f>(((M341*'Appendix K'!$C$16*1000)-('Appendix K'!$E$42+'Appendix K'!$F$42+'Appendix K'!$H$42+'Appendix K'!$G$42))/((1+$Y$16)^AJ$34))</f>
        <v>-335662.99350505113</v>
      </c>
      <c r="AK341" s="193">
        <f>(((N341*'Appendix K'!$C$17*1000)-('Appendix K'!$E$43+'Appendix K'!$F$43+'Appendix K'!$H$43))/((1+$Y$16)^AK$34))</f>
        <v>736.44390601472412</v>
      </c>
      <c r="AL341" s="193">
        <f>(((O341*'Appendix K'!$C$18*1000)-('Appendix K'!$E$44+'Appendix K'!$F$44+'Appendix K'!$H$44+'Appendix K'!$G$44))/((1+$Y$16)^AL$34))</f>
        <v>-440728.55482502514</v>
      </c>
      <c r="AM341" s="193">
        <f>(((P341*'Appendix K'!$C$19*1000)-('Appendix K'!$E$45+'Appendix K'!$F$45+'Appendix K'!$H$45+'Appendix K'!$G$45))/((1+$Y$16)^AM$34))</f>
        <v>-429350.6415871199</v>
      </c>
      <c r="AN341" s="193">
        <f>(((Q341*'Appendix K'!$C$20*1000)-('Appendix K'!$E$46+'Appendix K'!$F$46+'Appendix K'!$H$46+'Appendix K'!$G$46))/((1+$Y$16)^AN$34))</f>
        <v>-499499.06713321083</v>
      </c>
      <c r="AO341" s="193">
        <f>(((R341*'Appendix K'!$C$21*1000)-('Appendix K'!$E$47+'Appendix K'!$F$47+'Appendix K'!$H$47+'Appendix K'!$G$47))/((1+$Y$16)^AO$34))</f>
        <v>-396135.09712521872</v>
      </c>
      <c r="AP341" s="193">
        <f>(((S341*'Appendix K'!$C$22*1000)-('Appendix K'!$E$48+'Appendix K'!$F$48+'Appendix K'!$H$48+'Appendix K'!$G$48))/((1+$Y$16)^AP$34))</f>
        <v>-518395.69168338767</v>
      </c>
      <c r="AQ341" s="193">
        <f>(((T341*'Appendix K'!$C$23*1000)-('Appendix K'!$E$49+'Appendix K'!$F$49+'Appendix K'!$H$49+'Appendix K'!$G$49))/((1+$Y$16)^AQ$34))</f>
        <v>-507551.40285523562</v>
      </c>
      <c r="AR341" s="193">
        <f>(((U341*'Appendix K'!$C$24*1000)-('Appendix K'!$E$50+'Appendix K'!$F$50+'Appendix K'!$H$50+'Appendix K'!$G$50))/((1+$Y$16)^AR$34))</f>
        <v>-518840.07308613206</v>
      </c>
      <c r="AS341" s="209">
        <f t="shared" si="24"/>
        <v>76783524.910628527</v>
      </c>
      <c r="AU341" s="199">
        <f t="shared" si="23"/>
        <v>6.9027499081887278E-9</v>
      </c>
    </row>
    <row r="342" spans="1:47" x14ac:dyDescent="0.35">
      <c r="A342">
        <v>308</v>
      </c>
      <c r="B342" s="70">
        <v>56</v>
      </c>
      <c r="C342" s="70">
        <v>72.198330630926904</v>
      </c>
      <c r="D342" s="70">
        <v>61.989821166523576</v>
      </c>
      <c r="E342" s="70">
        <v>84.020646075060156</v>
      </c>
      <c r="F342" s="70">
        <v>111.42718036417273</v>
      </c>
      <c r="G342" s="70">
        <v>103.27371623028986</v>
      </c>
      <c r="H342" s="70">
        <v>140.02180861555945</v>
      </c>
      <c r="I342" s="70">
        <v>139.49001217619596</v>
      </c>
      <c r="J342" s="70">
        <v>190.99474926375143</v>
      </c>
      <c r="K342" s="70">
        <v>180.36702004221129</v>
      </c>
      <c r="L342" s="70">
        <v>219.80237219964917</v>
      </c>
      <c r="M342" s="70">
        <v>253.76676642389791</v>
      </c>
      <c r="N342" s="70">
        <v>421.67379057981168</v>
      </c>
      <c r="O342" s="70">
        <v>209.01989041824072</v>
      </c>
      <c r="P342" s="70">
        <v>283.57119129050227</v>
      </c>
      <c r="Q342" s="70">
        <v>198.41772123486092</v>
      </c>
      <c r="R342" s="70">
        <v>155.58668210977993</v>
      </c>
      <c r="S342" s="70">
        <v>99.1782336675995</v>
      </c>
      <c r="T342" s="70">
        <v>123.47151931256917</v>
      </c>
      <c r="U342" s="70">
        <v>56.818034341399809</v>
      </c>
      <c r="V342" s="70">
        <v>63.238008712402397</v>
      </c>
      <c r="X342" s="193">
        <f>((0-('Appendix K'!$I$30))/(1+$Y$16)^0)</f>
        <v>-33594902.4440751</v>
      </c>
      <c r="Y342" s="193">
        <f>(((B342*'Appendix K'!$C$5*1000)-('Appendix K'!$E$31+'Appendix K'!$F$31+'Appendix K'!$H$31+'Appendix K'!$G$31))/((1+$Y$16)^1))</f>
        <v>34971064.972647354</v>
      </c>
      <c r="Z342" s="193">
        <f>+(((C342*'Appendix K'!$C$6*1000)-('Appendix K'!$E$32+'Appendix K'!$F$32+'Appendix K'!$H$32+'Appendix K'!$G$32))/((1+$Y$16)^2))</f>
        <v>14751285.464493349</v>
      </c>
      <c r="AA342" s="193">
        <f>(((D342*'Appendix K'!$C$7*1000)-('Appendix K'!$E$33+'Appendix K'!$F$33+'Appendix K'!$H$33+'Appendix K'!$G$33))/((1+$Y$16)^3))</f>
        <v>4931047.4956886871</v>
      </c>
      <c r="AB342" s="193">
        <f>(((E342*'Appendix K'!$C$8*1000)-('Appendix K'!$E$34+'Appendix K'!$F$34+'Appendix K'!$H$34+'Appendix K'!$G$34))/((1+$Y$16)^4))</f>
        <v>15123348.59581336</v>
      </c>
      <c r="AC342" s="193">
        <f>(((F342*'Appendix K'!$C$9*1000)-('Appendix K'!$E$35+'Appendix K'!$F$35+'Appendix K'!$H$35+'Appendix K'!$G$35))/((1+$Y$16)^AC$34))</f>
        <v>26632941.049566034</v>
      </c>
      <c r="AD342" s="193">
        <f>(((G342*'Appendix K'!$C$10*1000)-('Appendix K'!$E$36+'Appendix K'!$F$36+'Appendix K'!$H$36+'Appendix K'!$G$36))/((1+$Y$16)^AD$34))</f>
        <v>13702749.506788686</v>
      </c>
      <c r="AE342" s="193">
        <f>(((H342*'Appendix K'!$C$11*1000)-('Appendix K'!$E$37+'Appendix K'!$F$37+'Appendix K'!$H$37+'Appendix K'!$G$37))/((1+$Y$16)^AE$34))</f>
        <v>11745502.211321391</v>
      </c>
      <c r="AF342" s="193">
        <f>(((I342*'Appendix K'!$C$12*1000)-('Appendix K'!$E$38+'Appendix K'!$F$38+'Appendix K'!$H$38+'Appendix K'!$G$38))/((1+$Y$16)^AF$34))</f>
        <v>7162673.736549072</v>
      </c>
      <c r="AG342" s="193">
        <f>(((J342*'Appendix K'!$C$13*1000)-('Appendix K'!$E$39+'Appendix K'!$F$39+'Appendix K'!$H$39+'Appendix K'!$G$39))/((1+$Y$16)^AG$34))</f>
        <v>6974430.6150231455</v>
      </c>
      <c r="AH342" s="193">
        <f>(((K342*'Appendix K'!$C$14*1000)-('Appendix K'!$E$40+'Appendix K'!$F$40+'Appendix K'!$H$40+'Appendix K'!$G$40))/((1+$Y$16)^AH$34))</f>
        <v>4446804.63092105</v>
      </c>
      <c r="AI342" s="193">
        <f>(((L342*'Appendix K'!$C$15*1000)-('Appendix K'!$E$41+'Appendix K'!$F$41+'Appendix K'!$H$41+'Appendix K'!$G$41))/((1+$Y$16)^AI$34))</f>
        <v>4242751.835751296</v>
      </c>
      <c r="AJ342" s="193">
        <f>(((M342*'Appendix K'!$C$16*1000)-('Appendix K'!$E$42+'Appendix K'!$F$42+'Appendix K'!$H$42+'Appendix K'!$G$42))/((1+$Y$16)^AJ$34))</f>
        <v>3704408.8173838318</v>
      </c>
      <c r="AK342" s="193">
        <f>(((N342*'Appendix K'!$C$17*1000)-('Appendix K'!$E$43+'Appendix K'!$F$43+'Appendix K'!$H$43))/((1+$Y$16)^AK$34))</f>
        <v>5474294.2647613343</v>
      </c>
      <c r="AL342" s="193">
        <f>(((O342*'Appendix K'!$C$18*1000)-('Appendix K'!$E$44+'Appendix K'!$F$44+'Appendix K'!$H$44+'Appendix K'!$G$44))/((1+$Y$16)^AL$34))</f>
        <v>1342985.140004351</v>
      </c>
      <c r="AM342" s="193">
        <f>(((P342*'Appendix K'!$C$19*1000)-('Appendix K'!$E$45+'Appendix K'!$F$45+'Appendix K'!$H$45+'Appendix K'!$G$45))/((1+$Y$16)^AM$34))</f>
        <v>1601579.373973652</v>
      </c>
      <c r="AN342" s="193">
        <f>(((Q342*'Appendix K'!$C$20*1000)-('Appendix K'!$E$46+'Appendix K'!$F$46+'Appendix K'!$H$46+'Appendix K'!$G$46))/((1+$Y$16)^AN$34))</f>
        <v>520084.82698576886</v>
      </c>
      <c r="AO342" s="193">
        <f>(((R342*'Appendix K'!$C$21*1000)-('Appendix K'!$E$47+'Appendix K'!$F$47+'Appendix K'!$H$47+'Appendix K'!$G$47))/((1+$Y$16)^AO$34))</f>
        <v>76535.555110695743</v>
      </c>
      <c r="AP342" s="193">
        <f>(((S342*'Appendix K'!$C$22*1000)-('Appendix K'!$E$48+'Appendix K'!$F$48+'Appendix K'!$H$48+'Appendix K'!$G$48))/((1+$Y$16)^AP$34))</f>
        <v>-289417.32874523598</v>
      </c>
      <c r="AQ342" s="193">
        <f>(((T342*'Appendix K'!$C$23*1000)-('Appendix K'!$E$49+'Appendix K'!$F$49+'Appendix K'!$H$49+'Appendix K'!$G$49))/((1+$Y$16)^AQ$34))</f>
        <v>-210249.71444199816</v>
      </c>
      <c r="AR342" s="193">
        <f>(((U342*'Appendix K'!$C$24*1000)-('Appendix K'!$E$50+'Appendix K'!$F$50+'Appendix K'!$H$50+'Appendix K'!$G$50))/((1+$Y$16)^AR$34))</f>
        <v>-446333.20675253088</v>
      </c>
      <c r="AS342" s="209">
        <f t="shared" si="24"/>
        <v>123809585.6487079</v>
      </c>
      <c r="AU342" s="199">
        <f t="shared" si="23"/>
        <v>5.7361227494743733E-9</v>
      </c>
    </row>
    <row r="343" spans="1:47" x14ac:dyDescent="0.35">
      <c r="A343">
        <v>309</v>
      </c>
      <c r="B343" s="70">
        <v>56</v>
      </c>
      <c r="C343" s="70">
        <v>46.867465333162592</v>
      </c>
      <c r="D343" s="70">
        <v>62.417679705719237</v>
      </c>
      <c r="E343" s="70">
        <v>83.239811353207301</v>
      </c>
      <c r="F343" s="70">
        <v>78.635679511682085</v>
      </c>
      <c r="G343" s="70">
        <v>85.957334844171825</v>
      </c>
      <c r="H343" s="70">
        <v>100.41772318722784</v>
      </c>
      <c r="I343" s="70">
        <v>129.81437861754131</v>
      </c>
      <c r="J343" s="70">
        <v>107.60839177455389</v>
      </c>
      <c r="K343" s="70">
        <v>103.38156395314657</v>
      </c>
      <c r="L343" s="70">
        <v>135.42491483611724</v>
      </c>
      <c r="M343" s="70">
        <v>143.81355259047538</v>
      </c>
      <c r="N343" s="70">
        <v>175.22498000514736</v>
      </c>
      <c r="O343" s="70">
        <v>243.78077011885227</v>
      </c>
      <c r="P343" s="70">
        <v>306.8812552074981</v>
      </c>
      <c r="Q343" s="70">
        <v>138.8915849832803</v>
      </c>
      <c r="R343" s="70">
        <v>130.39409909922318</v>
      </c>
      <c r="S343" s="70">
        <v>156.70627155100885</v>
      </c>
      <c r="T343" s="70">
        <v>173.91564839326452</v>
      </c>
      <c r="U343" s="70">
        <v>175.93445071109284</v>
      </c>
      <c r="V343" s="70">
        <v>207.07273978931951</v>
      </c>
      <c r="X343" s="193">
        <f>((0-('Appendix K'!$I$30))/(1+$Y$16)^0)</f>
        <v>-33594902.4440751</v>
      </c>
      <c r="Y343" s="193">
        <f>(((B343*'Appendix K'!$C$5*1000)-('Appendix K'!$E$31+'Appendix K'!$F$31+'Appendix K'!$H$31+'Appendix K'!$G$31))/((1+$Y$16)^1))</f>
        <v>34971064.972647354</v>
      </c>
      <c r="Z343" s="193">
        <f>+(((C343*'Appendix K'!$C$6*1000)-('Appendix K'!$E$32+'Appendix K'!$F$32+'Appendix K'!$H$32+'Appendix K'!$G$32))/((1+$Y$16)^2))</f>
        <v>8352275.653345692</v>
      </c>
      <c r="AA343" s="193">
        <f>(((D343*'Appendix K'!$C$7*1000)-('Appendix K'!$E$33+'Appendix K'!$F$33+'Appendix K'!$H$33+'Appendix K'!$G$33))/((1+$Y$16)^3))</f>
        <v>4985545.9225062132</v>
      </c>
      <c r="AB343" s="193">
        <f>(((E343*'Appendix K'!$C$8*1000)-('Appendix K'!$E$34+'Appendix K'!$F$34+'Appendix K'!$H$34+'Appendix K'!$G$34))/((1+$Y$16)^4))</f>
        <v>14952196.772637108</v>
      </c>
      <c r="AC343" s="193">
        <f>(((F343*'Appendix K'!$C$9*1000)-('Appendix K'!$E$35+'Appendix K'!$F$35+'Appendix K'!$H$35+'Appendix K'!$G$35))/((1+$Y$16)^AC$34))</f>
        <v>17917011.614870586</v>
      </c>
      <c r="AD343" s="193">
        <f>(((G343*'Appendix K'!$C$10*1000)-('Appendix K'!$E$36+'Appendix K'!$F$36+'Appendix K'!$H$36+'Appendix K'!$G$36))/((1+$Y$16)^AD$34))</f>
        <v>10983316.547949094</v>
      </c>
      <c r="AE343" s="193">
        <f>(((H343*'Appendix K'!$C$11*1000)-('Appendix K'!$E$37+'Appendix K'!$F$37+'Appendix K'!$H$37+'Appendix K'!$G$37))/((1+$Y$16)^AE$34))</f>
        <v>7795484.6384620806</v>
      </c>
      <c r="AF343" s="193">
        <f>(((I343*'Appendix K'!$C$12*1000)-('Appendix K'!$E$38+'Appendix K'!$F$38+'Appendix K'!$H$38+'Appendix K'!$G$38))/((1+$Y$16)^AF$34))</f>
        <v>6527348.1539474381</v>
      </c>
      <c r="AG343" s="193">
        <f>(((J343*'Appendix K'!$C$13*1000)-('Appendix K'!$E$39+'Appendix K'!$F$39+'Appendix K'!$H$39+'Appendix K'!$G$39))/((1+$Y$16)^AG$34))</f>
        <v>3137079.4531542496</v>
      </c>
      <c r="AH343" s="193">
        <f>(((K343*'Appendix K'!$C$14*1000)-('Appendix K'!$E$40+'Appendix K'!$F$40+'Appendix K'!$H$40+'Appendix K'!$G$40))/((1+$Y$16)^AH$34))</f>
        <v>1851892.2954201798</v>
      </c>
      <c r="AI343" s="193">
        <f>(((L343*'Appendix K'!$C$15*1000)-('Appendix K'!$E$41+'Appendix K'!$F$41+'Appendix K'!$H$41+'Appendix K'!$G$41))/((1+$Y$16)^AI$34))</f>
        <v>2031904.6662077808</v>
      </c>
      <c r="AJ343" s="193">
        <f>(((M343*'Appendix K'!$C$16*1000)-('Appendix K'!$E$42+'Appendix K'!$F$42+'Appendix K'!$H$42+'Appendix K'!$G$42))/((1+$Y$16)^AJ$34))</f>
        <v>1500741.131936522</v>
      </c>
      <c r="AK343" s="193">
        <f>(((N343*'Appendix K'!$C$17*1000)-('Appendix K'!$E$43+'Appendix K'!$F$43+'Appendix K'!$H$43))/((1+$Y$16)^AK$34))</f>
        <v>1687880.0093065633</v>
      </c>
      <c r="AL343" s="193">
        <f>(((O343*'Appendix K'!$C$18*1000)-('Appendix K'!$E$44+'Appendix K'!$F$44+'Appendix K'!$H$44+'Appendix K'!$G$44))/((1+$Y$16)^AL$34))</f>
        <v>1755016.075558455</v>
      </c>
      <c r="AM343" s="193">
        <f>(((P343*'Appendix K'!$C$19*1000)-('Appendix K'!$E$45+'Appendix K'!$F$45+'Appendix K'!$H$45+'Appendix K'!$G$45))/((1+$Y$16)^AM$34))</f>
        <v>1817634.1044810177</v>
      </c>
      <c r="AN343" s="193">
        <f>(((Q343*'Appendix K'!$C$20*1000)-('Appendix K'!$E$46+'Appendix K'!$F$46+'Appendix K'!$H$46+'Appendix K'!$G$46))/((1+$Y$16)^AN$34))</f>
        <v>89340.794392958851</v>
      </c>
      <c r="AO343" s="193">
        <f>(((R343*'Appendix K'!$C$21*1000)-('Appendix K'!$E$47+'Appendix K'!$F$47+'Appendix K'!$H$47+'Appendix K'!$G$47))/((1+$Y$16)^AO$34))</f>
        <v>-72355.393759279323</v>
      </c>
      <c r="AP343" s="193">
        <f>(((S343*'Appendix K'!$C$22*1000)-('Appendix K'!$E$48+'Appendix K'!$F$48+'Appendix K'!$H$48+'Appendix K'!$G$48))/((1+$Y$16)^AP$34))</f>
        <v>-13874.173005897994</v>
      </c>
      <c r="AQ343" s="193">
        <f>(((T343*'Appendix K'!$C$23*1000)-('Appendix K'!$E$49+'Appendix K'!$F$49+'Appendix K'!$H$49+'Appendix K'!$G$49))/((1+$Y$16)^AQ$34))</f>
        <v>-12824.307248396422</v>
      </c>
      <c r="AR343" s="193">
        <f>(((U343*'Appendix K'!$C$24*1000)-('Appendix K'!$E$50+'Appendix K'!$F$50+'Appendix K'!$H$50+'Appendix K'!$G$50))/((1+$Y$16)^AR$34))</f>
        <v>-62775.008536095702</v>
      </c>
      <c r="AS343" s="209">
        <f t="shared" si="24"/>
        <v>86760830.362748176</v>
      </c>
      <c r="AU343" s="199">
        <f t="shared" si="23"/>
        <v>7.0288736973087843E-9</v>
      </c>
    </row>
    <row r="344" spans="1:47" x14ac:dyDescent="0.35">
      <c r="A344">
        <v>310</v>
      </c>
      <c r="B344" s="70">
        <v>56</v>
      </c>
      <c r="C344" s="70">
        <v>73.082636610851523</v>
      </c>
      <c r="D344" s="70">
        <v>120.27935383689687</v>
      </c>
      <c r="E344" s="70">
        <v>132.77992348383256</v>
      </c>
      <c r="F344" s="70">
        <v>129.15775657762464</v>
      </c>
      <c r="G344" s="70">
        <v>132.34249828397205</v>
      </c>
      <c r="H344" s="70">
        <v>200.40330649721497</v>
      </c>
      <c r="I344" s="70">
        <v>271.36651010767901</v>
      </c>
      <c r="J344" s="70">
        <v>402.63332363412468</v>
      </c>
      <c r="K344" s="70">
        <v>311.97594759906474</v>
      </c>
      <c r="L344" s="70">
        <v>359.92310432137839</v>
      </c>
      <c r="M344" s="70">
        <v>409.22226243167</v>
      </c>
      <c r="N344" s="70">
        <v>322.92255581554309</v>
      </c>
      <c r="O344" s="70">
        <v>351.05305385670511</v>
      </c>
      <c r="P344" s="70">
        <v>467.5224991981421</v>
      </c>
      <c r="Q344" s="70">
        <v>500</v>
      </c>
      <c r="R344" s="70">
        <v>500</v>
      </c>
      <c r="S344" s="70">
        <v>500</v>
      </c>
      <c r="T344" s="70">
        <v>500</v>
      </c>
      <c r="U344" s="70">
        <v>500</v>
      </c>
      <c r="V344" s="70">
        <v>500</v>
      </c>
      <c r="X344" s="193">
        <f>((0-('Appendix K'!$I$30))/(1+$Y$16)^0)</f>
        <v>-33594902.4440751</v>
      </c>
      <c r="Y344" s="193">
        <f>(((B344*'Appendix K'!$C$5*1000)-('Appendix K'!$E$31+'Appendix K'!$F$31+'Appendix K'!$H$31+'Appendix K'!$G$31))/((1+$Y$16)^1))</f>
        <v>34971064.972647354</v>
      </c>
      <c r="Z344" s="193">
        <f>+(((C344*'Appendix K'!$C$6*1000)-('Appendix K'!$E$32+'Appendix K'!$F$32+'Appendix K'!$H$32+'Appendix K'!$G$32))/((1+$Y$16)^2))</f>
        <v>14974676.279417211</v>
      </c>
      <c r="AA344" s="193">
        <f>(((D344*'Appendix K'!$C$7*1000)-('Appendix K'!$E$33+'Appendix K'!$F$33+'Appendix K'!$H$33+'Appendix K'!$G$33))/((1+$Y$16)^3))</f>
        <v>12355669.279412003</v>
      </c>
      <c r="AB344" s="193">
        <f>(((E344*'Appendix K'!$C$8*1000)-('Appendix K'!$E$34+'Appendix K'!$F$34+'Appendix K'!$H$34+'Appendix K'!$G$34))/((1+$Y$16)^4))</f>
        <v>25810935.855592761</v>
      </c>
      <c r="AC344" s="193">
        <f>(((F344*'Appendix K'!$C$9*1000)-('Appendix K'!$E$35+'Appendix K'!$F$35+'Appendix K'!$H$35+'Appendix K'!$G$35))/((1+$Y$16)^AC$34))</f>
        <v>31345700.365100656</v>
      </c>
      <c r="AD344" s="193">
        <f>(((G344*'Appendix K'!$C$10*1000)-('Appendix K'!$E$36+'Appendix K'!$F$36+'Appendix K'!$H$36+'Appendix K'!$G$36))/((1+$Y$16)^AD$34))</f>
        <v>18267825.906265575</v>
      </c>
      <c r="AE344" s="193">
        <f>(((H344*'Appendix K'!$C$11*1000)-('Appendix K'!$E$37+'Appendix K'!$F$37+'Appendix K'!$H$37+'Appendix K'!$G$37))/((1+$Y$16)^AE$34))</f>
        <v>17767809.635632843</v>
      </c>
      <c r="AF344" s="193">
        <f>(((I344*'Appendix K'!$C$12*1000)-('Appendix K'!$E$38+'Appendix K'!$F$38+'Appendix K'!$H$38+'Appendix K'!$G$38))/((1+$Y$16)^AF$34))</f>
        <v>15822004.660138991</v>
      </c>
      <c r="AG344" s="193">
        <f>(((J344*'Appendix K'!$C$13*1000)-('Appendix K'!$E$39+'Appendix K'!$F$39+'Appendix K'!$H$39+'Appendix K'!$G$39))/((1+$Y$16)^AG$34))</f>
        <v>16713811.896447241</v>
      </c>
      <c r="AH344" s="193">
        <f>(((K344*'Appendix K'!$C$14*1000)-('Appendix K'!$E$40+'Appendix K'!$F$40+'Appendix K'!$H$40+'Appendix K'!$G$40))/((1+$Y$16)^AH$34))</f>
        <v>8882884.4689650182</v>
      </c>
      <c r="AI344" s="193">
        <f>(((L344*'Appendix K'!$C$15*1000)-('Appendix K'!$E$41+'Appendix K'!$F$41+'Appendix K'!$H$41+'Appendix K'!$G$41))/((1+$Y$16)^AI$34))</f>
        <v>7914177.0443945229</v>
      </c>
      <c r="AJ344" s="193">
        <f>(((M344*'Appendix K'!$C$16*1000)-('Appendix K'!$E$42+'Appendix K'!$F$42+'Appendix K'!$H$42+'Appendix K'!$G$42))/((1+$Y$16)^AJ$34))</f>
        <v>6820027.1893625036</v>
      </c>
      <c r="AK344" s="193">
        <f>(((N344*'Appendix K'!$C$17*1000)-('Appendix K'!$E$43+'Appendix K'!$F$43+'Appendix K'!$H$43))/((1+$Y$16)^AK$34))</f>
        <v>3957090.419535608</v>
      </c>
      <c r="AL344" s="193">
        <f>(((O344*'Appendix K'!$C$18*1000)-('Appendix K'!$E$44+'Appendix K'!$F$44+'Appendix K'!$H$44+'Appendix K'!$G$44))/((1+$Y$16)^AL$34))</f>
        <v>3026546.0198007799</v>
      </c>
      <c r="AM344" s="193">
        <f>(((P344*'Appendix K'!$C$19*1000)-('Appendix K'!$E$45+'Appendix K'!$F$45+'Appendix K'!$H$45+'Appendix K'!$G$45))/((1+$Y$16)^AM$34))</f>
        <v>3306574.7098073182</v>
      </c>
      <c r="AN344" s="193">
        <f>(((Q344*'Appendix K'!$C$20*1000)-('Appendix K'!$E$46+'Appendix K'!$F$46+'Appendix K'!$H$46+'Appendix K'!$G$46))/((1+$Y$16)^AN$34))</f>
        <v>2702399.606577659</v>
      </c>
      <c r="AO344" s="193">
        <f>(((R344*'Appendix K'!$C$21*1000)-('Appendix K'!$E$47+'Appendix K'!$F$47+'Appendix K'!$H$47+'Appendix K'!$G$47))/((1+$Y$16)^AO$34))</f>
        <v>2112056.3146391152</v>
      </c>
      <c r="AP344" s="193">
        <f>(((S344*'Appendix K'!$C$22*1000)-('Appendix K'!$E$48+'Appendix K'!$F$48+'Appendix K'!$H$48+'Appendix K'!$G$48))/((1+$Y$16)^AP$34))</f>
        <v>1630406.4380253027</v>
      </c>
      <c r="AQ344" s="193">
        <f>(((T344*'Appendix K'!$C$23*1000)-('Appendix K'!$E$49+'Appendix K'!$F$49+'Appendix K'!$H$49+'Appendix K'!$G$49))/((1+$Y$16)^AQ$34))</f>
        <v>1263386.3652054211</v>
      </c>
      <c r="AR344" s="193">
        <f>(((U344*'Appendix K'!$C$24*1000)-('Appendix K'!$E$50+'Appendix K'!$F$50+'Appendix K'!$H$50+'Appendix K'!$G$50))/((1+$Y$16)^AR$34))</f>
        <v>980725.14012097823</v>
      </c>
      <c r="AS344" s="209">
        <f t="shared" si="24"/>
        <v>197030870.12301373</v>
      </c>
      <c r="AU344" s="199">
        <f t="shared" si="23"/>
        <v>1.0959604477192368E-9</v>
      </c>
    </row>
    <row r="345" spans="1:47" x14ac:dyDescent="0.35">
      <c r="A345">
        <v>311</v>
      </c>
      <c r="B345" s="70">
        <v>56</v>
      </c>
      <c r="C345" s="70">
        <v>75.793073429069636</v>
      </c>
      <c r="D345" s="70">
        <v>58.969040068389347</v>
      </c>
      <c r="E345" s="70">
        <v>30.44888398910356</v>
      </c>
      <c r="F345" s="70">
        <v>28.799497764023968</v>
      </c>
      <c r="G345" s="70">
        <v>27.383233040668074</v>
      </c>
      <c r="H345" s="70">
        <v>36.784116795777145</v>
      </c>
      <c r="I345" s="70">
        <v>45.514383565315711</v>
      </c>
      <c r="J345" s="70">
        <v>54.979391293721783</v>
      </c>
      <c r="K345" s="70">
        <v>89.409599475555382</v>
      </c>
      <c r="L345" s="70">
        <v>106.0904696381064</v>
      </c>
      <c r="M345" s="70">
        <v>117.83046084481713</v>
      </c>
      <c r="N345" s="70">
        <v>111.82891599520333</v>
      </c>
      <c r="O345" s="70">
        <v>165.73542683077807</v>
      </c>
      <c r="P345" s="70">
        <v>203.60847527649244</v>
      </c>
      <c r="Q345" s="70">
        <v>192.98272212341237</v>
      </c>
      <c r="R345" s="70">
        <v>278.79684702267082</v>
      </c>
      <c r="S345" s="70">
        <v>229.32436966780347</v>
      </c>
      <c r="T345" s="70">
        <v>233.23752724572856</v>
      </c>
      <c r="U345" s="70">
        <v>222.43201797247826</v>
      </c>
      <c r="V345" s="70">
        <v>166.62749678755429</v>
      </c>
      <c r="X345" s="193">
        <f>((0-('Appendix K'!$I$30))/(1+$Y$16)^0)</f>
        <v>-33594902.4440751</v>
      </c>
      <c r="Y345" s="193">
        <f>(((B345*'Appendix K'!$C$5*1000)-('Appendix K'!$E$31+'Appendix K'!$F$31+'Appendix K'!$H$31+'Appendix K'!$G$31))/((1+$Y$16)^1))</f>
        <v>34971064.972647354</v>
      </c>
      <c r="Z345" s="193">
        <f>+(((C345*'Appendix K'!$C$6*1000)-('Appendix K'!$E$32+'Appendix K'!$F$32+'Appendix K'!$H$32+'Appendix K'!$G$32))/((1+$Y$16)^2))</f>
        <v>15659378.976636335</v>
      </c>
      <c r="AA345" s="193">
        <f>(((D345*'Appendix K'!$C$7*1000)-('Appendix K'!$E$33+'Appendix K'!$F$33+'Appendix K'!$H$33+'Appendix K'!$G$33))/((1+$Y$16)^3))</f>
        <v>4546275.8888909779</v>
      </c>
      <c r="AB345" s="193">
        <f>(((E345*'Appendix K'!$C$8*1000)-('Appendix K'!$E$34+'Appendix K'!$F$34+'Appendix K'!$H$34+'Appendix K'!$G$34))/((1+$Y$16)^4))</f>
        <v>3380908.7488521785</v>
      </c>
      <c r="AC345" s="193">
        <f>(((F345*'Appendix K'!$C$9*1000)-('Appendix K'!$E$35+'Appendix K'!$F$35+'Appendix K'!$H$35+'Appendix K'!$G$35))/((1+$Y$16)^AC$34))</f>
        <v>4670632.7631915901</v>
      </c>
      <c r="AD345" s="193">
        <f>(((G345*'Appendix K'!$C$10*1000)-('Appendix K'!$E$36+'Appendix K'!$F$36+'Appendix K'!$H$36+'Appendix K'!$G$36))/((1+$Y$16)^AD$34))</f>
        <v>1784608.144207766</v>
      </c>
      <c r="AE345" s="193">
        <f>(((H345*'Appendix K'!$C$11*1000)-('Appendix K'!$E$37+'Appendix K'!$F$37+'Appendix K'!$H$37+'Appendix K'!$G$37))/((1+$Y$16)^AE$34))</f>
        <v>1448819.6226647119</v>
      </c>
      <c r="AF345" s="193">
        <f>(((I345*'Appendix K'!$C$12*1000)-('Appendix K'!$E$38+'Appendix K'!$F$38+'Appendix K'!$H$38+'Appendix K'!$G$38))/((1+$Y$16)^AF$34))</f>
        <v>992005.87943936919</v>
      </c>
      <c r="AG345" s="193">
        <f>(((J345*'Appendix K'!$C$13*1000)-('Appendix K'!$E$39+'Appendix K'!$F$39+'Appendix K'!$H$39+'Appendix K'!$G$39))/((1+$Y$16)^AG$34))</f>
        <v>715149.0292322957</v>
      </c>
      <c r="AH345" s="193">
        <f>(((K345*'Appendix K'!$C$14*1000)-('Appendix K'!$E$40+'Appendix K'!$F$40+'Appendix K'!$H$40+'Appendix K'!$G$40))/((1+$Y$16)^AH$34))</f>
        <v>1380945.9009202032</v>
      </c>
      <c r="AI345" s="193">
        <f>(((L345*'Appendix K'!$C$15*1000)-('Appendix K'!$E$41+'Appendix K'!$F$41+'Appendix K'!$H$41+'Appendix K'!$G$41))/((1+$Y$16)^AI$34))</f>
        <v>1263287.3463383911</v>
      </c>
      <c r="AJ345" s="193">
        <f>(((M345*'Appendix K'!$C$16*1000)-('Appendix K'!$E$42+'Appendix K'!$F$42+'Appendix K'!$H$42+'Appendix K'!$G$42))/((1+$Y$16)^AJ$34))</f>
        <v>979991.46349422459</v>
      </c>
      <c r="AK345" s="193">
        <f>(((N345*'Appendix K'!$C$17*1000)-('Appendix K'!$E$43+'Appendix K'!$F$43+'Appendix K'!$H$43))/((1+$Y$16)^AK$34))</f>
        <v>713869.3823238397</v>
      </c>
      <c r="AL345" s="193">
        <f>(((O345*'Appendix K'!$C$18*1000)-('Appendix K'!$E$44+'Appendix K'!$F$44+'Appendix K'!$H$44+'Appendix K'!$G$44))/((1+$Y$16)^AL$34))</f>
        <v>829921.65655672119</v>
      </c>
      <c r="AM345" s="193">
        <f>(((P345*'Appendix K'!$C$19*1000)-('Appendix K'!$E$45+'Appendix K'!$F$45+'Appendix K'!$H$45+'Appendix K'!$G$45))/((1+$Y$16)^AM$34))</f>
        <v>860426.40585813404</v>
      </c>
      <c r="AN345" s="193">
        <f>(((Q345*'Appendix K'!$C$20*1000)-('Appendix K'!$E$46+'Appendix K'!$F$46+'Appendix K'!$H$46+'Appendix K'!$G$46))/((1+$Y$16)^AN$34))</f>
        <v>480755.99461355986</v>
      </c>
      <c r="AO345" s="193">
        <f>(((R345*'Appendix K'!$C$21*1000)-('Appendix K'!$E$47+'Appendix K'!$F$47+'Appendix K'!$H$47+'Appendix K'!$G$47))/((1+$Y$16)^AO$34))</f>
        <v>804721.24200985814</v>
      </c>
      <c r="AP345" s="193">
        <f>(((S345*'Appendix K'!$C$22*1000)-('Appendix K'!$E$48+'Appendix K'!$F$48+'Appendix K'!$H$48+'Appendix K'!$G$48))/((1+$Y$16)^AP$34))</f>
        <v>333946.13610047306</v>
      </c>
      <c r="AQ345" s="193">
        <f>(((T345*'Appendix K'!$C$23*1000)-('Appendix K'!$E$49+'Appendix K'!$F$49+'Appendix K'!$H$49+'Appendix K'!$G$49))/((1+$Y$16)^AQ$34))</f>
        <v>219346.33978967878</v>
      </c>
      <c r="AR345" s="193">
        <f>(((U345*'Appendix K'!$C$24*1000)-('Appendix K'!$E$50+'Appendix K'!$F$50+'Appendix K'!$H$50+'Appendix K'!$G$50))/((1+$Y$16)^AR$34))</f>
        <v>86948.460854326244</v>
      </c>
      <c r="AS345" s="209">
        <f t="shared" si="24"/>
        <v>42528101.910546891</v>
      </c>
      <c r="AU345" s="199">
        <f t="shared" si="23"/>
        <v>5.1270145288018522E-9</v>
      </c>
    </row>
    <row r="346" spans="1:47" x14ac:dyDescent="0.35">
      <c r="A346">
        <v>312</v>
      </c>
      <c r="B346" s="70">
        <v>56</v>
      </c>
      <c r="C346" s="70">
        <v>58.887921551171658</v>
      </c>
      <c r="D346" s="70">
        <v>78.881498722407912</v>
      </c>
      <c r="E346" s="70">
        <v>70.759422479289583</v>
      </c>
      <c r="F346" s="70">
        <v>87.03694059304884</v>
      </c>
      <c r="G346" s="70">
        <v>108.67871959177198</v>
      </c>
      <c r="H346" s="70">
        <v>129.5583514071709</v>
      </c>
      <c r="I346" s="70">
        <v>98.605543508784592</v>
      </c>
      <c r="J346" s="70">
        <v>119.74045015397058</v>
      </c>
      <c r="K346" s="70">
        <v>162.73904121754435</v>
      </c>
      <c r="L346" s="70">
        <v>229.95555806083001</v>
      </c>
      <c r="M346" s="70">
        <v>175.60233991118457</v>
      </c>
      <c r="N346" s="70">
        <v>128.54428969559433</v>
      </c>
      <c r="O346" s="70">
        <v>112.14338269358691</v>
      </c>
      <c r="P346" s="70">
        <v>148.35983512581191</v>
      </c>
      <c r="Q346" s="70">
        <v>209.41292551216216</v>
      </c>
      <c r="R346" s="70">
        <v>304.95767991053452</v>
      </c>
      <c r="S346" s="70">
        <v>342.26799155778872</v>
      </c>
      <c r="T346" s="70">
        <v>459.9789840663002</v>
      </c>
      <c r="U346" s="70">
        <v>500</v>
      </c>
      <c r="V346" s="70">
        <v>463.53388644551728</v>
      </c>
      <c r="X346" s="193">
        <f>((0-('Appendix K'!$I$30))/(1+$Y$16)^0)</f>
        <v>-33594902.4440751</v>
      </c>
      <c r="Y346" s="193">
        <f>(((B346*'Appendix K'!$C$5*1000)-('Appendix K'!$E$31+'Appendix K'!$F$31+'Appendix K'!$H$31+'Appendix K'!$G$31))/((1+$Y$16)^1))</f>
        <v>34971064.972647354</v>
      </c>
      <c r="Z346" s="193">
        <f>+(((C346*'Appendix K'!$C$6*1000)-('Appendix K'!$E$32+'Appendix K'!$F$32+'Appendix K'!$H$32+'Appendix K'!$G$32))/((1+$Y$16)^2))</f>
        <v>11388848.481369048</v>
      </c>
      <c r="AA346" s="193">
        <f>(((D346*'Appendix K'!$C$7*1000)-('Appendix K'!$E$33+'Appendix K'!$F$33+'Appendix K'!$H$33+'Appendix K'!$G$33))/((1+$Y$16)^3))</f>
        <v>7082622.7682897858</v>
      </c>
      <c r="AB346" s="193">
        <f>(((E346*'Appendix K'!$C$8*1000)-('Appendix K'!$E$34+'Appendix K'!$F$34+'Appendix K'!$H$34+'Appendix K'!$G$34))/((1+$Y$16)^4))</f>
        <v>12216609.778438173</v>
      </c>
      <c r="AC346" s="193">
        <f>(((F346*'Appendix K'!$C$9*1000)-('Appendix K'!$E$35+'Appendix K'!$F$35+'Appendix K'!$H$35+'Appendix K'!$G$35))/((1+$Y$16)^AC$34))</f>
        <v>20150053.617950603</v>
      </c>
      <c r="AD346" s="193">
        <f>(((G346*'Appendix K'!$C$10*1000)-('Appendix K'!$E$36+'Appendix K'!$F$36+'Appendix K'!$H$36+'Appendix K'!$G$36))/((1+$Y$16)^AD$34))</f>
        <v>14551572.592634819</v>
      </c>
      <c r="AE346" s="193">
        <f>(((H346*'Appendix K'!$C$11*1000)-('Appendix K'!$E$37+'Appendix K'!$F$37+'Appendix K'!$H$37+'Appendix K'!$G$37))/((1+$Y$16)^AE$34))</f>
        <v>10701901.799924709</v>
      </c>
      <c r="AF346" s="193">
        <f>(((I346*'Appendix K'!$C$12*1000)-('Appendix K'!$E$38+'Appendix K'!$F$38+'Appendix K'!$H$38+'Appendix K'!$G$38))/((1+$Y$16)^AF$34))</f>
        <v>4478100.295645318</v>
      </c>
      <c r="AG346" s="193">
        <f>(((J346*'Appendix K'!$C$13*1000)-('Appendix K'!$E$39+'Appendix K'!$F$39+'Appendix K'!$H$39+'Appendix K'!$G$39))/((1+$Y$16)^AG$34))</f>
        <v>3695383.8295523552</v>
      </c>
      <c r="AH346" s="193">
        <f>(((K346*'Appendix K'!$C$14*1000)-('Appendix K'!$E$40+'Appendix K'!$F$40+'Appendix K'!$H$40+'Appendix K'!$G$40))/((1+$Y$16)^AH$34))</f>
        <v>3852626.6910104761</v>
      </c>
      <c r="AI346" s="193">
        <f>(((L346*'Appendix K'!$C$15*1000)-('Appendix K'!$E$41+'Appendix K'!$F$41+'Appendix K'!$H$41+'Appendix K'!$G$41))/((1+$Y$16)^AI$34))</f>
        <v>4508784.2918648943</v>
      </c>
      <c r="AJ346" s="193">
        <f>(((M346*'Appendix K'!$C$16*1000)-('Appendix K'!$E$42+'Appendix K'!$F$42+'Appendix K'!$H$42+'Appendix K'!$G$42))/((1+$Y$16)^AJ$34))</f>
        <v>2137847.7788084513</v>
      </c>
      <c r="AK346" s="193">
        <f>(((N346*'Appendix K'!$C$17*1000)-('Appendix K'!$E$43+'Appendix K'!$F$43+'Appendix K'!$H$43))/((1+$Y$16)^AK$34))</f>
        <v>970682.6699060878</v>
      </c>
      <c r="AL346" s="193">
        <f>(((O346*'Appendix K'!$C$18*1000)-('Appendix K'!$E$44+'Appendix K'!$F$44+'Appendix K'!$H$44+'Appendix K'!$G$44))/((1+$Y$16)^AL$34))</f>
        <v>194679.38782566827</v>
      </c>
      <c r="AM346" s="193">
        <f>(((P346*'Appendix K'!$C$19*1000)-('Appendix K'!$E$45+'Appendix K'!$F$45+'Appendix K'!$H$45+'Appendix K'!$G$45))/((1+$Y$16)^AM$34))</f>
        <v>348341.57841369318</v>
      </c>
      <c r="AN346" s="193">
        <f>(((Q346*'Appendix K'!$C$20*1000)-('Appendix K'!$E$46+'Appendix K'!$F$46+'Appendix K'!$H$46+'Appendix K'!$G$46))/((1+$Y$16)^AN$34))</f>
        <v>599648.50989590702</v>
      </c>
      <c r="AO346" s="193">
        <f>(((R346*'Appendix K'!$C$21*1000)-('Appendix K'!$E$47+'Appendix K'!$F$47+'Appendix K'!$H$47+'Appendix K'!$G$47))/((1+$Y$16)^AO$34))</f>
        <v>959334.65462700266</v>
      </c>
      <c r="AP346" s="193">
        <f>(((S346*'Appendix K'!$C$22*1000)-('Appendix K'!$E$48+'Appendix K'!$F$48+'Appendix K'!$H$48+'Appendix K'!$G$48))/((1+$Y$16)^AP$34))</f>
        <v>874914.38638686307</v>
      </c>
      <c r="AQ346" s="193">
        <f>(((T346*'Appendix K'!$C$23*1000)-('Appendix K'!$E$49+'Appendix K'!$F$49+'Appendix K'!$H$49+'Appendix K'!$G$49))/((1+$Y$16)^AQ$34))</f>
        <v>1106754.3544837602</v>
      </c>
      <c r="AR346" s="193">
        <f>(((U346*'Appendix K'!$C$24*1000)-('Appendix K'!$E$50+'Appendix K'!$F$50+'Appendix K'!$H$50+'Appendix K'!$G$50))/((1+$Y$16)^AR$34))</f>
        <v>980725.14012097823</v>
      </c>
      <c r="AS346" s="209">
        <f t="shared" si="24"/>
        <v>102175595.13572082</v>
      </c>
      <c r="AU346" s="199">
        <f t="shared" si="23"/>
        <v>6.8021289144785898E-9</v>
      </c>
    </row>
    <row r="347" spans="1:47" x14ac:dyDescent="0.35">
      <c r="A347">
        <v>313</v>
      </c>
      <c r="B347" s="70">
        <v>56</v>
      </c>
      <c r="C347" s="70">
        <v>46.799760966303225</v>
      </c>
      <c r="D347" s="70">
        <v>64.437124116574211</v>
      </c>
      <c r="E347" s="70">
        <v>46.461426420543731</v>
      </c>
      <c r="F347" s="70">
        <v>49.412781865717491</v>
      </c>
      <c r="G347" s="70">
        <v>51.90589348457091</v>
      </c>
      <c r="H347" s="70">
        <v>28.126568177303231</v>
      </c>
      <c r="I347" s="70">
        <v>32.645177375517314</v>
      </c>
      <c r="J347" s="70">
        <v>47.570326652615819</v>
      </c>
      <c r="K347" s="70">
        <v>14.062595521662068</v>
      </c>
      <c r="L347" s="70">
        <v>18.854547444770848</v>
      </c>
      <c r="M347" s="70">
        <v>28.485600170586924</v>
      </c>
      <c r="N347" s="70">
        <v>32.179588472354141</v>
      </c>
      <c r="O347" s="70">
        <v>36.090140445428965</v>
      </c>
      <c r="P347" s="70">
        <v>41.06585441947</v>
      </c>
      <c r="Q347" s="70">
        <v>37.329276116531396</v>
      </c>
      <c r="R347" s="70">
        <v>48.385108977592282</v>
      </c>
      <c r="S347" s="70">
        <v>38.764274427338577</v>
      </c>
      <c r="T347" s="70">
        <v>50.91869752656963</v>
      </c>
      <c r="U347" s="70">
        <v>13.615836640029713</v>
      </c>
      <c r="V347" s="70">
        <v>14.837026139200601</v>
      </c>
      <c r="X347" s="193">
        <f>((0-('Appendix K'!$I$30))/(1+$Y$16)^0)</f>
        <v>-33594902.4440751</v>
      </c>
      <c r="Y347" s="193">
        <f>(((B347*'Appendix K'!$C$5*1000)-('Appendix K'!$E$31+'Appendix K'!$F$31+'Appendix K'!$H$31+'Appendix K'!$G$31))/((1+$Y$16)^1))</f>
        <v>34971064.972647354</v>
      </c>
      <c r="Z347" s="193">
        <f>+(((C347*'Appendix K'!$C$6*1000)-('Appendix K'!$E$32+'Appendix K'!$F$32+'Appendix K'!$H$32+'Appendix K'!$G$32))/((1+$Y$16)^2))</f>
        <v>8335172.3723208299</v>
      </c>
      <c r="AA347" s="193">
        <f>(((D347*'Appendix K'!$C$7*1000)-('Appendix K'!$E$33+'Appendix K'!$F$33+'Appendix K'!$H$33+'Appendix K'!$G$33))/((1+$Y$16)^3))</f>
        <v>5242772.3965738779</v>
      </c>
      <c r="AB347" s="193">
        <f>(((E347*'Appendix K'!$C$8*1000)-('Appendix K'!$E$34+'Appendix K'!$F$34+'Appendix K'!$H$34+'Appendix K'!$G$34))/((1+$Y$16)^4))</f>
        <v>6890711.4691063482</v>
      </c>
      <c r="AC347" s="193">
        <f>(((F347*'Appendix K'!$C$9*1000)-('Appendix K'!$E$35+'Appendix K'!$F$35+'Appendix K'!$H$35+'Appendix K'!$G$35))/((1+$Y$16)^AC$34))</f>
        <v>10149611.30875713</v>
      </c>
      <c r="AD347" s="193">
        <f>(((G347*'Appendix K'!$C$10*1000)-('Appendix K'!$E$36+'Appendix K'!$F$36+'Appendix K'!$H$36+'Appendix K'!$G$36))/((1+$Y$16)^AD$34))</f>
        <v>5635743.6420111759</v>
      </c>
      <c r="AE347" s="193">
        <f>(((H347*'Appendix K'!$C$11*1000)-('Appendix K'!$E$37+'Appendix K'!$F$37+'Appendix K'!$H$37+'Appendix K'!$G$37))/((1+$Y$16)^AE$34))</f>
        <v>585336.25192155363</v>
      </c>
      <c r="AF347" s="193">
        <f>(((I347*'Appendix K'!$C$12*1000)-('Appendix K'!$E$38+'Appendix K'!$F$38+'Appendix K'!$H$38+'Appendix K'!$G$38))/((1+$Y$16)^AF$34))</f>
        <v>146982.56695138881</v>
      </c>
      <c r="AG347" s="193">
        <f>(((J347*'Appendix K'!$C$13*1000)-('Appendix K'!$E$39+'Appendix K'!$F$39+'Appendix K'!$H$39+'Appendix K'!$G$39))/((1+$Y$16)^AG$34))</f>
        <v>374191.78316727956</v>
      </c>
      <c r="AH347" s="193">
        <f>(((K347*'Appendix K'!$C$14*1000)-('Appendix K'!$E$40+'Appendix K'!$F$40+'Appendix K'!$H$40+'Appendix K'!$G$40))/((1+$Y$16)^AH$34))</f>
        <v>-1158739.9038478306</v>
      </c>
      <c r="AI347" s="193">
        <f>(((L347*'Appendix K'!$C$15*1000)-('Appendix K'!$E$41+'Appendix K'!$F$41+'Appendix K'!$H$41+'Appendix K'!$G$41))/((1+$Y$16)^AI$34))</f>
        <v>-1022456.9471014221</v>
      </c>
      <c r="AJ347" s="193">
        <f>(((M347*'Appendix K'!$C$16*1000)-('Appendix K'!$E$42+'Appendix K'!$F$42+'Appendix K'!$H$42+'Appendix K'!$G$42))/((1+$Y$16)^AJ$34))</f>
        <v>-810646.34930198104</v>
      </c>
      <c r="AK347" s="193">
        <f>(((N347*'Appendix K'!$C$17*1000)-('Appendix K'!$E$43+'Appendix K'!$F$43+'Appendix K'!$H$43))/((1+$Y$16)^AK$34))</f>
        <v>-509854.7187041656</v>
      </c>
      <c r="AL347" s="193">
        <f>(((O347*'Appendix K'!$C$18*1000)-('Appendix K'!$E$44+'Appendix K'!$F$44+'Appendix K'!$H$44+'Appendix K'!$G$44))/((1+$Y$16)^AL$34))</f>
        <v>-706802.0713699715</v>
      </c>
      <c r="AM347" s="193">
        <f>(((P347*'Appendix K'!$C$19*1000)-('Appendix K'!$E$45+'Appendix K'!$F$45+'Appendix K'!$H$45+'Appendix K'!$G$45))/((1+$Y$16)^AM$34))</f>
        <v>-646137.55167866056</v>
      </c>
      <c r="AN347" s="193">
        <f>(((Q347*'Appendix K'!$C$20*1000)-('Appendix K'!$E$46+'Appendix K'!$F$46+'Appendix K'!$H$46+'Appendix K'!$G$46))/((1+$Y$16)^AN$34))</f>
        <v>-645586.10050588974</v>
      </c>
      <c r="AO347" s="193">
        <f>(((R347*'Appendix K'!$C$21*1000)-('Appendix K'!$E$47+'Appendix K'!$F$47+'Appendix K'!$H$47+'Appendix K'!$G$47))/((1+$Y$16)^AO$34))</f>
        <v>-557037.58573464642</v>
      </c>
      <c r="AP347" s="193">
        <f>(((S347*'Appendix K'!$C$22*1000)-('Appendix K'!$E$48+'Appendix K'!$F$48+'Appendix K'!$H$48+'Appendix K'!$G$48))/((1+$Y$16)^AP$34))</f>
        <v>-578783.23782606714</v>
      </c>
      <c r="AQ347" s="193">
        <f>(((T347*'Appendix K'!$C$23*1000)-('Appendix K'!$E$49+'Appendix K'!$F$49+'Appendix K'!$H$49+'Appendix K'!$G$49))/((1+$Y$16)^AQ$34))</f>
        <v>-494202.88491367159</v>
      </c>
      <c r="AR347" s="193">
        <f>(((U347*'Appendix K'!$C$24*1000)-('Appendix K'!$E$50+'Appendix K'!$F$50+'Appendix K'!$H$50+'Appendix K'!$G$50))/((1+$Y$16)^AR$34))</f>
        <v>-585445.49382720992</v>
      </c>
      <c r="AS347" s="209">
        <f t="shared" si="24"/>
        <v>38736684.319381841</v>
      </c>
      <c r="AU347" s="199">
        <f t="shared" si="23"/>
        <v>4.8511365151289899E-9</v>
      </c>
    </row>
    <row r="348" spans="1:47" x14ac:dyDescent="0.35">
      <c r="A348">
        <v>314</v>
      </c>
      <c r="B348" s="70">
        <v>56</v>
      </c>
      <c r="C348" s="70">
        <v>57.603191482053404</v>
      </c>
      <c r="D348" s="70">
        <v>41.436371301405913</v>
      </c>
      <c r="E348" s="70">
        <v>43.496485244997153</v>
      </c>
      <c r="F348" s="70">
        <v>30.735989699013988</v>
      </c>
      <c r="G348" s="70">
        <v>40.961769472824841</v>
      </c>
      <c r="H348" s="70">
        <v>74.436294603676231</v>
      </c>
      <c r="I348" s="70">
        <v>21.951352862364139</v>
      </c>
      <c r="J348" s="70">
        <v>28.59623875310141</v>
      </c>
      <c r="K348" s="70">
        <v>33.157991366972226</v>
      </c>
      <c r="L348" s="70">
        <v>33.310145161554921</v>
      </c>
      <c r="M348" s="70">
        <v>26.339621165823992</v>
      </c>
      <c r="N348" s="70">
        <v>40.826605547349097</v>
      </c>
      <c r="O348" s="70">
        <v>29.981776051560455</v>
      </c>
      <c r="P348" s="70">
        <v>36.853975541476402</v>
      </c>
      <c r="Q348" s="70">
        <v>36.359859478677741</v>
      </c>
      <c r="R348" s="70">
        <v>46.816441745535926</v>
      </c>
      <c r="S348" s="70">
        <v>53.906138116472974</v>
      </c>
      <c r="T348" s="70">
        <v>74.371619746694421</v>
      </c>
      <c r="U348" s="70">
        <v>97.208281355013924</v>
      </c>
      <c r="V348" s="70">
        <v>106.39718430919763</v>
      </c>
      <c r="X348" s="193">
        <f>((0-('Appendix K'!$I$30))/(1+$Y$16)^0)</f>
        <v>-33594902.4440751</v>
      </c>
      <c r="Y348" s="193">
        <f>(((B348*'Appendix K'!$C$5*1000)-('Appendix K'!$E$31+'Appendix K'!$F$31+'Appendix K'!$H$31+'Appendix K'!$G$31))/((1+$Y$16)^1))</f>
        <v>34971064.972647354</v>
      </c>
      <c r="Z348" s="193">
        <f>+(((C348*'Appendix K'!$C$6*1000)-('Appendix K'!$E$32+'Appendix K'!$F$32+'Appendix K'!$H$32+'Appendix K'!$G$32))/((1+$Y$16)^2))</f>
        <v>11064303.69301199</v>
      </c>
      <c r="AA348" s="193">
        <f>(((D348*'Appendix K'!$C$7*1000)-('Appendix K'!$E$33+'Appendix K'!$F$33+'Appendix K'!$H$33+'Appendix K'!$G$33))/((1+$Y$16)^3))</f>
        <v>2313054.4425932351</v>
      </c>
      <c r="AB348" s="193">
        <f>(((E348*'Appendix K'!$C$8*1000)-('Appendix K'!$E$34+'Appendix K'!$F$34+'Appendix K'!$H$34+'Appendix K'!$G$34))/((1+$Y$16)^4))</f>
        <v>6240823.5048506279</v>
      </c>
      <c r="AC348" s="193">
        <f>(((F348*'Appendix K'!$C$9*1000)-('Appendix K'!$E$35+'Appendix K'!$F$35+'Appendix K'!$H$35+'Appendix K'!$G$35))/((1+$Y$16)^AC$34))</f>
        <v>5185349.2786739217</v>
      </c>
      <c r="AD348" s="193">
        <f>(((G348*'Appendix K'!$C$10*1000)-('Appendix K'!$E$36+'Appendix K'!$F$36+'Appendix K'!$H$36+'Appendix K'!$G$36))/((1+$Y$16)^AD$34))</f>
        <v>3917035.1613219529</v>
      </c>
      <c r="AE348" s="193">
        <f>(((H348*'Appendix K'!$C$11*1000)-('Appendix K'!$E$37+'Appendix K'!$F$37+'Appendix K'!$H$37+'Appendix K'!$G$37))/((1+$Y$16)^AE$34))</f>
        <v>5204158.5577542176</v>
      </c>
      <c r="AF348" s="193">
        <f>(((I348*'Appendix K'!$C$12*1000)-('Appendix K'!$E$38+'Appendix K'!$F$38+'Appendix K'!$H$38+'Appendix K'!$G$38))/((1+$Y$16)^AF$34))</f>
        <v>-555199.90491181286</v>
      </c>
      <c r="AG348" s="193">
        <f>(((J348*'Appendix K'!$C$13*1000)-('Appendix K'!$E$39+'Appendix K'!$F$39+'Appendix K'!$H$39+'Appendix K'!$G$39))/((1+$Y$16)^AG$34))</f>
        <v>-498975.48830199556</v>
      </c>
      <c r="AH348" s="193">
        <f>(((K348*'Appendix K'!$C$14*1000)-('Appendix K'!$E$40+'Appendix K'!$F$40+'Appendix K'!$H$40+'Appendix K'!$G$40))/((1+$Y$16)^AH$34))</f>
        <v>-515100.43286850944</v>
      </c>
      <c r="AI348" s="193">
        <f>(((L348*'Appendix K'!$C$15*1000)-('Appendix K'!$E$41+'Appendix K'!$F$41+'Appendix K'!$H$41+'Appendix K'!$G$41))/((1+$Y$16)^AI$34))</f>
        <v>-643693.25482139678</v>
      </c>
      <c r="AJ348" s="193">
        <f>(((M348*'Appendix K'!$C$16*1000)-('Appendix K'!$E$42+'Appendix K'!$F$42+'Appendix K'!$H$42+'Appendix K'!$G$42))/((1+$Y$16)^AJ$34))</f>
        <v>-853655.77505290858</v>
      </c>
      <c r="AK348" s="193">
        <f>(((N348*'Appendix K'!$C$17*1000)-('Appendix K'!$E$43+'Appendix K'!$F$43+'Appendix K'!$H$43))/((1+$Y$16)^AK$34))</f>
        <v>-377002.83500638482</v>
      </c>
      <c r="AL348" s="193">
        <f>(((O348*'Appendix K'!$C$18*1000)-('Appendix K'!$E$44+'Appendix K'!$F$44+'Appendix K'!$H$44+'Appendix K'!$G$44))/((1+$Y$16)^AL$34))</f>
        <v>-779206.31192970451</v>
      </c>
      <c r="AM348" s="193">
        <f>(((P348*'Appendix K'!$C$19*1000)-('Appendix K'!$E$45+'Appendix K'!$F$45+'Appendix K'!$H$45+'Appendix K'!$G$45))/((1+$Y$16)^AM$34))</f>
        <v>-685176.32734032127</v>
      </c>
      <c r="AN348" s="193">
        <f>(((Q348*'Appendix K'!$C$20*1000)-('Appendix K'!$E$46+'Appendix K'!$F$46+'Appendix K'!$H$46+'Appendix K'!$G$46))/((1+$Y$16)^AN$34))</f>
        <v>-652601.0095550312</v>
      </c>
      <c r="AO348" s="193">
        <f>(((R348*'Appendix K'!$C$21*1000)-('Appendix K'!$E$47+'Appendix K'!$F$47+'Appendix K'!$H$47+'Appendix K'!$G$47))/((1+$Y$16)^AO$34))</f>
        <v>-566308.58238251833</v>
      </c>
      <c r="AP348" s="193">
        <f>(((S348*'Appendix K'!$C$22*1000)-('Appendix K'!$E$48+'Appendix K'!$F$48+'Appendix K'!$H$48+'Appendix K'!$G$48))/((1+$Y$16)^AP$34))</f>
        <v>-506257.96044506627</v>
      </c>
      <c r="AQ348" s="193">
        <f>(((T348*'Appendix K'!$C$23*1000)-('Appendix K'!$E$49+'Appendix K'!$F$49+'Appendix K'!$H$49+'Appendix K'!$G$49))/((1+$Y$16)^AQ$34))</f>
        <v>-402414.15144617355</v>
      </c>
      <c r="AR348" s="193">
        <f>(((U348*'Appendix K'!$C$24*1000)-('Appendix K'!$E$50+'Appendix K'!$F$50+'Appendix K'!$H$50+'Appendix K'!$G$50))/((1+$Y$16)^AR$34))</f>
        <v>-316275.47968007473</v>
      </c>
      <c r="AS348" s="209">
        <f t="shared" si="24"/>
        <v>35300887.166778199</v>
      </c>
      <c r="AU348" s="199">
        <f t="shared" si="23"/>
        <v>4.5962256668796794E-9</v>
      </c>
    </row>
    <row r="349" spans="1:47" x14ac:dyDescent="0.35">
      <c r="A349">
        <v>315</v>
      </c>
      <c r="B349" s="70">
        <v>56</v>
      </c>
      <c r="C349" s="70">
        <v>75.592582758128458</v>
      </c>
      <c r="D349" s="70">
        <v>99.839032168454054</v>
      </c>
      <c r="E349" s="70">
        <v>128.2252728834992</v>
      </c>
      <c r="F349" s="70">
        <v>114.67768935290178</v>
      </c>
      <c r="G349" s="70">
        <v>70.407451752520643</v>
      </c>
      <c r="H349" s="70">
        <v>65.05781309130289</v>
      </c>
      <c r="I349" s="70">
        <v>75.38976884182344</v>
      </c>
      <c r="J349" s="70">
        <v>93.941019624647836</v>
      </c>
      <c r="K349" s="70">
        <v>125.37234865953761</v>
      </c>
      <c r="L349" s="70">
        <v>134.12759323532003</v>
      </c>
      <c r="M349" s="70">
        <v>144.46176458703616</v>
      </c>
      <c r="N349" s="70">
        <v>114.95346537642611</v>
      </c>
      <c r="O349" s="70">
        <v>148.21348819715433</v>
      </c>
      <c r="P349" s="70">
        <v>118.67651647279062</v>
      </c>
      <c r="Q349" s="70">
        <v>105.66656942373481</v>
      </c>
      <c r="R349" s="70">
        <v>134.55710813642943</v>
      </c>
      <c r="S349" s="70">
        <v>200.4243465653949</v>
      </c>
      <c r="T349" s="70">
        <v>185.94420894868307</v>
      </c>
      <c r="U349" s="70">
        <v>252.66738359546611</v>
      </c>
      <c r="V349" s="70">
        <v>335.47865664627295</v>
      </c>
      <c r="X349" s="193">
        <f>((0-('Appendix K'!$I$30))/(1+$Y$16)^0)</f>
        <v>-33594902.4440751</v>
      </c>
      <c r="Y349" s="193">
        <f>(((B349*'Appendix K'!$C$5*1000)-('Appendix K'!$E$31+'Appendix K'!$F$31+'Appendix K'!$H$31+'Appendix K'!$G$31))/((1+$Y$16)^1))</f>
        <v>34971064.972647354</v>
      </c>
      <c r="Z349" s="193">
        <f>+(((C349*'Appendix K'!$C$6*1000)-('Appendix K'!$E$32+'Appendix K'!$F$32+'Appendix K'!$H$32+'Appendix K'!$G$32))/((1+$Y$16)^2))</f>
        <v>15608731.604139773</v>
      </c>
      <c r="AA349" s="193">
        <f>(((D349*'Appendix K'!$C$7*1000)-('Appendix K'!$E$33+'Appendix K'!$F$33+'Appendix K'!$H$33+'Appendix K'!$G$33))/((1+$Y$16)^3))</f>
        <v>9752085.9159281552</v>
      </c>
      <c r="AB349" s="193">
        <f>(((E349*'Appendix K'!$C$8*1000)-('Appendix K'!$E$34+'Appendix K'!$F$34+'Appendix K'!$H$34+'Appendix K'!$G$34))/((1+$Y$16)^4))</f>
        <v>24812598.137812894</v>
      </c>
      <c r="AC349" s="193">
        <f>(((F349*'Appendix K'!$C$9*1000)-('Appendix K'!$E$35+'Appendix K'!$F$35+'Appendix K'!$H$35+'Appendix K'!$G$35))/((1+$Y$16)^AC$34))</f>
        <v>27496921.234555155</v>
      </c>
      <c r="AD349" s="193">
        <f>(((G349*'Appendix K'!$C$10*1000)-('Appendix K'!$E$36+'Appendix K'!$F$36+'Appendix K'!$H$36+'Appendix K'!$G$36))/((1+$Y$16)^AD$34))</f>
        <v>8541301.4616194088</v>
      </c>
      <c r="AE349" s="193">
        <f>(((H349*'Appendix K'!$C$11*1000)-('Appendix K'!$E$37+'Appendix K'!$F$37+'Appendix K'!$H$37+'Appendix K'!$G$37))/((1+$Y$16)^AE$34))</f>
        <v>4268771.0496233068</v>
      </c>
      <c r="AF349" s="193">
        <f>(((I349*'Appendix K'!$C$12*1000)-('Appendix K'!$E$38+'Appendix K'!$F$38+'Appendix K'!$H$38+'Appendix K'!$G$38))/((1+$Y$16)^AF$34))</f>
        <v>2953696.1854212228</v>
      </c>
      <c r="AG349" s="193">
        <f>(((J349*'Appendix K'!$C$13*1000)-('Appendix K'!$E$39+'Appendix K'!$F$39+'Appendix K'!$H$39+'Appendix K'!$G$39))/((1+$Y$16)^AG$34))</f>
        <v>2508121.5758908028</v>
      </c>
      <c r="AH349" s="193">
        <f>(((K349*'Appendix K'!$C$14*1000)-('Appendix K'!$E$40+'Appendix K'!$F$40+'Appendix K'!$H$40+'Appendix K'!$G$40))/((1+$Y$16)^AH$34))</f>
        <v>2593125.2685149978</v>
      </c>
      <c r="AI349" s="193">
        <f>(((L349*'Appendix K'!$C$15*1000)-('Appendix K'!$E$41+'Appendix K'!$F$41+'Appendix K'!$H$41+'Appendix K'!$G$41))/((1+$Y$16)^AI$34))</f>
        <v>1997912.4142636049</v>
      </c>
      <c r="AJ349" s="193">
        <f>(((M349*'Appendix K'!$C$16*1000)-('Appendix K'!$E$42+'Appendix K'!$F$42+'Appendix K'!$H$42+'Appendix K'!$G$42))/((1+$Y$16)^AJ$34))</f>
        <v>1513732.5105451031</v>
      </c>
      <c r="AK349" s="193">
        <f>(((N349*'Appendix K'!$C$17*1000)-('Appendix K'!$E$43+'Appendix K'!$F$43+'Appendix K'!$H$43))/((1+$Y$16)^AK$34))</f>
        <v>761874.63863385154</v>
      </c>
      <c r="AL349" s="193">
        <f>(((O349*'Appendix K'!$C$18*1000)-('Appendix K'!$E$44+'Appendix K'!$F$44+'Appendix K'!$H$44+'Appendix K'!$G$44))/((1+$Y$16)^AL$34))</f>
        <v>622228.96206468414</v>
      </c>
      <c r="AM349" s="193">
        <f>(((P349*'Appendix K'!$C$19*1000)-('Appendix K'!$E$45+'Appendix K'!$F$45+'Appendix K'!$H$45+'Appendix K'!$G$45))/((1+$Y$16)^AM$34))</f>
        <v>73214.859114276769</v>
      </c>
      <c r="AN349" s="193">
        <f>(((Q349*'Appendix K'!$C$20*1000)-('Appendix K'!$E$46+'Appendix K'!$F$46+'Appendix K'!$H$46+'Appendix K'!$G$46))/((1+$Y$16)^AN$34))</f>
        <v>-151082.62439894135</v>
      </c>
      <c r="AO349" s="193">
        <f>(((R349*'Appendix K'!$C$21*1000)-('Appendix K'!$E$47+'Appendix K'!$F$47+'Appendix K'!$H$47+'Appendix K'!$G$47))/((1+$Y$16)^AO$34))</f>
        <v>-47751.550419984495</v>
      </c>
      <c r="AP349" s="193">
        <f>(((S349*'Appendix K'!$C$22*1000)-('Appendix K'!$E$48+'Appendix K'!$F$48+'Appendix K'!$H$48+'Appendix K'!$G$48))/((1+$Y$16)^AP$34))</f>
        <v>195523.13647173101</v>
      </c>
      <c r="AQ349" s="193">
        <f>(((T349*'Appendix K'!$C$23*1000)-('Appendix K'!$E$49+'Appendix K'!$F$49+'Appendix K'!$H$49+'Appendix K'!$G$49))/((1+$Y$16)^AQ$34))</f>
        <v>34252.399375035173</v>
      </c>
      <c r="AR349" s="193">
        <f>(((U349*'Appendix K'!$C$24*1000)-('Appendix K'!$E$50+'Appendix K'!$F$50+'Appendix K'!$H$50+'Appendix K'!$G$50))/((1+$Y$16)^AR$34))</f>
        <v>184307.1853207805</v>
      </c>
      <c r="AS349" s="209">
        <f t="shared" si="24"/>
        <v>105294561.06786704</v>
      </c>
      <c r="AU349" s="199">
        <f t="shared" si="23"/>
        <v>6.6967792726642668E-9</v>
      </c>
    </row>
    <row r="350" spans="1:47" x14ac:dyDescent="0.35">
      <c r="A350">
        <v>316</v>
      </c>
      <c r="B350" s="70">
        <v>56</v>
      </c>
      <c r="C350" s="70">
        <v>54.358281195999979</v>
      </c>
      <c r="D350" s="70">
        <v>64.682358082453021</v>
      </c>
      <c r="E350" s="70">
        <v>100.01651667214507</v>
      </c>
      <c r="F350" s="70">
        <v>145.05127822170076</v>
      </c>
      <c r="G350" s="70">
        <v>152.08918328398676</v>
      </c>
      <c r="H350" s="70">
        <v>156.92158531506709</v>
      </c>
      <c r="I350" s="70">
        <v>200.42257967740332</v>
      </c>
      <c r="J350" s="70">
        <v>167.51095267930373</v>
      </c>
      <c r="K350" s="70">
        <v>202.42411524865207</v>
      </c>
      <c r="L350" s="70">
        <v>276.22556385245048</v>
      </c>
      <c r="M350" s="70">
        <v>401.71659055310192</v>
      </c>
      <c r="N350" s="70">
        <v>427.11685181423218</v>
      </c>
      <c r="O350" s="70">
        <v>500</v>
      </c>
      <c r="P350" s="70">
        <v>500</v>
      </c>
      <c r="Q350" s="70">
        <v>401.10007660006033</v>
      </c>
      <c r="R350" s="70">
        <v>441.82808007976257</v>
      </c>
      <c r="S350" s="70">
        <v>319.62004906863052</v>
      </c>
      <c r="T350" s="70">
        <v>338.78996952073709</v>
      </c>
      <c r="U350" s="70">
        <v>295.7068838208607</v>
      </c>
      <c r="V350" s="70">
        <v>483.22296249984083</v>
      </c>
      <c r="X350" s="193">
        <f>((0-('Appendix K'!$I$30))/(1+$Y$16)^0)</f>
        <v>-33594902.4440751</v>
      </c>
      <c r="Y350" s="193">
        <f>(((B350*'Appendix K'!$C$5*1000)-('Appendix K'!$E$31+'Appendix K'!$F$31+'Appendix K'!$H$31+'Appendix K'!$G$31))/((1+$Y$16)^1))</f>
        <v>34971064.972647354</v>
      </c>
      <c r="Z350" s="193">
        <f>+(((C350*'Appendix K'!$C$6*1000)-('Appendix K'!$E$32+'Appendix K'!$F$32+'Appendix K'!$H$32+'Appendix K'!$G$32))/((1+$Y$16)^2))</f>
        <v>10244583.856651625</v>
      </c>
      <c r="AA350" s="193">
        <f>(((D350*'Appendix K'!$C$7*1000)-('Appendix K'!$E$33+'Appendix K'!$F$33+'Appendix K'!$H$33+'Appendix K'!$G$33))/((1+$Y$16)^3))</f>
        <v>5274009.0416756524</v>
      </c>
      <c r="AB350" s="193">
        <f>(((E350*'Appendix K'!$C$8*1000)-('Appendix K'!$E$34+'Appendix K'!$F$34+'Appendix K'!$H$34+'Appendix K'!$G$34))/((1+$Y$16)^4))</f>
        <v>18629497.002592809</v>
      </c>
      <c r="AC350" s="193">
        <f>(((F350*'Appendix K'!$C$9*1000)-('Appendix K'!$E$35+'Appendix K'!$F$35+'Appendix K'!$H$35+'Appendix K'!$G$35))/((1+$Y$16)^AC$34))</f>
        <v>35570173.460788518</v>
      </c>
      <c r="AD350" s="193">
        <f>(((G350*'Appendix K'!$C$10*1000)-('Appendix K'!$E$36+'Appendix K'!$F$36+'Appendix K'!$H$36+'Appendix K'!$G$36))/((1+$Y$16)^AD$34))</f>
        <v>21368923.348015893</v>
      </c>
      <c r="AE350" s="193">
        <f>(((H350*'Appendix K'!$C$11*1000)-('Appendix K'!$E$37+'Appendix K'!$F$37+'Appendix K'!$H$37+'Appendix K'!$G$37))/((1+$Y$16)^AE$34))</f>
        <v>13431045.867196329</v>
      </c>
      <c r="AF350" s="193">
        <f>(((I350*'Appendix K'!$C$12*1000)-('Appendix K'!$E$38+'Appendix K'!$F$38+'Appendix K'!$H$38+'Appendix K'!$G$38))/((1+$Y$16)^AF$34))</f>
        <v>11163654.004398391</v>
      </c>
      <c r="AG350" s="193">
        <f>(((J350*'Appendix K'!$C$13*1000)-('Appendix K'!$E$39+'Appendix K'!$F$39+'Appendix K'!$H$39+'Appendix K'!$G$39))/((1+$Y$16)^AG$34))</f>
        <v>5893731.3637085957</v>
      </c>
      <c r="AH350" s="193">
        <f>(((K350*'Appendix K'!$C$14*1000)-('Appendix K'!$E$40+'Appendix K'!$F$40+'Appendix K'!$H$40+'Appendix K'!$G$40))/((1+$Y$16)^AH$34))</f>
        <v>5190272.7006600071</v>
      </c>
      <c r="AI350" s="193">
        <f>(((L350*'Appendix K'!$C$15*1000)-('Appendix K'!$E$41+'Appendix K'!$F$41+'Appendix K'!$H$41+'Appendix K'!$G$41))/((1+$Y$16)^AI$34))</f>
        <v>5721144.9689404611</v>
      </c>
      <c r="AJ350" s="193">
        <f>(((M350*'Appendix K'!$C$16*1000)-('Appendix K'!$E$42+'Appendix K'!$F$42+'Appendix K'!$H$42+'Appendix K'!$G$42))/((1+$Y$16)^AJ$34))</f>
        <v>6669599.5119921174</v>
      </c>
      <c r="AK350" s="193">
        <f>(((N350*'Appendix K'!$C$17*1000)-('Appendix K'!$E$43+'Appendix K'!$F$43+'Appendix K'!$H$43))/((1+$Y$16)^AK$34))</f>
        <v>5557920.8994497545</v>
      </c>
      <c r="AL350" s="193">
        <f>(((O350*'Appendix K'!$C$18*1000)-('Appendix K'!$E$44+'Appendix K'!$F$44+'Appendix K'!$H$44+'Appendix K'!$G$44))/((1+$Y$16)^AL$34))</f>
        <v>4792058.0003928225</v>
      </c>
      <c r="AM350" s="193">
        <f>(((P350*'Appendix K'!$C$19*1000)-('Appendix K'!$E$45+'Appendix K'!$F$45+'Appendix K'!$H$45+'Appendix K'!$G$45))/((1+$Y$16)^AM$34))</f>
        <v>3607599.9540230581</v>
      </c>
      <c r="AN350" s="193">
        <f>(((Q350*'Appendix K'!$C$20*1000)-('Appendix K'!$E$46+'Appendix K'!$F$46+'Appendix K'!$H$46+'Appendix K'!$G$46))/((1+$Y$16)^AN$34))</f>
        <v>1986738.3103637821</v>
      </c>
      <c r="AO350" s="193">
        <f>(((R350*'Appendix K'!$C$21*1000)-('Appendix K'!$E$47+'Appendix K'!$F$47+'Appendix K'!$H$47+'Appendix K'!$G$47))/((1+$Y$16)^AO$34))</f>
        <v>1768253.8410744581</v>
      </c>
      <c r="AP350" s="193">
        <f>(((S350*'Appendix K'!$C$22*1000)-('Appendix K'!$E$48+'Appendix K'!$F$48+'Appendix K'!$H$48+'Appendix K'!$G$48))/((1+$Y$16)^AP$34))</f>
        <v>766437.09819717833</v>
      </c>
      <c r="AQ350" s="193">
        <f>(((T350*'Appendix K'!$C$23*1000)-('Appendix K'!$E$49+'Appendix K'!$F$49+'Appendix K'!$H$49+'Appendix K'!$G$49))/((1+$Y$16)^AQ$34))</f>
        <v>632451.57673582644</v>
      </c>
      <c r="AR350" s="193">
        <f>(((U350*'Appendix K'!$C$24*1000)-('Appendix K'!$E$50+'Appendix K'!$F$50+'Appendix K'!$H$50+'Appendix K'!$G$50))/((1+$Y$16)^AR$34))</f>
        <v>322895.58196422068</v>
      </c>
      <c r="AS350" s="209">
        <f t="shared" si="24"/>
        <v>159967152.9173938</v>
      </c>
      <c r="AU350" s="199">
        <f t="shared" si="23"/>
        <v>3.1189589810301535E-9</v>
      </c>
    </row>
    <row r="351" spans="1:47" x14ac:dyDescent="0.35">
      <c r="A351">
        <v>317</v>
      </c>
      <c r="B351" s="70">
        <v>56</v>
      </c>
      <c r="C351" s="70">
        <v>54.591164776547814</v>
      </c>
      <c r="D351" s="70">
        <v>42.589448293692953</v>
      </c>
      <c r="E351" s="70">
        <v>27.71283511236787</v>
      </c>
      <c r="F351" s="70">
        <v>24.108674685362772</v>
      </c>
      <c r="G351" s="70">
        <v>19.108600438068237</v>
      </c>
      <c r="H351" s="70">
        <v>17.543815134388581</v>
      </c>
      <c r="I351" s="70">
        <v>13.469875293303785</v>
      </c>
      <c r="J351" s="70">
        <v>15.073817611778226</v>
      </c>
      <c r="K351" s="70">
        <v>8.9759497094528538</v>
      </c>
      <c r="L351" s="70">
        <v>6.0917354187637791</v>
      </c>
      <c r="M351" s="70">
        <v>4.0564337008507421</v>
      </c>
      <c r="N351" s="70">
        <v>4.8685587200508706</v>
      </c>
      <c r="O351" s="70">
        <v>4.9714228751116014</v>
      </c>
      <c r="P351" s="70">
        <v>4.4143421094482553</v>
      </c>
      <c r="Q351" s="70">
        <v>6.3775170942390709</v>
      </c>
      <c r="R351" s="70">
        <v>7.9837609065008861</v>
      </c>
      <c r="S351" s="70">
        <v>8.4023988962852556</v>
      </c>
      <c r="T351" s="70">
        <v>9.999453704469369</v>
      </c>
      <c r="U351" s="70">
        <v>8.562377069768921</v>
      </c>
      <c r="V351" s="70">
        <v>4.440655435869961</v>
      </c>
      <c r="X351" s="193">
        <f>((0-('Appendix K'!$I$30))/(1+$Y$16)^0)</f>
        <v>-33594902.4440751</v>
      </c>
      <c r="Y351" s="193">
        <f>(((B351*'Appendix K'!$C$5*1000)-('Appendix K'!$E$31+'Appendix K'!$F$31+'Appendix K'!$H$31+'Appendix K'!$G$31))/((1+$Y$16)^1))</f>
        <v>34971064.972647354</v>
      </c>
      <c r="Z351" s="193">
        <f>+(((C351*'Appendix K'!$C$6*1000)-('Appendix K'!$E$32+'Appendix K'!$F$32+'Appendix K'!$H$32+'Appendix K'!$G$32))/((1+$Y$16)^2))</f>
        <v>10303414.23213478</v>
      </c>
      <c r="AA351" s="193">
        <f>(((D351*'Appendix K'!$C$7*1000)-('Appendix K'!$E$33+'Appendix K'!$F$33+'Appendix K'!$H$33+'Appendix K'!$G$33))/((1+$Y$16)^3))</f>
        <v>2459927.4773052786</v>
      </c>
      <c r="AB351" s="193">
        <f>(((E351*'Appendix K'!$C$8*1000)-('Appendix K'!$E$34+'Appendix K'!$F$34+'Appendix K'!$H$34+'Appendix K'!$G$34))/((1+$Y$16)^4))</f>
        <v>2781191.8811884825</v>
      </c>
      <c r="AC351" s="193">
        <f>(((F351*'Appendix K'!$C$9*1000)-('Appendix K'!$E$35+'Appendix K'!$F$35+'Appendix K'!$H$35+'Appendix K'!$G$35))/((1+$Y$16)^AC$34))</f>
        <v>3423819.3547974913</v>
      </c>
      <c r="AD351" s="193">
        <f>(((G351*'Appendix K'!$C$10*1000)-('Appendix K'!$E$36+'Appendix K'!$F$36+'Appendix K'!$H$36+'Appendix K'!$G$36))/((1+$Y$16)^AD$34))</f>
        <v>485127.1429497315</v>
      </c>
      <c r="AE351" s="193">
        <f>(((H351*'Appendix K'!$C$11*1000)-('Appendix K'!$E$37+'Appendix K'!$F$37+'Appendix K'!$H$37+'Appendix K'!$G$37))/((1+$Y$16)^AE$34))</f>
        <v>-470162.44314083015</v>
      </c>
      <c r="AF351" s="193">
        <f>(((I351*'Appendix K'!$C$12*1000)-('Appendix K'!$E$38+'Appendix K'!$F$38+'Appendix K'!$H$38+'Appendix K'!$G$38))/((1+$Y$16)^AF$34))</f>
        <v>-1112114.3069734799</v>
      </c>
      <c r="AG351" s="193">
        <f>(((J351*'Appendix K'!$C$13*1000)-('Appendix K'!$E$39+'Appendix K'!$F$39+'Appendix K'!$H$39+'Appendix K'!$G$39))/((1+$Y$16)^AG$34))</f>
        <v>-1121262.8748767034</v>
      </c>
      <c r="AH351" s="193">
        <f>(((K351*'Appendix K'!$C$14*1000)-('Appendix K'!$E$40+'Appendix K'!$F$40+'Appendix K'!$H$40+'Appendix K'!$G$40))/((1+$Y$16)^AH$34))</f>
        <v>-1330193.067016145</v>
      </c>
      <c r="AI351" s="193">
        <f>(((L351*'Appendix K'!$C$15*1000)-('Appendix K'!$E$41+'Appendix K'!$F$41+'Appendix K'!$H$41+'Appendix K'!$G$41))/((1+$Y$16)^AI$34))</f>
        <v>-1356866.488758326</v>
      </c>
      <c r="AJ351" s="193">
        <f>(((M351*'Appendix K'!$C$16*1000)-('Appendix K'!$E$42+'Appendix K'!$F$42+'Appendix K'!$H$42+'Appendix K'!$G$42))/((1+$Y$16)^AJ$34))</f>
        <v>-1300252.4540705774</v>
      </c>
      <c r="AK351" s="193">
        <f>(((N351*'Appendix K'!$C$17*1000)-('Appendix K'!$E$43+'Appendix K'!$F$43+'Appendix K'!$H$43))/((1+$Y$16)^AK$34))</f>
        <v>-929458.57941722451</v>
      </c>
      <c r="AL351" s="193">
        <f>(((O351*'Appendix K'!$C$18*1000)-('Appendix K'!$E$44+'Appendix K'!$F$44+'Appendix K'!$H$44+'Appendix K'!$G$44))/((1+$Y$16)^AL$34))</f>
        <v>-1075661.3874797479</v>
      </c>
      <c r="AM351" s="193">
        <f>(((P351*'Appendix K'!$C$19*1000)-('Appendix K'!$E$45+'Appendix K'!$F$45+'Appendix K'!$H$45+'Appendix K'!$G$45))/((1+$Y$16)^AM$34))</f>
        <v>-985850.58906142949</v>
      </c>
      <c r="AN351" s="193">
        <f>(((Q351*'Appendix K'!$C$20*1000)-('Appendix K'!$E$46+'Appendix K'!$F$46+'Appendix K'!$H$46+'Appendix K'!$G$46))/((1+$Y$16)^AN$34))</f>
        <v>-869559.74194560386</v>
      </c>
      <c r="AO351" s="193">
        <f>(((R351*'Appendix K'!$C$21*1000)-('Appendix K'!$E$47+'Appendix K'!$F$47+'Appendix K'!$H$47+'Appendix K'!$G$47))/((1+$Y$16)^AO$34))</f>
        <v>-795814.01637735707</v>
      </c>
      <c r="AP351" s="193">
        <f>(((S351*'Appendix K'!$C$22*1000)-('Appendix K'!$E$48+'Appendix K'!$F$48+'Appendix K'!$H$48+'Appendix K'!$G$48))/((1+$Y$16)^AP$34))</f>
        <v>-724208.10030697763</v>
      </c>
      <c r="AQ351" s="193">
        <f>(((T351*'Appendix K'!$C$23*1000)-('Appendix K'!$E$49+'Appendix K'!$F$49+'Appendix K'!$H$49+'Appendix K'!$G$49))/((1+$Y$16)^AQ$34))</f>
        <v>-654350.32963829476</v>
      </c>
      <c r="AR351" s="193">
        <f>(((U351*'Appendix K'!$C$24*1000)-('Appendix K'!$E$50+'Appendix K'!$F$50+'Appendix K'!$H$50+'Appendix K'!$G$50))/((1+$Y$16)^AR$34))</f>
        <v>-601717.7752356187</v>
      </c>
      <c r="AS351" s="209">
        <f t="shared" si="24"/>
        <v>20829642.616948016</v>
      </c>
      <c r="AU351" s="199">
        <f t="shared" si="23"/>
        <v>3.5171719957037773E-9</v>
      </c>
    </row>
    <row r="352" spans="1:47" x14ac:dyDescent="0.35">
      <c r="A352">
        <v>318</v>
      </c>
      <c r="B352" s="70">
        <v>56</v>
      </c>
      <c r="C352" s="70">
        <v>55.758663609160124</v>
      </c>
      <c r="D352" s="70">
        <v>62.897335985304188</v>
      </c>
      <c r="E352" s="70">
        <v>57.33214526348582</v>
      </c>
      <c r="F352" s="70">
        <v>59.162104654272831</v>
      </c>
      <c r="G352" s="70">
        <v>82.479740837453846</v>
      </c>
      <c r="H352" s="70">
        <v>46.56615032180305</v>
      </c>
      <c r="I352" s="70">
        <v>40.259321721349878</v>
      </c>
      <c r="J352" s="70">
        <v>45.733802423723496</v>
      </c>
      <c r="K352" s="70">
        <v>57.839608546631339</v>
      </c>
      <c r="L352" s="70">
        <v>78.594412354030965</v>
      </c>
      <c r="M352" s="70">
        <v>83.273628354836774</v>
      </c>
      <c r="N352" s="70">
        <v>83.720381161179205</v>
      </c>
      <c r="O352" s="70">
        <v>103.63150857782365</v>
      </c>
      <c r="P352" s="70">
        <v>164.06362266821486</v>
      </c>
      <c r="Q352" s="70">
        <v>181.75734659890819</v>
      </c>
      <c r="R352" s="70">
        <v>189.64257720033379</v>
      </c>
      <c r="S352" s="70">
        <v>164.56914858008739</v>
      </c>
      <c r="T352" s="70">
        <v>278.85806305316828</v>
      </c>
      <c r="U352" s="70">
        <v>270.88206712864593</v>
      </c>
      <c r="V352" s="70">
        <v>333.10923200894473</v>
      </c>
      <c r="X352" s="193">
        <f>((0-('Appendix K'!$I$30))/(1+$Y$16)^0)</f>
        <v>-33594902.4440751</v>
      </c>
      <c r="Y352" s="193">
        <f>(((B352*'Appendix K'!$C$5*1000)-('Appendix K'!$E$31+'Appendix K'!$F$31+'Appendix K'!$H$31+'Appendix K'!$G$31))/((1+$Y$16)^1))</f>
        <v>34971064.972647354</v>
      </c>
      <c r="Z352" s="193">
        <f>+(((C352*'Appendix K'!$C$6*1000)-('Appendix K'!$E$32+'Appendix K'!$F$32+'Appendix K'!$H$32+'Appendix K'!$G$32))/((1+$Y$16)^2))</f>
        <v>10598344.405130055</v>
      </c>
      <c r="AA352" s="193">
        <f>(((D352*'Appendix K'!$C$7*1000)-('Appendix K'!$E$33+'Appendix K'!$F$33+'Appendix K'!$H$33+'Appendix K'!$G$33))/((1+$Y$16)^3))</f>
        <v>5046642.0798942819</v>
      </c>
      <c r="AB352" s="193">
        <f>(((E352*'Appendix K'!$C$8*1000)-('Appendix K'!$E$34+'Appendix K'!$F$34+'Appendix K'!$H$34+'Appendix K'!$G$34))/((1+$Y$16)^4))</f>
        <v>9273473.5276262965</v>
      </c>
      <c r="AC352" s="193">
        <f>(((F352*'Appendix K'!$C$9*1000)-('Appendix K'!$E$35+'Appendix K'!$F$35+'Appendix K'!$H$35+'Appendix K'!$G$35))/((1+$Y$16)^AC$34))</f>
        <v>12740965.996771131</v>
      </c>
      <c r="AD352" s="193">
        <f>(((G352*'Appendix K'!$C$10*1000)-('Appendix K'!$E$36+'Appendix K'!$F$36+'Appendix K'!$H$36+'Appendix K'!$G$36))/((1+$Y$16)^AD$34))</f>
        <v>10437181.443364633</v>
      </c>
      <c r="AE352" s="193">
        <f>(((H352*'Appendix K'!$C$11*1000)-('Appendix K'!$E$37+'Appendix K'!$F$37+'Appendix K'!$H$37+'Appendix K'!$G$37))/((1+$Y$16)^AE$34))</f>
        <v>2424456.4517495185</v>
      </c>
      <c r="AF352" s="193">
        <f>(((I352*'Appendix K'!$C$12*1000)-('Appendix K'!$E$38+'Appendix K'!$F$38+'Appendix K'!$H$38+'Appendix K'!$G$38))/((1+$Y$16)^AF$34))</f>
        <v>646945.76452432713</v>
      </c>
      <c r="AG352" s="193">
        <f>(((J352*'Appendix K'!$C$13*1000)-('Appendix K'!$E$39+'Appendix K'!$F$39+'Appendix K'!$H$39+'Appendix K'!$G$39))/((1+$Y$16)^AG$34))</f>
        <v>289676.89852978569</v>
      </c>
      <c r="AH352" s="193">
        <f>(((K352*'Appendix K'!$C$14*1000)-('Appendix K'!$E$40+'Appendix K'!$F$40+'Appendix K'!$H$40+'Appendix K'!$G$40))/((1+$Y$16)^AH$34))</f>
        <v>316831.15698284929</v>
      </c>
      <c r="AI352" s="193">
        <f>(((L352*'Appendix K'!$C$15*1000)-('Appendix K'!$E$41+'Appendix K'!$F$41+'Appendix K'!$H$41+'Appendix K'!$G$41))/((1+$Y$16)^AI$34))</f>
        <v>542839.22761636483</v>
      </c>
      <c r="AJ352" s="193">
        <f>(((M352*'Appendix K'!$C$16*1000)-('Appendix K'!$E$42+'Appendix K'!$F$42+'Appendix K'!$H$42+'Appendix K'!$G$42))/((1+$Y$16)^AJ$34))</f>
        <v>287408.0235508121</v>
      </c>
      <c r="AK352" s="193">
        <f>(((N352*'Appendix K'!$C$17*1000)-('Appendix K'!$E$43+'Appendix K'!$F$43+'Appendix K'!$H$43))/((1+$Y$16)^AK$34))</f>
        <v>282012.7353092999</v>
      </c>
      <c r="AL352" s="193">
        <f>(((O352*'Appendix K'!$C$18*1000)-('Appendix K'!$E$44+'Appendix K'!$F$44+'Appendix K'!$H$44+'Appendix K'!$G$44))/((1+$Y$16)^AL$34))</f>
        <v>93785.639294471272</v>
      </c>
      <c r="AM352" s="193">
        <f>(((P352*'Appendix K'!$C$19*1000)-('Appendix K'!$E$45+'Appendix K'!$F$45+'Appendix K'!$H$45+'Appendix K'!$G$45))/((1+$Y$16)^AM$34))</f>
        <v>493895.77326705772</v>
      </c>
      <c r="AN352" s="193">
        <f>(((Q352*'Appendix K'!$C$20*1000)-('Appendix K'!$E$46+'Appendix K'!$F$46+'Appendix K'!$H$46+'Appendix K'!$G$46))/((1+$Y$16)^AN$34))</f>
        <v>399526.74263661553</v>
      </c>
      <c r="AO352" s="193">
        <f>(((R352*'Appendix K'!$C$21*1000)-('Appendix K'!$E$47+'Appendix K'!$F$47+'Appendix K'!$H$47+'Appendix K'!$G$47))/((1+$Y$16)^AO$34))</f>
        <v>277809.65759252897</v>
      </c>
      <c r="AP352" s="193">
        <f>(((S352*'Appendix K'!$C$22*1000)-('Appendix K'!$E$48+'Appendix K'!$F$48+'Appendix K'!$H$48+'Appendix K'!$G$48))/((1+$Y$16)^AP$34))</f>
        <v>23786.801181567986</v>
      </c>
      <c r="AQ352" s="193">
        <f>(((T352*'Appendix K'!$C$23*1000)-('Appendix K'!$E$49+'Appendix K'!$F$49+'Appendix K'!$H$49+'Appendix K'!$G$49))/((1+$Y$16)^AQ$34))</f>
        <v>397893.43778330582</v>
      </c>
      <c r="AR352" s="193">
        <f>(((U352*'Appendix K'!$C$24*1000)-('Appendix K'!$E$50+'Appendix K'!$F$50+'Appendix K'!$H$50+'Appendix K'!$G$50))/((1+$Y$16)^AR$34))</f>
        <v>242958.97665226136</v>
      </c>
      <c r="AS352" s="209">
        <f t="shared" si="24"/>
        <v>56192597.268029444</v>
      </c>
      <c r="AU352" s="199">
        <f t="shared" si="23"/>
        <v>6.0305348329836782E-9</v>
      </c>
    </row>
    <row r="353" spans="1:47" x14ac:dyDescent="0.35">
      <c r="A353">
        <v>319</v>
      </c>
      <c r="B353" s="70">
        <v>56</v>
      </c>
      <c r="C353" s="70">
        <v>64.572319639007304</v>
      </c>
      <c r="D353" s="70">
        <v>37.461098987527379</v>
      </c>
      <c r="E353" s="70">
        <v>44.148555231377784</v>
      </c>
      <c r="F353" s="70">
        <v>54.953429422286419</v>
      </c>
      <c r="G353" s="70">
        <v>74.863535748562853</v>
      </c>
      <c r="H353" s="70">
        <v>91.552122381549452</v>
      </c>
      <c r="I353" s="70">
        <v>125.12324673979091</v>
      </c>
      <c r="J353" s="70">
        <v>127.5894250224793</v>
      </c>
      <c r="K353" s="70">
        <v>161.74881404473328</v>
      </c>
      <c r="L353" s="70">
        <v>177.49461166989357</v>
      </c>
      <c r="M353" s="70">
        <v>221.70660492291688</v>
      </c>
      <c r="N353" s="70">
        <v>219.85078658799992</v>
      </c>
      <c r="O353" s="70">
        <v>268.95023617418138</v>
      </c>
      <c r="P353" s="70">
        <v>371.21785590479988</v>
      </c>
      <c r="Q353" s="70">
        <v>500</v>
      </c>
      <c r="R353" s="70">
        <v>500</v>
      </c>
      <c r="S353" s="70">
        <v>500</v>
      </c>
      <c r="T353" s="70">
        <v>500</v>
      </c>
      <c r="U353" s="70">
        <v>362.72343962201535</v>
      </c>
      <c r="V353" s="70">
        <v>500</v>
      </c>
      <c r="X353" s="193">
        <f>((0-('Appendix K'!$I$30))/(1+$Y$16)^0)</f>
        <v>-33594902.4440751</v>
      </c>
      <c r="Y353" s="193">
        <f>(((B353*'Appendix K'!$C$5*1000)-('Appendix K'!$E$31+'Appendix K'!$F$31+'Appendix K'!$H$31+'Appendix K'!$G$31))/((1+$Y$16)^1))</f>
        <v>34971064.972647354</v>
      </c>
      <c r="Z353" s="193">
        <f>+(((C353*'Appendix K'!$C$6*1000)-('Appendix K'!$E$32+'Appendix K'!$F$32+'Appendix K'!$H$32+'Appendix K'!$G$32))/((1+$Y$16)^2))</f>
        <v>12824824.659322182</v>
      </c>
      <c r="AA353" s="193">
        <f>(((D353*'Appendix K'!$C$7*1000)-('Appendix K'!$E$33+'Appendix K'!$F$33+'Appendix K'!$H$33+'Appendix K'!$G$33))/((1+$Y$16)^3))</f>
        <v>1806704.6390228206</v>
      </c>
      <c r="AB353" s="193">
        <f>(((E353*'Appendix K'!$C$8*1000)-('Appendix K'!$E$34+'Appendix K'!$F$34+'Appendix K'!$H$34+'Appendix K'!$G$34))/((1+$Y$16)^4))</f>
        <v>6383751.2767390693</v>
      </c>
      <c r="AC353" s="193">
        <f>(((F353*'Appendix K'!$C$9*1000)-('Appendix K'!$E$35+'Appendix K'!$F$35+'Appendix K'!$H$35+'Appendix K'!$G$35))/((1+$Y$16)^AC$34))</f>
        <v>11622306.728915205</v>
      </c>
      <c r="AD353" s="193">
        <f>(((G353*'Appendix K'!$C$10*1000)-('Appendix K'!$E$36+'Appendix K'!$F$36+'Appendix K'!$H$36+'Appendix K'!$G$36))/((1+$Y$16)^AD$34))</f>
        <v>9241102.5006465018</v>
      </c>
      <c r="AE353" s="193">
        <f>(((H353*'Appendix K'!$C$11*1000)-('Appendix K'!$E$37+'Appendix K'!$F$37+'Appendix K'!$H$37+'Appendix K'!$G$37))/((1+$Y$16)^AE$34))</f>
        <v>6911250.6358929044</v>
      </c>
      <c r="AF353" s="193">
        <f>(((I353*'Appendix K'!$C$12*1000)-('Appendix K'!$E$38+'Appendix K'!$F$38+'Appendix K'!$H$38+'Appendix K'!$G$38))/((1+$Y$16)^AF$34))</f>
        <v>6219317.0492941458</v>
      </c>
      <c r="AG353" s="193">
        <f>(((J353*'Appendix K'!$C$13*1000)-('Appendix K'!$E$39+'Appendix K'!$F$39+'Appendix K'!$H$39+'Appendix K'!$G$39))/((1+$Y$16)^AG$34))</f>
        <v>4056585.2747054612</v>
      </c>
      <c r="AH353" s="193">
        <f>(((K353*'Appendix K'!$C$14*1000)-('Appendix K'!$E$40+'Appendix K'!$F$40+'Appendix K'!$H$40+'Appendix K'!$G$40))/((1+$Y$16)^AH$34))</f>
        <v>3819249.572315447</v>
      </c>
      <c r="AI353" s="193">
        <f>(((L353*'Appendix K'!$C$15*1000)-('Appendix K'!$E$41+'Appendix K'!$F$41+'Appendix K'!$H$41+'Appendix K'!$G$41))/((1+$Y$16)^AI$34))</f>
        <v>3134209.3939715633</v>
      </c>
      <c r="AJ353" s="193">
        <f>(((M353*'Appendix K'!$C$16*1000)-('Appendix K'!$E$42+'Appendix K'!$F$42+'Appendix K'!$H$42+'Appendix K'!$G$42))/((1+$Y$16)^AJ$34))</f>
        <v>3061863.3252896448</v>
      </c>
      <c r="AK353" s="193">
        <f>(((N353*'Appendix K'!$C$17*1000)-('Appendix K'!$E$43+'Appendix K'!$F$43+'Appendix K'!$H$43))/((1+$Y$16)^AK$34))</f>
        <v>2373506.3258323981</v>
      </c>
      <c r="AL353" s="193">
        <f>(((O353*'Appendix K'!$C$18*1000)-('Appendix K'!$E$44+'Appendix K'!$F$44+'Appendix K'!$H$44+'Appendix K'!$G$44))/((1+$Y$16)^AL$34))</f>
        <v>2053357.1628811692</v>
      </c>
      <c r="AM353" s="193">
        <f>(((P353*'Appendix K'!$C$19*1000)-('Appendix K'!$E$45+'Appendix K'!$F$45+'Appendix K'!$H$45+'Appendix K'!$G$45))/((1+$Y$16)^AM$34))</f>
        <v>2413952.8007708462</v>
      </c>
      <c r="AN353" s="193">
        <f>(((Q353*'Appendix K'!$C$20*1000)-('Appendix K'!$E$46+'Appendix K'!$F$46+'Appendix K'!$H$46+'Appendix K'!$G$46))/((1+$Y$16)^AN$34))</f>
        <v>2702399.606577659</v>
      </c>
      <c r="AO353" s="193">
        <f>(((R353*'Appendix K'!$C$21*1000)-('Appendix K'!$E$47+'Appendix K'!$F$47+'Appendix K'!$H$47+'Appendix K'!$G$47))/((1+$Y$16)^AO$34))</f>
        <v>2112056.3146391152</v>
      </c>
      <c r="AP353" s="193">
        <f>(((S353*'Appendix K'!$C$22*1000)-('Appendix K'!$E$48+'Appendix K'!$F$48+'Appendix K'!$H$48+'Appendix K'!$G$48))/((1+$Y$16)^AP$34))</f>
        <v>1630406.4380253027</v>
      </c>
      <c r="AQ353" s="193">
        <f>(((T353*'Appendix K'!$C$23*1000)-('Appendix K'!$E$49+'Appendix K'!$F$49+'Appendix K'!$H$49+'Appendix K'!$G$49))/((1+$Y$16)^AQ$34))</f>
        <v>1263386.3652054211</v>
      </c>
      <c r="AR353" s="193">
        <f>(((U353*'Appendix K'!$C$24*1000)-('Appendix K'!$E$50+'Appendix K'!$F$50+'Appendix K'!$H$50+'Appendix K'!$G$50))/((1+$Y$16)^AR$34))</f>
        <v>538690.76937133761</v>
      </c>
      <c r="AS353" s="209">
        <f t="shared" si="24"/>
        <v>85545083.367990434</v>
      </c>
      <c r="AU353" s="199">
        <f t="shared" si="23"/>
        <v>7.024990205355773E-9</v>
      </c>
    </row>
    <row r="354" spans="1:47" x14ac:dyDescent="0.35">
      <c r="A354">
        <v>320</v>
      </c>
      <c r="B354" s="70">
        <v>56</v>
      </c>
      <c r="C354" s="70">
        <v>81.68339731276069</v>
      </c>
      <c r="D354" s="70">
        <v>87.520231423254771</v>
      </c>
      <c r="E354" s="70">
        <v>58.75197274494866</v>
      </c>
      <c r="F354" s="70">
        <v>86.779221266853796</v>
      </c>
      <c r="G354" s="70">
        <v>83.348784995781017</v>
      </c>
      <c r="H354" s="70">
        <v>117.52030284832669</v>
      </c>
      <c r="I354" s="70">
        <v>158.3699097550946</v>
      </c>
      <c r="J354" s="70">
        <v>208.2377196166305</v>
      </c>
      <c r="K354" s="70">
        <v>113.58300084085667</v>
      </c>
      <c r="L354" s="70">
        <v>128.04403177773975</v>
      </c>
      <c r="M354" s="70">
        <v>182.94983315255007</v>
      </c>
      <c r="N354" s="70">
        <v>271.4353276349791</v>
      </c>
      <c r="O354" s="70">
        <v>156.13542216572637</v>
      </c>
      <c r="P354" s="70">
        <v>151.28804836703276</v>
      </c>
      <c r="Q354" s="70">
        <v>120.19647850702484</v>
      </c>
      <c r="R354" s="70">
        <v>57.176670003359192</v>
      </c>
      <c r="S354" s="70">
        <v>67.909917608992586</v>
      </c>
      <c r="T354" s="70">
        <v>109.18180656282927</v>
      </c>
      <c r="U354" s="70">
        <v>92.724508908018976</v>
      </c>
      <c r="V354" s="70">
        <v>152.14120278449963</v>
      </c>
      <c r="X354" s="193">
        <f>((0-('Appendix K'!$I$30))/(1+$Y$16)^0)</f>
        <v>-33594902.4440751</v>
      </c>
      <c r="Y354" s="193">
        <f>(((B354*'Appendix K'!$C$5*1000)-('Appendix K'!$E$31+'Appendix K'!$F$31+'Appendix K'!$H$31+'Appendix K'!$G$31))/((1+$Y$16)^1))</f>
        <v>34971064.972647354</v>
      </c>
      <c r="Z354" s="193">
        <f>+(((C354*'Appendix K'!$C$6*1000)-('Appendix K'!$E$32+'Appendix K'!$F$32+'Appendix K'!$H$32+'Appendix K'!$G$32))/((1+$Y$16)^2))</f>
        <v>17147375.532596983</v>
      </c>
      <c r="AA354" s="193">
        <f>(((D354*'Appendix K'!$C$7*1000)-('Appendix K'!$E$33+'Appendix K'!$F$33+'Appendix K'!$H$33+'Appendix K'!$G$33))/((1+$Y$16)^3))</f>
        <v>8182980.2433990445</v>
      </c>
      <c r="AB354" s="193">
        <f>(((E354*'Appendix K'!$C$8*1000)-('Appendix K'!$E$34+'Appendix K'!$F$34+'Appendix K'!$H$34+'Appendix K'!$G$34))/((1+$Y$16)^4))</f>
        <v>9584686.7142933514</v>
      </c>
      <c r="AC354" s="193">
        <f>(((F354*'Appendix K'!$C$9*1000)-('Appendix K'!$E$35+'Appendix K'!$F$35+'Appendix K'!$H$35+'Appendix K'!$G$35))/((1+$Y$16)^AC$34))</f>
        <v>20081552.225739926</v>
      </c>
      <c r="AD354" s="193">
        <f>(((G354*'Appendix K'!$C$10*1000)-('Appendix K'!$E$36+'Appendix K'!$F$36+'Appendix K'!$H$36+'Appendix K'!$G$36))/((1+$Y$16)^AD$34))</f>
        <v>10573659.572030507</v>
      </c>
      <c r="AE354" s="193">
        <f>(((H354*'Appendix K'!$C$11*1000)-('Appendix K'!$E$37+'Appendix K'!$F$37+'Appendix K'!$H$37+'Appendix K'!$G$37))/((1+$Y$16)^AE$34))</f>
        <v>9501255.380847143</v>
      </c>
      <c r="AF354" s="193">
        <f>(((I354*'Appendix K'!$C$12*1000)-('Appendix K'!$E$38+'Appendix K'!$F$38+'Appendix K'!$H$38+'Appendix K'!$G$38))/((1+$Y$16)^AF$34))</f>
        <v>8402373.6338280234</v>
      </c>
      <c r="AG354" s="193">
        <f>(((J354*'Appendix K'!$C$13*1000)-('Appendix K'!$E$39+'Appendix K'!$F$39+'Appendix K'!$H$39+'Appendix K'!$G$39))/((1+$Y$16)^AG$34))</f>
        <v>7767933.704857274</v>
      </c>
      <c r="AH354" s="193">
        <f>(((K354*'Appendix K'!$C$14*1000)-('Appendix K'!$E$40+'Appendix K'!$F$40+'Appendix K'!$H$40+'Appendix K'!$G$40))/((1+$Y$16)^AH$34))</f>
        <v>2195747.3008270087</v>
      </c>
      <c r="AI354" s="193">
        <f>(((L354*'Appendix K'!$C$15*1000)-('Appendix K'!$E$41+'Appendix K'!$F$41+'Appendix K'!$H$41+'Appendix K'!$G$41))/((1+$Y$16)^AI$34))</f>
        <v>1838511.7277592917</v>
      </c>
      <c r="AJ354" s="193">
        <f>(((M354*'Appendix K'!$C$16*1000)-('Appendix K'!$E$42+'Appendix K'!$F$42+'Appendix K'!$H$42+'Appendix K'!$G$42))/((1+$Y$16)^AJ$34))</f>
        <v>2285105.2609732687</v>
      </c>
      <c r="AK354" s="193">
        <f>(((N354*'Appendix K'!$C$17*1000)-('Appendix K'!$E$43+'Appendix K'!$F$43+'Appendix K'!$H$43))/((1+$Y$16)^AK$34))</f>
        <v>3166045.9251347012</v>
      </c>
      <c r="AL354" s="193">
        <f>(((O354*'Appendix K'!$C$18*1000)-('Appendix K'!$E$44+'Appendix K'!$F$44+'Appendix K'!$H$44+'Appendix K'!$G$44))/((1+$Y$16)^AL$34))</f>
        <v>716129.97644008079</v>
      </c>
      <c r="AM354" s="193">
        <f>(((P354*'Appendix K'!$C$19*1000)-('Appendix K'!$E$45+'Appendix K'!$F$45+'Appendix K'!$H$45+'Appendix K'!$G$45))/((1+$Y$16)^AM$34))</f>
        <v>375482.40157715051</v>
      </c>
      <c r="AN354" s="193">
        <f>(((Q354*'Appendix K'!$C$20*1000)-('Appendix K'!$E$46+'Appendix K'!$F$46+'Appendix K'!$H$46+'Appendix K'!$G$46))/((1+$Y$16)^AN$34))</f>
        <v>-45941.050867414619</v>
      </c>
      <c r="AO354" s="193">
        <f>(((R354*'Appendix K'!$C$21*1000)-('Appendix K'!$E$47+'Appendix K'!$F$47+'Appendix K'!$H$47+'Appendix K'!$G$47))/((1+$Y$16)^AO$34))</f>
        <v>-505078.48878034804</v>
      </c>
      <c r="AP354" s="193">
        <f>(((S354*'Appendix K'!$C$22*1000)-('Appendix K'!$E$48+'Appendix K'!$F$48+'Appendix K'!$H$48+'Appendix K'!$G$48))/((1+$Y$16)^AP$34))</f>
        <v>-439183.78695305699</v>
      </c>
      <c r="AQ354" s="193">
        <f>(((T354*'Appendix K'!$C$23*1000)-('Appendix K'!$E$49+'Appendix K'!$F$49+'Appendix K'!$H$49+'Appendix K'!$G$49))/((1+$Y$16)^AQ$34))</f>
        <v>-266175.99188419594</v>
      </c>
      <c r="AR354" s="193">
        <f>(((U354*'Appendix K'!$C$24*1000)-('Appendix K'!$E$50+'Appendix K'!$F$50+'Appendix K'!$H$50+'Appendix K'!$G$50))/((1+$Y$16)^AR$34))</f>
        <v>-330713.35258958454</v>
      </c>
      <c r="AS354" s="209">
        <f t="shared" si="24"/>
        <v>103195002.128876</v>
      </c>
      <c r="AU354" s="199">
        <f t="shared" si="23"/>
        <v>6.7697642783885033E-9</v>
      </c>
    </row>
    <row r="355" spans="1:47" x14ac:dyDescent="0.35">
      <c r="A355">
        <v>321</v>
      </c>
      <c r="B355" s="70">
        <v>56</v>
      </c>
      <c r="C355" s="70">
        <v>80.429187895566969</v>
      </c>
      <c r="D355" s="70">
        <v>100.47622555888204</v>
      </c>
      <c r="E355" s="70">
        <v>75.646789056884415</v>
      </c>
      <c r="F355" s="70">
        <v>91.334623451448053</v>
      </c>
      <c r="G355" s="70">
        <v>76.223425850674289</v>
      </c>
      <c r="H355" s="70">
        <v>87.63503181559939</v>
      </c>
      <c r="I355" s="70">
        <v>77.086755310817907</v>
      </c>
      <c r="J355" s="70">
        <v>67.66013745245138</v>
      </c>
      <c r="K355" s="70">
        <v>71.171890827011083</v>
      </c>
      <c r="L355" s="70">
        <v>86.217470065048957</v>
      </c>
      <c r="M355" s="70">
        <v>112.42004957141492</v>
      </c>
      <c r="N355" s="70">
        <v>142.15233407432746</v>
      </c>
      <c r="O355" s="70">
        <v>177.77139348695351</v>
      </c>
      <c r="P355" s="70">
        <v>283.34150114379133</v>
      </c>
      <c r="Q355" s="70">
        <v>287.43098133766449</v>
      </c>
      <c r="R355" s="70">
        <v>359.41490361147117</v>
      </c>
      <c r="S355" s="70">
        <v>324.08428298470284</v>
      </c>
      <c r="T355" s="70">
        <v>255.64832197883902</v>
      </c>
      <c r="U355" s="70">
        <v>312.64840853515517</v>
      </c>
      <c r="V355" s="70">
        <v>330.17104394427946</v>
      </c>
      <c r="X355" s="193">
        <f>((0-('Appendix K'!$I$30))/(1+$Y$16)^0)</f>
        <v>-33594902.4440751</v>
      </c>
      <c r="Y355" s="193">
        <f>(((B355*'Appendix K'!$C$5*1000)-('Appendix K'!$E$31+'Appendix K'!$F$31+'Appendix K'!$H$31+'Appendix K'!$G$31))/((1+$Y$16)^1))</f>
        <v>34971064.972647354</v>
      </c>
      <c r="Z355" s="193">
        <f>+(((C355*'Appendix K'!$C$6*1000)-('Appendix K'!$E$32+'Appendix K'!$F$32+'Appendix K'!$H$32+'Appendix K'!$G$32))/((1+$Y$16)^2))</f>
        <v>16830540.782914557</v>
      </c>
      <c r="AA355" s="193">
        <f>(((D355*'Appendix K'!$C$7*1000)-('Appendix K'!$E$33+'Appendix K'!$F$33+'Appendix K'!$H$33+'Appendix K'!$G$33))/((1+$Y$16)^3))</f>
        <v>9833248.3427015748</v>
      </c>
      <c r="AB355" s="193">
        <f>(((E355*'Appendix K'!$C$8*1000)-('Appendix K'!$E$34+'Appendix K'!$F$34+'Appendix K'!$H$34+'Appendix K'!$G$34))/((1+$Y$16)^4))</f>
        <v>13287875.792712141</v>
      </c>
      <c r="AC355" s="193">
        <f>(((F355*'Appendix K'!$C$9*1000)-('Appendix K'!$E$35+'Appendix K'!$F$35+'Appendix K'!$H$35+'Appendix K'!$G$35))/((1+$Y$16)^AC$34))</f>
        <v>21292370.973139998</v>
      </c>
      <c r="AD355" s="193">
        <f>(((G355*'Appendix K'!$C$10*1000)-('Appendix K'!$E$36+'Appendix K'!$F$36+'Appendix K'!$H$36+'Appendix K'!$G$36))/((1+$Y$16)^AD$34))</f>
        <v>9454665.0159100126</v>
      </c>
      <c r="AE355" s="193">
        <f>(((H355*'Appendix K'!$C$11*1000)-('Appendix K'!$E$37+'Appendix K'!$F$37+'Appendix K'!$H$37+'Appendix K'!$G$37))/((1+$Y$16)^AE$34))</f>
        <v>6520569.3109072885</v>
      </c>
      <c r="AF355" s="193">
        <f>(((I355*'Appendix K'!$C$12*1000)-('Appendix K'!$E$38+'Appendix K'!$F$38+'Appendix K'!$H$38+'Appendix K'!$G$38))/((1+$Y$16)^AF$34))</f>
        <v>3065124.4356278079</v>
      </c>
      <c r="AG355" s="193">
        <f>(((J355*'Appendix K'!$C$13*1000)-('Appendix K'!$E$39+'Appendix K'!$F$39+'Appendix K'!$H$39+'Appendix K'!$G$39))/((1+$Y$16)^AG$34))</f>
        <v>1298703.4315440813</v>
      </c>
      <c r="AH355" s="193">
        <f>(((K355*'Appendix K'!$C$14*1000)-('Appendix K'!$E$40+'Appendix K'!$F$40+'Appendix K'!$H$40+'Appendix K'!$G$40))/((1+$Y$16)^AH$34))</f>
        <v>766216.08638708247</v>
      </c>
      <c r="AI355" s="193">
        <f>(((L355*'Appendix K'!$C$15*1000)-('Appendix K'!$E$41+'Appendix K'!$F$41+'Appendix K'!$H$41+'Appendix K'!$G$41))/((1+$Y$16)^AI$34))</f>
        <v>742577.59483285621</v>
      </c>
      <c r="AJ355" s="193">
        <f>(((M355*'Appendix K'!$C$16*1000)-('Appendix K'!$E$42+'Appendix K'!$F$42+'Appendix K'!$H$42+'Appendix K'!$G$42))/((1+$Y$16)^AJ$34))</f>
        <v>871556.72045670799</v>
      </c>
      <c r="AK355" s="193">
        <f>(((N355*'Appendix K'!$C$17*1000)-('Appendix K'!$E$43+'Appendix K'!$F$43+'Appendix K'!$H$43))/((1+$Y$16)^AK$34))</f>
        <v>1179755.2684077797</v>
      </c>
      <c r="AL355" s="193">
        <f>(((O355*'Appendix K'!$C$18*1000)-('Appendix K'!$E$44+'Appendix K'!$F$44+'Appendix K'!$H$44+'Appendix K'!$G$44))/((1+$Y$16)^AL$34))</f>
        <v>972587.51094114652</v>
      </c>
      <c r="AM355" s="193">
        <f>(((P355*'Appendix K'!$C$19*1000)-('Appendix K'!$E$45+'Appendix K'!$F$45+'Appendix K'!$H$45+'Appendix K'!$G$45))/((1+$Y$16)^AM$34))</f>
        <v>1599450.4376084604</v>
      </c>
      <c r="AN355" s="193">
        <f>(((Q355*'Appendix K'!$C$20*1000)-('Appendix K'!$E$46+'Appendix K'!$F$46+'Appendix K'!$H$46+'Appendix K'!$G$46))/((1+$Y$16)^AN$34))</f>
        <v>1164204.0832544167</v>
      </c>
      <c r="AO355" s="193">
        <f>(((R355*'Appendix K'!$C$21*1000)-('Appendix K'!$E$47+'Appendix K'!$F$47+'Appendix K'!$H$47+'Appendix K'!$G$47))/((1+$Y$16)^AO$34))</f>
        <v>1281182.8631358037</v>
      </c>
      <c r="AP355" s="193">
        <f>(((S355*'Appendix K'!$C$22*1000)-('Appendix K'!$E$48+'Appendix K'!$F$48+'Appendix K'!$H$48+'Appendix K'!$G$48))/((1+$Y$16)^AP$34))</f>
        <v>787819.52573079488</v>
      </c>
      <c r="AQ355" s="193">
        <f>(((T355*'Appendix K'!$C$23*1000)-('Appendix K'!$E$49+'Appendix K'!$F$49+'Appendix K'!$H$49+'Appendix K'!$G$49))/((1+$Y$16)^AQ$34))</f>
        <v>307056.45306448167</v>
      </c>
      <c r="AR355" s="193">
        <f>(((U355*'Appendix K'!$C$24*1000)-('Appendix K'!$E$50+'Appendix K'!$F$50+'Appendix K'!$H$50+'Appendix K'!$G$50))/((1+$Y$16)^AR$34))</f>
        <v>377447.76622643386</v>
      </c>
      <c r="AS355" s="209">
        <f t="shared" si="24"/>
        <v>93009114.924075663</v>
      </c>
      <c r="AU355" s="199">
        <f t="shared" ref="AU355:AU418" si="25">_xlfn.NORM.DIST(AS355,$Y$17,$Y$19,FALSE)</f>
        <v>6.9980152969318795E-9</v>
      </c>
    </row>
    <row r="356" spans="1:47" x14ac:dyDescent="0.35">
      <c r="A356">
        <v>322</v>
      </c>
      <c r="B356" s="70">
        <v>56</v>
      </c>
      <c r="C356" s="70">
        <v>71.214110395860985</v>
      </c>
      <c r="D356" s="70">
        <v>73.734799664577849</v>
      </c>
      <c r="E356" s="70">
        <v>81.878525516498996</v>
      </c>
      <c r="F356" s="70">
        <v>111.35421950507668</v>
      </c>
      <c r="G356" s="70">
        <v>105.35969626584738</v>
      </c>
      <c r="H356" s="70">
        <v>81.371184924771285</v>
      </c>
      <c r="I356" s="70">
        <v>100.16512408689698</v>
      </c>
      <c r="J356" s="70">
        <v>128.91577156892939</v>
      </c>
      <c r="K356" s="70">
        <v>184.33021260709114</v>
      </c>
      <c r="L356" s="70">
        <v>218.68847508958382</v>
      </c>
      <c r="M356" s="70">
        <v>312.79722734669849</v>
      </c>
      <c r="N356" s="70">
        <v>368.93080498738016</v>
      </c>
      <c r="O356" s="70">
        <v>314.92595026828815</v>
      </c>
      <c r="P356" s="70">
        <v>241.50932333652418</v>
      </c>
      <c r="Q356" s="70">
        <v>323.71954674641364</v>
      </c>
      <c r="R356" s="70">
        <v>236.51838667402768</v>
      </c>
      <c r="S356" s="70">
        <v>122.63809069075975</v>
      </c>
      <c r="T356" s="70">
        <v>143.51410783603981</v>
      </c>
      <c r="U356" s="70">
        <v>147.43220235729987</v>
      </c>
      <c r="V356" s="70">
        <v>140.21848874247408</v>
      </c>
      <c r="X356" s="193">
        <f>((0-('Appendix K'!$I$30))/(1+$Y$16)^0)</f>
        <v>-33594902.4440751</v>
      </c>
      <c r="Y356" s="193">
        <f>(((B356*'Appendix K'!$C$5*1000)-('Appendix K'!$E$31+'Appendix K'!$F$31+'Appendix K'!$H$31+'Appendix K'!$G$31))/((1+$Y$16)^1))</f>
        <v>34971064.972647354</v>
      </c>
      <c r="Z356" s="193">
        <f>+(((C356*'Appendix K'!$C$6*1000)-('Appendix K'!$E$32+'Appendix K'!$F$32+'Appendix K'!$H$32+'Appendix K'!$G$32))/((1+$Y$16)^2))</f>
        <v>14502654.599874889</v>
      </c>
      <c r="AA356" s="193">
        <f>(((D356*'Appendix K'!$C$7*1000)-('Appendix K'!$E$33+'Appendix K'!$F$33+'Appendix K'!$H$33+'Appendix K'!$G$33))/((1+$Y$16)^3))</f>
        <v>6427062.6327312542</v>
      </c>
      <c r="AB356" s="193">
        <f>(((E356*'Appendix K'!$C$8*1000)-('Appendix K'!$E$34+'Appendix K'!$F$34+'Appendix K'!$H$34+'Appendix K'!$G$34))/((1+$Y$16)^4))</f>
        <v>14653815.378603069</v>
      </c>
      <c r="AC356" s="193">
        <f>(((F356*'Appendix K'!$C$9*1000)-('Appendix K'!$E$35+'Appendix K'!$F$35+'Appendix K'!$H$35+'Appendix K'!$G$35))/((1+$Y$16)^AC$34))</f>
        <v>26613548.167787418</v>
      </c>
      <c r="AD356" s="193">
        <f>(((G356*'Appendix K'!$C$10*1000)-('Appendix K'!$E$36+'Appendix K'!$F$36+'Appendix K'!$H$36+'Appendix K'!$G$36))/((1+$Y$16)^AD$34))</f>
        <v>14030340.054356789</v>
      </c>
      <c r="AE356" s="193">
        <f>(((H356*'Appendix K'!$C$11*1000)-('Appendix K'!$E$37+'Appendix K'!$F$37+'Appendix K'!$H$37+'Appendix K'!$G$37))/((1+$Y$16)^AE$34))</f>
        <v>5895828.074621316</v>
      </c>
      <c r="AF356" s="193">
        <f>(((I356*'Appendix K'!$C$12*1000)-('Appendix K'!$E$38+'Appendix K'!$F$38+'Appendix K'!$H$38+'Appendix K'!$G$38))/((1+$Y$16)^AF$34))</f>
        <v>4580506.1415671241</v>
      </c>
      <c r="AG356" s="193">
        <f>(((J356*'Appendix K'!$C$13*1000)-('Appendix K'!$E$39+'Appendix K'!$F$39+'Appendix K'!$H$39+'Appendix K'!$G$39))/((1+$Y$16)^AG$34))</f>
        <v>4117622.326980114</v>
      </c>
      <c r="AH356" s="193">
        <f>(((K356*'Appendix K'!$C$14*1000)-('Appendix K'!$E$40+'Appendix K'!$F$40+'Appendix K'!$H$40+'Appendix K'!$G$40))/((1+$Y$16)^AH$34))</f>
        <v>4580390.0871489663</v>
      </c>
      <c r="AI356" s="193">
        <f>(((L356*'Appendix K'!$C$15*1000)-('Appendix K'!$E$41+'Appendix K'!$F$41+'Appendix K'!$H$41+'Appendix K'!$G$41))/((1+$Y$16)^AI$34))</f>
        <v>4213565.6484697741</v>
      </c>
      <c r="AJ356" s="193">
        <f>(((M356*'Appendix K'!$C$16*1000)-('Appendix K'!$E$42+'Appendix K'!$F$42+'Appendix K'!$H$42+'Appendix K'!$G$42))/((1+$Y$16)^AJ$34))</f>
        <v>4887489.462845549</v>
      </c>
      <c r="AK356" s="193">
        <f>(((N356*'Appendix K'!$C$17*1000)-('Appendix K'!$E$43+'Appendix K'!$F$43+'Appendix K'!$H$43))/((1+$Y$16)^AK$34))</f>
        <v>4663956.4422465665</v>
      </c>
      <c r="AL356" s="193">
        <f>(((O356*'Appendix K'!$C$18*1000)-('Appendix K'!$E$44+'Appendix K'!$F$44+'Appendix K'!$H$44+'Appendix K'!$G$44))/((1+$Y$16)^AL$34))</f>
        <v>2598320.8304902348</v>
      </c>
      <c r="AM356" s="193">
        <f>(((P356*'Appendix K'!$C$19*1000)-('Appendix K'!$E$45+'Appendix K'!$F$45+'Appendix K'!$H$45+'Appendix K'!$G$45))/((1+$Y$16)^AM$34))</f>
        <v>1211719.2012262433</v>
      </c>
      <c r="AN356" s="193">
        <f>(((Q356*'Appendix K'!$C$20*1000)-('Appendix K'!$E$46+'Appendix K'!$F$46+'Appendix K'!$H$46+'Appendix K'!$G$46))/((1+$Y$16)^AN$34))</f>
        <v>1426796.0132111923</v>
      </c>
      <c r="AO356" s="193">
        <f>(((R356*'Appendix K'!$C$21*1000)-('Appendix K'!$E$47+'Appendix K'!$F$47+'Appendix K'!$H$47+'Appendix K'!$G$47))/((1+$Y$16)^AO$34))</f>
        <v>554850.87042337656</v>
      </c>
      <c r="AP356" s="193">
        <f>(((S356*'Appendix K'!$C$22*1000)-('Appendix K'!$E$48+'Appendix K'!$F$48+'Appendix K'!$H$48+'Appendix K'!$G$48))/((1+$Y$16)^AP$34))</f>
        <v>-177051.19780824683</v>
      </c>
      <c r="AQ356" s="193">
        <f>(((T356*'Appendix K'!$C$23*1000)-('Appendix K'!$E$49+'Appendix K'!$F$49+'Appendix K'!$H$49+'Appendix K'!$G$49))/((1+$Y$16)^AQ$34))</f>
        <v>-131808.15399538734</v>
      </c>
      <c r="AR356" s="193">
        <f>(((U356*'Appendix K'!$C$24*1000)-('Appendix K'!$E$50+'Appendix K'!$F$50+'Appendix K'!$H$50+'Appendix K'!$G$50))/((1+$Y$16)^AR$34))</f>
        <v>-154553.04683577467</v>
      </c>
      <c r="AS356" s="209">
        <f t="shared" ref="AS356:AS419" si="26">SUMIF(Y356:AR356,"&gt;0")+X356</f>
        <v>116334628.46115607</v>
      </c>
      <c r="AU356" s="199">
        <f t="shared" si="25"/>
        <v>6.184888125215143E-9</v>
      </c>
    </row>
    <row r="357" spans="1:47" x14ac:dyDescent="0.35">
      <c r="A357">
        <v>323</v>
      </c>
      <c r="B357" s="70">
        <v>56</v>
      </c>
      <c r="C357" s="70">
        <v>75.789688117020674</v>
      </c>
      <c r="D357" s="70">
        <v>84.568055477709947</v>
      </c>
      <c r="E357" s="70">
        <v>84.827885379168961</v>
      </c>
      <c r="F357" s="70">
        <v>108.02607527307222</v>
      </c>
      <c r="G357" s="70">
        <v>141.86743587626125</v>
      </c>
      <c r="H357" s="70">
        <v>119.46650966292285</v>
      </c>
      <c r="I357" s="70">
        <v>87.526365675762975</v>
      </c>
      <c r="J357" s="70">
        <v>71.556636346722456</v>
      </c>
      <c r="K357" s="70">
        <v>112.31185546301995</v>
      </c>
      <c r="L357" s="70">
        <v>189.22593689611534</v>
      </c>
      <c r="M357" s="70">
        <v>281.92447417423716</v>
      </c>
      <c r="N357" s="70">
        <v>330.46778076428473</v>
      </c>
      <c r="O357" s="70">
        <v>356.93019219296036</v>
      </c>
      <c r="P357" s="70">
        <v>397.20049564521639</v>
      </c>
      <c r="Q357" s="70">
        <v>422.01003650252528</v>
      </c>
      <c r="R357" s="70">
        <v>450.45320902436032</v>
      </c>
      <c r="S357" s="70">
        <v>260.64396463644459</v>
      </c>
      <c r="T357" s="70">
        <v>447.93878874116467</v>
      </c>
      <c r="U357" s="70">
        <v>500</v>
      </c>
      <c r="V357" s="70">
        <v>491.24654781158353</v>
      </c>
      <c r="X357" s="193">
        <f>((0-('Appendix K'!$I$30))/(1+$Y$16)^0)</f>
        <v>-33594902.4440751</v>
      </c>
      <c r="Y357" s="193">
        <f>(((B357*'Appendix K'!$C$5*1000)-('Appendix K'!$E$31+'Appendix K'!$F$31+'Appendix K'!$H$31+'Appendix K'!$G$31))/((1+$Y$16)^1))</f>
        <v>34971064.972647354</v>
      </c>
      <c r="Z357" s="193">
        <f>+(((C357*'Appendix K'!$C$6*1000)-('Appendix K'!$E$32+'Appendix K'!$F$32+'Appendix K'!$H$32+'Appendix K'!$G$32))/((1+$Y$16)^2))</f>
        <v>15658523.788913356</v>
      </c>
      <c r="AA357" s="193">
        <f>(((D357*'Appendix K'!$C$7*1000)-('Appendix K'!$E$33+'Appendix K'!$F$33+'Appendix K'!$H$33+'Appendix K'!$G$33))/((1+$Y$16)^3))</f>
        <v>7806947.2091555428</v>
      </c>
      <c r="AB357" s="193">
        <f>(((E357*'Appendix K'!$C$8*1000)-('Appendix K'!$E$34+'Appendix K'!$F$34+'Appendix K'!$H$34+'Appendix K'!$G$34))/((1+$Y$16)^4))</f>
        <v>15300288.061709428</v>
      </c>
      <c r="AC357" s="193">
        <f>(((F357*'Appendix K'!$C$9*1000)-('Appendix K'!$E$35+'Appendix K'!$F$35+'Appendix K'!$H$35+'Appendix K'!$G$35))/((1+$Y$16)^AC$34))</f>
        <v>25728932.657044906</v>
      </c>
      <c r="AD357" s="193">
        <f>(((G357*'Appendix K'!$C$10*1000)-('Appendix K'!$E$36+'Appendix K'!$F$36+'Appendix K'!$H$36+'Appendix K'!$G$36))/((1+$Y$16)^AD$34))</f>
        <v>19763659.743704997</v>
      </c>
      <c r="AE357" s="193">
        <f>(((H357*'Appendix K'!$C$11*1000)-('Appendix K'!$E$37+'Appendix K'!$F$37+'Appendix K'!$H$37+'Appendix K'!$G$37))/((1+$Y$16)^AE$34))</f>
        <v>9695365.4337603692</v>
      </c>
      <c r="AF357" s="193">
        <f>(((I357*'Appendix K'!$C$12*1000)-('Appendix K'!$E$38+'Appendix K'!$F$38+'Appendix K'!$H$38+'Appendix K'!$G$38))/((1+$Y$16)^AF$34))</f>
        <v>3750614.5895320028</v>
      </c>
      <c r="AG357" s="193">
        <f>(((J357*'Appendix K'!$C$13*1000)-('Appendix K'!$E$39+'Appendix K'!$F$39+'Appendix K'!$H$39+'Appendix K'!$G$39))/((1+$Y$16)^AG$34))</f>
        <v>1478016.151386641</v>
      </c>
      <c r="AH357" s="193">
        <f>(((K357*'Appendix K'!$C$14*1000)-('Appendix K'!$E$40+'Appendix K'!$F$40+'Appendix K'!$H$40+'Appendix K'!$G$40))/((1+$Y$16)^AH$34))</f>
        <v>2152901.405137992</v>
      </c>
      <c r="AI357" s="193">
        <f>(((L357*'Appendix K'!$C$15*1000)-('Appendix K'!$E$41+'Appendix K'!$F$41+'Appendix K'!$H$41+'Appendix K'!$G$41))/((1+$Y$16)^AI$34))</f>
        <v>3441592.052584318</v>
      </c>
      <c r="AJ357" s="193">
        <f>(((M357*'Appendix K'!$C$16*1000)-('Appendix K'!$E$42+'Appendix K'!$F$42+'Appendix K'!$H$42+'Appendix K'!$G$42))/((1+$Y$16)^AJ$34))</f>
        <v>4268741.8505200613</v>
      </c>
      <c r="AK357" s="193">
        <f>(((N357*'Appendix K'!$C$17*1000)-('Appendix K'!$E$43+'Appendix K'!$F$43+'Appendix K'!$H$43))/((1+$Y$16)^AK$34))</f>
        <v>4073014.4819805068</v>
      </c>
      <c r="AL357" s="193">
        <f>(((O357*'Appendix K'!$C$18*1000)-('Appendix K'!$E$44+'Appendix K'!$F$44+'Appendix K'!$H$44+'Appendix K'!$G$44))/((1+$Y$16)^AL$34))</f>
        <v>3096209.4698608634</v>
      </c>
      <c r="AM357" s="193">
        <f>(((P357*'Appendix K'!$C$19*1000)-('Appendix K'!$E$45+'Appendix K'!$F$45+'Appendix K'!$H$45+'Appendix K'!$G$45))/((1+$Y$16)^AM$34))</f>
        <v>2654778.9197800099</v>
      </c>
      <c r="AN357" s="193">
        <f>(((Q357*'Appendix K'!$C$20*1000)-('Appendix K'!$E$46+'Appendix K'!$F$46+'Appendix K'!$H$46+'Appendix K'!$G$46))/((1+$Y$16)^AN$34))</f>
        <v>2138047.3153977273</v>
      </c>
      <c r="AO357" s="193">
        <f>(((R357*'Appendix K'!$C$21*1000)-('Appendix K'!$E$47+'Appendix K'!$F$47+'Appendix K'!$H$47+'Appendix K'!$G$47))/((1+$Y$16)^AO$34))</f>
        <v>1819229.3060416239</v>
      </c>
      <c r="AP357" s="193">
        <f>(((S357*'Appendix K'!$C$22*1000)-('Appendix K'!$E$48+'Appendix K'!$F$48+'Appendix K'!$H$48+'Appendix K'!$G$48))/((1+$Y$16)^AP$34))</f>
        <v>483958.2058955055</v>
      </c>
      <c r="AQ357" s="193">
        <f>(((T357*'Appendix K'!$C$23*1000)-('Appendix K'!$E$49+'Appendix K'!$F$49+'Appendix K'!$H$49+'Appendix K'!$G$49))/((1+$Y$16)^AQ$34))</f>
        <v>1059632.1123502341</v>
      </c>
      <c r="AR357" s="193">
        <f>(((U357*'Appendix K'!$C$24*1000)-('Appendix K'!$E$50+'Appendix K'!$F$50+'Appendix K'!$H$50+'Appendix K'!$G$50))/((1+$Y$16)^AR$34))</f>
        <v>980725.14012097823</v>
      </c>
      <c r="AS357" s="209">
        <f t="shared" si="26"/>
        <v>126727340.42344934</v>
      </c>
      <c r="AU357" s="199">
        <f t="shared" si="25"/>
        <v>5.5437634893683507E-9</v>
      </c>
    </row>
    <row r="358" spans="1:47" x14ac:dyDescent="0.35">
      <c r="A358">
        <v>324</v>
      </c>
      <c r="B358" s="70">
        <v>56</v>
      </c>
      <c r="C358" s="70">
        <v>71.657686756790497</v>
      </c>
      <c r="D358" s="70">
        <v>82.034068915173805</v>
      </c>
      <c r="E358" s="70">
        <v>101.49378415574877</v>
      </c>
      <c r="F358" s="70">
        <v>87.44032406827364</v>
      </c>
      <c r="G358" s="70">
        <v>43.006880518271828</v>
      </c>
      <c r="H358" s="70">
        <v>34.461016940489635</v>
      </c>
      <c r="I358" s="70">
        <v>47.714825469322214</v>
      </c>
      <c r="J358" s="70">
        <v>42.896615420021561</v>
      </c>
      <c r="K358" s="70">
        <v>60.472102687369677</v>
      </c>
      <c r="L358" s="70">
        <v>87.081161293623154</v>
      </c>
      <c r="M358" s="70">
        <v>118.48317313103331</v>
      </c>
      <c r="N358" s="70">
        <v>116.32904780581192</v>
      </c>
      <c r="O358" s="70">
        <v>63.456674589488742</v>
      </c>
      <c r="P358" s="70">
        <v>80.877957355666993</v>
      </c>
      <c r="Q358" s="70">
        <v>57.373412790807883</v>
      </c>
      <c r="R358" s="70">
        <v>81.150461195948409</v>
      </c>
      <c r="S358" s="70">
        <v>60.926388423725577</v>
      </c>
      <c r="T358" s="70">
        <v>73.154220292375612</v>
      </c>
      <c r="U358" s="70">
        <v>58.76569918055732</v>
      </c>
      <c r="V358" s="70">
        <v>75.511844136734268</v>
      </c>
      <c r="X358" s="193">
        <f>((0-('Appendix K'!$I$30))/(1+$Y$16)^0)</f>
        <v>-33594902.4440751</v>
      </c>
      <c r="Y358" s="193">
        <f>(((B358*'Appendix K'!$C$5*1000)-('Appendix K'!$E$31+'Appendix K'!$F$31+'Appendix K'!$H$31+'Appendix K'!$G$31))/((1+$Y$16)^1))</f>
        <v>34971064.972647354</v>
      </c>
      <c r="Z358" s="193">
        <f>+(((C358*'Appendix K'!$C$6*1000)-('Appendix K'!$E$32+'Appendix K'!$F$32+'Appendix K'!$H$32+'Appendix K'!$G$32))/((1+$Y$16)^2))</f>
        <v>14614709.575187225</v>
      </c>
      <c r="AA358" s="193">
        <f>(((D358*'Appendix K'!$C$7*1000)-('Appendix K'!$E$33+'Appendix K'!$F$33+'Appendix K'!$H$33+'Appendix K'!$G$33))/((1+$Y$16)^3))</f>
        <v>7484180.9941944396</v>
      </c>
      <c r="AB358" s="193">
        <f>(((E358*'Appendix K'!$C$8*1000)-('Appendix K'!$E$34+'Appendix K'!$F$34+'Appendix K'!$H$34+'Appendix K'!$G$34))/((1+$Y$16)^4))</f>
        <v>18953300.511916529</v>
      </c>
      <c r="AC358" s="193">
        <f>(((F358*'Appendix K'!$C$9*1000)-('Appendix K'!$E$35+'Appendix K'!$F$35+'Appendix K'!$H$35+'Appendix K'!$G$35))/((1+$Y$16)^AC$34))</f>
        <v>20257272.312239632</v>
      </c>
      <c r="AD358" s="193">
        <f>(((G358*'Appendix K'!$C$10*1000)-('Appendix K'!$E$36+'Appendix K'!$F$36+'Appendix K'!$H$36+'Appendix K'!$G$36))/((1+$Y$16)^AD$34))</f>
        <v>4238207.4811886158</v>
      </c>
      <c r="AE358" s="193">
        <f>(((H358*'Appendix K'!$C$11*1000)-('Appendix K'!$E$37+'Appendix K'!$F$37+'Appendix K'!$H$37+'Appendix K'!$G$37))/((1+$Y$16)^AE$34))</f>
        <v>1217119.1515479591</v>
      </c>
      <c r="AF358" s="193">
        <f>(((I358*'Appendix K'!$C$12*1000)-('Appendix K'!$E$38+'Appendix K'!$F$38+'Appendix K'!$H$38+'Appendix K'!$G$38))/((1+$Y$16)^AF$34))</f>
        <v>1136492.2354148389</v>
      </c>
      <c r="AG358" s="193">
        <f>(((J358*'Appendix K'!$C$13*1000)-('Appendix K'!$E$39+'Appendix K'!$F$39+'Appendix K'!$H$39+'Appendix K'!$G$39))/((1+$Y$16)^AG$34))</f>
        <v>159112.58114123269</v>
      </c>
      <c r="AH358" s="193">
        <f>(((K358*'Appendix K'!$C$14*1000)-('Appendix K'!$E$40+'Appendix K'!$F$40+'Appendix K'!$H$40+'Appendix K'!$G$40))/((1+$Y$16)^AH$34))</f>
        <v>405563.39117306779</v>
      </c>
      <c r="AI358" s="193">
        <f>(((L358*'Appendix K'!$C$15*1000)-('Appendix K'!$E$41+'Appendix K'!$F$41+'Appendix K'!$H$41+'Appendix K'!$G$41))/((1+$Y$16)^AI$34))</f>
        <v>765207.92013201769</v>
      </c>
      <c r="AJ358" s="193">
        <f>(((M358*'Appendix K'!$C$16*1000)-('Appendix K'!$E$42+'Appendix K'!$F$42+'Appendix K'!$H$42+'Appendix K'!$G$42))/((1+$Y$16)^AJ$34))</f>
        <v>993073.03630944167</v>
      </c>
      <c r="AK358" s="193">
        <f>(((N358*'Appendix K'!$C$17*1000)-('Appendix K'!$E$43+'Appendix K'!$F$43+'Appendix K'!$H$43))/((1+$Y$16)^AK$34))</f>
        <v>783008.94603032235</v>
      </c>
      <c r="AL358" s="193">
        <f>(((O358*'Appendix K'!$C$18*1000)-('Appendix K'!$E$44+'Appendix K'!$F$44+'Appendix K'!$H$44+'Appendix K'!$G$44))/((1+$Y$16)^AL$34))</f>
        <v>-382418.48949957668</v>
      </c>
      <c r="AM358" s="193">
        <f>(((P358*'Appendix K'!$C$19*1000)-('Appendix K'!$E$45+'Appendix K'!$F$45+'Appendix K'!$H$45+'Appendix K'!$G$45))/((1+$Y$16)^AM$34))</f>
        <v>-277129.84747670236</v>
      </c>
      <c r="AN358" s="193">
        <f>(((Q358*'Appendix K'!$C$20*1000)-('Appendix K'!$E$46+'Appendix K'!$F$46+'Appendix K'!$H$46+'Appendix K'!$G$46))/((1+$Y$16)^AN$34))</f>
        <v>-500542.38014028256</v>
      </c>
      <c r="AO358" s="193">
        <f>(((R358*'Appendix K'!$C$21*1000)-('Appendix K'!$E$47+'Appendix K'!$F$47+'Appendix K'!$H$47+'Appendix K'!$G$47))/((1+$Y$16)^AO$34))</f>
        <v>-363390.73420673027</v>
      </c>
      <c r="AP358" s="193">
        <f>(((S358*'Appendix K'!$C$22*1000)-('Appendix K'!$E$48+'Appendix K'!$F$48+'Appendix K'!$H$48+'Appendix K'!$G$48))/((1+$Y$16)^AP$34))</f>
        <v>-472632.93176495028</v>
      </c>
      <c r="AQ358" s="193">
        <f>(((T358*'Appendix K'!$C$23*1000)-('Appendix K'!$E$49+'Appendix K'!$F$49+'Appendix K'!$H$49+'Appendix K'!$G$49))/((1+$Y$16)^AQ$34))</f>
        <v>-407178.74124812416</v>
      </c>
      <c r="AR358" s="193">
        <f>(((U358*'Appendix K'!$C$24*1000)-('Appendix K'!$E$50+'Appendix K'!$F$50+'Appendix K'!$H$50+'Appendix K'!$G$50))/((1+$Y$16)^AR$34))</f>
        <v>-440061.67139909806</v>
      </c>
      <c r="AS358" s="209">
        <f t="shared" si="26"/>
        <v>72383410.665047526</v>
      </c>
      <c r="AU358" s="199">
        <f t="shared" si="25"/>
        <v>6.7809242988222275E-9</v>
      </c>
    </row>
    <row r="359" spans="1:47" x14ac:dyDescent="0.35">
      <c r="A359">
        <v>325</v>
      </c>
      <c r="B359" s="70">
        <v>56</v>
      </c>
      <c r="C359" s="70">
        <v>62.396132566665713</v>
      </c>
      <c r="D359" s="70">
        <v>38.483789567938494</v>
      </c>
      <c r="E359" s="70">
        <v>37.017640658281806</v>
      </c>
      <c r="F359" s="70">
        <v>38.925442455469721</v>
      </c>
      <c r="G359" s="70">
        <v>44.192743770823462</v>
      </c>
      <c r="H359" s="70">
        <v>51.548471802811854</v>
      </c>
      <c r="I359" s="70">
        <v>44.227695756732288</v>
      </c>
      <c r="J359" s="70">
        <v>45.711338096429735</v>
      </c>
      <c r="K359" s="70">
        <v>25.230831214997</v>
      </c>
      <c r="L359" s="70">
        <v>24.155589422422548</v>
      </c>
      <c r="M359" s="70">
        <v>20.565602361489212</v>
      </c>
      <c r="N359" s="70">
        <v>24.772010375277976</v>
      </c>
      <c r="O359" s="70">
        <v>20.063613119582854</v>
      </c>
      <c r="P359" s="70">
        <v>23.915187157702608</v>
      </c>
      <c r="Q359" s="70">
        <v>18.903138492596891</v>
      </c>
      <c r="R359" s="70">
        <v>17.413322626740875</v>
      </c>
      <c r="S359" s="70">
        <v>25.90405065293227</v>
      </c>
      <c r="T359" s="70">
        <v>33.399472433413386</v>
      </c>
      <c r="U359" s="70">
        <v>8.7324392879806894</v>
      </c>
      <c r="V359" s="70">
        <v>12.294966996409258</v>
      </c>
      <c r="X359" s="193">
        <f>((0-('Appendix K'!$I$30))/(1+$Y$16)^0)</f>
        <v>-33594902.4440751</v>
      </c>
      <c r="Y359" s="193">
        <f>(((B359*'Appendix K'!$C$5*1000)-('Appendix K'!$E$31+'Appendix K'!$F$31+'Appendix K'!$H$31+'Appendix K'!$G$31))/((1+$Y$16)^1))</f>
        <v>34971064.972647354</v>
      </c>
      <c r="Z359" s="193">
        <f>+(((C359*'Appendix K'!$C$6*1000)-('Appendix K'!$E$32+'Appendix K'!$F$32+'Appendix K'!$H$32+'Appendix K'!$G$32))/((1+$Y$16)^2))</f>
        <v>12275082.585251164</v>
      </c>
      <c r="AA359" s="193">
        <f>(((D359*'Appendix K'!$C$7*1000)-('Appendix K'!$E$33+'Appendix K'!$F$33+'Appendix K'!$H$33+'Appendix K'!$G$33))/((1+$Y$16)^3))</f>
        <v>1936969.7211648899</v>
      </c>
      <c r="AB359" s="193">
        <f>(((E359*'Appendix K'!$C$8*1000)-('Appendix K'!$E$34+'Appendix K'!$F$34+'Appendix K'!$H$34+'Appendix K'!$G$34))/((1+$Y$16)^4))</f>
        <v>4820720.0795563897</v>
      </c>
      <c r="AC359" s="193">
        <f>(((F359*'Appendix K'!$C$9*1000)-('Appendix K'!$E$35+'Appendix K'!$F$35+'Appendix K'!$H$35+'Appendix K'!$G$35))/((1+$Y$16)^AC$34))</f>
        <v>7362092.9615913453</v>
      </c>
      <c r="AD359" s="193">
        <f>(((G359*'Appendix K'!$C$10*1000)-('Appendix K'!$E$36+'Appendix K'!$F$36+'Appendix K'!$H$36+'Appendix K'!$G$36))/((1+$Y$16)^AD$34))</f>
        <v>4424440.1323273191</v>
      </c>
      <c r="AE359" s="193">
        <f>(((H359*'Appendix K'!$C$11*1000)-('Appendix K'!$E$37+'Appendix K'!$F$37+'Appendix K'!$H$37+'Appendix K'!$G$37))/((1+$Y$16)^AE$34))</f>
        <v>2921381.3823664114</v>
      </c>
      <c r="AF359" s="193">
        <f>(((I359*'Appendix K'!$C$12*1000)-('Appendix K'!$E$38+'Appendix K'!$F$38+'Appendix K'!$H$38+'Appendix K'!$G$38))/((1+$Y$16)^AF$34))</f>
        <v>907518.83508623939</v>
      </c>
      <c r="AG359" s="193">
        <f>(((J359*'Appendix K'!$C$13*1000)-('Appendix K'!$E$39+'Appendix K'!$F$39+'Appendix K'!$H$39+'Appendix K'!$G$39))/((1+$Y$16)^AG$34))</f>
        <v>288643.11416700837</v>
      </c>
      <c r="AH359" s="193">
        <f>(((K359*'Appendix K'!$C$14*1000)-('Appendix K'!$E$40+'Appendix K'!$F$40+'Appendix K'!$H$40+'Appendix K'!$G$40))/((1+$Y$16)^AH$34))</f>
        <v>-782297.46863138943</v>
      </c>
      <c r="AI359" s="193">
        <f>(((L359*'Appendix K'!$C$15*1000)-('Appendix K'!$E$41+'Appendix K'!$F$41+'Appendix K'!$H$41+'Appendix K'!$G$41))/((1+$Y$16)^AI$34))</f>
        <v>-883559.73428984091</v>
      </c>
      <c r="AJ359" s="193">
        <f>(((M359*'Appendix K'!$C$16*1000)-('Appendix K'!$E$42+'Appendix K'!$F$42+'Appendix K'!$H$42+'Appendix K'!$G$42))/((1+$Y$16)^AJ$34))</f>
        <v>-969377.89185755572</v>
      </c>
      <c r="AK359" s="193">
        <f>(((N359*'Appendix K'!$C$17*1000)-('Appendix K'!$E$43+'Appendix K'!$F$43+'Appendix K'!$H$43))/((1+$Y$16)^AK$34))</f>
        <v>-623663.98903402279</v>
      </c>
      <c r="AL359" s="193">
        <f>(((O359*'Appendix K'!$C$18*1000)-('Appendix K'!$E$44+'Appendix K'!$F$44+'Appendix K'!$H$44+'Appendix K'!$G$44))/((1+$Y$16)^AL$34))</f>
        <v>-896769.21560296416</v>
      </c>
      <c r="AM359" s="193">
        <f>(((P359*'Appendix K'!$C$19*1000)-('Appendix K'!$E$45+'Appendix K'!$F$45+'Appendix K'!$H$45+'Appendix K'!$G$45))/((1+$Y$16)^AM$34))</f>
        <v>-805102.48658649286</v>
      </c>
      <c r="AN359" s="193">
        <f>(((Q359*'Appendix K'!$C$20*1000)-('Appendix K'!$E$46+'Appendix K'!$F$46+'Appendix K'!$H$46+'Appendix K'!$G$46))/((1+$Y$16)^AN$34))</f>
        <v>-778921.62881397631</v>
      </c>
      <c r="AO359" s="193">
        <f>(((R359*'Appendix K'!$C$21*1000)-('Appendix K'!$E$47+'Appendix K'!$F$47+'Appendix K'!$H$47+'Appendix K'!$G$47))/((1+$Y$16)^AO$34))</f>
        <v>-740084.26483238046</v>
      </c>
      <c r="AP359" s="193">
        <f>(((S359*'Appendix K'!$C$22*1000)-('Appendix K'!$E$48+'Appendix K'!$F$48+'Appendix K'!$H$48+'Appendix K'!$G$48))/((1+$Y$16)^AP$34))</f>
        <v>-640380.10037673486</v>
      </c>
      <c r="AQ359" s="193">
        <f>(((T359*'Appendix K'!$C$23*1000)-('Appendix K'!$E$49+'Appendix K'!$F$49+'Appendix K'!$H$49+'Appendix K'!$G$49))/((1+$Y$16)^AQ$34))</f>
        <v>-562768.64689163736</v>
      </c>
      <c r="AR359" s="193">
        <f>(((U359*'Appendix K'!$C$24*1000)-('Appendix K'!$E$50+'Appendix K'!$F$50+'Appendix K'!$H$50+'Appendix K'!$G$50))/((1+$Y$16)^AR$34))</f>
        <v>-601170.17012802756</v>
      </c>
      <c r="AS359" s="209">
        <f t="shared" si="26"/>
        <v>36313011.340083025</v>
      </c>
      <c r="AU359" s="199">
        <f t="shared" si="25"/>
        <v>4.6716723124183643E-9</v>
      </c>
    </row>
    <row r="360" spans="1:47" x14ac:dyDescent="0.35">
      <c r="A360">
        <v>326</v>
      </c>
      <c r="B360" s="70">
        <v>56</v>
      </c>
      <c r="C360" s="70">
        <v>34.683499294986191</v>
      </c>
      <c r="D360" s="70">
        <v>43.873738275868888</v>
      </c>
      <c r="E360" s="70">
        <v>37.199174241297499</v>
      </c>
      <c r="F360" s="70">
        <v>40.676430911572496</v>
      </c>
      <c r="G360" s="70">
        <v>50.471132696890756</v>
      </c>
      <c r="H360" s="70">
        <v>53.25328941440123</v>
      </c>
      <c r="I360" s="70">
        <v>34.040741170757919</v>
      </c>
      <c r="J360" s="70">
        <v>35.768756738583917</v>
      </c>
      <c r="K360" s="70">
        <v>33.584738686371352</v>
      </c>
      <c r="L360" s="70">
        <v>24.929801608639877</v>
      </c>
      <c r="M360" s="70">
        <v>28.583304966294246</v>
      </c>
      <c r="N360" s="70">
        <v>29.250899640806207</v>
      </c>
      <c r="O360" s="70">
        <v>23.370683553133031</v>
      </c>
      <c r="P360" s="70">
        <v>21.925497203784346</v>
      </c>
      <c r="Q360" s="70">
        <v>22.439915219975425</v>
      </c>
      <c r="R360" s="70">
        <v>42.189808474830585</v>
      </c>
      <c r="S360" s="70">
        <v>33.932102707064679</v>
      </c>
      <c r="T360" s="70">
        <v>24.094589909276571</v>
      </c>
      <c r="U360" s="70">
        <v>14.979985573058766</v>
      </c>
      <c r="V360" s="70">
        <v>12.581362738756221</v>
      </c>
      <c r="X360" s="193">
        <f>((0-('Appendix K'!$I$30))/(1+$Y$16)^0)</f>
        <v>-33594902.4440751</v>
      </c>
      <c r="Y360" s="193">
        <f>(((B360*'Appendix K'!$C$5*1000)-('Appendix K'!$E$31+'Appendix K'!$F$31+'Appendix K'!$H$31+'Appendix K'!$G$31))/((1+$Y$16)^1))</f>
        <v>34971064.972647354</v>
      </c>
      <c r="Z360" s="193">
        <f>+(((C360*'Appendix K'!$C$6*1000)-('Appendix K'!$E$32+'Appendix K'!$F$32+'Appendix K'!$H$32+'Appendix K'!$G$32))/((1+$Y$16)^2))</f>
        <v>5274397.4482193254</v>
      </c>
      <c r="AA360" s="193">
        <f>(((D360*'Appendix K'!$C$7*1000)-('Appendix K'!$E$33+'Appendix K'!$F$33+'Appendix K'!$H$33+'Appendix K'!$G$33))/((1+$Y$16)^3))</f>
        <v>2623513.7498561922</v>
      </c>
      <c r="AB360" s="193">
        <f>(((E360*'Appendix K'!$C$8*1000)-('Appendix K'!$E$34+'Appendix K'!$F$34+'Appendix K'!$H$34+'Appendix K'!$G$34))/((1+$Y$16)^4))</f>
        <v>4860510.5791734233</v>
      </c>
      <c r="AC360" s="193">
        <f>(((F360*'Appendix K'!$C$9*1000)-('Appendix K'!$E$35+'Appendix K'!$F$35+'Appendix K'!$H$35+'Appendix K'!$G$35))/((1+$Y$16)^AC$34))</f>
        <v>7827502.9436781816</v>
      </c>
      <c r="AD360" s="193">
        <f>(((G360*'Appendix K'!$C$10*1000)-('Appendix K'!$E$36+'Appendix K'!$F$36+'Appendix K'!$H$36+'Appendix K'!$G$36))/((1+$Y$16)^AD$34))</f>
        <v>5410423.1384332189</v>
      </c>
      <c r="AE360" s="193">
        <f>(((H360*'Appendix K'!$C$11*1000)-('Appendix K'!$E$37+'Appendix K'!$F$37+'Appendix K'!$H$37+'Appendix K'!$G$37))/((1+$Y$16)^AE$34))</f>
        <v>3091415.8485450125</v>
      </c>
      <c r="AF360" s="193">
        <f>(((I360*'Appendix K'!$C$12*1000)-('Appendix K'!$E$38+'Appendix K'!$F$38+'Appendix K'!$H$38+'Appendix K'!$G$38))/((1+$Y$16)^AF$34))</f>
        <v>238618.67283469893</v>
      </c>
      <c r="AG360" s="193">
        <f>(((J360*'Appendix K'!$C$13*1000)-('Appendix K'!$E$39+'Appendix K'!$F$39+'Appendix K'!$H$39+'Appendix K'!$G$39))/((1+$Y$16)^AG$34))</f>
        <v>-168903.86682983284</v>
      </c>
      <c r="AH360" s="193">
        <f>(((K360*'Appendix K'!$C$14*1000)-('Appendix K'!$E$40+'Appendix K'!$F$40+'Appendix K'!$H$40+'Appendix K'!$G$40))/((1+$Y$16)^AH$34))</f>
        <v>-500716.26292906527</v>
      </c>
      <c r="AI360" s="193">
        <f>(((L360*'Appendix K'!$C$15*1000)-('Appendix K'!$E$41+'Appendix K'!$F$41+'Appendix K'!$H$41+'Appendix K'!$G$41))/((1+$Y$16)^AI$34))</f>
        <v>-863273.92722705938</v>
      </c>
      <c r="AJ360" s="193">
        <f>(((M360*'Appendix K'!$C$16*1000)-('Appendix K'!$E$42+'Appendix K'!$F$42+'Appendix K'!$H$42+'Appendix K'!$G$42))/((1+$Y$16)^AJ$34))</f>
        <v>-808688.16278330726</v>
      </c>
      <c r="AK360" s="193">
        <f>(((N360*'Appendix K'!$C$17*1000)-('Appendix K'!$E$43+'Appendix K'!$F$43+'Appendix K'!$H$43))/((1+$Y$16)^AK$34))</f>
        <v>-554850.79361199995</v>
      </c>
      <c r="AL360" s="193">
        <f>(((O360*'Appendix K'!$C$18*1000)-('Appendix K'!$E$44+'Appendix K'!$F$44+'Appendix K'!$H$44+'Appendix K'!$G$44))/((1+$Y$16)^AL$34))</f>
        <v>-857569.53664158785</v>
      </c>
      <c r="AM360" s="193">
        <f>(((P360*'Appendix K'!$C$19*1000)-('Appendix K'!$E$45+'Appendix K'!$F$45+'Appendix K'!$H$45+'Appendix K'!$G$45))/((1+$Y$16)^AM$34))</f>
        <v>-823544.38911914034</v>
      </c>
      <c r="AN360" s="193">
        <f>(((Q360*'Appendix K'!$C$20*1000)-('Appendix K'!$E$46+'Appendix K'!$F$46+'Appendix K'!$H$46+'Appendix K'!$G$46))/((1+$Y$16)^AN$34))</f>
        <v>-753328.74532003072</v>
      </c>
      <c r="AO360" s="193">
        <f>(((R360*'Appendix K'!$C$21*1000)-('Appendix K'!$E$47+'Appendix K'!$F$47+'Appendix K'!$H$47+'Appendix K'!$G$47))/((1+$Y$16)^AO$34))</f>
        <v>-593652.49616301688</v>
      </c>
      <c r="AP360" s="193">
        <f>(((S360*'Appendix K'!$C$22*1000)-('Appendix K'!$E$48+'Appendix K'!$F$48+'Appendix K'!$H$48+'Appendix K'!$G$48))/((1+$Y$16)^AP$34))</f>
        <v>-601927.98417700501</v>
      </c>
      <c r="AQ360" s="193">
        <f>(((T360*'Appendix K'!$C$23*1000)-('Appendix K'!$E$49+'Appendix K'!$F$49+'Appendix K'!$H$49+'Appendix K'!$G$49))/((1+$Y$16)^AQ$34))</f>
        <v>-599185.57498009061</v>
      </c>
      <c r="AR360" s="193">
        <f>(((U360*'Appendix K'!$C$24*1000)-('Appendix K'!$E$50+'Appendix K'!$F$50+'Appendix K'!$H$50+'Appendix K'!$G$50))/((1+$Y$16)^AR$34))</f>
        <v>-581052.89604096033</v>
      </c>
      <c r="AS360" s="209">
        <f t="shared" si="26"/>
        <v>30702544.909312308</v>
      </c>
      <c r="AU360" s="199">
        <f t="shared" si="25"/>
        <v>4.2514434647276268E-9</v>
      </c>
    </row>
    <row r="361" spans="1:47" x14ac:dyDescent="0.35">
      <c r="A361">
        <v>327</v>
      </c>
      <c r="B361" s="70">
        <v>56</v>
      </c>
      <c r="C361" s="70">
        <v>71.894599152743424</v>
      </c>
      <c r="D361" s="70">
        <v>71.281202448182441</v>
      </c>
      <c r="E361" s="70">
        <v>105.86954389325479</v>
      </c>
      <c r="F361" s="70">
        <v>101.28437453021438</v>
      </c>
      <c r="G361" s="70">
        <v>125.70870399691472</v>
      </c>
      <c r="H361" s="70">
        <v>174.65963259303314</v>
      </c>
      <c r="I361" s="70">
        <v>191.24615455466088</v>
      </c>
      <c r="J361" s="70">
        <v>221.29208049709632</v>
      </c>
      <c r="K361" s="70">
        <v>307.02194965635363</v>
      </c>
      <c r="L361" s="70">
        <v>367.43935947918544</v>
      </c>
      <c r="M361" s="70">
        <v>332.4944586485077</v>
      </c>
      <c r="N361" s="70">
        <v>206.777040582935</v>
      </c>
      <c r="O361" s="70">
        <v>239.27311563653947</v>
      </c>
      <c r="P361" s="70">
        <v>83.727388439592289</v>
      </c>
      <c r="Q361" s="70">
        <v>90.863347324099337</v>
      </c>
      <c r="R361" s="70">
        <v>75.116912134897348</v>
      </c>
      <c r="S361" s="70">
        <v>62.907987888596296</v>
      </c>
      <c r="T361" s="70">
        <v>98.472969881606787</v>
      </c>
      <c r="U361" s="70">
        <v>95.256607187898197</v>
      </c>
      <c r="V361" s="70">
        <v>72.534015786866888</v>
      </c>
      <c r="X361" s="193">
        <f>((0-('Appendix K'!$I$30))/(1+$Y$16)^0)</f>
        <v>-33594902.4440751</v>
      </c>
      <c r="Y361" s="193">
        <f>(((B361*'Appendix K'!$C$5*1000)-('Appendix K'!$E$31+'Appendix K'!$F$31+'Appendix K'!$H$31+'Appendix K'!$G$31))/((1+$Y$16)^1))</f>
        <v>34971064.972647354</v>
      </c>
      <c r="Z361" s="193">
        <f>+(((C361*'Appendix K'!$C$6*1000)-('Appendix K'!$E$32+'Appendix K'!$F$32+'Appendix K'!$H$32+'Appendix K'!$G$32))/((1+$Y$16)^2))</f>
        <v>14674557.698347038</v>
      </c>
      <c r="AA361" s="193">
        <f>(((D361*'Appendix K'!$C$7*1000)-('Appendix K'!$E$33+'Appendix K'!$F$33+'Appendix K'!$H$33+'Appendix K'!$G$33))/((1+$Y$16)^3))</f>
        <v>6114536.0004738066</v>
      </c>
      <c r="AB361" s="193">
        <f>(((E361*'Appendix K'!$C$8*1000)-('Appendix K'!$E$34+'Appendix K'!$F$34+'Appendix K'!$H$34+'Appendix K'!$G$34))/((1+$Y$16)^4))</f>
        <v>19912426.990152881</v>
      </c>
      <c r="AC361" s="193">
        <f>(((F361*'Appendix K'!$C$9*1000)-('Appendix K'!$E$35+'Appendix K'!$F$35+'Appendix K'!$H$35+'Appendix K'!$G$35))/((1+$Y$16)^AC$34))</f>
        <v>23936999.185963176</v>
      </c>
      <c r="AD361" s="193">
        <f>(((G361*'Appendix K'!$C$10*1000)-('Appendix K'!$E$36+'Appendix K'!$F$36+'Appendix K'!$H$36+'Appendix K'!$G$36))/((1+$Y$16)^AD$34))</f>
        <v>17226028.637879714</v>
      </c>
      <c r="AE361" s="193">
        <f>(((H361*'Appendix K'!$C$11*1000)-('Appendix K'!$E$37+'Appendix K'!$F$37+'Appendix K'!$H$37+'Appendix K'!$G$37))/((1+$Y$16)^AE$34))</f>
        <v>15200196.642890096</v>
      </c>
      <c r="AF361" s="193">
        <f>(((I361*'Appendix K'!$C$12*1000)-('Appendix K'!$E$38+'Appendix K'!$F$38+'Appendix K'!$H$38+'Appendix K'!$G$38))/((1+$Y$16)^AF$34))</f>
        <v>10561107.659297114</v>
      </c>
      <c r="AG361" s="193">
        <f>(((J361*'Appendix K'!$C$13*1000)-('Appendix K'!$E$39+'Appendix K'!$F$39+'Appendix K'!$H$39+'Appendix K'!$G$39))/((1+$Y$16)^AG$34))</f>
        <v>8368681.4578527305</v>
      </c>
      <c r="AH361" s="193">
        <f>(((K361*'Appendix K'!$C$14*1000)-('Appendix K'!$E$40+'Appendix K'!$F$40+'Appendix K'!$H$40+'Appendix K'!$G$40))/((1+$Y$16)^AH$34))</f>
        <v>8715902.4047590867</v>
      </c>
      <c r="AI361" s="193">
        <f>(((L361*'Appendix K'!$C$15*1000)-('Appendix K'!$E$41+'Appendix K'!$F$41+'Appendix K'!$H$41+'Appendix K'!$G$41))/((1+$Y$16)^AI$34))</f>
        <v>8111116.9849951342</v>
      </c>
      <c r="AJ361" s="193">
        <f>(((M361*'Appendix K'!$C$16*1000)-('Appendix K'!$E$42+'Appendix K'!$F$42+'Appendix K'!$H$42+'Appendix K'!$G$42))/((1+$Y$16)^AJ$34))</f>
        <v>5282258.7524302797</v>
      </c>
      <c r="AK361" s="193">
        <f>(((N361*'Appendix K'!$C$17*1000)-('Appendix K'!$E$43+'Appendix K'!$F$43+'Appendix K'!$H$43))/((1+$Y$16)^AK$34))</f>
        <v>2172642.6327581918</v>
      </c>
      <c r="AL361" s="193">
        <f>(((O361*'Appendix K'!$C$18*1000)-('Appendix K'!$E$44+'Appendix K'!$F$44+'Appendix K'!$H$44+'Appendix K'!$G$44))/((1+$Y$16)^AL$34))</f>
        <v>1701585.5205926865</v>
      </c>
      <c r="AM361" s="193">
        <f>(((P361*'Appendix K'!$C$19*1000)-('Appendix K'!$E$45+'Appendix K'!$F$45+'Appendix K'!$H$45+'Appendix K'!$G$45))/((1+$Y$16)^AM$34))</f>
        <v>-250719.23499923415</v>
      </c>
      <c r="AN361" s="193">
        <f>(((Q361*'Appendix K'!$C$20*1000)-('Appendix K'!$E$46+'Appendix K'!$F$46+'Appendix K'!$H$46+'Appendix K'!$G$46))/((1+$Y$16)^AN$34))</f>
        <v>-258201.95019584589</v>
      </c>
      <c r="AO361" s="193">
        <f>(((R361*'Appendix K'!$C$21*1000)-('Appendix K'!$E$47+'Appendix K'!$F$47+'Appendix K'!$H$47+'Appendix K'!$G$47))/((1+$Y$16)^AO$34))</f>
        <v>-399049.67574428505</v>
      </c>
      <c r="AP361" s="193">
        <f>(((S361*'Appendix K'!$C$22*1000)-('Appendix K'!$E$48+'Appendix K'!$F$48+'Appendix K'!$H$48+'Appendix K'!$G$48))/((1+$Y$16)^AP$34))</f>
        <v>-463141.62648058689</v>
      </c>
      <c r="AQ361" s="193">
        <f>(((T361*'Appendix K'!$C$23*1000)-('Appendix K'!$E$49+'Appendix K'!$F$49+'Appendix K'!$H$49+'Appendix K'!$G$49))/((1+$Y$16)^AQ$34))</f>
        <v>-308087.63712200057</v>
      </c>
      <c r="AR361" s="193">
        <f>(((U361*'Appendix K'!$C$24*1000)-('Appendix K'!$E$50+'Appendix K'!$F$50+'Appendix K'!$H$50+'Appendix K'!$G$50))/((1+$Y$16)^AR$34))</f>
        <v>-322559.92518186994</v>
      </c>
      <c r="AS361" s="209">
        <f t="shared" si="26"/>
        <v>143354203.09696418</v>
      </c>
      <c r="AU361" s="199">
        <f t="shared" si="25"/>
        <v>4.339886915566342E-9</v>
      </c>
    </row>
    <row r="362" spans="1:47" x14ac:dyDescent="0.35">
      <c r="A362">
        <v>328</v>
      </c>
      <c r="B362" s="70">
        <v>56</v>
      </c>
      <c r="C362" s="70">
        <v>53.367389177333266</v>
      </c>
      <c r="D362" s="70">
        <v>70.9738526778183</v>
      </c>
      <c r="E362" s="70">
        <v>91.061007322686095</v>
      </c>
      <c r="F362" s="70">
        <v>121.47446130782657</v>
      </c>
      <c r="G362" s="70">
        <v>210.19708123250041</v>
      </c>
      <c r="H362" s="70">
        <v>216.88085242535035</v>
      </c>
      <c r="I362" s="70">
        <v>181.2379164170531</v>
      </c>
      <c r="J362" s="70">
        <v>133.59143433494228</v>
      </c>
      <c r="K362" s="70">
        <v>98.454561587491526</v>
      </c>
      <c r="L362" s="70">
        <v>87.687906518658863</v>
      </c>
      <c r="M362" s="70">
        <v>74.221961450388307</v>
      </c>
      <c r="N362" s="70">
        <v>96.266132896854913</v>
      </c>
      <c r="O362" s="70">
        <v>103.28504286303</v>
      </c>
      <c r="P362" s="70">
        <v>134.48257213858741</v>
      </c>
      <c r="Q362" s="70">
        <v>164.2025318895449</v>
      </c>
      <c r="R362" s="70">
        <v>276.68307326120117</v>
      </c>
      <c r="S362" s="70">
        <v>399.5976912205054</v>
      </c>
      <c r="T362" s="70">
        <v>193.25569931280893</v>
      </c>
      <c r="U362" s="70">
        <v>179.9464698743229</v>
      </c>
      <c r="V362" s="70">
        <v>159.61887856120183</v>
      </c>
      <c r="X362" s="193">
        <f>((0-('Appendix K'!$I$30))/(1+$Y$16)^0)</f>
        <v>-33594902.4440751</v>
      </c>
      <c r="Y362" s="193">
        <f>(((B362*'Appendix K'!$C$5*1000)-('Appendix K'!$E$31+'Appendix K'!$F$31+'Appendix K'!$H$31+'Appendix K'!$G$31))/((1+$Y$16)^1))</f>
        <v>34971064.972647354</v>
      </c>
      <c r="Z362" s="193">
        <f>+(((C362*'Appendix K'!$C$6*1000)-('Appendix K'!$E$32+'Appendix K'!$F$32+'Appendix K'!$H$32+'Appendix K'!$G$32))/((1+$Y$16)^2))</f>
        <v>9994267.5853872616</v>
      </c>
      <c r="AA362" s="193">
        <f>(((D362*'Appendix K'!$C$7*1000)-('Appendix K'!$E$33+'Appendix K'!$F$33+'Appendix K'!$H$33+'Appendix K'!$G$33))/((1+$Y$16)^3))</f>
        <v>6075387.3627042715</v>
      </c>
      <c r="AB362" s="193">
        <f>(((E362*'Appendix K'!$C$8*1000)-('Appendix K'!$E$34+'Appendix K'!$F$34+'Appendix K'!$H$34+'Appendix K'!$G$34))/((1+$Y$16)^4))</f>
        <v>16666531.332988914</v>
      </c>
      <c r="AC362" s="193">
        <f>(((F362*'Appendix K'!$C$9*1000)-('Appendix K'!$E$35+'Appendix K'!$F$35+'Appendix K'!$H$35+'Appendix K'!$G$35))/((1+$Y$16)^AC$34))</f>
        <v>29303492.547326956</v>
      </c>
      <c r="AD362" s="193">
        <f>(((G362*'Appendix K'!$C$10*1000)-('Appendix K'!$E$36+'Appendix K'!$F$36+'Appendix K'!$H$36+'Appendix K'!$G$36))/((1+$Y$16)^AD$34))</f>
        <v>30494417.256157428</v>
      </c>
      <c r="AE362" s="193">
        <f>(((H362*'Appendix K'!$C$11*1000)-('Appendix K'!$E$37+'Appendix K'!$F$37+'Appendix K'!$H$37+'Appendix K'!$G$37))/((1+$Y$16)^AE$34))</f>
        <v>19411240.99554931</v>
      </c>
      <c r="AF362" s="193">
        <f>(((I362*'Appendix K'!$C$12*1000)-('Appendix K'!$E$38+'Appendix K'!$F$38+'Appendix K'!$H$38+'Appendix K'!$G$38))/((1+$Y$16)^AF$34))</f>
        <v>9903942.4527971186</v>
      </c>
      <c r="AG362" s="193">
        <f>(((J362*'Appendix K'!$C$13*1000)-('Appendix K'!$E$39+'Appendix K'!$F$39+'Appendix K'!$H$39+'Appendix K'!$G$39))/((1+$Y$16)^AG$34))</f>
        <v>4332791.336490945</v>
      </c>
      <c r="AH362" s="193">
        <f>(((K362*'Appendix K'!$C$14*1000)-('Appendix K'!$E$40+'Appendix K'!$F$40+'Appendix K'!$H$40+'Appendix K'!$G$40))/((1+$Y$16)^AH$34))</f>
        <v>1685820.1583545886</v>
      </c>
      <c r="AI362" s="193">
        <f>(((L362*'Appendix K'!$C$15*1000)-('Appendix K'!$E$41+'Appendix K'!$F$41+'Appendix K'!$H$41+'Appendix K'!$G$41))/((1+$Y$16)^AI$34))</f>
        <v>781105.77964708768</v>
      </c>
      <c r="AJ362" s="193">
        <f>(((M362*'Appendix K'!$C$16*1000)-('Appendix K'!$E$42+'Appendix K'!$F$42+'Appendix K'!$H$42+'Appendix K'!$G$42))/((1+$Y$16)^AJ$34))</f>
        <v>105995.71952316297</v>
      </c>
      <c r="AK362" s="193">
        <f>(((N362*'Appendix K'!$C$17*1000)-('Appendix K'!$E$43+'Appendix K'!$F$43+'Appendix K'!$H$43))/((1+$Y$16)^AK$34))</f>
        <v>474764.3785677579</v>
      </c>
      <c r="AL362" s="193">
        <f>(((O362*'Appendix K'!$C$18*1000)-('Appendix K'!$E$44+'Appendix K'!$F$44+'Appendix K'!$H$44+'Appendix K'!$G$44))/((1+$Y$16)^AL$34))</f>
        <v>89678.879228748876</v>
      </c>
      <c r="AM362" s="193">
        <f>(((P362*'Appendix K'!$C$19*1000)-('Appendix K'!$E$45+'Appendix K'!$F$45+'Appendix K'!$H$45+'Appendix K'!$G$45))/((1+$Y$16)^AM$34))</f>
        <v>219716.94977427769</v>
      </c>
      <c r="AN362" s="193">
        <f>(((Q362*'Appendix K'!$C$20*1000)-('Appendix K'!$E$46+'Appendix K'!$F$46+'Appendix K'!$H$46+'Appendix K'!$G$46))/((1+$Y$16)^AN$34))</f>
        <v>272496.29592036438</v>
      </c>
      <c r="AO362" s="193">
        <f>(((R362*'Appendix K'!$C$21*1000)-('Appendix K'!$E$47+'Appendix K'!$F$47+'Appendix K'!$H$47+'Appendix K'!$G$47))/((1+$Y$16)^AO$34))</f>
        <v>792228.60554976203</v>
      </c>
      <c r="AP362" s="193">
        <f>(((S362*'Appendix K'!$C$22*1000)-('Appendix K'!$E$48+'Appendix K'!$F$48+'Appendix K'!$H$48+'Appendix K'!$G$48))/((1+$Y$16)^AP$34))</f>
        <v>1149507.557714354</v>
      </c>
      <c r="AQ362" s="193">
        <f>(((T362*'Appendix K'!$C$23*1000)-('Appendix K'!$E$49+'Appendix K'!$F$49+'Appendix K'!$H$49+'Appendix K'!$G$49))/((1+$Y$16)^AQ$34))</f>
        <v>62867.700870686429</v>
      </c>
      <c r="AR362" s="193">
        <f>(((U362*'Appendix K'!$C$24*1000)-('Appendix K'!$E$50+'Appendix K'!$F$50+'Appendix K'!$H$50+'Appendix K'!$G$50))/((1+$Y$16)^AR$34))</f>
        <v>-49856.194418297397</v>
      </c>
      <c r="AS362" s="209">
        <f t="shared" si="26"/>
        <v>133192415.42312521</v>
      </c>
      <c r="AU362" s="199">
        <f t="shared" si="25"/>
        <v>5.0920299265461621E-9</v>
      </c>
    </row>
    <row r="363" spans="1:47" x14ac:dyDescent="0.35">
      <c r="A363">
        <v>329</v>
      </c>
      <c r="B363" s="70">
        <v>56</v>
      </c>
      <c r="C363" s="70">
        <v>57.781191560667075</v>
      </c>
      <c r="D363" s="70">
        <v>53.252274568718008</v>
      </c>
      <c r="E363" s="70">
        <v>59.307844525709662</v>
      </c>
      <c r="F363" s="70">
        <v>80.708313659828235</v>
      </c>
      <c r="G363" s="70">
        <v>80.078304663268725</v>
      </c>
      <c r="H363" s="70">
        <v>64.871062854857811</v>
      </c>
      <c r="I363" s="70">
        <v>112.55499323639916</v>
      </c>
      <c r="J363" s="70">
        <v>126.23563200151091</v>
      </c>
      <c r="K363" s="70">
        <v>62.10272727820616</v>
      </c>
      <c r="L363" s="70">
        <v>81.116507650529996</v>
      </c>
      <c r="M363" s="70">
        <v>87.813976023955362</v>
      </c>
      <c r="N363" s="70">
        <v>84.615379062299269</v>
      </c>
      <c r="O363" s="70">
        <v>101.37966220103465</v>
      </c>
      <c r="P363" s="70">
        <v>112.60471109148693</v>
      </c>
      <c r="Q363" s="70">
        <v>32.019591251943581</v>
      </c>
      <c r="R363" s="70">
        <v>37.078092530592905</v>
      </c>
      <c r="S363" s="70">
        <v>42.340631818579809</v>
      </c>
      <c r="T363" s="70">
        <v>73.266604206419885</v>
      </c>
      <c r="U363" s="70">
        <v>88.689747319790897</v>
      </c>
      <c r="V363" s="70">
        <v>100.67079507119335</v>
      </c>
      <c r="X363" s="193">
        <f>((0-('Appendix K'!$I$30))/(1+$Y$16)^0)</f>
        <v>-33594902.4440751</v>
      </c>
      <c r="Y363" s="193">
        <f>(((B363*'Appendix K'!$C$5*1000)-('Appendix K'!$E$31+'Appendix K'!$F$31+'Appendix K'!$H$31+'Appendix K'!$G$31))/((1+$Y$16)^1))</f>
        <v>34971064.972647354</v>
      </c>
      <c r="Z363" s="193">
        <f>+(((C363*'Appendix K'!$C$6*1000)-('Appendix K'!$E$32+'Appendix K'!$F$32+'Appendix K'!$H$32+'Appendix K'!$G$32))/((1+$Y$16)^2))</f>
        <v>11109269.557227233</v>
      </c>
      <c r="AA363" s="193">
        <f>(((D363*'Appendix K'!$C$7*1000)-('Appendix K'!$E$33+'Appendix K'!$F$33+'Appendix K'!$H$33+'Appendix K'!$G$33))/((1+$Y$16)^3))</f>
        <v>3818103.61306707</v>
      </c>
      <c r="AB363" s="193">
        <f>(((E363*'Appendix K'!$C$8*1000)-('Appendix K'!$E$34+'Appendix K'!$F$34+'Appendix K'!$H$34+'Appendix K'!$G$34))/((1+$Y$16)^4))</f>
        <v>9706528.7201197818</v>
      </c>
      <c r="AC363" s="193">
        <f>(((F363*'Appendix K'!$C$9*1000)-('Appendix K'!$E$35+'Appendix K'!$F$35+'Appendix K'!$H$35+'Appendix K'!$G$35))/((1+$Y$16)^AC$34))</f>
        <v>18467914.516828176</v>
      </c>
      <c r="AD363" s="193">
        <f>(((G363*'Appendix K'!$C$10*1000)-('Appendix K'!$E$36+'Appendix K'!$F$36+'Appendix K'!$H$36+'Appendix K'!$G$36))/((1+$Y$16)^AD$34))</f>
        <v>10060050.417256376</v>
      </c>
      <c r="AE363" s="193">
        <f>(((H363*'Appendix K'!$C$11*1000)-('Appendix K'!$E$37+'Appendix K'!$F$37+'Appendix K'!$H$37+'Appendix K'!$G$37))/((1+$Y$16)^AE$34))</f>
        <v>4250145.0238556229</v>
      </c>
      <c r="AF363" s="193">
        <f>(((I363*'Appendix K'!$C$12*1000)-('Appendix K'!$E$38+'Appendix K'!$F$38+'Appendix K'!$H$38+'Appendix K'!$G$38))/((1+$Y$16)^AF$34))</f>
        <v>5394055.0206195451</v>
      </c>
      <c r="AG363" s="193">
        <f>(((J363*'Appendix K'!$C$13*1000)-('Appendix K'!$E$39+'Appendix K'!$F$39+'Appendix K'!$H$39+'Appendix K'!$G$39))/((1+$Y$16)^AG$34))</f>
        <v>3994285.1649708916</v>
      </c>
      <c r="AH363" s="193">
        <f>(((K363*'Appendix K'!$C$14*1000)-('Appendix K'!$E$40+'Appendix K'!$F$40+'Appendix K'!$H$40+'Appendix K'!$G$40))/((1+$Y$16)^AH$34))</f>
        <v>460526.08257334254</v>
      </c>
      <c r="AI363" s="193">
        <f>(((L363*'Appendix K'!$C$15*1000)-('Appendix K'!$E$41+'Appendix K'!$F$41+'Appendix K'!$H$41+'Appendix K'!$G$41))/((1+$Y$16)^AI$34))</f>
        <v>608922.84072597045</v>
      </c>
      <c r="AJ363" s="193">
        <f>(((M363*'Appendix K'!$C$16*1000)-('Appendix K'!$E$42+'Appendix K'!$F$42+'Appendix K'!$H$42+'Appendix K'!$G$42))/((1+$Y$16)^AJ$34))</f>
        <v>378405.06756892247</v>
      </c>
      <c r="AK363" s="193">
        <f>(((N363*'Appendix K'!$C$17*1000)-('Appendix K'!$E$43+'Appendix K'!$F$43+'Appendix K'!$H$43))/((1+$Y$16)^AK$34))</f>
        <v>295763.39129137236</v>
      </c>
      <c r="AL363" s="193">
        <f>(((O363*'Appendix K'!$C$18*1000)-('Appendix K'!$E$44+'Appendix K'!$F$44+'Appendix K'!$H$44+'Appendix K'!$G$44))/((1+$Y$16)^AL$34))</f>
        <v>67093.84157980734</v>
      </c>
      <c r="AM363" s="193">
        <f>(((P363*'Appendix K'!$C$19*1000)-('Appendix K'!$E$45+'Appendix K'!$F$45+'Appendix K'!$H$45+'Appendix K'!$G$45))/((1+$Y$16)^AM$34))</f>
        <v>16936.923540095264</v>
      </c>
      <c r="AN363" s="193">
        <f>(((Q363*'Appendix K'!$C$20*1000)-('Appendix K'!$E$46+'Appendix K'!$F$46+'Appendix K'!$H$46+'Appendix K'!$G$46))/((1+$Y$16)^AN$34))</f>
        <v>-684008.13180829643</v>
      </c>
      <c r="AO363" s="193">
        <f>(((R363*'Appendix K'!$C$21*1000)-('Appendix K'!$E$47+'Appendix K'!$F$47+'Appendix K'!$H$47+'Appendix K'!$G$47))/((1+$Y$16)^AO$34))</f>
        <v>-623863.30213604472</v>
      </c>
      <c r="AP363" s="193">
        <f>(((S363*'Appendix K'!$C$22*1000)-('Appendix K'!$E$48+'Appendix K'!$F$48+'Appendix K'!$H$48+'Appendix K'!$G$48))/((1+$Y$16)^AP$34))</f>
        <v>-561653.48965646187</v>
      </c>
      <c r="AQ363" s="193">
        <f>(((T363*'Appendix K'!$C$23*1000)-('Appendix K'!$E$49+'Appendix K'!$F$49+'Appendix K'!$H$49+'Appendix K'!$G$49))/((1+$Y$16)^AQ$34))</f>
        <v>-406738.89937957475</v>
      </c>
      <c r="AR363" s="193">
        <f>(((U363*'Appendix K'!$C$24*1000)-('Appendix K'!$E$50+'Appendix K'!$F$50+'Appendix K'!$H$50+'Appendix K'!$G$50))/((1+$Y$16)^AR$34))</f>
        <v>-343705.39795309328</v>
      </c>
      <c r="AS363" s="209">
        <f t="shared" si="26"/>
        <v>70004162.709796458</v>
      </c>
      <c r="AU363" s="199">
        <f t="shared" si="25"/>
        <v>6.6991520568639983E-9</v>
      </c>
    </row>
    <row r="364" spans="1:47" x14ac:dyDescent="0.35">
      <c r="A364">
        <v>330</v>
      </c>
      <c r="B364" s="70">
        <v>56</v>
      </c>
      <c r="C364" s="70">
        <v>105.66118454208687</v>
      </c>
      <c r="D364" s="70">
        <v>56.595752332165567</v>
      </c>
      <c r="E364" s="70">
        <v>89.205513277650226</v>
      </c>
      <c r="F364" s="70">
        <v>70.140724914257362</v>
      </c>
      <c r="G364" s="70">
        <v>50.373139774506448</v>
      </c>
      <c r="H364" s="70">
        <v>48.434192716240524</v>
      </c>
      <c r="I364" s="70">
        <v>43.971413261768312</v>
      </c>
      <c r="J364" s="70">
        <v>44.634408558880445</v>
      </c>
      <c r="K364" s="70">
        <v>47.454313587257964</v>
      </c>
      <c r="L364" s="70">
        <v>70.45566876958766</v>
      </c>
      <c r="M364" s="70">
        <v>88.22501051012965</v>
      </c>
      <c r="N364" s="70">
        <v>108.44923061098453</v>
      </c>
      <c r="O364" s="70">
        <v>162.52140864022235</v>
      </c>
      <c r="P364" s="70">
        <v>150.70154905171125</v>
      </c>
      <c r="Q364" s="70">
        <v>91.348174477162786</v>
      </c>
      <c r="R364" s="70">
        <v>64.938547413101901</v>
      </c>
      <c r="S364" s="70">
        <v>77.760795574017934</v>
      </c>
      <c r="T364" s="70">
        <v>54.056001715386621</v>
      </c>
      <c r="U364" s="70">
        <v>94.208786185768233</v>
      </c>
      <c r="V364" s="70">
        <v>117.085652639923</v>
      </c>
      <c r="X364" s="193">
        <f>((0-('Appendix K'!$I$30))/(1+$Y$16)^0)</f>
        <v>-33594902.4440751</v>
      </c>
      <c r="Y364" s="193">
        <f>(((B364*'Appendix K'!$C$5*1000)-('Appendix K'!$E$31+'Appendix K'!$F$31+'Appendix K'!$H$31+'Appendix K'!$G$31))/((1+$Y$16)^1))</f>
        <v>34971064.972647354</v>
      </c>
      <c r="Z364" s="193">
        <f>+(((C364*'Appendix K'!$C$6*1000)-('Appendix K'!$E$32+'Appendix K'!$F$32+'Appendix K'!$H$32+'Appendix K'!$G$32))/((1+$Y$16)^2))</f>
        <v>23204574.681795064</v>
      </c>
      <c r="AA364" s="193">
        <f>(((D364*'Appendix K'!$C$7*1000)-('Appendix K'!$E$33+'Appendix K'!$F$33+'Appendix K'!$H$33+'Appendix K'!$G$33))/((1+$Y$16)^3))</f>
        <v>4243978.6664195666</v>
      </c>
      <c r="AB364" s="193">
        <f>(((E364*'Appendix K'!$C$8*1000)-('Appendix K'!$E$34+'Appendix K'!$F$34+'Appendix K'!$H$34+'Appendix K'!$G$34))/((1+$Y$16)^4))</f>
        <v>16259824.023730181</v>
      </c>
      <c r="AC364" s="193">
        <f>(((F364*'Appendix K'!$C$9*1000)-('Appendix K'!$E$35+'Appendix K'!$F$35+'Appendix K'!$H$35+'Appendix K'!$G$35))/((1+$Y$16)^AC$34))</f>
        <v>15659066.022347577</v>
      </c>
      <c r="AD364" s="193">
        <f>(((G364*'Appendix K'!$C$10*1000)-('Appendix K'!$E$36+'Appendix K'!$F$36+'Appendix K'!$H$36+'Appendix K'!$G$36))/((1+$Y$16)^AD$34))</f>
        <v>5395033.9426813554</v>
      </c>
      <c r="AE364" s="193">
        <f>(((H364*'Appendix K'!$C$11*1000)-('Appendix K'!$E$37+'Appendix K'!$F$37+'Appendix K'!$H$37+'Appendix K'!$G$37))/((1+$Y$16)^AE$34))</f>
        <v>2610770.5707367384</v>
      </c>
      <c r="AF364" s="193">
        <f>(((I364*'Appendix K'!$C$12*1000)-('Appendix K'!$E$38+'Appendix K'!$F$38+'Appendix K'!$H$38+'Appendix K'!$G$38))/((1+$Y$16)^AF$34))</f>
        <v>890690.7044592849</v>
      </c>
      <c r="AG364" s="193">
        <f>(((J364*'Appendix K'!$C$13*1000)-('Appendix K'!$E$39+'Appendix K'!$F$39+'Appendix K'!$H$39+'Appendix K'!$G$39))/((1+$Y$16)^AG$34))</f>
        <v>239083.96640472495</v>
      </c>
      <c r="AH364" s="193">
        <f>(((K364*'Appendix K'!$C$14*1000)-('Appendix K'!$E$40+'Appendix K'!$F$40+'Appendix K'!$H$40+'Appendix K'!$G$40))/((1+$Y$16)^AH$34))</f>
        <v>-33221.065435832599</v>
      </c>
      <c r="AI364" s="193">
        <f>(((L364*'Appendix K'!$C$15*1000)-('Appendix K'!$E$41+'Appendix K'!$F$41+'Appendix K'!$H$41+'Appendix K'!$G$41))/((1+$Y$16)^AI$34))</f>
        <v>329588.92617881816</v>
      </c>
      <c r="AJ364" s="193">
        <f>(((M364*'Appendix K'!$C$16*1000)-('Appendix K'!$E$42+'Appendix K'!$F$42+'Appendix K'!$H$42+'Appendix K'!$G$42))/((1+$Y$16)^AJ$34))</f>
        <v>386642.96606417681</v>
      </c>
      <c r="AK364" s="193">
        <f>(((N364*'Appendix K'!$C$17*1000)-('Appendix K'!$E$43+'Appendix K'!$F$43+'Appendix K'!$H$43))/((1+$Y$16)^AK$34))</f>
        <v>661944.24262477318</v>
      </c>
      <c r="AL364" s="193">
        <f>(((O364*'Appendix K'!$C$18*1000)-('Appendix K'!$E$44+'Appendix K'!$F$44+'Appendix K'!$H$44+'Appendix K'!$G$44))/((1+$Y$16)^AL$34))</f>
        <v>791824.95321237866</v>
      </c>
      <c r="AM364" s="193">
        <f>(((P364*'Appendix K'!$C$19*1000)-('Appendix K'!$E$45+'Appendix K'!$F$45+'Appendix K'!$H$45+'Appendix K'!$G$45))/((1+$Y$16)^AM$34))</f>
        <v>370046.29672708386</v>
      </c>
      <c r="AN364" s="193">
        <f>(((Q364*'Appendix K'!$C$20*1000)-('Appendix K'!$E$46+'Appendix K'!$F$46+'Appendix K'!$H$46+'Appendix K'!$G$46))/((1+$Y$16)^AN$34))</f>
        <v>-254693.63576168838</v>
      </c>
      <c r="AO364" s="193">
        <f>(((R364*'Appendix K'!$C$21*1000)-('Appendix K'!$E$47+'Appendix K'!$F$47+'Appendix K'!$H$47+'Appendix K'!$G$47))/((1+$Y$16)^AO$34))</f>
        <v>-459204.93575624016</v>
      </c>
      <c r="AP364" s="193">
        <f>(((S364*'Appendix K'!$C$22*1000)-('Appendix K'!$E$48+'Appendix K'!$F$48+'Appendix K'!$H$48+'Appendix K'!$G$48))/((1+$Y$16)^AP$34))</f>
        <v>-392000.84623139922</v>
      </c>
      <c r="AQ364" s="193">
        <f>(((T364*'Appendix K'!$C$23*1000)-('Appendix K'!$E$49+'Appendix K'!$F$49+'Appendix K'!$H$49+'Appendix K'!$G$49))/((1+$Y$16)^AQ$34))</f>
        <v>-481924.27948911244</v>
      </c>
      <c r="AR364" s="193">
        <f>(((U364*'Appendix K'!$C$24*1000)-('Appendix K'!$E$50+'Appendix K'!$F$50+'Appendix K'!$H$50+'Appendix K'!$G$50))/((1+$Y$16)^AR$34))</f>
        <v>-325933.93816747679</v>
      </c>
      <c r="AS364" s="209">
        <f t="shared" si="26"/>
        <v>72419232.491953939</v>
      </c>
      <c r="AU364" s="199">
        <f t="shared" si="25"/>
        <v>6.7820719655764244E-9</v>
      </c>
    </row>
    <row r="365" spans="1:47" x14ac:dyDescent="0.35">
      <c r="A365">
        <v>331</v>
      </c>
      <c r="B365" s="70">
        <v>56</v>
      </c>
      <c r="C365" s="70">
        <v>69.609878864327243</v>
      </c>
      <c r="D365" s="70">
        <v>94.084140002457048</v>
      </c>
      <c r="E365" s="70">
        <v>97.589228687555874</v>
      </c>
      <c r="F365" s="70">
        <v>134.54220354079138</v>
      </c>
      <c r="G365" s="70">
        <v>186.40103925939829</v>
      </c>
      <c r="H365" s="70">
        <v>207.10102897337106</v>
      </c>
      <c r="I365" s="70">
        <v>216.09688993663841</v>
      </c>
      <c r="J365" s="70">
        <v>215.4688945047115</v>
      </c>
      <c r="K365" s="70">
        <v>294.95980659253763</v>
      </c>
      <c r="L365" s="70">
        <v>305.79635324943257</v>
      </c>
      <c r="M365" s="70">
        <v>355.90611252867933</v>
      </c>
      <c r="N365" s="70">
        <v>315.89441123058964</v>
      </c>
      <c r="O365" s="70">
        <v>184.91891788901694</v>
      </c>
      <c r="P365" s="70">
        <v>225.28480057168741</v>
      </c>
      <c r="Q365" s="70">
        <v>316.05294111673021</v>
      </c>
      <c r="R365" s="70">
        <v>264.1955144680087</v>
      </c>
      <c r="S365" s="70">
        <v>227.98013765597443</v>
      </c>
      <c r="T365" s="70">
        <v>309.38947939227495</v>
      </c>
      <c r="U365" s="70">
        <v>322.72866283096562</v>
      </c>
      <c r="V365" s="70">
        <v>327.95086611594468</v>
      </c>
      <c r="X365" s="193">
        <f>((0-('Appendix K'!$I$30))/(1+$Y$16)^0)</f>
        <v>-33594902.4440751</v>
      </c>
      <c r="Y365" s="193">
        <f>(((B365*'Appendix K'!$C$5*1000)-('Appendix K'!$E$31+'Appendix K'!$F$31+'Appendix K'!$H$31+'Appendix K'!$G$31))/((1+$Y$16)^1))</f>
        <v>34971064.972647354</v>
      </c>
      <c r="Z365" s="193">
        <f>+(((C365*'Appendix K'!$C$6*1000)-('Appendix K'!$E$32+'Appendix K'!$F$32+'Appendix K'!$H$32+'Appendix K'!$G$32))/((1+$Y$16)^2))</f>
        <v>14097398.277638521</v>
      </c>
      <c r="AA365" s="193">
        <f>(((D365*'Appendix K'!$C$7*1000)-('Appendix K'!$E$33+'Appendix K'!$F$33+'Appendix K'!$H$33+'Appendix K'!$G$33))/((1+$Y$16)^3))</f>
        <v>9019057.2608475611</v>
      </c>
      <c r="AB365" s="193">
        <f>(((E365*'Appendix K'!$C$8*1000)-('Appendix K'!$E$34+'Appendix K'!$F$34+'Appendix K'!$H$34+'Appendix K'!$G$34))/((1+$Y$16)^4))</f>
        <v>18097457.696053706</v>
      </c>
      <c r="AC365" s="193">
        <f>(((F365*'Appendix K'!$C$9*1000)-('Appendix K'!$E$35+'Appendix K'!$F$35+'Appendix K'!$H$35+'Appendix K'!$G$35))/((1+$Y$16)^AC$34))</f>
        <v>32776877.912811376</v>
      </c>
      <c r="AD365" s="193">
        <f>(((G365*'Appendix K'!$C$10*1000)-('Appendix K'!$E$36+'Appendix K'!$F$36+'Appendix K'!$H$36+'Appendix K'!$G$36))/((1+$Y$16)^AD$34))</f>
        <v>26757392.794253312</v>
      </c>
      <c r="AE365" s="193">
        <f>(((H365*'Appendix K'!$C$11*1000)-('Appendix K'!$E$37+'Appendix K'!$F$37+'Appendix K'!$H$37+'Appendix K'!$G$37))/((1+$Y$16)^AE$34))</f>
        <v>18435824.59400947</v>
      </c>
      <c r="AF365" s="193">
        <f>(((I365*'Appendix K'!$C$12*1000)-('Appendix K'!$E$38+'Appendix K'!$F$38+'Appendix K'!$H$38+'Appendix K'!$G$38))/((1+$Y$16)^AF$34))</f>
        <v>12192867.258182667</v>
      </c>
      <c r="AG365" s="193">
        <f>(((J365*'Appendix K'!$C$13*1000)-('Appendix K'!$E$39+'Appendix K'!$F$39+'Appendix K'!$H$39+'Appendix K'!$G$39))/((1+$Y$16)^AG$34))</f>
        <v>8100704.6543744002</v>
      </c>
      <c r="AH365" s="193">
        <f>(((K365*'Appendix K'!$C$14*1000)-('Appendix K'!$E$40+'Appendix K'!$F$40+'Appendix K'!$H$40+'Appendix K'!$G$40))/((1+$Y$16)^AH$34))</f>
        <v>8309329.4568420006</v>
      </c>
      <c r="AI365" s="193">
        <f>(((L365*'Appendix K'!$C$15*1000)-('Appendix K'!$E$41+'Appendix K'!$F$41+'Appendix K'!$H$41+'Appendix K'!$G$41))/((1+$Y$16)^AI$34))</f>
        <v>6495954.9487887155</v>
      </c>
      <c r="AJ365" s="193">
        <f>(((M365*'Appendix K'!$C$16*1000)-('Appendix K'!$E$42+'Appendix K'!$F$42+'Appendix K'!$H$42+'Appendix K'!$G$42))/((1+$Y$16)^AJ$34))</f>
        <v>5751472.0052304352</v>
      </c>
      <c r="AK365" s="193">
        <f>(((N365*'Appendix K'!$C$17*1000)-('Appendix K'!$E$43+'Appendix K'!$F$43+'Appendix K'!$H$43))/((1+$Y$16)^AK$34))</f>
        <v>3849110.7267798884</v>
      </c>
      <c r="AL365" s="193">
        <f>(((O365*'Appendix K'!$C$18*1000)-('Appendix K'!$E$44+'Appendix K'!$F$44+'Appendix K'!$H$44+'Appendix K'!$G$44))/((1+$Y$16)^AL$34))</f>
        <v>1057309.2208530556</v>
      </c>
      <c r="AM365" s="193">
        <f>(((P365*'Appendix K'!$C$19*1000)-('Appendix K'!$E$45+'Appendix K'!$F$45+'Appendix K'!$H$45+'Appendix K'!$G$45))/((1+$Y$16)^AM$34))</f>
        <v>1061338.4512613507</v>
      </c>
      <c r="AN365" s="193">
        <f>(((Q365*'Appendix K'!$C$20*1000)-('Appendix K'!$E$46+'Appendix K'!$F$46+'Appendix K'!$H$46+'Appendix K'!$G$46))/((1+$Y$16)^AN$34))</f>
        <v>1371318.792057923</v>
      </c>
      <c r="AO365" s="193">
        <f>(((R365*'Appendix K'!$C$21*1000)-('Appendix K'!$E$47+'Appendix K'!$F$47+'Appendix K'!$H$47+'Appendix K'!$G$47))/((1+$Y$16)^AO$34))</f>
        <v>718425.75345599663</v>
      </c>
      <c r="AP365" s="193">
        <f>(((S365*'Appendix K'!$C$22*1000)-('Appendix K'!$E$48+'Appendix K'!$F$48+'Appendix K'!$H$48+'Appendix K'!$G$48))/((1+$Y$16)^AP$34))</f>
        <v>327507.64203370392</v>
      </c>
      <c r="AQ365" s="193">
        <f>(((T365*'Appendix K'!$C$23*1000)-('Appendix K'!$E$49+'Appendix K'!$F$49+'Appendix K'!$H$49+'Appendix K'!$G$49))/((1+$Y$16)^AQ$34))</f>
        <v>517385.58509153</v>
      </c>
      <c r="AR365" s="193">
        <f>(((U365*'Appendix K'!$C$24*1000)-('Appendix K'!$E$50+'Appendix K'!$F$50+'Appendix K'!$H$50+'Appendix K'!$G$50))/((1+$Y$16)^AR$34))</f>
        <v>409906.46749616298</v>
      </c>
      <c r="AS365" s="209">
        <f t="shared" si="26"/>
        <v>170722802.02663398</v>
      </c>
      <c r="AU365" s="199">
        <f t="shared" si="25"/>
        <v>2.405898901514752E-9</v>
      </c>
    </row>
    <row r="366" spans="1:47" x14ac:dyDescent="0.35">
      <c r="A366">
        <v>332</v>
      </c>
      <c r="B366" s="70">
        <v>56</v>
      </c>
      <c r="C366" s="70">
        <v>57.206882365267298</v>
      </c>
      <c r="D366" s="70">
        <v>58.085563175686559</v>
      </c>
      <c r="E366" s="70">
        <v>91.634401370845055</v>
      </c>
      <c r="F366" s="70">
        <v>82.882587278059489</v>
      </c>
      <c r="G366" s="70">
        <v>105.02495402953187</v>
      </c>
      <c r="H366" s="70">
        <v>161.06926798546056</v>
      </c>
      <c r="I366" s="70">
        <v>261.150381377776</v>
      </c>
      <c r="J366" s="70">
        <v>173.99598658052159</v>
      </c>
      <c r="K366" s="70">
        <v>223.80666486379874</v>
      </c>
      <c r="L366" s="70">
        <v>246.85736065545268</v>
      </c>
      <c r="M366" s="70">
        <v>267.59023019608992</v>
      </c>
      <c r="N366" s="70">
        <v>325.85401231007438</v>
      </c>
      <c r="O366" s="70">
        <v>273.08954782605326</v>
      </c>
      <c r="P366" s="70">
        <v>310.17681339233496</v>
      </c>
      <c r="Q366" s="70">
        <v>237.05298934973615</v>
      </c>
      <c r="R366" s="70">
        <v>310.21072253403986</v>
      </c>
      <c r="S366" s="70">
        <v>266.58455597531849</v>
      </c>
      <c r="T366" s="70">
        <v>270.78607335871556</v>
      </c>
      <c r="U366" s="70">
        <v>266.08196294368838</v>
      </c>
      <c r="V366" s="70">
        <v>313.01286064362034</v>
      </c>
      <c r="X366" s="193">
        <f>((0-('Appendix K'!$I$30))/(1+$Y$16)^0)</f>
        <v>-33594902.4440751</v>
      </c>
      <c r="Y366" s="193">
        <f>(((B366*'Appendix K'!$C$5*1000)-('Appendix K'!$E$31+'Appendix K'!$F$31+'Appendix K'!$H$31+'Appendix K'!$G$31))/((1+$Y$16)^1))</f>
        <v>34971064.972647354</v>
      </c>
      <c r="Z366" s="193">
        <f>+(((C366*'Appendix K'!$C$6*1000)-('Appendix K'!$E$32+'Appendix K'!$F$32+'Appendix K'!$H$32+'Appendix K'!$G$32))/((1+$Y$16)^2))</f>
        <v>10964189.231987819</v>
      </c>
      <c r="AA366" s="193">
        <f>(((D366*'Appendix K'!$C$7*1000)-('Appendix K'!$E$33+'Appendix K'!$F$33+'Appendix K'!$H$33+'Appendix K'!$G$33))/((1+$Y$16)^3))</f>
        <v>4433743.1324513089</v>
      </c>
      <c r="AB366" s="193">
        <f>(((E366*'Appendix K'!$C$8*1000)-('Appendix K'!$E$34+'Appendix K'!$F$34+'Appendix K'!$H$34+'Appendix K'!$G$34))/((1+$Y$16)^4))</f>
        <v>16792214.059428055</v>
      </c>
      <c r="AC366" s="193">
        <f>(((F366*'Appendix K'!$C$9*1000)-('Appendix K'!$E$35+'Appendix K'!$F$35+'Appendix K'!$H$35+'Appendix K'!$G$35))/((1+$Y$16)^AC$34))</f>
        <v>19045833.030331779</v>
      </c>
      <c r="AD366" s="193">
        <f>(((G366*'Appendix K'!$C$10*1000)-('Appendix K'!$E$36+'Appendix K'!$F$36+'Appendix K'!$H$36+'Appendix K'!$G$36))/((1+$Y$16)^AD$34))</f>
        <v>13977770.810826391</v>
      </c>
      <c r="AE366" s="193">
        <f>(((H366*'Appendix K'!$C$11*1000)-('Appendix K'!$E$37+'Appendix K'!$F$37+'Appendix K'!$H$37+'Appendix K'!$G$37))/((1+$Y$16)^AE$34))</f>
        <v>13844725.901907545</v>
      </c>
      <c r="AF366" s="193">
        <f>(((I366*'Appendix K'!$C$12*1000)-('Appendix K'!$E$38+'Appendix K'!$F$38+'Appendix K'!$H$38+'Appendix K'!$G$38))/((1+$Y$16)^AF$34))</f>
        <v>15151188.852790307</v>
      </c>
      <c r="AG366" s="193">
        <f>(((J366*'Appendix K'!$C$13*1000)-('Appendix K'!$E$39+'Appendix K'!$F$39+'Appendix K'!$H$39+'Appendix K'!$G$39))/((1+$Y$16)^AG$34))</f>
        <v>6192165.7014696775</v>
      </c>
      <c r="AH366" s="193">
        <f>(((K366*'Appendix K'!$C$14*1000)-('Appendix K'!$E$40+'Appendix K'!$F$40+'Appendix K'!$H$40+'Appendix K'!$G$40))/((1+$Y$16)^AH$34))</f>
        <v>5911004.1813777629</v>
      </c>
      <c r="AI366" s="193">
        <f>(((L366*'Appendix K'!$C$15*1000)-('Appendix K'!$E$41+'Appendix K'!$F$41+'Appendix K'!$H$41+'Appendix K'!$G$41))/((1+$Y$16)^AI$34))</f>
        <v>4951643.1263698442</v>
      </c>
      <c r="AJ366" s="193">
        <f>(((M366*'Appendix K'!$C$16*1000)-('Appendix K'!$E$42+'Appendix K'!$F$42+'Appendix K'!$H$42+'Appendix K'!$G$42))/((1+$Y$16)^AJ$34))</f>
        <v>3981456.8394805845</v>
      </c>
      <c r="AK366" s="193">
        <f>(((N366*'Appendix K'!$C$17*1000)-('Appendix K'!$E$43+'Appendix K'!$F$43+'Appendix K'!$H$43))/((1+$Y$16)^AK$34))</f>
        <v>4002129.0165337296</v>
      </c>
      <c r="AL366" s="193">
        <f>(((O366*'Appendix K'!$C$18*1000)-('Appendix K'!$E$44+'Appendix K'!$F$44+'Appendix K'!$H$44+'Appendix K'!$G$44))/((1+$Y$16)^AL$34))</f>
        <v>2102421.6418920602</v>
      </c>
      <c r="AM366" s="193">
        <f>(((P366*'Appendix K'!$C$19*1000)-('Appendix K'!$E$45+'Appendix K'!$F$45+'Appendix K'!$H$45+'Appendix K'!$G$45))/((1+$Y$16)^AM$34))</f>
        <v>1848179.7494020995</v>
      </c>
      <c r="AN366" s="193">
        <f>(((Q366*'Appendix K'!$C$20*1000)-('Appendix K'!$E$46+'Appendix K'!$F$46+'Appendix K'!$H$46+'Appendix K'!$G$46))/((1+$Y$16)^AN$34))</f>
        <v>799658.00670249981</v>
      </c>
      <c r="AO366" s="193">
        <f>(((R366*'Appendix K'!$C$21*1000)-('Appendix K'!$E$47+'Appendix K'!$F$47+'Appendix K'!$H$47+'Appendix K'!$G$47))/((1+$Y$16)^AO$34))</f>
        <v>990380.71688827942</v>
      </c>
      <c r="AP366" s="193">
        <f>(((S366*'Appendix K'!$C$22*1000)-('Appendix K'!$E$48+'Appendix K'!$F$48+'Appendix K'!$H$48+'Appendix K'!$G$48))/((1+$Y$16)^AP$34))</f>
        <v>512411.97113235464</v>
      </c>
      <c r="AQ366" s="193">
        <f>(((T366*'Appendix K'!$C$23*1000)-('Appendix K'!$E$49+'Appendix K'!$F$49+'Appendix K'!$H$49+'Appendix K'!$G$49))/((1+$Y$16)^AQ$34))</f>
        <v>366301.73660157697</v>
      </c>
      <c r="AR366" s="193">
        <f>(((U366*'Appendix K'!$C$24*1000)-('Appendix K'!$E$50+'Appendix K'!$F$50+'Appendix K'!$H$50+'Appendix K'!$G$50))/((1+$Y$16)^AR$34))</f>
        <v>227502.50668325773</v>
      </c>
      <c r="AS366" s="209">
        <f t="shared" si="26"/>
        <v>127471082.7428292</v>
      </c>
      <c r="AU366" s="199">
        <f t="shared" si="25"/>
        <v>5.4934481758003453E-9</v>
      </c>
    </row>
    <row r="367" spans="1:47" x14ac:dyDescent="0.35">
      <c r="A367">
        <v>333</v>
      </c>
      <c r="B367" s="70">
        <v>56</v>
      </c>
      <c r="C367" s="70">
        <v>80.348397873511715</v>
      </c>
      <c r="D367" s="70">
        <v>66.302061102792266</v>
      </c>
      <c r="E367" s="70">
        <v>71.078214986135691</v>
      </c>
      <c r="F367" s="70">
        <v>81.730680513367446</v>
      </c>
      <c r="G367" s="70">
        <v>96.818368978412011</v>
      </c>
      <c r="H367" s="70">
        <v>106.26409100399484</v>
      </c>
      <c r="I367" s="70">
        <v>115.82902986837894</v>
      </c>
      <c r="J367" s="70">
        <v>114.1526478119181</v>
      </c>
      <c r="K367" s="70">
        <v>111.05665969435644</v>
      </c>
      <c r="L367" s="70">
        <v>145.95157068437754</v>
      </c>
      <c r="M367" s="70">
        <v>90.528145672967042</v>
      </c>
      <c r="N367" s="70">
        <v>91.331054686496813</v>
      </c>
      <c r="O367" s="70">
        <v>96.544159914678431</v>
      </c>
      <c r="P367" s="70">
        <v>99.598376466814869</v>
      </c>
      <c r="Q367" s="70">
        <v>114.79834897965534</v>
      </c>
      <c r="R367" s="70">
        <v>164.30356435881765</v>
      </c>
      <c r="S367" s="70">
        <v>74.287795734293056</v>
      </c>
      <c r="T367" s="70">
        <v>71.925498975864556</v>
      </c>
      <c r="U367" s="70">
        <v>67.646083066876969</v>
      </c>
      <c r="V367" s="70">
        <v>67.465937734282136</v>
      </c>
      <c r="X367" s="193">
        <f>((0-('Appendix K'!$I$30))/(1+$Y$16)^0)</f>
        <v>-33594902.4440751</v>
      </c>
      <c r="Y367" s="193">
        <f>(((B367*'Appendix K'!$C$5*1000)-('Appendix K'!$E$31+'Appendix K'!$F$31+'Appendix K'!$H$31+'Appendix K'!$G$31))/((1+$Y$16)^1))</f>
        <v>34971064.972647354</v>
      </c>
      <c r="Z367" s="193">
        <f>+(((C367*'Appendix K'!$C$6*1000)-('Appendix K'!$E$32+'Appendix K'!$F$32+'Appendix K'!$H$32+'Appendix K'!$G$32))/((1+$Y$16)^2))</f>
        <v>16810131.841581628</v>
      </c>
      <c r="AA367" s="193">
        <f>(((D367*'Appendix K'!$C$7*1000)-('Appendix K'!$E$33+'Appendix K'!$F$33+'Appendix K'!$H$33+'Appendix K'!$G$33))/((1+$Y$16)^3))</f>
        <v>5480318.5071499823</v>
      </c>
      <c r="AB367" s="193">
        <f>(((E367*'Appendix K'!$C$8*1000)-('Appendix K'!$E$34+'Appendix K'!$F$34+'Appendix K'!$H$34+'Appendix K'!$G$34))/((1+$Y$16)^4))</f>
        <v>12286486.177674323</v>
      </c>
      <c r="AC367" s="193">
        <f>(((F367*'Appendix K'!$C$9*1000)-('Appendix K'!$E$35+'Appendix K'!$F$35+'Appendix K'!$H$35+'Appendix K'!$G$35))/((1+$Y$16)^AC$34))</f>
        <v>18739658.021094847</v>
      </c>
      <c r="AD367" s="193">
        <f>(((G367*'Appendix K'!$C$10*1000)-('Appendix K'!$E$36+'Appendix K'!$F$36+'Appendix K'!$H$36+'Appendix K'!$G$36))/((1+$Y$16)^AD$34))</f>
        <v>12688976.265943784</v>
      </c>
      <c r="AE367" s="193">
        <f>(((H367*'Appendix K'!$C$11*1000)-('Appendix K'!$E$37+'Appendix K'!$F$37+'Appendix K'!$H$37+'Appendix K'!$G$37))/((1+$Y$16)^AE$34))</f>
        <v>8378587.5018123491</v>
      </c>
      <c r="AF367" s="193">
        <f>(((I367*'Appendix K'!$C$12*1000)-('Appendix K'!$E$38+'Appendix K'!$F$38+'Appendix K'!$H$38+'Appendix K'!$G$38))/((1+$Y$16)^AF$34))</f>
        <v>5609036.2120900564</v>
      </c>
      <c r="AG367" s="193">
        <f>(((J367*'Appendix K'!$C$13*1000)-('Appendix K'!$E$39+'Appendix K'!$F$39+'Appendix K'!$H$39+'Appendix K'!$G$39))/((1+$Y$16)^AG$34))</f>
        <v>3438239.1304048155</v>
      </c>
      <c r="AH367" s="193">
        <f>(((K367*'Appendix K'!$C$14*1000)-('Appendix K'!$E$40+'Appendix K'!$F$40+'Appendix K'!$H$40+'Appendix K'!$G$40))/((1+$Y$16)^AH$34))</f>
        <v>2110593.1153773237</v>
      </c>
      <c r="AI367" s="193">
        <f>(((L367*'Appendix K'!$C$15*1000)-('Appendix K'!$E$41+'Appendix K'!$F$41+'Appendix K'!$H$41+'Appendix K'!$G$41))/((1+$Y$16)^AI$34))</f>
        <v>2307722.7343751625</v>
      </c>
      <c r="AJ367" s="193">
        <f>(((M367*'Appendix K'!$C$16*1000)-('Appendix K'!$E$42+'Appendix K'!$F$42+'Appendix K'!$H$42+'Appendix K'!$G$42))/((1+$Y$16)^AJ$34))</f>
        <v>432802.09462999809</v>
      </c>
      <c r="AK367" s="193">
        <f>(((N367*'Appendix K'!$C$17*1000)-('Appendix K'!$E$43+'Appendix K'!$F$43+'Appendix K'!$H$43))/((1+$Y$16)^AK$34))</f>
        <v>398942.34297378635</v>
      </c>
      <c r="AL367" s="193">
        <f>(((O367*'Appendix K'!$C$18*1000)-('Appendix K'!$E$44+'Appendix K'!$F$44+'Appendix K'!$H$44+'Appendix K'!$G$44))/((1+$Y$16)^AL$34))</f>
        <v>9777.2101227989169</v>
      </c>
      <c r="AM367" s="193">
        <f>(((P367*'Appendix K'!$C$19*1000)-('Appendix K'!$E$45+'Appendix K'!$F$45+'Appendix K'!$H$45+'Appendix K'!$G$45))/((1+$Y$16)^AM$34))</f>
        <v>-103615.30369653853</v>
      </c>
      <c r="AN367" s="193">
        <f>(((Q367*'Appendix K'!$C$20*1000)-('Appendix K'!$E$46+'Appendix K'!$F$46+'Appendix K'!$H$46+'Appendix K'!$G$46))/((1+$Y$16)^AN$34))</f>
        <v>-85003.086932550854</v>
      </c>
      <c r="AO367" s="193">
        <f>(((R367*'Appendix K'!$C$21*1000)-('Appendix K'!$E$47+'Appendix K'!$F$47+'Appendix K'!$H$47+'Appendix K'!$G$47))/((1+$Y$16)^AO$34))</f>
        <v>128053.29224401014</v>
      </c>
      <c r="AP367" s="193">
        <f>(((S367*'Appendix K'!$C$22*1000)-('Appendix K'!$E$48+'Appendix K'!$F$48+'Appendix K'!$H$48+'Appendix K'!$G$48))/((1+$Y$16)^AP$34))</f>
        <v>-408635.54073739739</v>
      </c>
      <c r="AQ367" s="193">
        <f>(((T367*'Appendix K'!$C$23*1000)-('Appendix K'!$E$49+'Appendix K'!$F$49+'Appendix K'!$H$49+'Appendix K'!$G$49))/((1+$Y$16)^AQ$34))</f>
        <v>-411987.64192022412</v>
      </c>
      <c r="AR367" s="193">
        <f>(((U367*'Appendix K'!$C$24*1000)-('Appendix K'!$E$50+'Appendix K'!$F$50+'Appendix K'!$H$50+'Appendix K'!$G$50))/((1+$Y$16)^AR$34))</f>
        <v>-411466.58646692865</v>
      </c>
      <c r="AS367" s="209">
        <f t="shared" si="26"/>
        <v>90195486.976047128</v>
      </c>
      <c r="AU367" s="199">
        <f t="shared" si="25"/>
        <v>7.0224218056211245E-9</v>
      </c>
    </row>
    <row r="368" spans="1:47" x14ac:dyDescent="0.35">
      <c r="A368">
        <v>334</v>
      </c>
      <c r="B368" s="70">
        <v>56</v>
      </c>
      <c r="C368" s="70">
        <v>27.989746866625694</v>
      </c>
      <c r="D368" s="70">
        <v>45.084686320161595</v>
      </c>
      <c r="E368" s="70">
        <v>33.01875164035593</v>
      </c>
      <c r="F368" s="70">
        <v>35.993323485585563</v>
      </c>
      <c r="G368" s="70">
        <v>30.86293090560897</v>
      </c>
      <c r="H368" s="70">
        <v>42.476623215652133</v>
      </c>
      <c r="I368" s="70">
        <v>42.765393949014097</v>
      </c>
      <c r="J368" s="70">
        <v>35.61805279464599</v>
      </c>
      <c r="K368" s="70">
        <v>58.801207657584413</v>
      </c>
      <c r="L368" s="70">
        <v>49.166294286814377</v>
      </c>
      <c r="M368" s="70">
        <v>49.864851285980095</v>
      </c>
      <c r="N368" s="70">
        <v>68.526282394759249</v>
      </c>
      <c r="O368" s="70">
        <v>92.987306613563732</v>
      </c>
      <c r="P368" s="70">
        <v>87.262126749400537</v>
      </c>
      <c r="Q368" s="70">
        <v>155.47009153250184</v>
      </c>
      <c r="R368" s="70">
        <v>123.12013061260124</v>
      </c>
      <c r="S368" s="70">
        <v>117.79850722362102</v>
      </c>
      <c r="T368" s="70">
        <v>144.08785686342267</v>
      </c>
      <c r="U368" s="70">
        <v>134.89852054252646</v>
      </c>
      <c r="V368" s="70">
        <v>126.34646271462165</v>
      </c>
      <c r="X368" s="193">
        <f>((0-('Appendix K'!$I$30))/(1+$Y$16)^0)</f>
        <v>-33594902.4440751</v>
      </c>
      <c r="Y368" s="193">
        <f>(((B368*'Appendix K'!$C$5*1000)-('Appendix K'!$E$31+'Appendix K'!$F$31+'Appendix K'!$H$31+'Appendix K'!$G$31))/((1+$Y$16)^1))</f>
        <v>34971064.972647354</v>
      </c>
      <c r="Z368" s="193">
        <f>+(((C368*'Appendix K'!$C$6*1000)-('Appendix K'!$E$32+'Appendix K'!$F$32+'Appendix K'!$H$32+'Appendix K'!$G$32))/((1+$Y$16)^2))</f>
        <v>3583441.1007370823</v>
      </c>
      <c r="AA368" s="193">
        <f>(((D368*'Appendix K'!$C$7*1000)-('Appendix K'!$E$33+'Appendix K'!$F$33+'Appendix K'!$H$33+'Appendix K'!$G$33))/((1+$Y$16)^3))</f>
        <v>2777758.1024307073</v>
      </c>
      <c r="AB368" s="193">
        <f>(((E368*'Appendix K'!$C$8*1000)-('Appendix K'!$E$34+'Appendix K'!$F$34+'Appendix K'!$H$34+'Appendix K'!$G$34))/((1+$Y$16)^4))</f>
        <v>3944200.2131326273</v>
      </c>
      <c r="AC368" s="193">
        <f>(((F368*'Appendix K'!$C$9*1000)-('Appendix K'!$E$35+'Appendix K'!$F$35+'Appendix K'!$H$35+'Appendix K'!$G$35))/((1+$Y$16)^AC$34))</f>
        <v>6582740.3436491527</v>
      </c>
      <c r="AD368" s="193">
        <f>(((G368*'Appendix K'!$C$10*1000)-('Appendix K'!$E$36+'Appendix K'!$F$36+'Appendix K'!$H$36+'Appendix K'!$G$36))/((1+$Y$16)^AD$34))</f>
        <v>2331073.6470009796</v>
      </c>
      <c r="AE368" s="193">
        <f>(((H368*'Appendix K'!$C$11*1000)-('Appendix K'!$E$37+'Appendix K'!$F$37+'Appendix K'!$H$37+'Appendix K'!$G$37))/((1+$Y$16)^AE$34))</f>
        <v>2016576.7151195009</v>
      </c>
      <c r="AF368" s="193">
        <f>(((I368*'Appendix K'!$C$12*1000)-('Appendix K'!$E$38+'Appendix K'!$F$38+'Appendix K'!$H$38+'Appendix K'!$G$38))/((1+$Y$16)^AF$34))</f>
        <v>811500.54932788981</v>
      </c>
      <c r="AG368" s="193">
        <f>(((J368*'Appendix K'!$C$13*1000)-('Appendix K'!$E$39+'Appendix K'!$F$39+'Appendix K'!$H$39+'Appendix K'!$G$39))/((1+$Y$16)^AG$34))</f>
        <v>-175839.1014627085</v>
      </c>
      <c r="AH368" s="193">
        <f>(((K368*'Appendix K'!$C$14*1000)-('Appendix K'!$E$40+'Appendix K'!$F$40+'Appendix K'!$H$40+'Appendix K'!$G$40))/((1+$Y$16)^AH$34))</f>
        <v>349243.32314488408</v>
      </c>
      <c r="AI368" s="193">
        <f>(((L368*'Appendix K'!$C$15*1000)-('Appendix K'!$E$41+'Appendix K'!$F$41+'Appendix K'!$H$41+'Appendix K'!$G$41))/((1+$Y$16)^AI$34))</f>
        <v>-228232.49659533994</v>
      </c>
      <c r="AJ368" s="193">
        <f>(((M368*'Appendix K'!$C$16*1000)-('Appendix K'!$E$42+'Appendix K'!$F$42+'Appendix K'!$H$42+'Appendix K'!$G$42))/((1+$Y$16)^AJ$34))</f>
        <v>-382166.24235912791</v>
      </c>
      <c r="AK368" s="193">
        <f>(((N368*'Appendix K'!$C$17*1000)-('Appendix K'!$E$43+'Appendix K'!$F$43+'Appendix K'!$H$43))/((1+$Y$16)^AK$34))</f>
        <v>48572.159825043032</v>
      </c>
      <c r="AL368" s="193">
        <f>(((O368*'Appendix K'!$C$18*1000)-('Appendix K'!$E$44+'Appendix K'!$F$44+'Appendix K'!$H$44+'Appendix K'!$G$44))/((1+$Y$16)^AL$34))</f>
        <v>-32383.218666959452</v>
      </c>
      <c r="AM368" s="193">
        <f>(((P368*'Appendix K'!$C$19*1000)-('Appendix K'!$E$45+'Appendix K'!$F$45+'Appendix K'!$H$45+'Appendix K'!$G$45))/((1+$Y$16)^AM$34))</f>
        <v>-217956.69364975055</v>
      </c>
      <c r="AN368" s="193">
        <f>(((Q368*'Appendix K'!$C$20*1000)-('Appendix K'!$E$46+'Appendix K'!$F$46+'Appendix K'!$H$46+'Appendix K'!$G$46))/((1+$Y$16)^AN$34))</f>
        <v>209306.46351008335</v>
      </c>
      <c r="AO368" s="193">
        <f>(((R368*'Appendix K'!$C$21*1000)-('Appendix K'!$E$47+'Appendix K'!$F$47+'Appendix K'!$H$47+'Appendix K'!$G$47))/((1+$Y$16)^AO$34))</f>
        <v>-115345.35114354617</v>
      </c>
      <c r="AP368" s="193">
        <f>(((S368*'Appendix K'!$C$22*1000)-('Appendix K'!$E$48+'Appendix K'!$F$48+'Appendix K'!$H$48+'Appendix K'!$G$48))/((1+$Y$16)^AP$34))</f>
        <v>-200231.44434649896</v>
      </c>
      <c r="AQ368" s="193">
        <f>(((T368*'Appendix K'!$C$23*1000)-('Appendix K'!$E$49+'Appendix K'!$F$49+'Appendix K'!$H$49+'Appendix K'!$G$49))/((1+$Y$16)^AQ$34))</f>
        <v>-129562.64718572887</v>
      </c>
      <c r="AR368" s="193">
        <f>(((U368*'Appendix K'!$C$24*1000)-('Appendix K'!$E$50+'Appendix K'!$F$50+'Appendix K'!$H$50+'Appendix K'!$G$50))/((1+$Y$16)^AR$34))</f>
        <v>-194911.85345880315</v>
      </c>
      <c r="AS368" s="209">
        <f t="shared" si="26"/>
        <v>24030575.146450199</v>
      </c>
      <c r="AU368" s="199">
        <f t="shared" si="25"/>
        <v>3.7525820750831698E-9</v>
      </c>
    </row>
    <row r="369" spans="1:47" x14ac:dyDescent="0.35">
      <c r="A369">
        <v>335</v>
      </c>
      <c r="B369" s="70">
        <v>56</v>
      </c>
      <c r="C369" s="70">
        <v>97.017429865679063</v>
      </c>
      <c r="D369" s="70">
        <v>115.9542388184371</v>
      </c>
      <c r="E369" s="70">
        <v>148.47994766061041</v>
      </c>
      <c r="F369" s="70">
        <v>187.69609219017173</v>
      </c>
      <c r="G369" s="70">
        <v>255.97423688296908</v>
      </c>
      <c r="H369" s="70">
        <v>282.53792373106347</v>
      </c>
      <c r="I369" s="70">
        <v>500</v>
      </c>
      <c r="J369" s="70">
        <v>500</v>
      </c>
      <c r="K369" s="70">
        <v>500</v>
      </c>
      <c r="L369" s="70">
        <v>418.04612366739678</v>
      </c>
      <c r="M369" s="70">
        <v>283.61601024927609</v>
      </c>
      <c r="N369" s="70">
        <v>242.27492322550316</v>
      </c>
      <c r="O369" s="70">
        <v>209.58022176164934</v>
      </c>
      <c r="P369" s="70">
        <v>321.97586724187022</v>
      </c>
      <c r="Q369" s="70">
        <v>380.95512365483199</v>
      </c>
      <c r="R369" s="70">
        <v>500</v>
      </c>
      <c r="S369" s="70">
        <v>500</v>
      </c>
      <c r="T369" s="70">
        <v>500</v>
      </c>
      <c r="U369" s="70">
        <v>500</v>
      </c>
      <c r="V369" s="70">
        <v>426.51346011006791</v>
      </c>
      <c r="X369" s="193">
        <f>((0-('Appendix K'!$I$30))/(1+$Y$16)^0)</f>
        <v>-33594902.4440751</v>
      </c>
      <c r="Y369" s="193">
        <f>(((B369*'Appendix K'!$C$5*1000)-('Appendix K'!$E$31+'Appendix K'!$F$31+'Appendix K'!$H$31+'Appendix K'!$G$31))/((1+$Y$16)^1))</f>
        <v>34971064.972647354</v>
      </c>
      <c r="Z369" s="193">
        <f>+(((C369*'Appendix K'!$C$6*1000)-('Appendix K'!$E$32+'Appendix K'!$F$32+'Appendix K'!$H$32+'Appendix K'!$G$32))/((1+$Y$16)^2))</f>
        <v>21021014.415325657</v>
      </c>
      <c r="AA369" s="193">
        <f>(((D369*'Appendix K'!$C$7*1000)-('Appendix K'!$E$33+'Appendix K'!$F$33+'Appendix K'!$H$33+'Appendix K'!$G$33))/((1+$Y$16)^3))</f>
        <v>11804758.306000015</v>
      </c>
      <c r="AB369" s="193">
        <f>(((E369*'Appendix K'!$C$8*1000)-('Appendix K'!$E$34+'Appendix K'!$F$34+'Appendix K'!$H$34+'Appendix K'!$G$34))/((1+$Y$16)^4))</f>
        <v>29252237.43525422</v>
      </c>
      <c r="AC369" s="193">
        <f>(((F369*'Appendix K'!$C$9*1000)-('Appendix K'!$E$35+'Appendix K'!$F$35+'Appendix K'!$H$35+'Appendix K'!$G$35))/((1+$Y$16)^AC$34))</f>
        <v>46905098.049233407</v>
      </c>
      <c r="AD369" s="193">
        <f>(((G369*'Appendix K'!$C$10*1000)-('Appendix K'!$E$36+'Appendix K'!$F$36+'Appendix K'!$H$36+'Appendix K'!$G$36))/((1+$Y$16)^AD$34))</f>
        <v>37683442.668684579</v>
      </c>
      <c r="AE369" s="193">
        <f>(((H369*'Appendix K'!$C$11*1000)-('Appendix K'!$E$37+'Appendix K'!$F$37+'Appendix K'!$H$37+'Appendix K'!$G$37))/((1+$Y$16)^AE$34))</f>
        <v>25959721.603929035</v>
      </c>
      <c r="AF369" s="193">
        <f>(((I369*'Appendix K'!$C$12*1000)-('Appendix K'!$E$38+'Appendix K'!$F$38+'Appendix K'!$H$38+'Appendix K'!$G$38))/((1+$Y$16)^AF$34))</f>
        <v>30834634.508874267</v>
      </c>
      <c r="AG369" s="193">
        <f>(((J369*'Appendix K'!$C$13*1000)-('Appendix K'!$E$39+'Appendix K'!$F$39+'Appendix K'!$H$39+'Appendix K'!$G$39))/((1+$Y$16)^AG$34))</f>
        <v>21194522.409894329</v>
      </c>
      <c r="AH369" s="193">
        <f>(((K369*'Appendix K'!$C$14*1000)-('Appendix K'!$E$40+'Appendix K'!$F$40+'Appendix K'!$H$40+'Appendix K'!$G$40))/((1+$Y$16)^AH$34))</f>
        <v>15220522.22201786</v>
      </c>
      <c r="AI369" s="193">
        <f>(((L369*'Appendix K'!$C$15*1000)-('Appendix K'!$E$41+'Appendix K'!$F$41+'Appendix K'!$H$41+'Appendix K'!$G$41))/((1+$Y$16)^AI$34))</f>
        <v>9437108.841839347</v>
      </c>
      <c r="AJ369" s="193">
        <f>(((M369*'Appendix K'!$C$16*1000)-('Appendix K'!$E$42+'Appendix K'!$F$42+'Appendix K'!$H$42+'Appendix K'!$G$42))/((1+$Y$16)^AJ$34))</f>
        <v>4302643.3915243922</v>
      </c>
      <c r="AK369" s="193">
        <f>(((N369*'Appendix K'!$C$17*1000)-('Appendix K'!$E$43+'Appendix K'!$F$43+'Appendix K'!$H$43))/((1+$Y$16)^AK$34))</f>
        <v>2718028.4618188669</v>
      </c>
      <c r="AL369" s="193">
        <f>(((O369*'Appendix K'!$C$18*1000)-('Appendix K'!$E$44+'Appendix K'!$F$44+'Appendix K'!$H$44+'Appendix K'!$G$44))/((1+$Y$16)^AL$34))</f>
        <v>1349626.9122964626</v>
      </c>
      <c r="AM369" s="193">
        <f>(((P369*'Appendix K'!$C$19*1000)-('Appendix K'!$E$45+'Appendix K'!$F$45+'Appendix K'!$H$45+'Appendix K'!$G$45))/((1+$Y$16)^AM$34))</f>
        <v>1957542.0149360232</v>
      </c>
      <c r="AN369" s="193">
        <f>(((Q369*'Appendix K'!$C$20*1000)-('Appendix K'!$E$46+'Appendix K'!$F$46+'Appendix K'!$H$46+'Appendix K'!$G$46))/((1+$Y$16)^AN$34))</f>
        <v>1840965.0615954371</v>
      </c>
      <c r="AO369" s="193">
        <f>(((R369*'Appendix K'!$C$21*1000)-('Appendix K'!$E$47+'Appendix K'!$F$47+'Appendix K'!$H$47+'Appendix K'!$G$47))/((1+$Y$16)^AO$34))</f>
        <v>2112056.3146391152</v>
      </c>
      <c r="AP369" s="193">
        <f>(((S369*'Appendix K'!$C$22*1000)-('Appendix K'!$E$48+'Appendix K'!$F$48+'Appendix K'!$H$48+'Appendix K'!$G$48))/((1+$Y$16)^AP$34))</f>
        <v>1630406.4380253027</v>
      </c>
      <c r="AQ369" s="193">
        <f>(((T369*'Appendix K'!$C$23*1000)-('Appendix K'!$E$49+'Appendix K'!$F$49+'Appendix K'!$H$49+'Appendix K'!$G$49))/((1+$Y$16)^AQ$34))</f>
        <v>1263386.3652054211</v>
      </c>
      <c r="AR369" s="193">
        <f>(((U369*'Appendix K'!$C$24*1000)-('Appendix K'!$E$50+'Appendix K'!$F$50+'Appendix K'!$H$50+'Appendix K'!$G$50))/((1+$Y$16)^AR$34))</f>
        <v>980725.14012097823</v>
      </c>
      <c r="AS369" s="209">
        <f t="shared" si="26"/>
        <v>268844603.08978695</v>
      </c>
      <c r="AU369" s="199">
        <f t="shared" si="25"/>
        <v>4.290921263953349E-11</v>
      </c>
    </row>
    <row r="370" spans="1:47" x14ac:dyDescent="0.35">
      <c r="A370">
        <v>336</v>
      </c>
      <c r="B370" s="70">
        <v>56</v>
      </c>
      <c r="C370" s="70">
        <v>61.791641946370184</v>
      </c>
      <c r="D370" s="70">
        <v>49.581095270364969</v>
      </c>
      <c r="E370" s="70">
        <v>66.54216952711748</v>
      </c>
      <c r="F370" s="70">
        <v>80.843816725768008</v>
      </c>
      <c r="G370" s="70">
        <v>112.41539683316461</v>
      </c>
      <c r="H370" s="70">
        <v>97.819339779016374</v>
      </c>
      <c r="I370" s="70">
        <v>127.79568398602925</v>
      </c>
      <c r="J370" s="70">
        <v>143.18310882076466</v>
      </c>
      <c r="K370" s="70">
        <v>185.27611981192248</v>
      </c>
      <c r="L370" s="70">
        <v>296.00987806870188</v>
      </c>
      <c r="M370" s="70">
        <v>435.67024571272418</v>
      </c>
      <c r="N370" s="70">
        <v>500</v>
      </c>
      <c r="O370" s="70">
        <v>500</v>
      </c>
      <c r="P370" s="70">
        <v>500</v>
      </c>
      <c r="Q370" s="70">
        <v>500</v>
      </c>
      <c r="R370" s="70">
        <v>449.0027788954265</v>
      </c>
      <c r="S370" s="70">
        <v>500</v>
      </c>
      <c r="T370" s="70">
        <v>500</v>
      </c>
      <c r="U370" s="70">
        <v>332.81836876403622</v>
      </c>
      <c r="V370" s="70">
        <v>260.81118410525698</v>
      </c>
      <c r="X370" s="193">
        <f>((0-('Appendix K'!$I$30))/(1+$Y$16)^0)</f>
        <v>-33594902.4440751</v>
      </c>
      <c r="Y370" s="193">
        <f>(((B370*'Appendix K'!$C$5*1000)-('Appendix K'!$E$31+'Appendix K'!$F$31+'Appendix K'!$H$31+'Appendix K'!$G$31))/((1+$Y$16)^1))</f>
        <v>34971064.972647354</v>
      </c>
      <c r="Z370" s="193">
        <f>+(((C370*'Appendix K'!$C$6*1000)-('Appendix K'!$E$32+'Appendix K'!$F$32+'Appendix K'!$H$32+'Appendix K'!$G$32))/((1+$Y$16)^2))</f>
        <v>12122377.915886424</v>
      </c>
      <c r="AA370" s="193">
        <f>(((D370*'Appendix K'!$C$7*1000)-('Appendix K'!$E$33+'Appendix K'!$F$33+'Appendix K'!$H$33+'Appendix K'!$G$33))/((1+$Y$16)^3))</f>
        <v>3350487.6185343172</v>
      </c>
      <c r="AB370" s="193">
        <f>(((E370*'Appendix K'!$C$8*1000)-('Appendix K'!$E$34+'Appendix K'!$F$34+'Appendix K'!$H$34+'Appendix K'!$G$34))/((1+$Y$16)^4))</f>
        <v>11292226.536557056</v>
      </c>
      <c r="AC370" s="193">
        <f>(((F370*'Appendix K'!$C$9*1000)-('Appendix K'!$E$35+'Appendix K'!$F$35+'Appendix K'!$H$35+'Appendix K'!$G$35))/((1+$Y$16)^AC$34))</f>
        <v>18503931.018976972</v>
      </c>
      <c r="AD370" s="193">
        <f>(((G370*'Appendix K'!$C$10*1000)-('Appendix K'!$E$36+'Appendix K'!$F$36+'Appendix K'!$H$36+'Appendix K'!$G$36))/((1+$Y$16)^AD$34))</f>
        <v>15138395.152164215</v>
      </c>
      <c r="AE370" s="193">
        <f>(((H370*'Appendix K'!$C$11*1000)-('Appendix K'!$E$37+'Appendix K'!$F$37+'Appendix K'!$H$37+'Appendix K'!$G$37))/((1+$Y$16)^AE$34))</f>
        <v>7536328.0385190099</v>
      </c>
      <c r="AF370" s="193">
        <f>(((I370*'Appendix K'!$C$12*1000)-('Appendix K'!$E$38+'Appendix K'!$F$38+'Appendix K'!$H$38+'Appendix K'!$G$38))/((1+$Y$16)^AF$34))</f>
        <v>6394795.7649916802</v>
      </c>
      <c r="AG370" s="193">
        <f>(((J370*'Appendix K'!$C$13*1000)-('Appendix K'!$E$39+'Appendix K'!$F$39+'Appendix K'!$H$39+'Appendix K'!$G$39))/((1+$Y$16)^AG$34))</f>
        <v>4774189.9578086706</v>
      </c>
      <c r="AH370" s="193">
        <f>(((K370*'Appendix K'!$C$14*1000)-('Appendix K'!$E$40+'Appendix K'!$F$40+'Appendix K'!$H$40+'Appendix K'!$G$40))/((1+$Y$16)^AH$34))</f>
        <v>4612273.3336574547</v>
      </c>
      <c r="AI370" s="193">
        <f>(((L370*'Appendix K'!$C$15*1000)-('Appendix K'!$E$41+'Appendix K'!$F$41+'Appendix K'!$H$41+'Appendix K'!$G$41))/((1+$Y$16)^AI$34))</f>
        <v>6239530.9982552454</v>
      </c>
      <c r="AJ370" s="193">
        <f>(((M370*'Appendix K'!$C$16*1000)-('Appendix K'!$E$42+'Appendix K'!$F$42+'Appendix K'!$H$42+'Appendix K'!$G$42))/((1+$Y$16)^AJ$34))</f>
        <v>7350094.1521163788</v>
      </c>
      <c r="AK370" s="193">
        <f>(((N370*'Appendix K'!$C$17*1000)-('Appendix K'!$E$43+'Appendix K'!$F$43+'Appendix K'!$H$43))/((1+$Y$16)^AK$34))</f>
        <v>6677690.1149291173</v>
      </c>
      <c r="AL370" s="193">
        <f>(((O370*'Appendix K'!$C$18*1000)-('Appendix K'!$E$44+'Appendix K'!$F$44+'Appendix K'!$H$44+'Appendix K'!$G$44))/((1+$Y$16)^AL$34))</f>
        <v>4792058.0003928225</v>
      </c>
      <c r="AM370" s="193">
        <f>(((P370*'Appendix K'!$C$19*1000)-('Appendix K'!$E$45+'Appendix K'!$F$45+'Appendix K'!$H$45+'Appendix K'!$G$45))/((1+$Y$16)^AM$34))</f>
        <v>3607599.9540230581</v>
      </c>
      <c r="AN370" s="193">
        <f>(((Q370*'Appendix K'!$C$20*1000)-('Appendix K'!$E$46+'Appendix K'!$F$46+'Appendix K'!$H$46+'Appendix K'!$G$46))/((1+$Y$16)^AN$34))</f>
        <v>2702399.606577659</v>
      </c>
      <c r="AO370" s="193">
        <f>(((R370*'Appendix K'!$C$21*1000)-('Appendix K'!$E$47+'Appendix K'!$F$47+'Appendix K'!$H$47+'Appendix K'!$G$47))/((1+$Y$16)^AO$34))</f>
        <v>1810657.1037360455</v>
      </c>
      <c r="AP370" s="193">
        <f>(((S370*'Appendix K'!$C$22*1000)-('Appendix K'!$E$48+'Appendix K'!$F$48+'Appendix K'!$H$48+'Appendix K'!$G$48))/((1+$Y$16)^AP$34))</f>
        <v>1630406.4380253027</v>
      </c>
      <c r="AQ370" s="193">
        <f>(((T370*'Appendix K'!$C$23*1000)-('Appendix K'!$E$49+'Appendix K'!$F$49+'Appendix K'!$H$49+'Appendix K'!$G$49))/((1+$Y$16)^AQ$34))</f>
        <v>1263386.3652054211</v>
      </c>
      <c r="AR370" s="193">
        <f>(((U370*'Appendix K'!$C$24*1000)-('Appendix K'!$E$50+'Appendix K'!$F$50+'Appendix K'!$H$50+'Appendix K'!$G$50))/((1+$Y$16)^AR$34))</f>
        <v>442395.60330269393</v>
      </c>
      <c r="AS370" s="209">
        <f t="shared" si="26"/>
        <v>121617386.20223179</v>
      </c>
      <c r="AU370" s="199">
        <f t="shared" si="25"/>
        <v>5.8748014124430406E-9</v>
      </c>
    </row>
    <row r="371" spans="1:47" x14ac:dyDescent="0.35">
      <c r="A371">
        <v>337</v>
      </c>
      <c r="B371" s="70">
        <v>56</v>
      </c>
      <c r="C371" s="70">
        <v>37.547945555861787</v>
      </c>
      <c r="D371" s="70">
        <v>31.648128469068759</v>
      </c>
      <c r="E371" s="70">
        <v>39.824612517923747</v>
      </c>
      <c r="F371" s="70">
        <v>45.566817000541683</v>
      </c>
      <c r="G371" s="70">
        <v>23.144678575864411</v>
      </c>
      <c r="H371" s="70">
        <v>24.752922913785589</v>
      </c>
      <c r="I371" s="70">
        <v>20.199294332071581</v>
      </c>
      <c r="J371" s="70">
        <v>24.369320323052253</v>
      </c>
      <c r="K371" s="70">
        <v>26.314154722026224</v>
      </c>
      <c r="L371" s="70">
        <v>20.323305910238943</v>
      </c>
      <c r="M371" s="70">
        <v>31.386112381985512</v>
      </c>
      <c r="N371" s="70">
        <v>37.126612434270712</v>
      </c>
      <c r="O371" s="70">
        <v>28.091348079374832</v>
      </c>
      <c r="P371" s="70">
        <v>18.098547700892219</v>
      </c>
      <c r="Q371" s="70">
        <v>13.663200589647957</v>
      </c>
      <c r="R371" s="70">
        <v>12.689965859775143</v>
      </c>
      <c r="S371" s="70">
        <v>14.161130483427183</v>
      </c>
      <c r="T371" s="70">
        <v>8.7977662369544536</v>
      </c>
      <c r="U371" s="70">
        <v>10.578726863892793</v>
      </c>
      <c r="V371" s="70">
        <v>9.8673679044953566</v>
      </c>
      <c r="X371" s="193">
        <f>((0-('Appendix K'!$I$30))/(1+$Y$16)^0)</f>
        <v>-33594902.4440751</v>
      </c>
      <c r="Y371" s="193">
        <f>(((B371*'Appendix K'!$C$5*1000)-('Appendix K'!$E$31+'Appendix K'!$F$31+'Appendix K'!$H$31+'Appendix K'!$G$31))/((1+$Y$16)^1))</f>
        <v>34971064.972647354</v>
      </c>
      <c r="Z371" s="193">
        <f>+(((C371*'Appendix K'!$C$6*1000)-('Appendix K'!$E$32+'Appendix K'!$F$32+'Appendix K'!$H$32+'Appendix K'!$G$32))/((1+$Y$16)^2))</f>
        <v>5998005.564696338</v>
      </c>
      <c r="AA371" s="193">
        <f>(((D371*'Appendix K'!$C$7*1000)-('Appendix K'!$E$33+'Appendix K'!$F$33+'Appendix K'!$H$33+'Appendix K'!$G$33))/((1+$Y$16)^3))</f>
        <v>1066278.26121064</v>
      </c>
      <c r="AB371" s="193">
        <f>(((E371*'Appendix K'!$C$8*1000)-('Appendix K'!$E$34+'Appendix K'!$F$34+'Appendix K'!$H$34+'Appendix K'!$G$34))/((1+$Y$16)^4))</f>
        <v>5435982.615835716</v>
      </c>
      <c r="AC371" s="193">
        <f>(((F371*'Appendix K'!$C$9*1000)-('Appendix K'!$E$35+'Appendix K'!$F$35+'Appendix K'!$H$35+'Appendix K'!$G$35))/((1+$Y$16)^AC$34))</f>
        <v>9127359.8868419845</v>
      </c>
      <c r="AD371" s="193">
        <f>(((G371*'Appendix K'!$C$10*1000)-('Appendix K'!$E$36+'Appendix K'!$F$36+'Appendix K'!$H$36+'Appendix K'!$G$36))/((1+$Y$16)^AD$34))</f>
        <v>1118968.8023378651</v>
      </c>
      <c r="AE371" s="193">
        <f>(((H371*'Appendix K'!$C$11*1000)-('Appendix K'!$E$37+'Appendix K'!$F$37+'Appendix K'!$H$37+'Appendix K'!$G$37))/((1+$Y$16)^AE$34))</f>
        <v>248856.87280287175</v>
      </c>
      <c r="AF371" s="193">
        <f>(((I371*'Appendix K'!$C$12*1000)-('Appendix K'!$E$38+'Appendix K'!$F$38+'Appendix K'!$H$38+'Appendix K'!$G$38))/((1+$Y$16)^AF$34))</f>
        <v>-670244.32032527297</v>
      </c>
      <c r="AG371" s="193">
        <f>(((J371*'Appendix K'!$C$13*1000)-('Appendix K'!$E$39+'Appendix K'!$F$39+'Appendix K'!$H$39+'Appendix K'!$G$39))/((1+$Y$16)^AG$34))</f>
        <v>-693493.76247862529</v>
      </c>
      <c r="AH371" s="193">
        <f>(((K371*'Appendix K'!$C$14*1000)-('Appendix K'!$E$40+'Appendix K'!$F$40+'Appendix K'!$H$40+'Appendix K'!$G$40))/((1+$Y$16)^AH$34))</f>
        <v>-745782.39585613704</v>
      </c>
      <c r="AI371" s="193">
        <f>(((L371*'Appendix K'!$C$15*1000)-('Appendix K'!$E$41+'Appendix K'!$F$41+'Appendix K'!$H$41+'Appendix K'!$G$41))/((1+$Y$16)^AI$34))</f>
        <v>-983972.72871435981</v>
      </c>
      <c r="AJ371" s="193">
        <f>(((M371*'Appendix K'!$C$16*1000)-('Appendix K'!$E$42+'Appendix K'!$F$42+'Appendix K'!$H$42+'Appendix K'!$G$42))/((1+$Y$16)^AJ$34))</f>
        <v>-752514.66939321719</v>
      </c>
      <c r="AK371" s="193">
        <f>(((N371*'Appendix K'!$C$17*1000)-('Appendix K'!$E$43+'Appendix K'!$F$43+'Appendix K'!$H$43))/((1+$Y$16)^AK$34))</f>
        <v>-433849.14980813576</v>
      </c>
      <c r="AL371" s="193">
        <f>(((O371*'Appendix K'!$C$18*1000)-('Appendix K'!$E$44+'Appendix K'!$F$44+'Appendix K'!$H$44+'Appendix K'!$G$44))/((1+$Y$16)^AL$34))</f>
        <v>-801614.11094647064</v>
      </c>
      <c r="AM371" s="193">
        <f>(((P371*'Appendix K'!$C$19*1000)-('Appendix K'!$E$45+'Appendix K'!$F$45+'Appendix K'!$H$45+'Appendix K'!$G$45))/((1+$Y$16)^AM$34))</f>
        <v>-859015.35764401848</v>
      </c>
      <c r="AN371" s="193">
        <f>(((Q371*'Appendix K'!$C$20*1000)-('Appendix K'!$E$46+'Appendix K'!$F$46+'Appendix K'!$H$46+'Appendix K'!$G$46))/((1+$Y$16)^AN$34))</f>
        <v>-816838.95597448386</v>
      </c>
      <c r="AO371" s="193">
        <f>(((R371*'Appendix K'!$C$21*1000)-('Appendix K'!$E$47+'Appendix K'!$F$47+'Appendix K'!$H$47+'Appendix K'!$G$47))/((1+$Y$16)^AO$34))</f>
        <v>-767999.8251617935</v>
      </c>
      <c r="AP371" s="193">
        <f>(((S371*'Appendix K'!$C$22*1000)-('Appendix K'!$E$48+'Appendix K'!$F$48+'Appendix K'!$H$48+'Appendix K'!$G$48))/((1+$Y$16)^AP$34))</f>
        <v>-696625.39224047319</v>
      </c>
      <c r="AQ371" s="193">
        <f>(((T371*'Appendix K'!$C$23*1000)-('Appendix K'!$E$49+'Appendix K'!$F$49+'Appendix K'!$H$49+'Appendix K'!$G$49))/((1+$Y$16)^AQ$34))</f>
        <v>-659053.42674626666</v>
      </c>
      <c r="AR371" s="193">
        <f>(((U371*'Appendix K'!$C$24*1000)-('Appendix K'!$E$50+'Appendix K'!$F$50+'Appendix K'!$H$50+'Appendix K'!$G$50))/((1+$Y$16)^AR$34))</f>
        <v>-595225.07240272011</v>
      </c>
      <c r="AS371" s="209">
        <f t="shared" si="26"/>
        <v>24371614.532297671</v>
      </c>
      <c r="AU371" s="199">
        <f t="shared" si="25"/>
        <v>3.7778658743143399E-9</v>
      </c>
    </row>
    <row r="372" spans="1:47" x14ac:dyDescent="0.35">
      <c r="A372">
        <v>338</v>
      </c>
      <c r="B372" s="70">
        <v>56</v>
      </c>
      <c r="C372" s="70">
        <v>56.970061266932547</v>
      </c>
      <c r="D372" s="70">
        <v>64.518283204614818</v>
      </c>
      <c r="E372" s="70">
        <v>84.823770020027482</v>
      </c>
      <c r="F372" s="70">
        <v>53.441636787520636</v>
      </c>
      <c r="G372" s="70">
        <v>87.077643520624008</v>
      </c>
      <c r="H372" s="70">
        <v>122.321894689711</v>
      </c>
      <c r="I372" s="70">
        <v>40.375301417970348</v>
      </c>
      <c r="J372" s="70">
        <v>52.139208226052205</v>
      </c>
      <c r="K372" s="70">
        <v>32.034067097866256</v>
      </c>
      <c r="L372" s="70">
        <v>18.446022979322329</v>
      </c>
      <c r="M372" s="70">
        <v>14.044934706382552</v>
      </c>
      <c r="N372" s="70">
        <v>15.491223548850321</v>
      </c>
      <c r="O372" s="70">
        <v>12.797777136706816</v>
      </c>
      <c r="P372" s="70">
        <v>7.962832645459069</v>
      </c>
      <c r="Q372" s="70">
        <v>4.9338171585072956</v>
      </c>
      <c r="R372" s="70">
        <v>5.1879085797173232</v>
      </c>
      <c r="S372" s="70">
        <v>4.3312991199390956</v>
      </c>
      <c r="T372" s="70">
        <v>4.7186073530030352</v>
      </c>
      <c r="U372" s="70">
        <v>4.1250205051852262</v>
      </c>
      <c r="V372" s="70">
        <v>5.4226233751181416</v>
      </c>
      <c r="X372" s="193">
        <f>((0-('Appendix K'!$I$30))/(1+$Y$16)^0)</f>
        <v>-33594902.4440751</v>
      </c>
      <c r="Y372" s="193">
        <f>(((B372*'Appendix K'!$C$5*1000)-('Appendix K'!$E$31+'Appendix K'!$F$31+'Appendix K'!$H$31+'Appendix K'!$G$31))/((1+$Y$16)^1))</f>
        <v>34971064.972647354</v>
      </c>
      <c r="Z372" s="193">
        <f>+(((C372*'Appendix K'!$C$6*1000)-('Appendix K'!$E$32+'Appendix K'!$F$32+'Appendix K'!$H$32+'Appendix K'!$G$32))/((1+$Y$16)^2))</f>
        <v>10904364.172167828</v>
      </c>
      <c r="AA372" s="193">
        <f>(((D372*'Appendix K'!$C$7*1000)-('Appendix K'!$E$33+'Appendix K'!$F$33+'Appendix K'!$H$33+'Appendix K'!$G$33))/((1+$Y$16)^3))</f>
        <v>5253110.0250537805</v>
      </c>
      <c r="AB372" s="193">
        <f>(((E372*'Appendix K'!$C$8*1000)-('Appendix K'!$E$34+'Appendix K'!$F$34+'Appendix K'!$H$34+'Appendix K'!$G$34))/((1+$Y$16)^4))</f>
        <v>15299386.012658102</v>
      </c>
      <c r="AC372" s="193">
        <f>(((F372*'Appendix K'!$C$9*1000)-('Appendix K'!$E$35+'Appendix K'!$F$35+'Appendix K'!$H$35+'Appendix K'!$G$35))/((1+$Y$16)^AC$34))</f>
        <v>11220474.620534902</v>
      </c>
      <c r="AD372" s="193">
        <f>(((G372*'Appendix K'!$C$10*1000)-('Appendix K'!$E$36+'Appendix K'!$F$36+'Appendix K'!$H$36+'Appendix K'!$G$36))/((1+$Y$16)^AD$34))</f>
        <v>11159254.249417162</v>
      </c>
      <c r="AE372" s="193">
        <f>(((H372*'Appendix K'!$C$11*1000)-('Appendix K'!$E$37+'Appendix K'!$F$37+'Appendix K'!$H$37+'Appendix K'!$G$37))/((1+$Y$16)^AE$34))</f>
        <v>9980154.7657474186</v>
      </c>
      <c r="AF372" s="193">
        <f>(((I372*'Appendix K'!$C$12*1000)-('Appendix K'!$E$38+'Appendix K'!$F$38+'Appendix K'!$H$38+'Appendix K'!$G$38))/((1+$Y$16)^AF$34))</f>
        <v>654561.27289167861</v>
      </c>
      <c r="AG372" s="193">
        <f>(((J372*'Appendix K'!$C$13*1000)-('Appendix K'!$E$39+'Appendix K'!$F$39+'Appendix K'!$H$39+'Appendix K'!$G$39))/((1+$Y$16)^AG$34))</f>
        <v>584446.83617806458</v>
      </c>
      <c r="AH372" s="193">
        <f>(((K372*'Appendix K'!$C$14*1000)-('Appendix K'!$E$40+'Appendix K'!$F$40+'Appendix K'!$H$40+'Appendix K'!$G$40))/((1+$Y$16)^AH$34))</f>
        <v>-552984.01631702203</v>
      </c>
      <c r="AI372" s="193">
        <f>(((L372*'Appendix K'!$C$15*1000)-('Appendix K'!$E$41+'Appendix K'!$F$41+'Appendix K'!$H$41+'Appendix K'!$G$41))/((1+$Y$16)^AI$34))</f>
        <v>-1033161.0520406697</v>
      </c>
      <c r="AJ372" s="193">
        <f>(((M372*'Appendix K'!$C$16*1000)-('Appendix K'!$E$42+'Appendix K'!$F$42+'Appendix K'!$H$42+'Appendix K'!$G$42))/((1+$Y$16)^AJ$34))</f>
        <v>-1100064.2456086106</v>
      </c>
      <c r="AK372" s="193">
        <f>(((N372*'Appendix K'!$C$17*1000)-('Appendix K'!$E$43+'Appendix K'!$F$43+'Appendix K'!$H$43))/((1+$Y$16)^AK$34))</f>
        <v>-766253.04620772821</v>
      </c>
      <c r="AL372" s="193">
        <f>(((O372*'Appendix K'!$C$18*1000)-('Appendix K'!$E$44+'Appendix K'!$F$44+'Appendix K'!$H$44+'Appendix K'!$G$44))/((1+$Y$16)^AL$34))</f>
        <v>-982893.30749567936</v>
      </c>
      <c r="AM372" s="193">
        <f>(((P372*'Appendix K'!$C$19*1000)-('Appendix K'!$E$45+'Appendix K'!$F$45+'Appendix K'!$H$45+'Appendix K'!$G$45))/((1+$Y$16)^AM$34))</f>
        <v>-952960.58201572765</v>
      </c>
      <c r="AN372" s="193">
        <f>(((Q372*'Appendix K'!$C$20*1000)-('Appendix K'!$E$46+'Appendix K'!$F$46+'Appendix K'!$H$46+'Appendix K'!$G$46))/((1+$Y$16)^AN$34))</f>
        <v>-880006.6678059157</v>
      </c>
      <c r="AO372" s="193">
        <f>(((R372*'Appendix K'!$C$21*1000)-('Appendix K'!$E$47+'Appendix K'!$F$47+'Appendix K'!$H$47+'Appendix K'!$G$47))/((1+$Y$16)^AO$34))</f>
        <v>-812337.81251452549</v>
      </c>
      <c r="AP372" s="193">
        <f>(((S372*'Appendix K'!$C$22*1000)-('Appendix K'!$E$48+'Appendix K'!$F$48+'Appendix K'!$H$48+'Appendix K'!$G$48))/((1+$Y$16)^AP$34))</f>
        <v>-743707.52564767131</v>
      </c>
      <c r="AQ372" s="193">
        <f>(((T372*'Appendix K'!$C$23*1000)-('Appendix K'!$E$49+'Appendix K'!$F$49+'Appendix K'!$H$49+'Appendix K'!$G$49))/((1+$Y$16)^AQ$34))</f>
        <v>-675018.21032659616</v>
      </c>
      <c r="AR372" s="193">
        <f>(((U372*'Appendix K'!$C$24*1000)-('Appendix K'!$E$50+'Appendix K'!$F$50+'Appendix K'!$H$50+'Appendix K'!$G$50))/((1+$Y$16)^AR$34))</f>
        <v>-616006.18770324416</v>
      </c>
      <c r="AS372" s="209">
        <f t="shared" si="26"/>
        <v>66431914.483221181</v>
      </c>
      <c r="AU372" s="199">
        <f t="shared" si="25"/>
        <v>6.5565496065900486E-9</v>
      </c>
    </row>
    <row r="373" spans="1:47" x14ac:dyDescent="0.35">
      <c r="A373">
        <v>339</v>
      </c>
      <c r="B373" s="70">
        <v>56</v>
      </c>
      <c r="C373" s="70">
        <v>64.740172499651081</v>
      </c>
      <c r="D373" s="70">
        <v>59.836478194735008</v>
      </c>
      <c r="E373" s="70">
        <v>76.419607192530776</v>
      </c>
      <c r="F373" s="70">
        <v>69.226182811795013</v>
      </c>
      <c r="G373" s="70">
        <v>88.470364224588835</v>
      </c>
      <c r="H373" s="70">
        <v>64.247185851028476</v>
      </c>
      <c r="I373" s="70">
        <v>102.83246464546932</v>
      </c>
      <c r="J373" s="70">
        <v>141.37071583883215</v>
      </c>
      <c r="K373" s="70">
        <v>166.74751292350965</v>
      </c>
      <c r="L373" s="70">
        <v>200.95241423564005</v>
      </c>
      <c r="M373" s="70">
        <v>222.8066192363664</v>
      </c>
      <c r="N373" s="70">
        <v>389.87055640015728</v>
      </c>
      <c r="O373" s="70">
        <v>328.0228610268602</v>
      </c>
      <c r="P373" s="70">
        <v>500</v>
      </c>
      <c r="Q373" s="70">
        <v>480.28204791845934</v>
      </c>
      <c r="R373" s="70">
        <v>500</v>
      </c>
      <c r="S373" s="70">
        <v>498.81492719081263</v>
      </c>
      <c r="T373" s="70">
        <v>500</v>
      </c>
      <c r="U373" s="70">
        <v>500</v>
      </c>
      <c r="V373" s="70">
        <v>500</v>
      </c>
      <c r="X373" s="193">
        <f>((0-('Appendix K'!$I$30))/(1+$Y$16)^0)</f>
        <v>-33594902.4440751</v>
      </c>
      <c r="Y373" s="193">
        <f>(((B373*'Appendix K'!$C$5*1000)-('Appendix K'!$E$31+'Appendix K'!$F$31+'Appendix K'!$H$31+'Appendix K'!$G$31))/((1+$Y$16)^1))</f>
        <v>34971064.972647354</v>
      </c>
      <c r="Z373" s="193">
        <f>+(((C373*'Appendix K'!$C$6*1000)-('Appendix K'!$E$32+'Appendix K'!$F$32+'Appendix K'!$H$32+'Appendix K'!$G$32))/((1+$Y$16)^2))</f>
        <v>12867227.162729107</v>
      </c>
      <c r="AA373" s="193">
        <f>(((D373*'Appendix K'!$C$7*1000)-('Appendix K'!$E$33+'Appendix K'!$F$33+'Appendix K'!$H$33+'Appendix K'!$G$33))/((1+$Y$16)^3))</f>
        <v>4656765.7095131222</v>
      </c>
      <c r="AB373" s="193">
        <f>(((E373*'Appendix K'!$C$8*1000)-('Appendix K'!$E$34+'Appendix K'!$F$34+'Appendix K'!$H$34+'Appendix K'!$G$34))/((1+$Y$16)^4))</f>
        <v>13457270.45357671</v>
      </c>
      <c r="AC373" s="193">
        <f>(((F373*'Appendix K'!$C$9*1000)-('Appendix K'!$E$35+'Appendix K'!$F$35+'Appendix K'!$H$35+'Appendix K'!$G$35))/((1+$Y$16)^AC$34))</f>
        <v>15415982.167601891</v>
      </c>
      <c r="AD373" s="193">
        <f>(((G373*'Appendix K'!$C$10*1000)-('Appendix K'!$E$36+'Appendix K'!$F$36+'Appendix K'!$H$36+'Appendix K'!$G$36))/((1+$Y$16)^AD$34))</f>
        <v>11377972.612126386</v>
      </c>
      <c r="AE373" s="193">
        <f>(((H373*'Appendix K'!$C$11*1000)-('Appendix K'!$E$37+'Appendix K'!$F$37+'Appendix K'!$H$37+'Appendix K'!$G$37))/((1+$Y$16)^AE$34))</f>
        <v>4187921.0108080748</v>
      </c>
      <c r="AF373" s="193">
        <f>(((I373*'Appendix K'!$C$12*1000)-('Appendix K'!$E$38+'Appendix K'!$F$38+'Appendix K'!$H$38+'Appendix K'!$G$38))/((1+$Y$16)^AF$34))</f>
        <v>4755650.1963826474</v>
      </c>
      <c r="AG373" s="193">
        <f>(((J373*'Appendix K'!$C$13*1000)-('Appendix K'!$E$39+'Appendix K'!$F$39+'Appendix K'!$H$39+'Appendix K'!$G$39))/((1+$Y$16)^AG$34))</f>
        <v>4690785.5673976522</v>
      </c>
      <c r="AH373" s="193">
        <f>(((K373*'Appendix K'!$C$14*1000)-('Appendix K'!$E$40+'Appendix K'!$F$40+'Appendix K'!$H$40+'Appendix K'!$G$40))/((1+$Y$16)^AH$34))</f>
        <v>3987738.3498188863</v>
      </c>
      <c r="AI373" s="193">
        <f>(((L373*'Appendix K'!$C$15*1000)-('Appendix K'!$E$41+'Appendix K'!$F$41+'Appendix K'!$H$41+'Appendix K'!$G$41))/((1+$Y$16)^AI$34))</f>
        <v>3748847.6875000186</v>
      </c>
      <c r="AJ373" s="193">
        <f>(((M373*'Appendix K'!$C$16*1000)-('Appendix K'!$E$42+'Appendix K'!$F$42+'Appendix K'!$H$42+'Appendix K'!$G$42))/((1+$Y$16)^AJ$34))</f>
        <v>3083909.6658336394</v>
      </c>
      <c r="AK373" s="193">
        <f>(((N373*'Appendix K'!$C$17*1000)-('Appendix K'!$E$43+'Appendix K'!$F$43+'Appendix K'!$H$43))/((1+$Y$16)^AK$34))</f>
        <v>4985672.6358453082</v>
      </c>
      <c r="AL373" s="193">
        <f>(((O373*'Appendix K'!$C$18*1000)-('Appendix K'!$E$44+'Appendix K'!$F$44+'Appendix K'!$H$44+'Appendix K'!$G$44))/((1+$Y$16)^AL$34))</f>
        <v>2753562.3675054251</v>
      </c>
      <c r="AM373" s="193">
        <f>(((P373*'Appendix K'!$C$19*1000)-('Appendix K'!$E$45+'Appendix K'!$F$45+'Appendix K'!$H$45+'Appendix K'!$G$45))/((1+$Y$16)^AM$34))</f>
        <v>3607599.9540230581</v>
      </c>
      <c r="AN373" s="193">
        <f>(((Q373*'Appendix K'!$C$20*1000)-('Appendix K'!$E$46+'Appendix K'!$F$46+'Appendix K'!$H$46+'Appendix K'!$G$46))/((1+$Y$16)^AN$34))</f>
        <v>2559716.2286715531</v>
      </c>
      <c r="AO373" s="193">
        <f>(((R373*'Appendix K'!$C$21*1000)-('Appendix K'!$E$47+'Appendix K'!$F$47+'Appendix K'!$H$47+'Appendix K'!$G$47))/((1+$Y$16)^AO$34))</f>
        <v>2112056.3146391152</v>
      </c>
      <c r="AP373" s="193">
        <f>(((S373*'Appendix K'!$C$22*1000)-('Appendix K'!$E$48+'Appendix K'!$F$48+'Appendix K'!$H$48+'Appendix K'!$G$48))/((1+$Y$16)^AP$34))</f>
        <v>1624730.2718698331</v>
      </c>
      <c r="AQ373" s="193">
        <f>(((T373*'Appendix K'!$C$23*1000)-('Appendix K'!$E$49+'Appendix K'!$F$49+'Appendix K'!$H$49+'Appendix K'!$G$49))/((1+$Y$16)^AQ$34))</f>
        <v>1263386.3652054211</v>
      </c>
      <c r="AR373" s="193">
        <f>(((U373*'Appendix K'!$C$24*1000)-('Appendix K'!$E$50+'Appendix K'!$F$50+'Appendix K'!$H$50+'Appendix K'!$G$50))/((1+$Y$16)^AR$34))</f>
        <v>980725.14012097823</v>
      </c>
      <c r="AS373" s="209">
        <f t="shared" si="26"/>
        <v>103493682.38974106</v>
      </c>
      <c r="AU373" s="199">
        <f t="shared" si="25"/>
        <v>6.7598976662196199E-9</v>
      </c>
    </row>
    <row r="374" spans="1:47" x14ac:dyDescent="0.35">
      <c r="A374">
        <v>340</v>
      </c>
      <c r="B374" s="70">
        <v>56</v>
      </c>
      <c r="C374" s="70">
        <v>72.413262795564819</v>
      </c>
      <c r="D374" s="70">
        <v>54.3005951051625</v>
      </c>
      <c r="E374" s="70">
        <v>68.997577167043062</v>
      </c>
      <c r="F374" s="70">
        <v>85.602436868996591</v>
      </c>
      <c r="G374" s="70">
        <v>112.36941874591174</v>
      </c>
      <c r="H374" s="70">
        <v>121.5309809466918</v>
      </c>
      <c r="I374" s="70">
        <v>164.5773344166939</v>
      </c>
      <c r="J374" s="70">
        <v>202.07253994300495</v>
      </c>
      <c r="K374" s="70">
        <v>216.15281172438807</v>
      </c>
      <c r="L374" s="70">
        <v>192.44599982097074</v>
      </c>
      <c r="M374" s="70">
        <v>182.81539021669664</v>
      </c>
      <c r="N374" s="70">
        <v>151.94959734553288</v>
      </c>
      <c r="O374" s="70">
        <v>145.44505794804036</v>
      </c>
      <c r="P374" s="70">
        <v>76.236708142888077</v>
      </c>
      <c r="Q374" s="70">
        <v>73.66386416923396</v>
      </c>
      <c r="R374" s="70">
        <v>89.415891231564643</v>
      </c>
      <c r="S374" s="70">
        <v>91.527685918501831</v>
      </c>
      <c r="T374" s="70">
        <v>125.38517347840659</v>
      </c>
      <c r="U374" s="70">
        <v>92.445121658873802</v>
      </c>
      <c r="V374" s="70">
        <v>68.91144707432278</v>
      </c>
      <c r="X374" s="193">
        <f>((0-('Appendix K'!$I$30))/(1+$Y$16)^0)</f>
        <v>-33594902.4440751</v>
      </c>
      <c r="Y374" s="193">
        <f>(((B374*'Appendix K'!$C$5*1000)-('Appendix K'!$E$31+'Appendix K'!$F$31+'Appendix K'!$H$31+'Appendix K'!$G$31))/((1+$Y$16)^1))</f>
        <v>34971064.972647354</v>
      </c>
      <c r="Z374" s="193">
        <f>+(((C374*'Appendix K'!$C$6*1000)-('Appendix K'!$E$32+'Appendix K'!$F$32+'Appendix K'!$H$32+'Appendix K'!$G$32))/((1+$Y$16)^2))</f>
        <v>14805581.005292369</v>
      </c>
      <c r="AA374" s="193">
        <f>(((D374*'Appendix K'!$C$7*1000)-('Appendix K'!$E$33+'Appendix K'!$F$33+'Appendix K'!$H$33+'Appendix K'!$G$33))/((1+$Y$16)^3))</f>
        <v>3951633.3075874452</v>
      </c>
      <c r="AB374" s="193">
        <f>(((E374*'Appendix K'!$C$8*1000)-('Appendix K'!$E$34+'Appendix K'!$F$34+'Appendix K'!$H$34+'Appendix K'!$G$34))/((1+$Y$16)^4))</f>
        <v>11830429.414135231</v>
      </c>
      <c r="AC374" s="193">
        <f>(((F374*'Appendix K'!$C$9*1000)-('Appendix K'!$E$35+'Appendix K'!$F$35+'Appendix K'!$H$35+'Appendix K'!$G$35))/((1+$Y$16)^AC$34))</f>
        <v>19768764.780672584</v>
      </c>
      <c r="AD374" s="193">
        <f>(((G374*'Appendix K'!$C$10*1000)-('Appendix K'!$E$36+'Appendix K'!$F$36+'Appendix K'!$H$36+'Appendix K'!$G$36))/((1+$Y$16)^AD$34))</f>
        <v>15131174.571658866</v>
      </c>
      <c r="AE374" s="193">
        <f>(((H374*'Appendix K'!$C$11*1000)-('Appendix K'!$E$37+'Appendix K'!$F$37+'Appendix K'!$H$37+'Appendix K'!$G$37))/((1+$Y$16)^AE$34))</f>
        <v>9901270.9044044949</v>
      </c>
      <c r="AF374" s="193">
        <f>(((I374*'Appendix K'!$C$12*1000)-('Appendix K'!$E$38+'Appendix K'!$F$38+'Appendix K'!$H$38+'Appendix K'!$G$38))/((1+$Y$16)^AF$34))</f>
        <v>8809968.202770615</v>
      </c>
      <c r="AG374" s="193">
        <f>(((J374*'Appendix K'!$C$13*1000)-('Appendix K'!$E$39+'Appendix K'!$F$39+'Appendix K'!$H$39+'Appendix K'!$G$39))/((1+$Y$16)^AG$34))</f>
        <v>7484218.7172253663</v>
      </c>
      <c r="AH374" s="193">
        <f>(((K374*'Appendix K'!$C$14*1000)-('Appendix K'!$E$40+'Appendix K'!$F$40+'Appendix K'!$H$40+'Appendix K'!$G$40))/((1+$Y$16)^AH$34))</f>
        <v>5653019.375746537</v>
      </c>
      <c r="AI374" s="193">
        <f>(((L374*'Appendix K'!$C$15*1000)-('Appendix K'!$E$41+'Appendix K'!$F$41+'Appendix K'!$H$41+'Appendix K'!$G$41))/((1+$Y$16)^AI$34))</f>
        <v>3525963.7227627262</v>
      </c>
      <c r="AJ374" s="193">
        <f>(((M374*'Appendix K'!$C$16*1000)-('Appendix K'!$E$42+'Appendix K'!$F$42+'Appendix K'!$H$42+'Appendix K'!$G$42))/((1+$Y$16)^AJ$34))</f>
        <v>2282410.7735367697</v>
      </c>
      <c r="AK374" s="193">
        <f>(((N374*'Appendix K'!$C$17*1000)-('Appendix K'!$E$43+'Appendix K'!$F$43+'Appendix K'!$H$43))/((1+$Y$16)^AK$34))</f>
        <v>1330279.4167209114</v>
      </c>
      <c r="AL374" s="193">
        <f>(((O374*'Appendix K'!$C$18*1000)-('Appendix K'!$E$44+'Appendix K'!$F$44+'Appendix K'!$H$44+'Appendix K'!$G$44))/((1+$Y$16)^AL$34))</f>
        <v>589413.94370544935</v>
      </c>
      <c r="AM374" s="193">
        <f>(((P374*'Appendix K'!$C$19*1000)-('Appendix K'!$E$45+'Appendix K'!$F$45+'Appendix K'!$H$45+'Appendix K'!$G$45))/((1+$Y$16)^AM$34))</f>
        <v>-320148.34161104646</v>
      </c>
      <c r="AN374" s="193">
        <f>(((Q374*'Appendix K'!$C$20*1000)-('Appendix K'!$E$46+'Appendix K'!$F$46+'Appendix K'!$H$46+'Appendix K'!$G$46))/((1+$Y$16)^AN$34))</f>
        <v>-382661.14071557479</v>
      </c>
      <c r="AO374" s="193">
        <f>(((R374*'Appendix K'!$C$21*1000)-('Appendix K'!$E$47+'Appendix K'!$F$47+'Appendix K'!$H$47+'Appendix K'!$G$47))/((1+$Y$16)^AO$34))</f>
        <v>-314541.12953119545</v>
      </c>
      <c r="AP374" s="193">
        <f>(((S374*'Appendix K'!$C$22*1000)-('Appendix K'!$E$48+'Appendix K'!$F$48+'Appendix K'!$H$48+'Appendix K'!$G$48))/((1+$Y$16)^AP$34))</f>
        <v>-326061.30527357175</v>
      </c>
      <c r="AQ374" s="193">
        <f>(((T374*'Appendix K'!$C$23*1000)-('Appendix K'!$E$49+'Appendix K'!$F$49+'Appendix K'!$H$49+'Appendix K'!$G$49))/((1+$Y$16)^AQ$34))</f>
        <v>-202760.16194494124</v>
      </c>
      <c r="AR374" s="193">
        <f>(((U374*'Appendix K'!$C$24*1000)-('Appendix K'!$E$50+'Appendix K'!$F$50+'Appendix K'!$H$50+'Appendix K'!$G$50))/((1+$Y$16)^AR$34))</f>
        <v>-331612.9873599438</v>
      </c>
      <c r="AS374" s="209">
        <f t="shared" si="26"/>
        <v>106440290.66479158</v>
      </c>
      <c r="AU374" s="199">
        <f t="shared" si="25"/>
        <v>6.6534420052530721E-9</v>
      </c>
    </row>
    <row r="375" spans="1:47" x14ac:dyDescent="0.35">
      <c r="A375">
        <v>341</v>
      </c>
      <c r="B375" s="70">
        <v>56</v>
      </c>
      <c r="C375" s="70">
        <v>78.091745189322566</v>
      </c>
      <c r="D375" s="70">
        <v>66.729501789504027</v>
      </c>
      <c r="E375" s="70">
        <v>80.45056257494312</v>
      </c>
      <c r="F375" s="70">
        <v>33.17623983052524</v>
      </c>
      <c r="G375" s="70">
        <v>27.694682792562062</v>
      </c>
      <c r="H375" s="70">
        <v>29.277494144915554</v>
      </c>
      <c r="I375" s="70">
        <v>20.197930197967317</v>
      </c>
      <c r="J375" s="70">
        <v>18.678789944375644</v>
      </c>
      <c r="K375" s="70">
        <v>21.206230041985986</v>
      </c>
      <c r="L375" s="70">
        <v>42.78024150871218</v>
      </c>
      <c r="M375" s="70">
        <v>58.78651363059334</v>
      </c>
      <c r="N375" s="70">
        <v>60.5349552094697</v>
      </c>
      <c r="O375" s="70">
        <v>56.675208634059899</v>
      </c>
      <c r="P375" s="70">
        <v>75.383226549573635</v>
      </c>
      <c r="Q375" s="70">
        <v>83.840113303420793</v>
      </c>
      <c r="R375" s="70">
        <v>40.721510351123491</v>
      </c>
      <c r="S375" s="70">
        <v>56.552409714653756</v>
      </c>
      <c r="T375" s="70">
        <v>59.512523717223331</v>
      </c>
      <c r="U375" s="70">
        <v>50.537931943455568</v>
      </c>
      <c r="V375" s="70">
        <v>56.457495185696764</v>
      </c>
      <c r="X375" s="193">
        <f>((0-('Appendix K'!$I$30))/(1+$Y$16)^0)</f>
        <v>-33594902.4440751</v>
      </c>
      <c r="Y375" s="193">
        <f>(((B375*'Appendix K'!$C$5*1000)-('Appendix K'!$E$31+'Appendix K'!$F$31+'Appendix K'!$H$31+'Appendix K'!$G$31))/((1+$Y$16)^1))</f>
        <v>34971064.972647354</v>
      </c>
      <c r="Z375" s="193">
        <f>+(((C375*'Appendix K'!$C$6*1000)-('Appendix K'!$E$32+'Appendix K'!$F$32+'Appendix K'!$H$32+'Appendix K'!$G$32))/((1+$Y$16)^2))</f>
        <v>16240062.777744576</v>
      </c>
      <c r="AA375" s="193">
        <f>(((D375*'Appendix K'!$C$7*1000)-('Appendix K'!$E$33+'Appendix K'!$F$33+'Appendix K'!$H$33+'Appendix K'!$G$33))/((1+$Y$16)^3))</f>
        <v>5534763.7100607073</v>
      </c>
      <c r="AB375" s="193">
        <f>(((E375*'Appendix K'!$C$8*1000)-('Appendix K'!$E$34+'Appendix K'!$F$34+'Appendix K'!$H$34+'Appendix K'!$G$34))/((1+$Y$16)^4))</f>
        <v>14340818.973556591</v>
      </c>
      <c r="AC375" s="193">
        <f>(((F375*'Appendix K'!$C$9*1000)-('Appendix K'!$E$35+'Appendix K'!$F$35+'Appendix K'!$H$35+'Appendix K'!$G$35))/((1+$Y$16)^AC$34))</f>
        <v>5833963.931749275</v>
      </c>
      <c r="AD375" s="193">
        <f>(((G375*'Appendix K'!$C$10*1000)-('Appendix K'!$E$36+'Appendix K'!$F$36+'Appendix K'!$H$36+'Appendix K'!$G$36))/((1+$Y$16)^AD$34))</f>
        <v>1833519.4439439743</v>
      </c>
      <c r="AE375" s="193">
        <f>(((H375*'Appendix K'!$C$11*1000)-('Appendix K'!$E$37+'Appendix K'!$F$37+'Appendix K'!$H$37+'Appendix K'!$G$37))/((1+$Y$16)^AE$34))</f>
        <v>700126.8788975419</v>
      </c>
      <c r="AF375" s="193">
        <f>(((I375*'Appendix K'!$C$12*1000)-('Appendix K'!$E$38+'Appendix K'!$F$38+'Appendix K'!$H$38+'Appendix K'!$G$38))/((1+$Y$16)^AF$34))</f>
        <v>-670333.8926813656</v>
      </c>
      <c r="AG375" s="193">
        <f>(((J375*'Appendix K'!$C$13*1000)-('Appendix K'!$E$39+'Appendix K'!$F$39+'Appendix K'!$H$39+'Appendix K'!$G$39))/((1+$Y$16)^AG$34))</f>
        <v>-955365.89621577528</v>
      </c>
      <c r="AH375" s="193">
        <f>(((K375*'Appendix K'!$C$14*1000)-('Appendix K'!$E$40+'Appendix K'!$F$40+'Appendix K'!$H$40+'Appendix K'!$G$40))/((1+$Y$16)^AH$34))</f>
        <v>-917952.79575233883</v>
      </c>
      <c r="AI375" s="193">
        <f>(((L375*'Appendix K'!$C$15*1000)-('Appendix K'!$E$41+'Appendix K'!$F$41+'Appendix K'!$H$41+'Appendix K'!$G$41))/((1+$Y$16)^AI$34))</f>
        <v>-395559.02135887026</v>
      </c>
      <c r="AJ375" s="193">
        <f>(((M375*'Appendix K'!$C$16*1000)-('Appendix K'!$E$42+'Appendix K'!$F$42+'Appendix K'!$H$42+'Appendix K'!$G$42))/((1+$Y$16)^AJ$34))</f>
        <v>-203359.47242622284</v>
      </c>
      <c r="AK375" s="193">
        <f>(((N375*'Appendix K'!$C$17*1000)-('Appendix K'!$E$43+'Appendix K'!$F$43+'Appendix K'!$H$43))/((1+$Y$16)^AK$34))</f>
        <v>-74205.771640024759</v>
      </c>
      <c r="AL375" s="193">
        <f>(((O375*'Appendix K'!$C$18*1000)-('Appendix K'!$E$44+'Appendix K'!$F$44+'Appendix K'!$H$44+'Appendix K'!$G$44))/((1+$Y$16)^AL$34))</f>
        <v>-462801.20093004993</v>
      </c>
      <c r="AM375" s="193">
        <f>(((P375*'Appendix K'!$C$19*1000)-('Appendix K'!$E$45+'Appendix K'!$F$45+'Appendix K'!$H$45+'Appendix K'!$G$45))/((1+$Y$16)^AM$34))</f>
        <v>-328059.0335891195</v>
      </c>
      <c r="AN375" s="193">
        <f>(((Q375*'Appendix K'!$C$20*1000)-('Appendix K'!$E$46+'Appendix K'!$F$46+'Appendix K'!$H$46+'Appendix K'!$G$46))/((1+$Y$16)^AN$34))</f>
        <v>-309023.59484491806</v>
      </c>
      <c r="AO375" s="193">
        <f>(((R375*'Appendix K'!$C$21*1000)-('Appendix K'!$E$47+'Appendix K'!$F$47+'Appendix K'!$H$47+'Appendix K'!$G$47))/((1+$Y$16)^AO$34))</f>
        <v>-602330.30029176152</v>
      </c>
      <c r="AP375" s="193">
        <f>(((S375*'Appendix K'!$C$22*1000)-('Appendix K'!$E$48+'Appendix K'!$F$48+'Appendix K'!$H$48+'Appendix K'!$G$48))/((1+$Y$16)^AP$34))</f>
        <v>-493583.0621879088</v>
      </c>
      <c r="AQ375" s="193">
        <f>(((T375*'Appendix K'!$C$23*1000)-('Appendix K'!$E$49+'Appendix K'!$F$49+'Appendix K'!$H$49+'Appendix K'!$G$49))/((1+$Y$16)^AQ$34))</f>
        <v>-460568.84927938122</v>
      </c>
      <c r="AR375" s="193">
        <f>(((U375*'Appendix K'!$C$24*1000)-('Appendix K'!$E$50+'Appendix K'!$F$50+'Appendix K'!$H$50+'Appendix K'!$G$50))/((1+$Y$16)^AR$34))</f>
        <v>-466555.31243521225</v>
      </c>
      <c r="AS375" s="209">
        <f t="shared" si="26"/>
        <v>45859418.244524918</v>
      </c>
      <c r="AU375" s="199">
        <f t="shared" si="25"/>
        <v>5.3625426527425682E-9</v>
      </c>
    </row>
    <row r="376" spans="1:47" x14ac:dyDescent="0.35">
      <c r="A376">
        <v>342</v>
      </c>
      <c r="B376" s="70">
        <v>56</v>
      </c>
      <c r="C376" s="70">
        <v>44.566815168291541</v>
      </c>
      <c r="D376" s="70">
        <v>38.543895885406997</v>
      </c>
      <c r="E376" s="70">
        <v>33.753991083088735</v>
      </c>
      <c r="F376" s="70">
        <v>38.954744172262146</v>
      </c>
      <c r="G376" s="70">
        <v>33.617805833446695</v>
      </c>
      <c r="H376" s="70">
        <v>29.365801203966228</v>
      </c>
      <c r="I376" s="70">
        <v>33.009364846983125</v>
      </c>
      <c r="J376" s="70">
        <v>38.270708172558841</v>
      </c>
      <c r="K376" s="70">
        <v>43.622043352147273</v>
      </c>
      <c r="L376" s="70">
        <v>39.254669956705015</v>
      </c>
      <c r="M376" s="70">
        <v>32.888918155988691</v>
      </c>
      <c r="N376" s="70">
        <v>33.601341693434463</v>
      </c>
      <c r="O376" s="70">
        <v>40.935385028961079</v>
      </c>
      <c r="P376" s="70">
        <v>25.540114073766066</v>
      </c>
      <c r="Q376" s="70">
        <v>28.239188534122448</v>
      </c>
      <c r="R376" s="70">
        <v>34.630156774468183</v>
      </c>
      <c r="S376" s="70">
        <v>33.651701657562043</v>
      </c>
      <c r="T376" s="70">
        <v>38.281568432586091</v>
      </c>
      <c r="U376" s="70">
        <v>33.095703885522433</v>
      </c>
      <c r="V376" s="70">
        <v>30.413793416944941</v>
      </c>
      <c r="X376" s="193">
        <f>((0-('Appendix K'!$I$30))/(1+$Y$16)^0)</f>
        <v>-33594902.4440751</v>
      </c>
      <c r="Y376" s="193">
        <f>(((B376*'Appendix K'!$C$5*1000)-('Appendix K'!$E$31+'Appendix K'!$F$31+'Appendix K'!$H$31+'Appendix K'!$G$31))/((1+$Y$16)^1))</f>
        <v>34971064.972647354</v>
      </c>
      <c r="Z376" s="193">
        <f>+(((C376*'Appendix K'!$C$6*1000)-('Appendix K'!$E$32+'Appendix K'!$F$32+'Appendix K'!$H$32+'Appendix K'!$G$32))/((1+$Y$16)^2))</f>
        <v>7771092.0733940182</v>
      </c>
      <c r="AA376" s="193">
        <f>(((D376*'Appendix K'!$C$7*1000)-('Appendix K'!$E$33+'Appendix K'!$F$33+'Appendix K'!$H$33+'Appendix K'!$G$33))/((1+$Y$16)^3))</f>
        <v>1944625.7556803776</v>
      </c>
      <c r="AB376" s="193">
        <f>(((E376*'Appendix K'!$C$8*1000)-('Appendix K'!$E$34+'Appendix K'!$F$34+'Appendix K'!$H$34+'Appendix K'!$G$34))/((1+$Y$16)^4))</f>
        <v>4105357.9685103698</v>
      </c>
      <c r="AC376" s="193">
        <f>(((F376*'Appendix K'!$C$9*1000)-('Appendix K'!$E$35+'Appendix K'!$F$35+'Appendix K'!$H$35+'Appendix K'!$G$35))/((1+$Y$16)^AC$34))</f>
        <v>7369881.3119028201</v>
      </c>
      <c r="AD376" s="193">
        <f>(((G376*'Appendix K'!$C$10*1000)-('Appendix K'!$E$36+'Appendix K'!$F$36+'Appendix K'!$H$36+'Appendix K'!$G$36))/((1+$Y$16)^AD$34))</f>
        <v>2763710.0916018486</v>
      </c>
      <c r="AE376" s="193">
        <f>(((H376*'Appendix K'!$C$11*1000)-('Appendix K'!$E$37+'Appendix K'!$F$37+'Appendix K'!$H$37+'Appendix K'!$G$37))/((1+$Y$16)^AE$34))</f>
        <v>708934.41557677928</v>
      </c>
      <c r="AF376" s="193">
        <f>(((I376*'Appendix K'!$C$12*1000)-('Appendix K'!$E$38+'Appendix K'!$F$38+'Appendix K'!$H$38+'Appendix K'!$G$38))/((1+$Y$16)^AF$34))</f>
        <v>170896.00022504476</v>
      </c>
      <c r="AG376" s="193">
        <f>(((J376*'Appendix K'!$C$13*1000)-('Appendix K'!$E$39+'Appendix K'!$F$39+'Appendix K'!$H$39+'Appendix K'!$G$39))/((1+$Y$16)^AG$34))</f>
        <v>-53766.732516861302</v>
      </c>
      <c r="AH376" s="193">
        <f>(((K376*'Appendix K'!$C$14*1000)-('Appendix K'!$E$40+'Appendix K'!$F$40+'Appendix K'!$H$40+'Appendix K'!$G$40))/((1+$Y$16)^AH$34))</f>
        <v>-162393.58465240826</v>
      </c>
      <c r="AI376" s="193">
        <f>(((L376*'Appendix K'!$C$15*1000)-('Appendix K'!$E$41+'Appendix K'!$F$41+'Appendix K'!$H$41+'Appendix K'!$G$41))/((1+$Y$16)^AI$34))</f>
        <v>-487935.58887258824</v>
      </c>
      <c r="AJ376" s="193">
        <f>(((M376*'Appendix K'!$C$16*1000)-('Appendix K'!$E$42+'Appendix K'!$F$42+'Appendix K'!$H$42+'Appendix K'!$G$42))/((1+$Y$16)^AJ$34))</f>
        <v>-722395.63597695343</v>
      </c>
      <c r="AK376" s="193">
        <f>(((N376*'Appendix K'!$C$17*1000)-('Appendix K'!$E$43+'Appendix K'!$F$43+'Appendix K'!$H$43))/((1+$Y$16)^AK$34))</f>
        <v>-488011.04799833219</v>
      </c>
      <c r="AL376" s="193">
        <f>(((O376*'Appendix K'!$C$18*1000)-('Appendix K'!$E$44+'Appendix K'!$F$44+'Appendix K'!$H$44+'Appendix K'!$G$44))/((1+$Y$16)^AL$34))</f>
        <v>-649369.96159784566</v>
      </c>
      <c r="AM376" s="193">
        <f>(((P376*'Appendix K'!$C$19*1000)-('Appendix K'!$E$45+'Appendix K'!$F$45+'Appendix K'!$H$45+'Appendix K'!$G$45))/((1+$Y$16)^AM$34))</f>
        <v>-790041.47481945599</v>
      </c>
      <c r="AN376" s="193">
        <f>(((Q376*'Appendix K'!$C$20*1000)-('Appendix K'!$E$46+'Appendix K'!$F$46+'Appendix K'!$H$46+'Appendix K'!$G$46))/((1+$Y$16)^AN$34))</f>
        <v>-711363.94580934127</v>
      </c>
      <c r="AO376" s="193">
        <f>(((R376*'Appendix K'!$C$21*1000)-('Appendix K'!$E$47+'Appendix K'!$F$47+'Appendix K'!$H$47+'Appendix K'!$G$47))/((1+$Y$16)^AO$34))</f>
        <v>-638330.87290278263</v>
      </c>
      <c r="AP376" s="193">
        <f>(((S376*'Appendix K'!$C$22*1000)-('Appendix K'!$E$48+'Appendix K'!$F$48+'Appendix K'!$H$48+'Appendix K'!$G$48))/((1+$Y$16)^AP$34))</f>
        <v>-603271.02650723641</v>
      </c>
      <c r="AQ376" s="193">
        <f>(((T376*'Appendix K'!$C$23*1000)-('Appendix K'!$E$49+'Appendix K'!$F$49+'Appendix K'!$H$49+'Appendix K'!$G$49))/((1+$Y$16)^AQ$34))</f>
        <v>-543661.37299950491</v>
      </c>
      <c r="AR376" s="193">
        <f>(((U376*'Appendix K'!$C$24*1000)-('Appendix K'!$E$50+'Appendix K'!$F$50+'Appendix K'!$H$50+'Appendix K'!$G$50))/((1+$Y$16)^AR$34))</f>
        <v>-522719.77549307811</v>
      </c>
      <c r="AS376" s="209">
        <f t="shared" si="26"/>
        <v>26210660.145463504</v>
      </c>
      <c r="AU376" s="199">
        <f t="shared" si="25"/>
        <v>3.9147359934824521E-9</v>
      </c>
    </row>
    <row r="377" spans="1:47" x14ac:dyDescent="0.35">
      <c r="A377">
        <v>343</v>
      </c>
      <c r="B377" s="70">
        <v>56</v>
      </c>
      <c r="C377" s="70">
        <v>99.516753195644895</v>
      </c>
      <c r="D377" s="70">
        <v>96.130802536928442</v>
      </c>
      <c r="E377" s="70">
        <v>138.46213678372516</v>
      </c>
      <c r="F377" s="70">
        <v>136.40397676396802</v>
      </c>
      <c r="G377" s="70">
        <v>85.783131566476072</v>
      </c>
      <c r="H377" s="70">
        <v>82.920957118930673</v>
      </c>
      <c r="I377" s="70">
        <v>79.700082824445118</v>
      </c>
      <c r="J377" s="70">
        <v>89.415144578635193</v>
      </c>
      <c r="K377" s="70">
        <v>107.35585372326442</v>
      </c>
      <c r="L377" s="70">
        <v>85.365222673908235</v>
      </c>
      <c r="M377" s="70">
        <v>64.955614296927791</v>
      </c>
      <c r="N377" s="70">
        <v>96.222466275621684</v>
      </c>
      <c r="O377" s="70">
        <v>113.78723674494081</v>
      </c>
      <c r="P377" s="70">
        <v>80.131489132138171</v>
      </c>
      <c r="Q377" s="70">
        <v>38.62655904139401</v>
      </c>
      <c r="R377" s="70">
        <v>52.179478266183125</v>
      </c>
      <c r="S377" s="70">
        <v>53.424225646500581</v>
      </c>
      <c r="T377" s="70">
        <v>48.564256583078624</v>
      </c>
      <c r="U377" s="70">
        <v>68.348227153554461</v>
      </c>
      <c r="V377" s="70">
        <v>100.01044122166184</v>
      </c>
      <c r="X377" s="193">
        <f>((0-('Appendix K'!$I$30))/(1+$Y$16)^0)</f>
        <v>-33594902.4440751</v>
      </c>
      <c r="Y377" s="193">
        <f>(((B377*'Appendix K'!$C$5*1000)-('Appendix K'!$E$31+'Appendix K'!$F$31+'Appendix K'!$H$31+'Appendix K'!$G$31))/((1+$Y$16)^1))</f>
        <v>34971064.972647354</v>
      </c>
      <c r="Z377" s="193">
        <f>+(((C377*'Appendix K'!$C$6*1000)-('Appendix K'!$E$32+'Appendix K'!$F$32+'Appendix K'!$H$32+'Appendix K'!$G$32))/((1+$Y$16)^2))</f>
        <v>21652386.234712068</v>
      </c>
      <c r="AA377" s="193">
        <f>(((D377*'Appendix K'!$C$7*1000)-('Appendix K'!$E$33+'Appendix K'!$F$33+'Appendix K'!$H$33+'Appendix K'!$G$33))/((1+$Y$16)^3))</f>
        <v>9279750.6399367061</v>
      </c>
      <c r="AB377" s="193">
        <f>(((E377*'Appendix K'!$C$8*1000)-('Appendix K'!$E$34+'Appendix K'!$F$34+'Appendix K'!$H$34+'Appendix K'!$G$34))/((1+$Y$16)^4))</f>
        <v>27056424.995272983</v>
      </c>
      <c r="AC377" s="193">
        <f>(((F377*'Appendix K'!$C$9*1000)-('Appendix K'!$E$35+'Appendix K'!$F$35+'Appendix K'!$H$35+'Appendix K'!$G$35))/((1+$Y$16)^AC$34))</f>
        <v>33271734.31202314</v>
      </c>
      <c r="AD377" s="193">
        <f>(((G377*'Appendix K'!$C$10*1000)-('Appendix K'!$E$36+'Appendix K'!$F$36+'Appendix K'!$H$36+'Appendix K'!$G$36))/((1+$Y$16)^AD$34))</f>
        <v>10955958.976852659</v>
      </c>
      <c r="AE377" s="193">
        <f>(((H377*'Appendix K'!$C$11*1000)-('Appendix K'!$E$37+'Appendix K'!$F$37+'Appendix K'!$H$37+'Appendix K'!$G$37))/((1+$Y$16)^AE$34))</f>
        <v>6050398.6785034863</v>
      </c>
      <c r="AF377" s="193">
        <f>(((I377*'Appendix K'!$C$12*1000)-('Appendix K'!$E$38+'Appendix K'!$F$38+'Appendix K'!$H$38+'Appendix K'!$G$38))/((1+$Y$16)^AF$34))</f>
        <v>3236721.862820466</v>
      </c>
      <c r="AG377" s="193">
        <f>(((J377*'Appendix K'!$C$13*1000)-('Appendix K'!$E$39+'Appendix K'!$F$39+'Appendix K'!$H$39+'Appendix K'!$G$39))/((1+$Y$16)^AG$34))</f>
        <v>2299845.6373652481</v>
      </c>
      <c r="AH377" s="193">
        <f>(((K377*'Appendix K'!$C$14*1000)-('Appendix K'!$E$40+'Appendix K'!$F$40+'Appendix K'!$H$40+'Appendix K'!$G$40))/((1+$Y$16)^AH$34))</f>
        <v>1985851.7998933715</v>
      </c>
      <c r="AI377" s="193">
        <f>(((L377*'Appendix K'!$C$15*1000)-('Appendix K'!$E$41+'Appendix K'!$F$41+'Appendix K'!$H$41+'Appendix K'!$G$41))/((1+$Y$16)^AI$34))</f>
        <v>720247.11947453336</v>
      </c>
      <c r="AJ377" s="193">
        <f>(((M377*'Appendix K'!$C$16*1000)-('Appendix K'!$E$42+'Appendix K'!$F$42+'Appendix K'!$H$42+'Appendix K'!$G$42))/((1+$Y$16)^AJ$34))</f>
        <v>-79719.177497978366</v>
      </c>
      <c r="AK377" s="193">
        <f>(((N377*'Appendix K'!$C$17*1000)-('Appendix K'!$E$43+'Appendix K'!$F$43+'Appendix K'!$H$43))/((1+$Y$16)^AK$34))</f>
        <v>474093.48907659121</v>
      </c>
      <c r="AL377" s="193">
        <f>(((O377*'Appendix K'!$C$18*1000)-('Appendix K'!$E$44+'Appendix K'!$F$44+'Appendix K'!$H$44+'Appendix K'!$G$44))/((1+$Y$16)^AL$34))</f>
        <v>214164.4736039158</v>
      </c>
      <c r="AM377" s="193">
        <f>(((P377*'Appendix K'!$C$19*1000)-('Appendix K'!$E$45+'Appendix K'!$F$45+'Appendix K'!$H$45+'Appendix K'!$G$45))/((1+$Y$16)^AM$34))</f>
        <v>-284048.66123204515</v>
      </c>
      <c r="AN377" s="193">
        <f>(((Q377*'Appendix K'!$C$20*1000)-('Appendix K'!$E$46+'Appendix K'!$F$46+'Appendix K'!$H$46+'Appendix K'!$G$46))/((1+$Y$16)^AN$34))</f>
        <v>-636198.67989274208</v>
      </c>
      <c r="AO377" s="193">
        <f>(((R377*'Appendix K'!$C$21*1000)-('Appendix K'!$E$47+'Appendix K'!$F$47+'Appendix K'!$H$47+'Appendix K'!$G$47))/((1+$Y$16)^AO$34))</f>
        <v>-534612.44403700286</v>
      </c>
      <c r="AP377" s="193">
        <f>(((S377*'Appendix K'!$C$22*1000)-('Appendix K'!$E$48+'Appendix K'!$F$48+'Appendix K'!$H$48+'Appendix K'!$G$48))/((1+$Y$16)^AP$34))</f>
        <v>-508566.18592349207</v>
      </c>
      <c r="AQ377" s="193">
        <f>(((T377*'Appendix K'!$C$23*1000)-('Appendix K'!$E$49+'Appendix K'!$F$49+'Appendix K'!$H$49+'Appendix K'!$G$49))/((1+$Y$16)^AQ$34))</f>
        <v>-503417.56401415553</v>
      </c>
      <c r="AR377" s="193">
        <f>(((U377*'Appendix K'!$C$24*1000)-('Appendix K'!$E$50+'Appendix K'!$F$50+'Appendix K'!$H$50+'Appendix K'!$G$50))/((1+$Y$16)^AR$34))</f>
        <v>-409205.66283455119</v>
      </c>
      <c r="AS377" s="209">
        <f t="shared" si="26"/>
        <v>118573740.7481074</v>
      </c>
      <c r="AU377" s="199">
        <f t="shared" si="25"/>
        <v>6.0579129914007395E-9</v>
      </c>
    </row>
    <row r="378" spans="1:47" x14ac:dyDescent="0.35">
      <c r="A378">
        <v>344</v>
      </c>
      <c r="B378" s="70">
        <v>56</v>
      </c>
      <c r="C378" s="70">
        <v>60.510837888596996</v>
      </c>
      <c r="D378" s="70">
        <v>99.197582322399185</v>
      </c>
      <c r="E378" s="70">
        <v>120.345279486889</v>
      </c>
      <c r="F378" s="70">
        <v>136.59758707332688</v>
      </c>
      <c r="G378" s="70">
        <v>239.98881155160339</v>
      </c>
      <c r="H378" s="70">
        <v>333.47490886759067</v>
      </c>
      <c r="I378" s="70">
        <v>351.38486949551339</v>
      </c>
      <c r="J378" s="70">
        <v>466.92014352226886</v>
      </c>
      <c r="K378" s="70">
        <v>479.13355253340961</v>
      </c>
      <c r="L378" s="70">
        <v>497.45580327062311</v>
      </c>
      <c r="M378" s="70">
        <v>500</v>
      </c>
      <c r="N378" s="70">
        <v>212.62645526239004</v>
      </c>
      <c r="O378" s="70">
        <v>164.83624380754429</v>
      </c>
      <c r="P378" s="70">
        <v>202.99248620363682</v>
      </c>
      <c r="Q378" s="70">
        <v>169.06038866687635</v>
      </c>
      <c r="R378" s="70">
        <v>197.84421783764626</v>
      </c>
      <c r="S378" s="70">
        <v>351.34997028738718</v>
      </c>
      <c r="T378" s="70">
        <v>500</v>
      </c>
      <c r="U378" s="70">
        <v>500</v>
      </c>
      <c r="V378" s="70">
        <v>482.68305196893846</v>
      </c>
      <c r="X378" s="193">
        <f>((0-('Appendix K'!$I$30))/(1+$Y$16)^0)</f>
        <v>-33594902.4440751</v>
      </c>
      <c r="Y378" s="193">
        <f>(((B378*'Appendix K'!$C$5*1000)-('Appendix K'!$E$31+'Appendix K'!$F$31+'Appendix K'!$H$31+'Appendix K'!$G$31))/((1+$Y$16)^1))</f>
        <v>34971064.972647354</v>
      </c>
      <c r="Z378" s="193">
        <f>+(((C378*'Appendix K'!$C$6*1000)-('Appendix K'!$E$32+'Appendix K'!$F$32+'Appendix K'!$H$32+'Appendix K'!$G$32))/((1+$Y$16)^2))</f>
        <v>11798824.905142186</v>
      </c>
      <c r="AA378" s="193">
        <f>(((D378*'Appendix K'!$C$7*1000)-('Appendix K'!$E$33+'Appendix K'!$F$33+'Appendix K'!$H$33+'Appendix K'!$G$33))/((1+$Y$16)^3))</f>
        <v>9670381.3236625586</v>
      </c>
      <c r="AB378" s="193">
        <f>(((E378*'Appendix K'!$C$8*1000)-('Appendix K'!$E$34+'Appendix K'!$F$34+'Appendix K'!$H$34+'Appendix K'!$G$34))/((1+$Y$16)^4))</f>
        <v>23085375.71967252</v>
      </c>
      <c r="AC378" s="193">
        <f>(((F378*'Appendix K'!$C$9*1000)-('Appendix K'!$E$35+'Appendix K'!$F$35+'Appendix K'!$H$35+'Appendix K'!$G$35))/((1+$Y$16)^AC$34))</f>
        <v>33323195.628227983</v>
      </c>
      <c r="AD378" s="193">
        <f>(((G378*'Appendix K'!$C$10*1000)-('Appendix K'!$E$36+'Appendix K'!$F$36+'Appendix K'!$H$36+'Appendix K'!$G$36))/((1+$Y$16)^AD$34))</f>
        <v>35173028.30797787</v>
      </c>
      <c r="AE378" s="193">
        <f>(((H378*'Appendix K'!$C$11*1000)-('Appendix K'!$E$37+'Appendix K'!$F$37+'Appendix K'!$H$37+'Appendix K'!$G$37))/((1+$Y$16)^AE$34))</f>
        <v>31040055.721525438</v>
      </c>
      <c r="AF378" s="193">
        <f>(((I378*'Appendix K'!$C$12*1000)-('Appendix K'!$E$38+'Appendix K'!$F$38+'Appendix K'!$H$38+'Appendix K'!$G$38))/((1+$Y$16)^AF$34))</f>
        <v>21076204.345226225</v>
      </c>
      <c r="AG378" s="193">
        <f>(((J378*'Appendix K'!$C$13*1000)-('Appendix K'!$E$39+'Appendix K'!$F$39+'Appendix K'!$H$39+'Appendix K'!$G$39))/((1+$Y$16)^AG$34))</f>
        <v>19672222.725491848</v>
      </c>
      <c r="AH378" s="193">
        <f>(((K378*'Appendix K'!$C$14*1000)-('Appendix K'!$E$40+'Appendix K'!$F$40+'Appendix K'!$H$40+'Appendix K'!$G$40))/((1+$Y$16)^AH$34))</f>
        <v>14517186.752179326</v>
      </c>
      <c r="AI378" s="193">
        <f>(((L378*'Appendix K'!$C$15*1000)-('Appendix K'!$E$41+'Appendix K'!$F$41+'Appendix K'!$H$41+'Appendix K'!$G$41))/((1+$Y$16)^AI$34))</f>
        <v>11517790.944272893</v>
      </c>
      <c r="AJ378" s="193">
        <f>(((M378*'Appendix K'!$C$16*1000)-('Appendix K'!$E$42+'Appendix K'!$F$42+'Appendix K'!$H$42+'Appendix K'!$G$42))/((1+$Y$16)^AJ$34))</f>
        <v>8639382.5302660316</v>
      </c>
      <c r="AK378" s="193">
        <f>(((N378*'Appendix K'!$C$17*1000)-('Appendix K'!$E$43+'Appendix K'!$F$43+'Appendix K'!$H$43))/((1+$Y$16)^AK$34))</f>
        <v>2262512.440109706</v>
      </c>
      <c r="AL378" s="193">
        <f>(((O378*'Appendix K'!$C$18*1000)-('Appendix K'!$E$44+'Appendix K'!$F$44+'Appendix K'!$H$44+'Appendix K'!$G$44))/((1+$Y$16)^AL$34))</f>
        <v>819263.37559581513</v>
      </c>
      <c r="AM378" s="193">
        <f>(((P378*'Appendix K'!$C$19*1000)-('Appendix K'!$E$45+'Appendix K'!$F$45+'Appendix K'!$H$45+'Appendix K'!$G$45))/((1+$Y$16)^AM$34))</f>
        <v>854716.96835486463</v>
      </c>
      <c r="AN378" s="193">
        <f>(((Q378*'Appendix K'!$C$20*1000)-('Appendix K'!$E$46+'Appendix K'!$F$46+'Appendix K'!$H$46+'Appendix K'!$G$46))/((1+$Y$16)^AN$34))</f>
        <v>307648.80118599045</v>
      </c>
      <c r="AO378" s="193">
        <f>(((R378*'Appendix K'!$C$21*1000)-('Appendix K'!$E$47+'Appendix K'!$F$47+'Appendix K'!$H$47+'Appendix K'!$G$47))/((1+$Y$16)^AO$34))</f>
        <v>326282.25987663318</v>
      </c>
      <c r="AP378" s="193">
        <f>(((S378*'Appendix K'!$C$22*1000)-('Appendix K'!$E$48+'Appendix K'!$F$48+'Appendix K'!$H$48+'Appendix K'!$G$48))/((1+$Y$16)^AP$34))</f>
        <v>918414.51556878991</v>
      </c>
      <c r="AQ378" s="193">
        <f>(((T378*'Appendix K'!$C$23*1000)-('Appendix K'!$E$49+'Appendix K'!$F$49+'Appendix K'!$H$49+'Appendix K'!$G$49))/((1+$Y$16)^AQ$34))</f>
        <v>1263386.3652054211</v>
      </c>
      <c r="AR378" s="193">
        <f>(((U378*'Appendix K'!$C$24*1000)-('Appendix K'!$E$50+'Appendix K'!$F$50+'Appendix K'!$H$50+'Appendix K'!$G$50))/((1+$Y$16)^AR$34))</f>
        <v>980725.14012097823</v>
      </c>
      <c r="AS378" s="209">
        <f t="shared" si="26"/>
        <v>228622761.2982353</v>
      </c>
      <c r="AU378" s="199">
        <f t="shared" si="25"/>
        <v>3.2092277751027351E-10</v>
      </c>
    </row>
    <row r="379" spans="1:47" x14ac:dyDescent="0.35">
      <c r="A379">
        <v>345</v>
      </c>
      <c r="B379" s="70">
        <v>56</v>
      </c>
      <c r="C379" s="70">
        <v>106.89642581521285</v>
      </c>
      <c r="D379" s="70">
        <v>125.00377640666863</v>
      </c>
      <c r="E379" s="70">
        <v>155.72874262192568</v>
      </c>
      <c r="F379" s="70">
        <v>76.885785942738949</v>
      </c>
      <c r="G379" s="70">
        <v>114.49421319968562</v>
      </c>
      <c r="H379" s="70">
        <v>136.98700228874992</v>
      </c>
      <c r="I379" s="70">
        <v>216.0722042746475</v>
      </c>
      <c r="J379" s="70">
        <v>263.79220908253143</v>
      </c>
      <c r="K379" s="70">
        <v>299.1597252106464</v>
      </c>
      <c r="L379" s="70">
        <v>409.28493915626859</v>
      </c>
      <c r="M379" s="70">
        <v>500</v>
      </c>
      <c r="N379" s="70">
        <v>500</v>
      </c>
      <c r="O379" s="70">
        <v>479.08463529723656</v>
      </c>
      <c r="P379" s="70">
        <v>500</v>
      </c>
      <c r="Q379" s="70">
        <v>500</v>
      </c>
      <c r="R379" s="70">
        <v>500</v>
      </c>
      <c r="S379" s="70">
        <v>305.56670422206827</v>
      </c>
      <c r="T379" s="70">
        <v>298.51132483771431</v>
      </c>
      <c r="U379" s="70">
        <v>317.55612897266803</v>
      </c>
      <c r="V379" s="70">
        <v>260.91250607843273</v>
      </c>
      <c r="X379" s="193">
        <f>((0-('Appendix K'!$I$30))/(1+$Y$16)^0)</f>
        <v>-33594902.4440751</v>
      </c>
      <c r="Y379" s="193">
        <f>(((B379*'Appendix K'!$C$5*1000)-('Appendix K'!$E$31+'Appendix K'!$F$31+'Appendix K'!$H$31+'Appendix K'!$G$31))/((1+$Y$16)^1))</f>
        <v>34971064.972647354</v>
      </c>
      <c r="Z379" s="193">
        <f>+(((C379*'Appendix K'!$C$6*1000)-('Appendix K'!$E$32+'Appendix K'!$F$32+'Appendix K'!$H$32+'Appendix K'!$G$32))/((1+$Y$16)^2))</f>
        <v>23516617.75387146</v>
      </c>
      <c r="AA379" s="193">
        <f>(((D379*'Appendix K'!$C$7*1000)-('Appendix K'!$E$33+'Appendix K'!$F$33+'Appendix K'!$H$33+'Appendix K'!$G$33))/((1+$Y$16)^3))</f>
        <v>12957442.001204131</v>
      </c>
      <c r="AB379" s="193">
        <f>(((E379*'Appendix K'!$C$8*1000)-('Appendix K'!$E$34+'Appendix K'!$F$34+'Appendix K'!$H$34+'Appendix K'!$G$34))/((1+$Y$16)^4))</f>
        <v>30841106.934443478</v>
      </c>
      <c r="AC379" s="193">
        <f>(((F379*'Appendix K'!$C$9*1000)-('Appendix K'!$E$35+'Appendix K'!$F$35+'Appendix K'!$H$35+'Appendix K'!$G$35))/((1+$Y$16)^AC$34))</f>
        <v>17451892.652071498</v>
      </c>
      <c r="AD379" s="193">
        <f>(((G379*'Appendix K'!$C$10*1000)-('Appendix K'!$E$36+'Appendix K'!$F$36+'Appendix K'!$H$36+'Appendix K'!$G$36))/((1+$Y$16)^AD$34))</f>
        <v>15464860.688839471</v>
      </c>
      <c r="AE379" s="193">
        <f>(((H379*'Appendix K'!$C$11*1000)-('Appendix K'!$E$37+'Appendix K'!$F$37+'Appendix K'!$H$37+'Appendix K'!$G$37))/((1+$Y$16)^AE$34))</f>
        <v>11442817.824307451</v>
      </c>
      <c r="AF379" s="193">
        <f>(((I379*'Appendix K'!$C$12*1000)-('Appendix K'!$E$38+'Appendix K'!$F$38+'Appendix K'!$H$38+'Appendix K'!$G$38))/((1+$Y$16)^AF$34))</f>
        <v>12191246.337703278</v>
      </c>
      <c r="AG379" s="193">
        <f>(((J379*'Appendix K'!$C$13*1000)-('Appendix K'!$E$39+'Appendix K'!$F$39+'Appendix K'!$H$39+'Appendix K'!$G$39))/((1+$Y$16)^AG$34))</f>
        <v>10324492.009093376</v>
      </c>
      <c r="AH379" s="193">
        <f>(((K379*'Appendix K'!$C$14*1000)-('Appendix K'!$E$40+'Appendix K'!$F$40+'Appendix K'!$H$40+'Appendix K'!$G$40))/((1+$Y$16)^AH$34))</f>
        <v>8450894.1261169575</v>
      </c>
      <c r="AI379" s="193">
        <f>(((L379*'Appendix K'!$C$15*1000)-('Appendix K'!$E$41+'Appendix K'!$F$41+'Appendix K'!$H$41+'Appendix K'!$G$41))/((1+$Y$16)^AI$34))</f>
        <v>9207549.4241524171</v>
      </c>
      <c r="AJ379" s="193">
        <f>(((M379*'Appendix K'!$C$16*1000)-('Appendix K'!$E$42+'Appendix K'!$F$42+'Appendix K'!$H$42+'Appendix K'!$G$42))/((1+$Y$16)^AJ$34))</f>
        <v>8639382.5302660316</v>
      </c>
      <c r="AK379" s="193">
        <f>(((N379*'Appendix K'!$C$17*1000)-('Appendix K'!$E$43+'Appendix K'!$F$43+'Appendix K'!$H$43))/((1+$Y$16)^AK$34))</f>
        <v>6677690.1149291173</v>
      </c>
      <c r="AL379" s="193">
        <f>(((O379*'Appendix K'!$C$18*1000)-('Appendix K'!$E$44+'Appendix K'!$F$44+'Appendix K'!$H$44+'Appendix K'!$G$44))/((1+$Y$16)^AL$34))</f>
        <v>4544142.0281804381</v>
      </c>
      <c r="AM379" s="193">
        <f>(((P379*'Appendix K'!$C$19*1000)-('Appendix K'!$E$45+'Appendix K'!$F$45+'Appendix K'!$H$45+'Appendix K'!$G$45))/((1+$Y$16)^AM$34))</f>
        <v>3607599.9540230581</v>
      </c>
      <c r="AN379" s="193">
        <f>(((Q379*'Appendix K'!$C$20*1000)-('Appendix K'!$E$46+'Appendix K'!$F$46+'Appendix K'!$H$46+'Appendix K'!$G$46))/((1+$Y$16)^AN$34))</f>
        <v>2702399.606577659</v>
      </c>
      <c r="AO379" s="193">
        <f>(((R379*'Appendix K'!$C$21*1000)-('Appendix K'!$E$47+'Appendix K'!$F$47+'Appendix K'!$H$47+'Appendix K'!$G$47))/((1+$Y$16)^AO$34))</f>
        <v>2112056.3146391152</v>
      </c>
      <c r="AP379" s="193">
        <f>(((S379*'Appendix K'!$C$22*1000)-('Appendix K'!$E$48+'Appendix K'!$F$48+'Appendix K'!$H$48+'Appendix K'!$G$48))/((1+$Y$16)^AP$34))</f>
        <v>699125.52057023381</v>
      </c>
      <c r="AQ379" s="193">
        <f>(((T379*'Appendix K'!$C$23*1000)-('Appendix K'!$E$49+'Appendix K'!$F$49+'Appendix K'!$H$49+'Appendix K'!$G$49))/((1+$Y$16)^AQ$34))</f>
        <v>474811.27304396691</v>
      </c>
      <c r="AR379" s="193">
        <f>(((U379*'Appendix K'!$C$24*1000)-('Appendix K'!$E$50+'Appendix K'!$F$50+'Appendix K'!$H$50+'Appendix K'!$G$50))/((1+$Y$16)^AR$34))</f>
        <v>393250.76354395004</v>
      </c>
      <c r="AS379" s="209">
        <f t="shared" si="26"/>
        <v>183075540.38614935</v>
      </c>
      <c r="AU379" s="199">
        <f t="shared" si="25"/>
        <v>1.7082828567136083E-9</v>
      </c>
    </row>
    <row r="380" spans="1:47" x14ac:dyDescent="0.35">
      <c r="A380">
        <v>346</v>
      </c>
      <c r="B380" s="70">
        <v>56</v>
      </c>
      <c r="C380" s="70">
        <v>26.949013161546461</v>
      </c>
      <c r="D380" s="70">
        <v>25.53323093480466</v>
      </c>
      <c r="E380" s="70">
        <v>25.370627824119836</v>
      </c>
      <c r="F380" s="70">
        <v>14.682093198941368</v>
      </c>
      <c r="G380" s="70">
        <v>14.379296442901387</v>
      </c>
      <c r="H380" s="70">
        <v>11.565157013352643</v>
      </c>
      <c r="I380" s="70">
        <v>10.911816274094759</v>
      </c>
      <c r="J380" s="70">
        <v>9.6644650747769187</v>
      </c>
      <c r="K380" s="70">
        <v>10.406598035697039</v>
      </c>
      <c r="L380" s="70">
        <v>11.011397049147542</v>
      </c>
      <c r="M380" s="70">
        <v>10.84403302695555</v>
      </c>
      <c r="N380" s="70">
        <v>9.9120923076721095</v>
      </c>
      <c r="O380" s="70">
        <v>8.0170937191909903</v>
      </c>
      <c r="P380" s="70">
        <v>10.248104249624644</v>
      </c>
      <c r="Q380" s="70">
        <v>13.41155136855749</v>
      </c>
      <c r="R380" s="70">
        <v>16.774575929962715</v>
      </c>
      <c r="S380" s="70">
        <v>21.090935314883929</v>
      </c>
      <c r="T380" s="70">
        <v>22.180103292950424</v>
      </c>
      <c r="U380" s="70">
        <v>24.024907078998829</v>
      </c>
      <c r="V380" s="70">
        <v>16.211800200129264</v>
      </c>
      <c r="X380" s="193">
        <f>((0-('Appendix K'!$I$30))/(1+$Y$16)^0)</f>
        <v>-33594902.4440751</v>
      </c>
      <c r="Y380" s="193">
        <f>(((B380*'Appendix K'!$C$5*1000)-('Appendix K'!$E$31+'Appendix K'!$F$31+'Appendix K'!$H$31+'Appendix K'!$G$31))/((1+$Y$16)^1))</f>
        <v>34971064.972647354</v>
      </c>
      <c r="Z380" s="193">
        <f>+(((C380*'Appendix K'!$C$6*1000)-('Appendix K'!$E$32+'Appendix K'!$F$32+'Appendix K'!$H$32+'Appendix K'!$G$32))/((1+$Y$16)^2))</f>
        <v>3320533.9670363693</v>
      </c>
      <c r="AA380" s="193">
        <f>(((D380*'Appendix K'!$C$7*1000)-('Appendix K'!$E$33+'Appendix K'!$F$33+'Appendix K'!$H$33+'Appendix K'!$G$33))/((1+$Y$16)^3))</f>
        <v>287393.96829866344</v>
      </c>
      <c r="AB380" s="193">
        <f>(((E380*'Appendix K'!$C$8*1000)-('Appendix K'!$E$34+'Appendix K'!$F$34+'Appendix K'!$H$34+'Appendix K'!$G$34))/((1+$Y$16)^4))</f>
        <v>2267801.4844485493</v>
      </c>
      <c r="AC380" s="193">
        <f>(((F380*'Appendix K'!$C$9*1000)-('Appendix K'!$E$35+'Appendix K'!$F$35+'Appendix K'!$H$35+'Appendix K'!$G$35))/((1+$Y$16)^AC$34))</f>
        <v>918248.79809590359</v>
      </c>
      <c r="AD380" s="193">
        <f>(((G380*'Appendix K'!$C$10*1000)-('Appendix K'!$E$36+'Appendix K'!$F$36+'Appendix K'!$H$36+'Appendix K'!$G$36))/((1+$Y$16)^AD$34))</f>
        <v>-257581.44437318097</v>
      </c>
      <c r="AE380" s="193">
        <f>(((H380*'Appendix K'!$C$11*1000)-('Appendix K'!$E$37+'Appendix K'!$F$37+'Appendix K'!$H$37+'Appendix K'!$G$37))/((1+$Y$16)^AE$34))</f>
        <v>-1066459.6277569381</v>
      </c>
      <c r="AF380" s="193">
        <f>(((I380*'Appendix K'!$C$12*1000)-('Appendix K'!$E$38+'Appendix K'!$F$38+'Appendix K'!$H$38+'Appendix K'!$G$38))/((1+$Y$16)^AF$34))</f>
        <v>-1280082.6706838468</v>
      </c>
      <c r="AG380" s="193">
        <f>(((J380*'Appendix K'!$C$13*1000)-('Appendix K'!$E$39+'Appendix K'!$F$39+'Appendix K'!$H$39+'Appendix K'!$G$39))/((1+$Y$16)^AG$34))</f>
        <v>-1370195.5044799275</v>
      </c>
      <c r="AH380" s="193">
        <f>(((K380*'Appendix K'!$C$14*1000)-('Appendix K'!$E$40+'Appendix K'!$F$40+'Appendix K'!$H$40+'Appendix K'!$G$40))/((1+$Y$16)^AH$34))</f>
        <v>-1281970.8809289467</v>
      </c>
      <c r="AI380" s="193">
        <f>(((L380*'Appendix K'!$C$15*1000)-('Appendix K'!$E$41+'Appendix K'!$F$41+'Appendix K'!$H$41+'Appendix K'!$G$41))/((1+$Y$16)^AI$34))</f>
        <v>-1227962.1542299113</v>
      </c>
      <c r="AJ380" s="193">
        <f>(((M380*'Appendix K'!$C$16*1000)-('Appendix K'!$E$42+'Appendix K'!$F$42+'Appendix K'!$H$42+'Appendix K'!$G$42))/((1+$Y$16)^AJ$34))</f>
        <v>-1164216.2912771765</v>
      </c>
      <c r="AK380" s="193">
        <f>(((N380*'Appendix K'!$C$17*1000)-('Appendix K'!$E$43+'Appendix K'!$F$43+'Appendix K'!$H$43))/((1+$Y$16)^AK$34))</f>
        <v>-851970.24652771209</v>
      </c>
      <c r="AL380" s="193">
        <f>(((O380*'Appendix K'!$C$18*1000)-('Appendix K'!$E$44+'Appendix K'!$F$44+'Appendix K'!$H$44+'Appendix K'!$G$44))/((1+$Y$16)^AL$34))</f>
        <v>-1039560.1547697539</v>
      </c>
      <c r="AM380" s="193">
        <f>(((P380*'Appendix K'!$C$19*1000)-('Appendix K'!$E$45+'Appendix K'!$F$45+'Appendix K'!$H$45+'Appendix K'!$G$45))/((1+$Y$16)^AM$34))</f>
        <v>-931779.01244422048</v>
      </c>
      <c r="AN380" s="193">
        <f>(((Q380*'Appendix K'!$C$20*1000)-('Appendix K'!$E$46+'Appendix K'!$F$46+'Appendix K'!$H$46+'Appendix K'!$G$46))/((1+$Y$16)^AN$34))</f>
        <v>-818659.94431871676</v>
      </c>
      <c r="AO380" s="193">
        <f>(((R380*'Appendix K'!$C$21*1000)-('Appendix K'!$E$47+'Appendix K'!$F$47+'Appendix K'!$H$47+'Appendix K'!$G$47))/((1+$Y$16)^AO$34))</f>
        <v>-743859.32837910007</v>
      </c>
      <c r="AP380" s="193">
        <f>(((S380*'Appendix K'!$C$22*1000)-('Appendix K'!$E$48+'Appendix K'!$F$48+'Appendix K'!$H$48+'Appendix K'!$G$48))/((1+$Y$16)^AP$34))</f>
        <v>-663433.57200514455</v>
      </c>
      <c r="AQ380" s="193">
        <f>(((T380*'Appendix K'!$C$23*1000)-('Appendix K'!$E$49+'Appendix K'!$F$49+'Appendix K'!$H$49+'Appendix K'!$G$49))/((1+$Y$16)^AQ$34))</f>
        <v>-606678.38547524763</v>
      </c>
      <c r="AR380" s="193">
        <f>(((U380*'Appendix K'!$C$24*1000)-('Appendix K'!$E$50+'Appendix K'!$F$50+'Appendix K'!$H$50+'Appendix K'!$G$50))/((1+$Y$16)^AR$34))</f>
        <v>-551927.9953634569</v>
      </c>
      <c r="AS380" s="209">
        <f t="shared" si="26"/>
        <v>8170140.7464517429</v>
      </c>
      <c r="AU380" s="199">
        <f t="shared" si="25"/>
        <v>2.6386244869898861E-9</v>
      </c>
    </row>
    <row r="381" spans="1:47" x14ac:dyDescent="0.35">
      <c r="A381">
        <v>347</v>
      </c>
      <c r="B381" s="70">
        <v>56</v>
      </c>
      <c r="C381" s="70">
        <v>78.815461637891701</v>
      </c>
      <c r="D381" s="70">
        <v>104.75469878587299</v>
      </c>
      <c r="E381" s="70">
        <v>105.62540889989826</v>
      </c>
      <c r="F381" s="70">
        <v>86.574258224559642</v>
      </c>
      <c r="G381" s="70">
        <v>76.782181446360468</v>
      </c>
      <c r="H381" s="70">
        <v>98.220766208306003</v>
      </c>
      <c r="I381" s="70">
        <v>143.9693183686548</v>
      </c>
      <c r="J381" s="70">
        <v>216.7973989570558</v>
      </c>
      <c r="K381" s="70">
        <v>216.52597922573526</v>
      </c>
      <c r="L381" s="70">
        <v>303.4306225484944</v>
      </c>
      <c r="M381" s="70">
        <v>343.28418216969237</v>
      </c>
      <c r="N381" s="70">
        <v>325.25434885597309</v>
      </c>
      <c r="O381" s="70">
        <v>427.31921848013633</v>
      </c>
      <c r="P381" s="70">
        <v>500</v>
      </c>
      <c r="Q381" s="70">
        <v>500</v>
      </c>
      <c r="R381" s="70">
        <v>500</v>
      </c>
      <c r="S381" s="70">
        <v>329.50145422626622</v>
      </c>
      <c r="T381" s="70">
        <v>210.32902762343542</v>
      </c>
      <c r="U381" s="70">
        <v>258.96953872239908</v>
      </c>
      <c r="V381" s="70">
        <v>402.06386859867189</v>
      </c>
      <c r="X381" s="193">
        <f>((0-('Appendix K'!$I$30))/(1+$Y$16)^0)</f>
        <v>-33594902.4440751</v>
      </c>
      <c r="Y381" s="193">
        <f>(((B381*'Appendix K'!$C$5*1000)-('Appendix K'!$E$31+'Appendix K'!$F$31+'Appendix K'!$H$31+'Appendix K'!$G$31))/((1+$Y$16)^1))</f>
        <v>34971064.972647354</v>
      </c>
      <c r="Z381" s="193">
        <f>+(((C381*'Appendix K'!$C$6*1000)-('Appendix K'!$E$32+'Appendix K'!$F$32+'Appendix K'!$H$32+'Appendix K'!$G$32))/((1+$Y$16)^2))</f>
        <v>16422885.930465359</v>
      </c>
      <c r="AA381" s="193">
        <f>(((D381*'Appendix K'!$C$7*1000)-('Appendix K'!$E$33+'Appendix K'!$F$33+'Appendix K'!$H$33+'Appendix K'!$G$33))/((1+$Y$16)^3))</f>
        <v>10378218.323878653</v>
      </c>
      <c r="AB381" s="193">
        <f>(((E381*'Appendix K'!$C$8*1000)-('Appendix K'!$E$34+'Appendix K'!$F$34+'Appendix K'!$H$34+'Appendix K'!$G$34))/((1+$Y$16)^4))</f>
        <v>19858914.834449884</v>
      </c>
      <c r="AC381" s="193">
        <f>(((F381*'Appendix K'!$C$9*1000)-('Appendix K'!$E$35+'Appendix K'!$F$35+'Appendix K'!$H$35+'Appendix K'!$G$35))/((1+$Y$16)^AC$34))</f>
        <v>20027073.370947871</v>
      </c>
      <c r="AD381" s="193">
        <f>(((G381*'Appendix K'!$C$10*1000)-('Appendix K'!$E$36+'Appendix K'!$F$36+'Appendix K'!$H$36+'Appendix K'!$G$36))/((1+$Y$16)^AD$34))</f>
        <v>9542414.2025884222</v>
      </c>
      <c r="AE381" s="193">
        <f>(((H381*'Appendix K'!$C$11*1000)-('Appendix K'!$E$37+'Appendix K'!$F$37+'Appendix K'!$H$37+'Appendix K'!$G$37))/((1+$Y$16)^AE$34))</f>
        <v>7576365.3587286538</v>
      </c>
      <c r="AF381" s="193">
        <f>(((I381*'Appendix K'!$C$12*1000)-('Appendix K'!$E$38+'Appendix K'!$F$38+'Appendix K'!$H$38+'Appendix K'!$G$38))/((1+$Y$16)^AF$34))</f>
        <v>7456795.8525969144</v>
      </c>
      <c r="AG381" s="193">
        <f>(((J381*'Appendix K'!$C$13*1000)-('Appendix K'!$E$39+'Appendix K'!$F$39+'Appendix K'!$H$39+'Appendix K'!$G$39))/((1+$Y$16)^AG$34))</f>
        <v>8161841.0111748734</v>
      </c>
      <c r="AH381" s="193">
        <f>(((K381*'Appendix K'!$C$14*1000)-('Appendix K'!$E$40+'Appendix K'!$F$40+'Appendix K'!$H$40+'Appendix K'!$G$40))/((1+$Y$16)^AH$34))</f>
        <v>5665597.5561152212</v>
      </c>
      <c r="AI381" s="193">
        <f>(((L381*'Appendix K'!$C$15*1000)-('Appendix K'!$E$41+'Appendix K'!$F$41+'Appendix K'!$H$41+'Appendix K'!$G$41))/((1+$Y$16)^AI$34))</f>
        <v>6433968.380486032</v>
      </c>
      <c r="AJ381" s="193">
        <f>(((M381*'Appendix K'!$C$16*1000)-('Appendix K'!$E$42+'Appendix K'!$F$42+'Appendix K'!$H$42+'Appendix K'!$G$42))/((1+$Y$16)^AJ$34))</f>
        <v>5498504.955970699</v>
      </c>
      <c r="AK381" s="193">
        <f>(((N381*'Appendix K'!$C$17*1000)-('Appendix K'!$E$43+'Appendix K'!$F$43+'Appendix K'!$H$43))/((1+$Y$16)^AK$34))</f>
        <v>3992915.848712835</v>
      </c>
      <c r="AL381" s="193">
        <f>(((O381*'Appendix K'!$C$18*1000)-('Appendix K'!$E$44+'Appendix K'!$F$44+'Appendix K'!$H$44+'Appendix K'!$G$44))/((1+$Y$16)^AL$34))</f>
        <v>3930551.3105633948</v>
      </c>
      <c r="AM381" s="193">
        <f>(((P381*'Appendix K'!$C$19*1000)-('Appendix K'!$E$45+'Appendix K'!$F$45+'Appendix K'!$H$45+'Appendix K'!$G$45))/((1+$Y$16)^AM$34))</f>
        <v>3607599.9540230581</v>
      </c>
      <c r="AN381" s="193">
        <f>(((Q381*'Appendix K'!$C$20*1000)-('Appendix K'!$E$46+'Appendix K'!$F$46+'Appendix K'!$H$46+'Appendix K'!$G$46))/((1+$Y$16)^AN$34))</f>
        <v>2702399.606577659</v>
      </c>
      <c r="AO381" s="193">
        <f>(((R381*'Appendix K'!$C$21*1000)-('Appendix K'!$E$47+'Appendix K'!$F$47+'Appendix K'!$H$47+'Appendix K'!$G$47))/((1+$Y$16)^AO$34))</f>
        <v>2112056.3146391152</v>
      </c>
      <c r="AP381" s="193">
        <f>(((S381*'Appendix K'!$C$22*1000)-('Appendix K'!$E$48+'Appendix K'!$F$48+'Appendix K'!$H$48+'Appendix K'!$G$48))/((1+$Y$16)^AP$34))</f>
        <v>813766.25560372975</v>
      </c>
      <c r="AQ381" s="193">
        <f>(((T381*'Appendix K'!$C$23*1000)-('Appendix K'!$E$49+'Appendix K'!$F$49+'Appendix K'!$H$49+'Appendix K'!$G$49))/((1+$Y$16)^AQ$34))</f>
        <v>129688.33699433449</v>
      </c>
      <c r="AR381" s="193">
        <f>(((U381*'Appendix K'!$C$24*1000)-('Appendix K'!$E$50+'Appendix K'!$F$50+'Appendix K'!$H$50+'Appendix K'!$G$50))/((1+$Y$16)^AR$34))</f>
        <v>204600.30140869773</v>
      </c>
      <c r="AS381" s="209">
        <f t="shared" si="26"/>
        <v>135892320.23449764</v>
      </c>
      <c r="AU381" s="199">
        <f t="shared" si="25"/>
        <v>4.8956111606906019E-9</v>
      </c>
    </row>
    <row r="382" spans="1:47" x14ac:dyDescent="0.35">
      <c r="A382">
        <v>348</v>
      </c>
      <c r="B382" s="70">
        <v>56</v>
      </c>
      <c r="C382" s="70">
        <v>64.632816496785182</v>
      </c>
      <c r="D382" s="70">
        <v>47.535987226545458</v>
      </c>
      <c r="E382" s="70">
        <v>45.591117111101056</v>
      </c>
      <c r="F382" s="70">
        <v>38.227788008679497</v>
      </c>
      <c r="G382" s="70">
        <v>41.369046863234303</v>
      </c>
      <c r="H382" s="70">
        <v>41.90002600937899</v>
      </c>
      <c r="I382" s="70">
        <v>44.34513495019722</v>
      </c>
      <c r="J382" s="70">
        <v>49.460484342065897</v>
      </c>
      <c r="K382" s="70">
        <v>65.289400300273272</v>
      </c>
      <c r="L382" s="70">
        <v>65.104477389567876</v>
      </c>
      <c r="M382" s="70">
        <v>86.796065871429704</v>
      </c>
      <c r="N382" s="70">
        <v>80.140058401844982</v>
      </c>
      <c r="O382" s="70">
        <v>59.389179665600707</v>
      </c>
      <c r="P382" s="70">
        <v>82.583419222598394</v>
      </c>
      <c r="Q382" s="70">
        <v>84.815797850588169</v>
      </c>
      <c r="R382" s="70">
        <v>145.24854840741384</v>
      </c>
      <c r="S382" s="70">
        <v>167.17056320941003</v>
      </c>
      <c r="T382" s="70">
        <v>146.04971882315124</v>
      </c>
      <c r="U382" s="70">
        <v>112.16463027810175</v>
      </c>
      <c r="V382" s="70">
        <v>117.64824067367502</v>
      </c>
      <c r="X382" s="193">
        <f>((0-('Appendix K'!$I$30))/(1+$Y$16)^0)</f>
        <v>-33594902.4440751</v>
      </c>
      <c r="Y382" s="193">
        <f>(((B382*'Appendix K'!$C$5*1000)-('Appendix K'!$E$31+'Appendix K'!$F$31+'Appendix K'!$H$31+'Appendix K'!$G$31))/((1+$Y$16)^1))</f>
        <v>34971064.972647354</v>
      </c>
      <c r="Z382" s="193">
        <f>+(((C382*'Appendix K'!$C$6*1000)-('Appendix K'!$E$32+'Appendix K'!$F$32+'Appendix K'!$H$32+'Appendix K'!$G$32))/((1+$Y$16)^2))</f>
        <v>12840107.200282142</v>
      </c>
      <c r="AA382" s="193">
        <f>(((D382*'Appendix K'!$C$7*1000)-('Appendix K'!$E$33+'Appendix K'!$F$33+'Appendix K'!$H$33+'Appendix K'!$G$33))/((1+$Y$16)^3))</f>
        <v>3089992.2424935387</v>
      </c>
      <c r="AB382" s="193">
        <f>(((E382*'Appendix K'!$C$8*1000)-('Appendix K'!$E$34+'Appendix K'!$F$34+'Appendix K'!$H$34+'Appendix K'!$G$34))/((1+$Y$16)^4))</f>
        <v>6699947.6353914244</v>
      </c>
      <c r="AC382" s="193">
        <f>(((F382*'Appendix K'!$C$9*1000)-('Appendix K'!$E$35+'Appendix K'!$F$35+'Appendix K'!$H$35+'Appendix K'!$G$35))/((1+$Y$16)^AC$34))</f>
        <v>7176657.5051485747</v>
      </c>
      <c r="AD382" s="193">
        <f>(((G382*'Appendix K'!$C$10*1000)-('Appendix K'!$E$36+'Appendix K'!$F$36+'Appendix K'!$H$36+'Appendix K'!$G$36))/((1+$Y$16)^AD$34))</f>
        <v>3980995.612075109</v>
      </c>
      <c r="AE382" s="193">
        <f>(((H382*'Appendix K'!$C$11*1000)-('Appendix K'!$E$37+'Appendix K'!$F$37+'Appendix K'!$H$37+'Appendix K'!$G$37))/((1+$Y$16)^AE$34))</f>
        <v>1959068.2769720771</v>
      </c>
      <c r="AF382" s="193">
        <f>(((I382*'Appendix K'!$C$12*1000)-('Appendix K'!$E$38+'Appendix K'!$F$38+'Appendix K'!$H$38+'Appendix K'!$G$38))/((1+$Y$16)^AF$34))</f>
        <v>915230.17755865445</v>
      </c>
      <c r="AG382" s="193">
        <f>(((J382*'Appendix K'!$C$13*1000)-('Appendix K'!$E$39+'Appendix K'!$F$39+'Appendix K'!$H$39+'Appendix K'!$G$39))/((1+$Y$16)^AG$34))</f>
        <v>461174.82240923634</v>
      </c>
      <c r="AH382" s="193">
        <f>(((K382*'Appendix K'!$C$14*1000)-('Appendix K'!$E$40+'Appendix K'!$F$40+'Appendix K'!$H$40+'Appendix K'!$G$40))/((1+$Y$16)^AH$34))</f>
        <v>567937.76205476513</v>
      </c>
      <c r="AI382" s="193">
        <f>(((L382*'Appendix K'!$C$15*1000)-('Appendix K'!$E$41+'Appendix K'!$F$41+'Appendix K'!$H$41+'Appendix K'!$G$41))/((1+$Y$16)^AI$34))</f>
        <v>189377.70524535104</v>
      </c>
      <c r="AJ382" s="193">
        <f>(((M382*'Appendix K'!$C$16*1000)-('Appendix K'!$E$42+'Appendix K'!$F$42+'Appendix K'!$H$42+'Appendix K'!$G$42))/((1+$Y$16)^AJ$34))</f>
        <v>358004.24769650068</v>
      </c>
      <c r="AK382" s="193">
        <f>(((N382*'Appendix K'!$C$17*1000)-('Appendix K'!$E$43+'Appendix K'!$F$43+'Appendix K'!$H$43))/((1+$Y$16)^AK$34))</f>
        <v>227005.02355179004</v>
      </c>
      <c r="AL382" s="193">
        <f>(((O382*'Appendix K'!$C$18*1000)-('Appendix K'!$E$44+'Appendix K'!$F$44+'Appendix K'!$H$44+'Appendix K'!$G$44))/((1+$Y$16)^AL$34))</f>
        <v>-430631.70370145066</v>
      </c>
      <c r="AM382" s="193">
        <f>(((P382*'Appendix K'!$C$19*1000)-('Appendix K'!$E$45+'Appendix K'!$F$45+'Appendix K'!$H$45+'Appendix K'!$G$45))/((1+$Y$16)^AM$34))</f>
        <v>-261322.37885016669</v>
      </c>
      <c r="AN382" s="193">
        <f>(((Q382*'Appendix K'!$C$20*1000)-('Appendix K'!$E$46+'Appendix K'!$F$46+'Appendix K'!$H$46+'Appendix K'!$G$46))/((1+$Y$16)^AN$34))</f>
        <v>-301963.32984453003</v>
      </c>
      <c r="AO382" s="193">
        <f>(((R382*'Appendix K'!$C$21*1000)-('Appendix K'!$E$47+'Appendix K'!$F$47+'Appendix K'!$H$47+'Appendix K'!$G$47))/((1+$Y$16)^AO$34))</f>
        <v>15436.0427722845</v>
      </c>
      <c r="AP382" s="193">
        <f>(((S382*'Appendix K'!$C$22*1000)-('Appendix K'!$E$48+'Appendix K'!$F$48+'Appendix K'!$H$48+'Appendix K'!$G$48))/((1+$Y$16)^AP$34))</f>
        <v>36246.847147376393</v>
      </c>
      <c r="AQ382" s="193">
        <f>(((T382*'Appendix K'!$C$23*1000)-('Appendix K'!$E$49+'Appendix K'!$F$49+'Appendix K'!$H$49+'Appendix K'!$G$49))/((1+$Y$16)^AQ$34))</f>
        <v>-121884.42172489368</v>
      </c>
      <c r="AR382" s="193">
        <f>(((U382*'Appendix K'!$C$24*1000)-('Appendix K'!$E$50+'Appendix K'!$F$50+'Appendix K'!$H$50+'Appendix K'!$G$50))/((1+$Y$16)^AR$34))</f>
        <v>-268115.61708790675</v>
      </c>
      <c r="AS382" s="209">
        <f t="shared" si="26"/>
        <v>39893343.629371084</v>
      </c>
      <c r="AU382" s="199">
        <f t="shared" si="25"/>
        <v>4.9360226374058618E-9</v>
      </c>
    </row>
    <row r="383" spans="1:47" x14ac:dyDescent="0.35">
      <c r="A383">
        <v>349</v>
      </c>
      <c r="B383" s="70">
        <v>56</v>
      </c>
      <c r="C383" s="70">
        <v>23.08982178435442</v>
      </c>
      <c r="D383" s="70">
        <v>33.770978947585355</v>
      </c>
      <c r="E383" s="70">
        <v>38.722139164444997</v>
      </c>
      <c r="F383" s="70">
        <v>33.734238809881212</v>
      </c>
      <c r="G383" s="70">
        <v>36.563320292312632</v>
      </c>
      <c r="H383" s="70">
        <v>43.87394487618262</v>
      </c>
      <c r="I383" s="70">
        <v>41.023188987958001</v>
      </c>
      <c r="J383" s="70">
        <v>57.898586345844777</v>
      </c>
      <c r="K383" s="70">
        <v>86.41189209750894</v>
      </c>
      <c r="L383" s="70">
        <v>151.28725974840137</v>
      </c>
      <c r="M383" s="70">
        <v>144.87776896978062</v>
      </c>
      <c r="N383" s="70">
        <v>251.16586625742519</v>
      </c>
      <c r="O383" s="70">
        <v>148.53005718106294</v>
      </c>
      <c r="P383" s="70">
        <v>165.80297096107199</v>
      </c>
      <c r="Q383" s="70">
        <v>261.99874992017874</v>
      </c>
      <c r="R383" s="70">
        <v>303.06883839773138</v>
      </c>
      <c r="S383" s="70">
        <v>414.22045243061166</v>
      </c>
      <c r="T383" s="70">
        <v>500</v>
      </c>
      <c r="U383" s="70">
        <v>404.49782387200048</v>
      </c>
      <c r="V383" s="70">
        <v>370.08312449404457</v>
      </c>
      <c r="X383" s="193">
        <f>((0-('Appendix K'!$I$30))/(1+$Y$16)^0)</f>
        <v>-33594902.4440751</v>
      </c>
      <c r="Y383" s="193">
        <f>(((B383*'Appendix K'!$C$5*1000)-('Appendix K'!$E$31+'Appendix K'!$F$31+'Appendix K'!$H$31+'Appendix K'!$G$31))/((1+$Y$16)^1))</f>
        <v>34971064.972647354</v>
      </c>
      <c r="Z383" s="193">
        <f>+(((C383*'Appendix K'!$C$6*1000)-('Appendix K'!$E$32+'Appendix K'!$F$32+'Appendix K'!$H$32+'Appendix K'!$G$32))/((1+$Y$16)^2))</f>
        <v>2345636.2209286653</v>
      </c>
      <c r="AA383" s="193">
        <f>(((D383*'Appendix K'!$C$7*1000)-('Appendix K'!$E$33+'Appendix K'!$F$33+'Appendix K'!$H$33+'Appendix K'!$G$33))/((1+$Y$16)^3))</f>
        <v>1336676.069947795</v>
      </c>
      <c r="AB383" s="193">
        <f>(((E383*'Appendix K'!$C$8*1000)-('Appendix K'!$E$34+'Appendix K'!$F$34+'Appendix K'!$H$34+'Appendix K'!$G$34))/((1+$Y$16)^4))</f>
        <v>5194330.5489253486</v>
      </c>
      <c r="AC383" s="193">
        <f>(((F383*'Appendix K'!$C$9*1000)-('Appendix K'!$E$35+'Appendix K'!$F$35+'Appendix K'!$H$35+'Appendix K'!$G$35))/((1+$Y$16)^AC$34))</f>
        <v>5982279.1842464563</v>
      </c>
      <c r="AD383" s="193">
        <f>(((G383*'Appendix K'!$C$10*1000)-('Appendix K'!$E$36+'Appendix K'!$F$36+'Appendix K'!$H$36+'Appendix K'!$G$36))/((1+$Y$16)^AD$34))</f>
        <v>3226285.3214706033</v>
      </c>
      <c r="AE383" s="193">
        <f>(((H383*'Appendix K'!$C$11*1000)-('Appendix K'!$E$37+'Appendix K'!$F$37+'Appendix K'!$H$37+'Appendix K'!$G$37))/((1+$Y$16)^AE$34))</f>
        <v>2155942.2642626688</v>
      </c>
      <c r="AF383" s="193">
        <f>(((I383*'Appendix K'!$C$12*1000)-('Appendix K'!$E$38+'Appendix K'!$F$38+'Appendix K'!$H$38+'Appendix K'!$G$38))/((1+$Y$16)^AF$34))</f>
        <v>697103.14318549295</v>
      </c>
      <c r="AG383" s="193">
        <f>(((J383*'Appendix K'!$C$13*1000)-('Appendix K'!$E$39+'Appendix K'!$F$39+'Appendix K'!$H$39+'Appendix K'!$G$39))/((1+$Y$16)^AG$34))</f>
        <v>849487.26947066188</v>
      </c>
      <c r="AH383" s="193">
        <f>(((K383*'Appendix K'!$C$14*1000)-('Appendix K'!$E$40+'Appendix K'!$F$40+'Appendix K'!$H$40+'Appendix K'!$G$40))/((1+$Y$16)^AH$34))</f>
        <v>1279903.5969749573</v>
      </c>
      <c r="AI383" s="193">
        <f>(((L383*'Appendix K'!$C$15*1000)-('Appendix K'!$E$41+'Appendix K'!$F$41+'Appendix K'!$H$41+'Appendix K'!$G$41))/((1+$Y$16)^AI$34))</f>
        <v>2447527.7656400632</v>
      </c>
      <c r="AJ383" s="193">
        <f>(((M383*'Appendix K'!$C$16*1000)-('Appendix K'!$E$42+'Appendix K'!$F$42+'Appendix K'!$H$42+'Appendix K'!$G$42))/((1+$Y$16)^AJ$34))</f>
        <v>1522070.0150463111</v>
      </c>
      <c r="AK383" s="193">
        <f>(((N383*'Appendix K'!$C$17*1000)-('Appendix K'!$E$43+'Appendix K'!$F$43+'Appendix K'!$H$43))/((1+$Y$16)^AK$34))</f>
        <v>2854627.9989073481</v>
      </c>
      <c r="AL383" s="193">
        <f>(((O383*'Appendix K'!$C$18*1000)-('Appendix K'!$E$44+'Appendix K'!$F$44+'Appendix K'!$H$44+'Appendix K'!$G$44))/((1+$Y$16)^AL$34))</f>
        <v>625981.34738204931</v>
      </c>
      <c r="AM383" s="193">
        <f>(((P383*'Appendix K'!$C$19*1000)-('Appendix K'!$E$45+'Appendix K'!$F$45+'Appendix K'!$H$45+'Appendix K'!$G$45))/((1+$Y$16)^AM$34))</f>
        <v>510017.32608689758</v>
      </c>
      <c r="AN383" s="193">
        <f>(((Q383*'Appendix K'!$C$20*1000)-('Appendix K'!$E$46+'Appendix K'!$F$46+'Appendix K'!$H$46+'Appendix K'!$G$46))/((1+$Y$16)^AN$34))</f>
        <v>980170.94069830945</v>
      </c>
      <c r="AO383" s="193">
        <f>(((R383*'Appendix K'!$C$21*1000)-('Appendix K'!$E$47+'Appendix K'!$F$47+'Appendix K'!$H$47+'Appendix K'!$G$47))/((1+$Y$16)^AO$34))</f>
        <v>948171.39260704955</v>
      </c>
      <c r="AP383" s="193">
        <f>(((S383*'Appendix K'!$C$22*1000)-('Appendix K'!$E$48+'Appendix K'!$F$48+'Appendix K'!$H$48+'Appendix K'!$G$48))/((1+$Y$16)^AP$34))</f>
        <v>1219546.4799112375</v>
      </c>
      <c r="AQ383" s="193">
        <f>(((T383*'Appendix K'!$C$23*1000)-('Appendix K'!$E$49+'Appendix K'!$F$49+'Appendix K'!$H$49+'Appendix K'!$G$49))/((1+$Y$16)^AQ$34))</f>
        <v>1263386.3652054211</v>
      </c>
      <c r="AR383" s="193">
        <f>(((U383*'Appendix K'!$C$24*1000)-('Appendix K'!$E$50+'Appendix K'!$F$50+'Appendix K'!$H$50+'Appendix K'!$G$50))/((1+$Y$16)^AR$34))</f>
        <v>673205.45712685399</v>
      </c>
      <c r="AS383" s="209">
        <f t="shared" si="26"/>
        <v>37488511.236596458</v>
      </c>
      <c r="AU383" s="199">
        <f t="shared" si="25"/>
        <v>4.7589530078454033E-9</v>
      </c>
    </row>
    <row r="384" spans="1:47" x14ac:dyDescent="0.35">
      <c r="A384">
        <v>350</v>
      </c>
      <c r="B384" s="70">
        <v>56</v>
      </c>
      <c r="C384" s="70">
        <v>58.31722524219844</v>
      </c>
      <c r="D384" s="70">
        <v>87.20478762467188</v>
      </c>
      <c r="E384" s="70">
        <v>69.602897879247479</v>
      </c>
      <c r="F384" s="70">
        <v>89.046528315775049</v>
      </c>
      <c r="G384" s="70">
        <v>103.56065952608495</v>
      </c>
      <c r="H384" s="70">
        <v>94.993315004888231</v>
      </c>
      <c r="I384" s="70">
        <v>137.7058940743091</v>
      </c>
      <c r="J384" s="70">
        <v>117.54054144732766</v>
      </c>
      <c r="K384" s="70">
        <v>144.22352774346132</v>
      </c>
      <c r="L384" s="70">
        <v>195.39550713878305</v>
      </c>
      <c r="M384" s="70">
        <v>199.24332008931694</v>
      </c>
      <c r="N384" s="70">
        <v>234.80184388364009</v>
      </c>
      <c r="O384" s="70">
        <v>270.82910153251123</v>
      </c>
      <c r="P384" s="70">
        <v>275.53072867824176</v>
      </c>
      <c r="Q384" s="70">
        <v>346.29235825861247</v>
      </c>
      <c r="R384" s="70">
        <v>451.46007322890478</v>
      </c>
      <c r="S384" s="70">
        <v>368.95840951107357</v>
      </c>
      <c r="T384" s="70">
        <v>280.76453961282436</v>
      </c>
      <c r="U384" s="70">
        <v>280.71070671245531</v>
      </c>
      <c r="V384" s="70">
        <v>394.78769282673056</v>
      </c>
      <c r="X384" s="193">
        <f>((0-('Appendix K'!$I$30))/(1+$Y$16)^0)</f>
        <v>-33594902.4440751</v>
      </c>
      <c r="Y384" s="193">
        <f>(((B384*'Appendix K'!$C$5*1000)-('Appendix K'!$E$31+'Appendix K'!$F$31+'Appendix K'!$H$31+'Appendix K'!$G$31))/((1+$Y$16)^1))</f>
        <v>34971064.972647354</v>
      </c>
      <c r="Z384" s="193">
        <f>+(((C384*'Appendix K'!$C$6*1000)-('Appendix K'!$E$32+'Appendix K'!$F$32+'Appendix K'!$H$32+'Appendix K'!$G$32))/((1+$Y$16)^2))</f>
        <v>11244680.833032625</v>
      </c>
      <c r="AA384" s="193">
        <f>(((D384*'Appendix K'!$C$7*1000)-('Appendix K'!$E$33+'Appendix K'!$F$33+'Appendix K'!$H$33+'Appendix K'!$G$33))/((1+$Y$16)^3))</f>
        <v>8142800.6298182793</v>
      </c>
      <c r="AB384" s="193">
        <f>(((E384*'Appendix K'!$C$8*1000)-('Appendix K'!$E$34+'Appendix K'!$F$34+'Appendix K'!$H$34+'Appendix K'!$G$34))/((1+$Y$16)^4))</f>
        <v>11963110.173072658</v>
      </c>
      <c r="AC384" s="193">
        <f>(((F384*'Appendix K'!$C$9*1000)-('Appendix K'!$E$35+'Appendix K'!$F$35+'Appendix K'!$H$35+'Appendix K'!$G$35))/((1+$Y$16)^AC$34))</f>
        <v>20684198.879032232</v>
      </c>
      <c r="AD384" s="193">
        <f>(((G384*'Appendix K'!$C$10*1000)-('Appendix K'!$E$36+'Appendix K'!$F$36+'Appendix K'!$H$36+'Appendix K'!$G$36))/((1+$Y$16)^AD$34))</f>
        <v>13747812.215821465</v>
      </c>
      <c r="AE384" s="193">
        <f>(((H384*'Appendix K'!$C$11*1000)-('Appendix K'!$E$37+'Appendix K'!$F$37+'Appendix K'!$H$37+'Appendix K'!$G$37))/((1+$Y$16)^AE$34))</f>
        <v>7254467.0285143107</v>
      </c>
      <c r="AF384" s="193">
        <f>(((I384*'Appendix K'!$C$12*1000)-('Appendix K'!$E$38+'Appendix K'!$F$38+'Appendix K'!$H$38+'Appendix K'!$G$38))/((1+$Y$16)^AF$34))</f>
        <v>7045524.2118548974</v>
      </c>
      <c r="AG384" s="193">
        <f>(((J384*'Appendix K'!$C$13*1000)-('Appendix K'!$E$39+'Appendix K'!$F$39+'Appendix K'!$H$39+'Appendix K'!$G$39))/((1+$Y$16)^AG$34))</f>
        <v>3594146.3791392534</v>
      </c>
      <c r="AH384" s="193">
        <f>(((K384*'Appendix K'!$C$14*1000)-('Appendix K'!$E$40+'Appendix K'!$F$40+'Appendix K'!$H$40+'Appendix K'!$G$40))/((1+$Y$16)^AH$34))</f>
        <v>3228533.0406923443</v>
      </c>
      <c r="AI384" s="193">
        <f>(((L384*'Appendix K'!$C$15*1000)-('Appendix K'!$E$41+'Appendix K'!$F$41+'Appendix K'!$H$41+'Appendix K'!$G$41))/((1+$Y$16)^AI$34))</f>
        <v>3603246.3300951393</v>
      </c>
      <c r="AJ384" s="193">
        <f>(((M384*'Appendix K'!$C$16*1000)-('Appendix K'!$E$42+'Appendix K'!$F$42+'Appendix K'!$H$42+'Appendix K'!$G$42))/((1+$Y$16)^AJ$34))</f>
        <v>2611657.1587668816</v>
      </c>
      <c r="AK384" s="193">
        <f>(((N384*'Appendix K'!$C$17*1000)-('Appendix K'!$E$43+'Appendix K'!$F$43+'Appendix K'!$H$43))/((1+$Y$16)^AK$34))</f>
        <v>2603212.8370804288</v>
      </c>
      <c r="AL384" s="193">
        <f>(((O384*'Appendix K'!$C$18*1000)-('Appendix K'!$E$44+'Appendix K'!$F$44+'Appendix K'!$H$44+'Appendix K'!$G$44))/((1+$Y$16)^AL$34))</f>
        <v>2075627.9068335788</v>
      </c>
      <c r="AM384" s="193">
        <f>(((P384*'Appendix K'!$C$19*1000)-('Appendix K'!$E$45+'Appendix K'!$F$45+'Appendix K'!$H$45+'Appendix K'!$G$45))/((1+$Y$16)^AM$34))</f>
        <v>1527054.4825348137</v>
      </c>
      <c r="AN384" s="193">
        <f>(((Q384*'Appendix K'!$C$20*1000)-('Appendix K'!$E$46+'Appendix K'!$F$46+'Appendix K'!$H$46+'Appendix K'!$G$46))/((1+$Y$16)^AN$34))</f>
        <v>1590137.773150529</v>
      </c>
      <c r="AO384" s="193">
        <f>(((R384*'Appendix K'!$C$21*1000)-('Appendix K'!$E$47+'Appendix K'!$F$47+'Appendix K'!$H$47+'Appendix K'!$G$47))/((1+$Y$16)^AO$34))</f>
        <v>1825179.9847288793</v>
      </c>
      <c r="AP384" s="193">
        <f>(((S384*'Appendix K'!$C$22*1000)-('Appendix K'!$E$48+'Appendix K'!$F$48+'Appendix K'!$H$48+'Appendix K'!$G$48))/((1+$Y$16)^AP$34))</f>
        <v>1002753.997495361</v>
      </c>
      <c r="AQ384" s="193">
        <f>(((T384*'Appendix K'!$C$23*1000)-('Appendix K'!$E$49+'Appendix K'!$F$49+'Appendix K'!$H$49+'Appendix K'!$G$49))/((1+$Y$16)^AQ$34))</f>
        <v>405354.89896728343</v>
      </c>
      <c r="AR384" s="193">
        <f>(((U384*'Appendix K'!$C$24*1000)-('Appendix K'!$E$50+'Appendix K'!$F$50+'Appendix K'!$H$50+'Appendix K'!$G$50))/((1+$Y$16)^AR$34))</f>
        <v>274607.47149938991</v>
      </c>
      <c r="AS384" s="209">
        <f t="shared" si="26"/>
        <v>105800268.76070258</v>
      </c>
      <c r="AU384" s="199">
        <f t="shared" si="25"/>
        <v>6.6779517098689602E-9</v>
      </c>
    </row>
    <row r="385" spans="1:47" x14ac:dyDescent="0.35">
      <c r="A385">
        <v>351</v>
      </c>
      <c r="B385" s="70">
        <v>56</v>
      </c>
      <c r="C385" s="70">
        <v>50.30084809606285</v>
      </c>
      <c r="D385" s="70">
        <v>93.899603430043811</v>
      </c>
      <c r="E385" s="70">
        <v>101.03166132717901</v>
      </c>
      <c r="F385" s="70">
        <v>94.74764044972838</v>
      </c>
      <c r="G385" s="70">
        <v>72.003967147767128</v>
      </c>
      <c r="H385" s="70">
        <v>75.677668733752128</v>
      </c>
      <c r="I385" s="70">
        <v>130.59102529885149</v>
      </c>
      <c r="J385" s="70">
        <v>117.71443460190427</v>
      </c>
      <c r="K385" s="70">
        <v>95.644770451029217</v>
      </c>
      <c r="L385" s="70">
        <v>120.41122570752665</v>
      </c>
      <c r="M385" s="70">
        <v>159.18109384120137</v>
      </c>
      <c r="N385" s="70">
        <v>124.61241111852627</v>
      </c>
      <c r="O385" s="70">
        <v>137.6801314030327</v>
      </c>
      <c r="P385" s="70">
        <v>186.25641260186785</v>
      </c>
      <c r="Q385" s="70">
        <v>77.22102876352281</v>
      </c>
      <c r="R385" s="70">
        <v>99.996972050655955</v>
      </c>
      <c r="S385" s="70">
        <v>123.28727317799331</v>
      </c>
      <c r="T385" s="70">
        <v>146.48319384024251</v>
      </c>
      <c r="U385" s="70">
        <v>128.72071323854811</v>
      </c>
      <c r="V385" s="70">
        <v>99.722035434789518</v>
      </c>
      <c r="X385" s="193">
        <f>((0-('Appendix K'!$I$30))/(1+$Y$16)^0)</f>
        <v>-33594902.4440751</v>
      </c>
      <c r="Y385" s="193">
        <f>(((B385*'Appendix K'!$C$5*1000)-('Appendix K'!$E$31+'Appendix K'!$F$31+'Appendix K'!$H$31+'Appendix K'!$G$31))/((1+$Y$16)^1))</f>
        <v>34971064.972647354</v>
      </c>
      <c r="Z385" s="193">
        <f>+(((C385*'Appendix K'!$C$6*1000)-('Appendix K'!$E$32+'Appendix K'!$F$32+'Appendix K'!$H$32+'Appendix K'!$G$32))/((1+$Y$16)^2))</f>
        <v>9219606.8608257268</v>
      </c>
      <c r="AA385" s="193">
        <f>(((D385*'Appendix K'!$C$7*1000)-('Appendix K'!$E$33+'Appendix K'!$F$33+'Appendix K'!$H$33+'Appendix K'!$G$33))/((1+$Y$16)^3))</f>
        <v>8995551.938490957</v>
      </c>
      <c r="AB385" s="193">
        <f>(((E385*'Appendix K'!$C$8*1000)-('Appendix K'!$E$34+'Appendix K'!$F$34+'Appendix K'!$H$34+'Appendix K'!$G$34))/((1+$Y$16)^4))</f>
        <v>18852007.418221362</v>
      </c>
      <c r="AC385" s="193">
        <f>(((F385*'Appendix K'!$C$9*1000)-('Appendix K'!$E$35+'Appendix K'!$F$35+'Appendix K'!$H$35+'Appendix K'!$G$35))/((1+$Y$16)^AC$34))</f>
        <v>22199545.531884477</v>
      </c>
      <c r="AD385" s="193">
        <f>(((G385*'Appendix K'!$C$10*1000)-('Appendix K'!$E$36+'Appendix K'!$F$36+'Appendix K'!$H$36+'Appendix K'!$G$36))/((1+$Y$16)^AD$34))</f>
        <v>8792024.5479455534</v>
      </c>
      <c r="AE385" s="193">
        <f>(((H385*'Appendix K'!$C$11*1000)-('Appendix K'!$E$37+'Appendix K'!$F$37+'Appendix K'!$H$37+'Appendix K'!$G$37))/((1+$Y$16)^AE$34))</f>
        <v>5327970.2699869405</v>
      </c>
      <c r="AF385" s="193">
        <f>(((I385*'Appendix K'!$C$12*1000)-('Appendix K'!$E$38+'Appendix K'!$F$38+'Appendix K'!$H$38+'Appendix K'!$G$38))/((1+$Y$16)^AF$34))</f>
        <v>6578344.6599940816</v>
      </c>
      <c r="AG385" s="193">
        <f>(((J385*'Appendix K'!$C$13*1000)-('Appendix K'!$E$39+'Appendix K'!$F$39+'Appendix K'!$H$39+'Appendix K'!$G$39))/((1+$Y$16)^AG$34))</f>
        <v>3602148.7564926725</v>
      </c>
      <c r="AH385" s="193">
        <f>(((K385*'Appendix K'!$C$14*1000)-('Appendix K'!$E$40+'Appendix K'!$F$40+'Appendix K'!$H$40+'Appendix K'!$G$40))/((1+$Y$16)^AH$34))</f>
        <v>1591111.8582342144</v>
      </c>
      <c r="AI385" s="193">
        <f>(((L385*'Appendix K'!$C$15*1000)-('Appendix K'!$E$41+'Appendix K'!$F$41+'Appendix K'!$H$41+'Appendix K'!$G$41))/((1+$Y$16)^AI$34))</f>
        <v>1638517.9353023672</v>
      </c>
      <c r="AJ385" s="193">
        <f>(((M385*'Appendix K'!$C$16*1000)-('Appendix K'!$E$42+'Appendix K'!$F$42+'Appendix K'!$H$42+'Appendix K'!$G$42))/((1+$Y$16)^AJ$34))</f>
        <v>1808735.3494616991</v>
      </c>
      <c r="AK385" s="193">
        <f>(((N385*'Appendix K'!$C$17*1000)-('Appendix K'!$E$43+'Appendix K'!$F$43+'Appendix K'!$H$43))/((1+$Y$16)^AK$34))</f>
        <v>910273.69061252638</v>
      </c>
      <c r="AL385" s="193">
        <f>(((O385*'Appendix K'!$C$18*1000)-('Appendix K'!$E$44+'Appendix K'!$F$44+'Appendix K'!$H$44+'Appendix K'!$G$44))/((1+$Y$16)^AL$34))</f>
        <v>497373.98452132934</v>
      </c>
      <c r="AM385" s="193">
        <f>(((P385*'Appendix K'!$C$19*1000)-('Appendix K'!$E$45+'Appendix K'!$F$45+'Appendix K'!$H$45+'Appendix K'!$G$45))/((1+$Y$16)^AM$34))</f>
        <v>699594.79088433471</v>
      </c>
      <c r="AN385" s="193">
        <f>(((Q385*'Appendix K'!$C$20*1000)-('Appendix K'!$E$46+'Appendix K'!$F$46+'Appendix K'!$H$46+'Appendix K'!$G$46))/((1+$Y$16)^AN$34))</f>
        <v>-356920.72619472374</v>
      </c>
      <c r="AO385" s="193">
        <f>(((R385*'Appendix K'!$C$21*1000)-('Appendix K'!$E$47+'Appendix K'!$F$47+'Appendix K'!$H$47+'Appendix K'!$G$47))/((1+$Y$16)^AO$34))</f>
        <v>-252005.77289213106</v>
      </c>
      <c r="AP385" s="193">
        <f>(((S385*'Appendix K'!$C$22*1000)-('Appendix K'!$E$48+'Appendix K'!$F$48+'Appendix K'!$H$48+'Appendix K'!$G$48))/((1+$Y$16)^AP$34))</f>
        <v>-173941.79589286129</v>
      </c>
      <c r="AQ385" s="193">
        <f>(((T385*'Appendix K'!$C$23*1000)-('Appendix K'!$E$49+'Appendix K'!$F$49+'Appendix K'!$H$49+'Appendix K'!$G$49))/((1+$Y$16)^AQ$34))</f>
        <v>-120187.91148044886</v>
      </c>
      <c r="AR385" s="193">
        <f>(((U385*'Appendix K'!$C$24*1000)-('Appendix K'!$E$50+'Appendix K'!$F$50+'Appendix K'!$H$50+'Appendix K'!$G$50))/((1+$Y$16)^AR$34))</f>
        <v>-214804.56607272258</v>
      </c>
      <c r="AS385" s="209">
        <f t="shared" si="26"/>
        <v>92088970.121430486</v>
      </c>
      <c r="AU385" s="199">
        <f t="shared" si="25"/>
        <v>7.0078828915070534E-9</v>
      </c>
    </row>
    <row r="386" spans="1:47" x14ac:dyDescent="0.35">
      <c r="A386">
        <v>352</v>
      </c>
      <c r="B386" s="70">
        <v>56</v>
      </c>
      <c r="C386" s="70">
        <v>44.095603780889903</v>
      </c>
      <c r="D386" s="70">
        <v>36.261814940763081</v>
      </c>
      <c r="E386" s="70">
        <v>35.026166594521854</v>
      </c>
      <c r="F386" s="70">
        <v>49.25977327650034</v>
      </c>
      <c r="G386" s="70">
        <v>67.237831753882787</v>
      </c>
      <c r="H386" s="70">
        <v>46.964549344374817</v>
      </c>
      <c r="I386" s="70">
        <v>43.058463407604009</v>
      </c>
      <c r="J386" s="70">
        <v>70.595130346166556</v>
      </c>
      <c r="K386" s="70">
        <v>70.489287864852912</v>
      </c>
      <c r="L386" s="70">
        <v>65.687655381893308</v>
      </c>
      <c r="M386" s="70">
        <v>91.613002261620636</v>
      </c>
      <c r="N386" s="70">
        <v>145.32884700872489</v>
      </c>
      <c r="O386" s="70">
        <v>186.32232474317198</v>
      </c>
      <c r="P386" s="70">
        <v>269.31016062895696</v>
      </c>
      <c r="Q386" s="70">
        <v>350.9911595345493</v>
      </c>
      <c r="R386" s="70">
        <v>149.14939640345779</v>
      </c>
      <c r="S386" s="70">
        <v>172.30288560152519</v>
      </c>
      <c r="T386" s="70">
        <v>231.97488280544704</v>
      </c>
      <c r="U386" s="70">
        <v>230.98241517610543</v>
      </c>
      <c r="V386" s="70">
        <v>373.35527707771928</v>
      </c>
      <c r="X386" s="193">
        <f>((0-('Appendix K'!$I$30))/(1+$Y$16)^0)</f>
        <v>-33594902.4440751</v>
      </c>
      <c r="Y386" s="193">
        <f>(((B386*'Appendix K'!$C$5*1000)-('Appendix K'!$E$31+'Appendix K'!$F$31+'Appendix K'!$H$31+'Appendix K'!$G$31))/((1+$Y$16)^1))</f>
        <v>34971064.972647354</v>
      </c>
      <c r="Z386" s="193">
        <f>+(((C386*'Appendix K'!$C$6*1000)-('Appendix K'!$E$32+'Appendix K'!$F$32+'Appendix K'!$H$32+'Appendix K'!$G$32))/((1+$Y$16)^2))</f>
        <v>7652056.0177495349</v>
      </c>
      <c r="AA386" s="193">
        <f>(((D386*'Appendix K'!$C$7*1000)-('Appendix K'!$E$33+'Appendix K'!$F$33+'Appendix K'!$H$33+'Appendix K'!$G$33))/((1+$Y$16)^3))</f>
        <v>1653945.9866446762</v>
      </c>
      <c r="AB386" s="193">
        <f>(((E386*'Appendix K'!$C$8*1000)-('Appendix K'!$E$34+'Appendix K'!$F$34+'Appendix K'!$H$34+'Appendix K'!$G$34))/((1+$Y$16)^4))</f>
        <v>4384207.1949705994</v>
      </c>
      <c r="AC386" s="193">
        <f>(((F386*'Appendix K'!$C$9*1000)-('Appendix K'!$E$35+'Appendix K'!$F$35+'Appendix K'!$H$35+'Appendix K'!$G$35))/((1+$Y$16)^AC$34))</f>
        <v>10108941.866009815</v>
      </c>
      <c r="AD386" s="193">
        <f>(((G386*'Appendix K'!$C$10*1000)-('Appendix K'!$E$36+'Appendix K'!$F$36+'Appendix K'!$H$36+'Appendix K'!$G$36))/((1+$Y$16)^AD$34))</f>
        <v>8043531.8122281739</v>
      </c>
      <c r="AE386" s="193">
        <f>(((H386*'Appendix K'!$C$11*1000)-('Appendix K'!$E$37+'Appendix K'!$F$37+'Appendix K'!$H$37+'Appendix K'!$G$37))/((1+$Y$16)^AE$34))</f>
        <v>2464191.8255915986</v>
      </c>
      <c r="AF386" s="193">
        <f>(((I386*'Appendix K'!$C$12*1000)-('Appendix K'!$E$38+'Appendix K'!$F$38+'Appendix K'!$H$38+'Appendix K'!$G$38))/((1+$Y$16)^AF$34))</f>
        <v>830744.2012699208</v>
      </c>
      <c r="AG386" s="193">
        <f>(((J386*'Appendix K'!$C$13*1000)-('Appendix K'!$E$39+'Appendix K'!$F$39+'Appendix K'!$H$39+'Appendix K'!$G$39))/((1+$Y$16)^AG$34))</f>
        <v>1433768.6715892998</v>
      </c>
      <c r="AH386" s="193">
        <f>(((K386*'Appendix K'!$C$14*1000)-('Appendix K'!$E$40+'Appendix K'!$F$40+'Appendix K'!$H$40+'Appendix K'!$G$40))/((1+$Y$16)^AH$34))</f>
        <v>743207.91137926758</v>
      </c>
      <c r="AI386" s="193">
        <f>(((L386*'Appendix K'!$C$15*1000)-('Appendix K'!$E$41+'Appendix K'!$F$41+'Appendix K'!$H$41+'Appendix K'!$G$41))/((1+$Y$16)^AI$34))</f>
        <v>204658.05919247057</v>
      </c>
      <c r="AJ386" s="193">
        <f>(((M386*'Appendix K'!$C$16*1000)-('Appendix K'!$E$42+'Appendix K'!$F$42+'Appendix K'!$H$42+'Appendix K'!$G$42))/((1+$Y$16)^AJ$34))</f>
        <v>454544.64606994373</v>
      </c>
      <c r="AK386" s="193">
        <f>(((N386*'Appendix K'!$C$17*1000)-('Appendix K'!$E$43+'Appendix K'!$F$43+'Appendix K'!$H$43))/((1+$Y$16)^AK$34))</f>
        <v>1228558.8874205607</v>
      </c>
      <c r="AL386" s="193">
        <f>(((O386*'Appendix K'!$C$18*1000)-('Appendix K'!$E$44+'Appendix K'!$F$44+'Appendix K'!$H$44+'Appendix K'!$G$44))/((1+$Y$16)^AL$34))</f>
        <v>1073944.2152508057</v>
      </c>
      <c r="AM386" s="193">
        <f>(((P386*'Appendix K'!$C$19*1000)-('Appendix K'!$E$45+'Appendix K'!$F$45+'Appendix K'!$H$45+'Appendix K'!$G$45))/((1+$Y$16)^AM$34))</f>
        <v>1469397.7056904128</v>
      </c>
      <c r="AN386" s="193">
        <f>(((Q386*'Appendix K'!$C$20*1000)-('Appendix K'!$E$46+'Appendix K'!$F$46+'Appendix K'!$H$46+'Appendix K'!$G$46))/((1+$Y$16)^AN$34))</f>
        <v>1624139.3183103753</v>
      </c>
      <c r="AO386" s="193">
        <f>(((R386*'Appendix K'!$C$21*1000)-('Appendix K'!$E$47+'Appendix K'!$F$47+'Appendix K'!$H$47+'Appendix K'!$G$47))/((1+$Y$16)^AO$34))</f>
        <v>38490.485394747935</v>
      </c>
      <c r="AP386" s="193">
        <f>(((S386*'Appendix K'!$C$22*1000)-('Appendix K'!$E$48+'Appendix K'!$F$48+'Appendix K'!$H$48+'Appendix K'!$G$48))/((1+$Y$16)^AP$34))</f>
        <v>60829.23097665199</v>
      </c>
      <c r="AQ386" s="193">
        <f>(((T386*'Appendix K'!$C$23*1000)-('Appendix K'!$E$49+'Appendix K'!$F$49+'Appendix K'!$H$49+'Appendix K'!$G$49))/((1+$Y$16)^AQ$34))</f>
        <v>214404.67269568366</v>
      </c>
      <c r="AR386" s="193">
        <f>(((U386*'Appendix K'!$C$24*1000)-('Appendix K'!$E$50+'Appendix K'!$F$50+'Appendix K'!$H$50+'Appendix K'!$G$50))/((1+$Y$16)^AR$34))</f>
        <v>114480.97942237576</v>
      </c>
      <c r="AS386" s="209">
        <f t="shared" si="26"/>
        <v>45174206.216429166</v>
      </c>
      <c r="AU386" s="199">
        <f t="shared" si="25"/>
        <v>5.3147251629277626E-9</v>
      </c>
    </row>
    <row r="387" spans="1:47" x14ac:dyDescent="0.35">
      <c r="A387">
        <v>353</v>
      </c>
      <c r="B387" s="70">
        <v>56</v>
      </c>
      <c r="C387" s="70">
        <v>59.133356412068352</v>
      </c>
      <c r="D387" s="70">
        <v>35.869010661991425</v>
      </c>
      <c r="E387" s="70">
        <v>53.253244359329841</v>
      </c>
      <c r="F387" s="70">
        <v>46.403920911864304</v>
      </c>
      <c r="G387" s="70">
        <v>46.927250657797416</v>
      </c>
      <c r="H387" s="70">
        <v>72.888021622041293</v>
      </c>
      <c r="I387" s="70">
        <v>90.126789510590314</v>
      </c>
      <c r="J387" s="70">
        <v>100.8107109444494</v>
      </c>
      <c r="K387" s="70">
        <v>121.96654862220723</v>
      </c>
      <c r="L387" s="70">
        <v>160.46854880254267</v>
      </c>
      <c r="M387" s="70">
        <v>298.31211169477137</v>
      </c>
      <c r="N387" s="70">
        <v>364.31219702120478</v>
      </c>
      <c r="O387" s="70">
        <v>315.1804546963894</v>
      </c>
      <c r="P387" s="70">
        <v>289.42188277049564</v>
      </c>
      <c r="Q387" s="70">
        <v>286.43615766878747</v>
      </c>
      <c r="R387" s="70">
        <v>302.50929161586362</v>
      </c>
      <c r="S387" s="70">
        <v>340.95543767463721</v>
      </c>
      <c r="T387" s="70">
        <v>494.71165910997445</v>
      </c>
      <c r="U387" s="70">
        <v>500</v>
      </c>
      <c r="V387" s="70">
        <v>457.10470825967957</v>
      </c>
      <c r="X387" s="193">
        <f>((0-('Appendix K'!$I$30))/(1+$Y$16)^0)</f>
        <v>-33594902.4440751</v>
      </c>
      <c r="Y387" s="193">
        <f>(((B387*'Appendix K'!$C$5*1000)-('Appendix K'!$E$31+'Appendix K'!$F$31+'Appendix K'!$H$31+'Appendix K'!$G$31))/((1+$Y$16)^1))</f>
        <v>34971064.972647354</v>
      </c>
      <c r="Z387" s="193">
        <f>+(((C387*'Appendix K'!$C$6*1000)-('Appendix K'!$E$32+'Appendix K'!$F$32+'Appendix K'!$H$32+'Appendix K'!$G$32))/((1+$Y$16)^2))</f>
        <v>11450849.524934433</v>
      </c>
      <c r="AA387" s="193">
        <f>(((D387*'Appendix K'!$C$7*1000)-('Appendix K'!$E$33+'Appendix K'!$F$33+'Appendix K'!$H$33+'Appendix K'!$G$33))/((1+$Y$16)^3))</f>
        <v>1603912.5917742781</v>
      </c>
      <c r="AB387" s="193">
        <f>(((E387*'Appendix K'!$C$8*1000)-('Appendix K'!$E$34+'Appendix K'!$F$34+'Appendix K'!$H$34+'Appendix K'!$G$34))/((1+$Y$16)^4))</f>
        <v>8379415.7881792169</v>
      </c>
      <c r="AC387" s="193">
        <f>(((F387*'Appendix K'!$C$9*1000)-('Appendix K'!$E$35+'Appendix K'!$F$35+'Appendix K'!$H$35+'Appendix K'!$G$35))/((1+$Y$16)^AC$34))</f>
        <v>9349860.7919825092</v>
      </c>
      <c r="AD387" s="193">
        <f>(((G387*'Appendix K'!$C$10*1000)-('Appendix K'!$E$36+'Appendix K'!$F$36+'Appendix K'!$H$36+'Appendix K'!$G$36))/((1+$Y$16)^AD$34))</f>
        <v>4853877.8993062945</v>
      </c>
      <c r="AE387" s="193">
        <f>(((H387*'Appendix K'!$C$11*1000)-('Appendix K'!$E$37+'Appendix K'!$F$37+'Appendix K'!$H$37+'Appendix K'!$G$37))/((1+$Y$16)^AE$34))</f>
        <v>5049737.4817743581</v>
      </c>
      <c r="AF387" s="193">
        <f>(((I387*'Appendix K'!$C$12*1000)-('Appendix K'!$E$38+'Appendix K'!$F$38+'Appendix K'!$H$38+'Appendix K'!$G$38))/((1+$Y$16)^AF$34))</f>
        <v>3921364.7298569307</v>
      </c>
      <c r="AG387" s="193">
        <f>(((J387*'Appendix K'!$C$13*1000)-('Appendix K'!$E$39+'Appendix K'!$F$39+'Appendix K'!$H$39+'Appendix K'!$G$39))/((1+$Y$16)^AG$34))</f>
        <v>2824257.4374570819</v>
      </c>
      <c r="AH387" s="193">
        <f>(((K387*'Appendix K'!$C$14*1000)-('Appendix K'!$E$40+'Appendix K'!$F$40+'Appendix K'!$H$40+'Appendix K'!$G$40))/((1+$Y$16)^AH$34))</f>
        <v>2478327.5784306074</v>
      </c>
      <c r="AI387" s="193">
        <f>(((L387*'Appendix K'!$C$15*1000)-('Appendix K'!$E$41+'Appendix K'!$F$41+'Appendix K'!$H$41+'Appendix K'!$G$41))/((1+$Y$16)^AI$34))</f>
        <v>2688094.7079532845</v>
      </c>
      <c r="AJ387" s="193">
        <f>(((M387*'Appendix K'!$C$16*1000)-('Appendix K'!$E$42+'Appendix K'!$F$42+'Appendix K'!$H$42+'Appendix K'!$G$42))/((1+$Y$16)^AJ$34))</f>
        <v>4597180.7017894359</v>
      </c>
      <c r="AK387" s="193">
        <f>(((N387*'Appendix K'!$C$17*1000)-('Appendix K'!$E$43+'Appendix K'!$F$43+'Appendix K'!$H$43))/((1+$Y$16)^AK$34))</f>
        <v>4592996.6230341885</v>
      </c>
      <c r="AL387" s="193">
        <f>(((O387*'Appendix K'!$C$18*1000)-('Appendix K'!$E$44+'Appendix K'!$F$44+'Appendix K'!$H$44+'Appendix K'!$G$44))/((1+$Y$16)^AL$34))</f>
        <v>2601337.5463649877</v>
      </c>
      <c r="AM387" s="193">
        <f>(((P387*'Appendix K'!$C$19*1000)-('Appendix K'!$E$45+'Appendix K'!$F$45+'Appendix K'!$H$45+'Appendix K'!$G$45))/((1+$Y$16)^AM$34))</f>
        <v>1655807.8641010451</v>
      </c>
      <c r="AN387" s="193">
        <f>(((Q387*'Appendix K'!$C$20*1000)-('Appendix K'!$E$46+'Appendix K'!$F$46+'Appendix K'!$H$46+'Appendix K'!$G$46))/((1+$Y$16)^AN$34))</f>
        <v>1157005.3234182363</v>
      </c>
      <c r="AO387" s="193">
        <f>(((R387*'Appendix K'!$C$21*1000)-('Appendix K'!$E$47+'Appendix K'!$F$47+'Appendix K'!$H$47+'Appendix K'!$G$47))/((1+$Y$16)^AO$34))</f>
        <v>944864.4093074603</v>
      </c>
      <c r="AP387" s="193">
        <f>(((S387*'Appendix K'!$C$22*1000)-('Appendix K'!$E$48+'Appendix K'!$F$48+'Appendix K'!$H$48+'Appendix K'!$G$48))/((1+$Y$16)^AP$34))</f>
        <v>868627.62166572898</v>
      </c>
      <c r="AQ387" s="193">
        <f>(((T387*'Appendix K'!$C$23*1000)-('Appendix K'!$E$49+'Appendix K'!$F$49+'Appendix K'!$H$49+'Appendix K'!$G$49))/((1+$Y$16)^AQ$34))</f>
        <v>1242689.15281185</v>
      </c>
      <c r="AR387" s="193">
        <f>(((U387*'Appendix K'!$C$24*1000)-('Appendix K'!$E$50+'Appendix K'!$F$50+'Appendix K'!$H$50+'Appendix K'!$G$50))/((1+$Y$16)^AR$34))</f>
        <v>980725.14012097823</v>
      </c>
      <c r="AS387" s="209">
        <f t="shared" si="26"/>
        <v>72617095.442835212</v>
      </c>
      <c r="AU387" s="199">
        <f t="shared" si="25"/>
        <v>6.7883659098834511E-9</v>
      </c>
    </row>
    <row r="388" spans="1:47" x14ac:dyDescent="0.35">
      <c r="A388">
        <v>354</v>
      </c>
      <c r="B388" s="70">
        <v>56</v>
      </c>
      <c r="C388" s="70">
        <v>82.868809162039199</v>
      </c>
      <c r="D388" s="70">
        <v>68.738635328451991</v>
      </c>
      <c r="E388" s="70">
        <v>55.910320950183333</v>
      </c>
      <c r="F388" s="70">
        <v>47.377721844894673</v>
      </c>
      <c r="G388" s="70">
        <v>49.640652643948144</v>
      </c>
      <c r="H388" s="70">
        <v>56.677307149717478</v>
      </c>
      <c r="I388" s="70">
        <v>44.817127238492802</v>
      </c>
      <c r="J388" s="70">
        <v>52.023722294907834</v>
      </c>
      <c r="K388" s="70">
        <v>33.56558199676688</v>
      </c>
      <c r="L388" s="70">
        <v>19.553726186864722</v>
      </c>
      <c r="M388" s="70">
        <v>19.970136878168564</v>
      </c>
      <c r="N388" s="70">
        <v>21.821880631911139</v>
      </c>
      <c r="O388" s="70">
        <v>20.579954072540609</v>
      </c>
      <c r="P388" s="70">
        <v>24.544003266219917</v>
      </c>
      <c r="Q388" s="70">
        <v>26.90363892785502</v>
      </c>
      <c r="R388" s="70">
        <v>38.554344870063375</v>
      </c>
      <c r="S388" s="70">
        <v>24.718548302172898</v>
      </c>
      <c r="T388" s="70">
        <v>40.273663761384157</v>
      </c>
      <c r="U388" s="70">
        <v>32.604828109275971</v>
      </c>
      <c r="V388" s="70">
        <v>41.621422897297037</v>
      </c>
      <c r="X388" s="193">
        <f>((0-('Appendix K'!$I$30))/(1+$Y$16)^0)</f>
        <v>-33594902.4440751</v>
      </c>
      <c r="Y388" s="193">
        <f>(((B388*'Appendix K'!$C$5*1000)-('Appendix K'!$E$31+'Appendix K'!$F$31+'Appendix K'!$H$31+'Appendix K'!$G$31))/((1+$Y$16)^1))</f>
        <v>34971064.972647354</v>
      </c>
      <c r="Z388" s="193">
        <f>+(((C388*'Appendix K'!$C$6*1000)-('Appendix K'!$E$32+'Appendix K'!$F$32+'Appendix K'!$H$32+'Appendix K'!$G$32))/((1+$Y$16)^2))</f>
        <v>17446830.839970686</v>
      </c>
      <c r="AA388" s="193">
        <f>(((D388*'Appendix K'!$C$7*1000)-('Appendix K'!$E$33+'Appendix K'!$F$33+'Appendix K'!$H$33+'Appendix K'!$G$33))/((1+$Y$16)^3))</f>
        <v>5790676.8381353132</v>
      </c>
      <c r="AB388" s="193">
        <f>(((E388*'Appendix K'!$C$8*1000)-('Appendix K'!$E$34+'Appendix K'!$F$34+'Appendix K'!$H$34+'Appendix K'!$G$34))/((1+$Y$16)^4))</f>
        <v>8961822.6536992304</v>
      </c>
      <c r="AC388" s="193">
        <f>(((F388*'Appendix K'!$C$9*1000)-('Appendix K'!$E$35+'Appendix K'!$F$35+'Appendix K'!$H$35+'Appendix K'!$G$35))/((1+$Y$16)^AC$34))</f>
        <v>9608695.5508401133</v>
      </c>
      <c r="AD388" s="193">
        <f>(((G388*'Appendix K'!$C$10*1000)-('Appendix K'!$E$36+'Appendix K'!$F$36+'Appendix K'!$H$36+'Appendix K'!$G$36))/((1+$Y$16)^AD$34))</f>
        <v>5280001.2692636307</v>
      </c>
      <c r="AE388" s="193">
        <f>(((H388*'Appendix K'!$C$11*1000)-('Appendix K'!$E$37+'Appendix K'!$F$37+'Appendix K'!$H$37+'Appendix K'!$G$37))/((1+$Y$16)^AE$34))</f>
        <v>3432919.258559519</v>
      </c>
      <c r="AF388" s="193">
        <f>(((I388*'Appendix K'!$C$12*1000)-('Appendix K'!$E$38+'Appendix K'!$F$38+'Appendix K'!$H$38+'Appendix K'!$G$38))/((1+$Y$16)^AF$34))</f>
        <v>946222.3367518516</v>
      </c>
      <c r="AG388" s="193">
        <f>(((J388*'Appendix K'!$C$13*1000)-('Appendix K'!$E$39+'Appendix K'!$F$39+'Appendix K'!$H$39+'Appendix K'!$G$39))/((1+$Y$16)^AG$34))</f>
        <v>579132.29690089612</v>
      </c>
      <c r="AH388" s="193">
        <f>(((K388*'Appendix K'!$C$14*1000)-('Appendix K'!$E$40+'Appendix K'!$F$40+'Appendix K'!$H$40+'Appendix K'!$G$40))/((1+$Y$16)^AH$34))</f>
        <v>-501361.96839977783</v>
      </c>
      <c r="AI388" s="193">
        <f>(((L388*'Appendix K'!$C$15*1000)-('Appendix K'!$E$41+'Appendix K'!$F$41+'Appendix K'!$H$41+'Appendix K'!$G$41))/((1+$Y$16)^AI$34))</f>
        <v>-1004137.1565879037</v>
      </c>
      <c r="AJ388" s="193">
        <f>(((M388*'Appendix K'!$C$16*1000)-('Appendix K'!$E$42+'Appendix K'!$F$42+'Appendix K'!$H$42+'Appendix K'!$G$42))/((1+$Y$16)^AJ$34))</f>
        <v>-981312.13186422759</v>
      </c>
      <c r="AK388" s="193">
        <f>(((N388*'Appendix K'!$C$17*1000)-('Appendix K'!$E$43+'Appendix K'!$F$43+'Appendix K'!$H$43))/((1+$Y$16)^AK$34))</f>
        <v>-668989.47991254798</v>
      </c>
      <c r="AL388" s="193">
        <f>(((O388*'Appendix K'!$C$18*1000)-('Appendix K'!$E$44+'Appendix K'!$F$44+'Appendix K'!$H$44+'Appendix K'!$G$44))/((1+$Y$16)^AL$34))</f>
        <v>-890648.87435313279</v>
      </c>
      <c r="AM388" s="193">
        <f>(((P388*'Appendix K'!$C$19*1000)-('Appendix K'!$E$45+'Appendix K'!$F$45+'Appendix K'!$H$45+'Appendix K'!$G$45))/((1+$Y$16)^AM$34))</f>
        <v>-799274.15872998536</v>
      </c>
      <c r="AN388" s="193">
        <f>(((Q388*'Appendix K'!$C$20*1000)-('Appendix K'!$E$46+'Appendix K'!$F$46+'Appendix K'!$H$46+'Appendix K'!$G$46))/((1+$Y$16)^AN$34))</f>
        <v>-721028.27242882852</v>
      </c>
      <c r="AO388" s="193">
        <f>(((R388*'Appendix K'!$C$21*1000)-('Appendix K'!$E$47+'Appendix K'!$F$47+'Appendix K'!$H$47+'Appendix K'!$G$47))/((1+$Y$16)^AO$34))</f>
        <v>-615138.48771335639</v>
      </c>
      <c r="AP388" s="193">
        <f>(((S388*'Appendix K'!$C$22*1000)-('Appendix K'!$E$48+'Appendix K'!$F$48+'Appendix K'!$H$48+'Appendix K'!$G$48))/((1+$Y$16)^AP$34))</f>
        <v>-646058.32391577971</v>
      </c>
      <c r="AQ388" s="193">
        <f>(((T388*'Appendix K'!$C$23*1000)-('Appendix K'!$E$49+'Appendix K'!$F$49+'Appendix K'!$H$49+'Appendix K'!$G$49))/((1+$Y$16)^AQ$34))</f>
        <v>-535864.82187207276</v>
      </c>
      <c r="AR388" s="193">
        <f>(((U388*'Appendix K'!$C$24*1000)-('Appendix K'!$E$50+'Appendix K'!$F$50+'Appendix K'!$H$50+'Appendix K'!$G$50))/((1+$Y$16)^AR$34))</f>
        <v>-524300.40924637066</v>
      </c>
      <c r="AS388" s="209">
        <f t="shared" si="26"/>
        <v>53422463.572693489</v>
      </c>
      <c r="AU388" s="199">
        <f t="shared" si="25"/>
        <v>5.8627344318806739E-9</v>
      </c>
    </row>
    <row r="389" spans="1:47" x14ac:dyDescent="0.35">
      <c r="A389">
        <v>355</v>
      </c>
      <c r="B389" s="70">
        <v>56</v>
      </c>
      <c r="C389" s="70">
        <v>60.267918592349169</v>
      </c>
      <c r="D389" s="70">
        <v>82.235242708520403</v>
      </c>
      <c r="E389" s="70">
        <v>76.464916101228098</v>
      </c>
      <c r="F389" s="70">
        <v>64.403397928340013</v>
      </c>
      <c r="G389" s="70">
        <v>60.967938265994533</v>
      </c>
      <c r="H389" s="70">
        <v>68.269577901197692</v>
      </c>
      <c r="I389" s="70">
        <v>87.867858678540102</v>
      </c>
      <c r="J389" s="70">
        <v>131.32075760612418</v>
      </c>
      <c r="K389" s="70">
        <v>124.49474719236758</v>
      </c>
      <c r="L389" s="70">
        <v>144.95097378668899</v>
      </c>
      <c r="M389" s="70">
        <v>161.15869557189006</v>
      </c>
      <c r="N389" s="70">
        <v>133.5347571816676</v>
      </c>
      <c r="O389" s="70">
        <v>211.96186610739252</v>
      </c>
      <c r="P389" s="70">
        <v>198.28173922759342</v>
      </c>
      <c r="Q389" s="70">
        <v>203.96074591627814</v>
      </c>
      <c r="R389" s="70">
        <v>159.31515028324014</v>
      </c>
      <c r="S389" s="70">
        <v>218.40112970743624</v>
      </c>
      <c r="T389" s="70">
        <v>267.01533936647581</v>
      </c>
      <c r="U389" s="70">
        <v>339.59542313761705</v>
      </c>
      <c r="V389" s="70">
        <v>336.84514746137762</v>
      </c>
      <c r="X389" s="193">
        <f>((0-('Appendix K'!$I$30))/(1+$Y$16)^0)</f>
        <v>-33594902.4440751</v>
      </c>
      <c r="Y389" s="193">
        <f>(((B389*'Appendix K'!$C$5*1000)-('Appendix K'!$E$31+'Appendix K'!$F$31+'Appendix K'!$H$31+'Appendix K'!$G$31))/((1+$Y$16)^1))</f>
        <v>34971064.972647354</v>
      </c>
      <c r="Z389" s="193">
        <f>+(((C389*'Appendix K'!$C$6*1000)-('Appendix K'!$E$32+'Appendix K'!$F$32+'Appendix K'!$H$32+'Appendix K'!$G$32))/((1+$Y$16)^2))</f>
        <v>11737459.33623112</v>
      </c>
      <c r="AA389" s="193">
        <f>(((D389*'Appendix K'!$C$7*1000)-('Appendix K'!$E$33+'Appendix K'!$F$33+'Appendix K'!$H$33+'Appendix K'!$G$33))/((1+$Y$16)^3))</f>
        <v>7509805.4804438315</v>
      </c>
      <c r="AB389" s="193">
        <f>(((E389*'Appendix K'!$C$8*1000)-('Appendix K'!$E$34+'Appendix K'!$F$34+'Appendix K'!$H$34+'Appendix K'!$G$34))/((1+$Y$16)^4))</f>
        <v>13467201.751600021</v>
      </c>
      <c r="AC389" s="193">
        <f>(((F389*'Appendix K'!$C$9*1000)-('Appendix K'!$E$35+'Appendix K'!$F$35+'Appendix K'!$H$35+'Appendix K'!$G$35))/((1+$Y$16)^AC$34))</f>
        <v>14134093.518710818</v>
      </c>
      <c r="AD389" s="193">
        <f>(((G389*'Appendix K'!$C$10*1000)-('Appendix K'!$E$36+'Appendix K'!$F$36+'Appendix K'!$H$36+'Appendix K'!$G$36))/((1+$Y$16)^AD$34))</f>
        <v>7058882.9633037709</v>
      </c>
      <c r="AE389" s="193">
        <f>(((H389*'Appendix K'!$C$11*1000)-('Appendix K'!$E$37+'Appendix K'!$F$37+'Appendix K'!$H$37+'Appendix K'!$G$37))/((1+$Y$16)^AE$34))</f>
        <v>4589104.8561426727</v>
      </c>
      <c r="AF389" s="193">
        <f>(((I389*'Appendix K'!$C$12*1000)-('Appendix K'!$E$38+'Appendix K'!$F$38+'Appendix K'!$H$38+'Appendix K'!$G$38))/((1+$Y$16)^AF$34))</f>
        <v>3773037.8489111983</v>
      </c>
      <c r="AG389" s="193">
        <f>(((J389*'Appendix K'!$C$13*1000)-('Appendix K'!$E$39+'Appendix K'!$F$39+'Appendix K'!$H$39+'Appendix K'!$G$39))/((1+$Y$16)^AG$34))</f>
        <v>4228297.2172378339</v>
      </c>
      <c r="AH389" s="193">
        <f>(((K389*'Appendix K'!$C$14*1000)-('Appendix K'!$E$40+'Appendix K'!$F$40+'Appendix K'!$H$40+'Appendix K'!$G$40))/((1+$Y$16)^AH$34))</f>
        <v>2563544.3711805902</v>
      </c>
      <c r="AI389" s="193">
        <f>(((L389*'Appendix K'!$C$15*1000)-('Appendix K'!$E$41+'Appendix K'!$F$41+'Appendix K'!$H$41+'Appendix K'!$G$41))/((1+$Y$16)^AI$34))</f>
        <v>2281505.224530349</v>
      </c>
      <c r="AJ389" s="193">
        <f>(((M389*'Appendix K'!$C$16*1000)-('Appendix K'!$E$42+'Appendix K'!$F$42+'Appendix K'!$H$42+'Appendix K'!$G$42))/((1+$Y$16)^AJ$34))</f>
        <v>1848370.1802835211</v>
      </c>
      <c r="AK389" s="193">
        <f>(((N389*'Appendix K'!$C$17*1000)-('Appendix K'!$E$43+'Appendix K'!$F$43+'Appendix K'!$H$43))/((1+$Y$16)^AK$34))</f>
        <v>1047355.7006526764</v>
      </c>
      <c r="AL389" s="193">
        <f>(((O389*'Appendix K'!$C$18*1000)-('Appendix K'!$E$44+'Appendix K'!$F$44+'Appendix K'!$H$44+'Appendix K'!$G$44))/((1+$Y$16)^AL$34))</f>
        <v>1377857.243530469</v>
      </c>
      <c r="AM389" s="193">
        <f>(((P389*'Appendix K'!$C$19*1000)-('Appendix K'!$E$45+'Appendix K'!$F$45+'Appendix K'!$H$45+'Appendix K'!$G$45))/((1+$Y$16)^AM$34))</f>
        <v>811054.31809265923</v>
      </c>
      <c r="AN389" s="193">
        <f>(((Q389*'Appendix K'!$C$20*1000)-('Appendix K'!$E$46+'Appendix K'!$F$46+'Appendix K'!$H$46+'Appendix K'!$G$46))/((1+$Y$16)^AN$34))</f>
        <v>560195.35581203271</v>
      </c>
      <c r="AO389" s="193">
        <f>(((R389*'Appendix K'!$C$21*1000)-('Appendix K'!$E$47+'Appendix K'!$F$47+'Appendix K'!$H$47+'Appendix K'!$G$47))/((1+$Y$16)^AO$34))</f>
        <v>98571.213937159409</v>
      </c>
      <c r="AP389" s="193">
        <f>(((S389*'Appendix K'!$C$22*1000)-('Appendix K'!$E$48+'Appendix K'!$F$48+'Appendix K'!$H$48+'Appendix K'!$G$48))/((1+$Y$16)^AP$34))</f>
        <v>281626.88238843868</v>
      </c>
      <c r="AQ389" s="193">
        <f>(((T389*'Appendix K'!$C$23*1000)-('Appendix K'!$E$49+'Appendix K'!$F$49+'Appendix K'!$H$49+'Appendix K'!$G$49))/((1+$Y$16)^AQ$34))</f>
        <v>351544.0490886097</v>
      </c>
      <c r="AR389" s="193">
        <f>(((U389*'Appendix K'!$C$24*1000)-('Appendix K'!$E$50+'Appendix K'!$F$50+'Appendix K'!$H$50+'Appendix K'!$G$50))/((1+$Y$16)^AR$34))</f>
        <v>464217.90827095212</v>
      </c>
      <c r="AS389" s="209">
        <f t="shared" si="26"/>
        <v>79559887.948920995</v>
      </c>
      <c r="AU389" s="199">
        <f t="shared" si="25"/>
        <v>6.9591831205122785E-9</v>
      </c>
    </row>
    <row r="390" spans="1:47" x14ac:dyDescent="0.35">
      <c r="A390">
        <v>356</v>
      </c>
      <c r="B390" s="70">
        <v>56</v>
      </c>
      <c r="C390" s="70">
        <v>70.351679063658722</v>
      </c>
      <c r="D390" s="70">
        <v>32.855796753866542</v>
      </c>
      <c r="E390" s="70">
        <v>36.763495252351163</v>
      </c>
      <c r="F390" s="70">
        <v>52.543438702445769</v>
      </c>
      <c r="G390" s="70">
        <v>68.490358217790359</v>
      </c>
      <c r="H390" s="70">
        <v>52.494199035096415</v>
      </c>
      <c r="I390" s="70">
        <v>62.511841105143006</v>
      </c>
      <c r="J390" s="70">
        <v>82.108232459317023</v>
      </c>
      <c r="K390" s="70">
        <v>111.79407219909055</v>
      </c>
      <c r="L390" s="70">
        <v>58.252375945411053</v>
      </c>
      <c r="M390" s="70">
        <v>70.005072564996794</v>
      </c>
      <c r="N390" s="70">
        <v>97.988622366306146</v>
      </c>
      <c r="O390" s="70">
        <v>118.57630792499016</v>
      </c>
      <c r="P390" s="70">
        <v>184.33820235030544</v>
      </c>
      <c r="Q390" s="70">
        <v>216.43316114564374</v>
      </c>
      <c r="R390" s="70">
        <v>283.30850966327353</v>
      </c>
      <c r="S390" s="70">
        <v>316.96874700782473</v>
      </c>
      <c r="T390" s="70">
        <v>288.59972100560395</v>
      </c>
      <c r="U390" s="70">
        <v>363.55794704143386</v>
      </c>
      <c r="V390" s="70">
        <v>331.06290591142408</v>
      </c>
      <c r="X390" s="193">
        <f>((0-('Appendix K'!$I$30))/(1+$Y$16)^0)</f>
        <v>-33594902.4440751</v>
      </c>
      <c r="Y390" s="193">
        <f>(((B390*'Appendix K'!$C$5*1000)-('Appendix K'!$E$31+'Appendix K'!$F$31+'Appendix K'!$H$31+'Appendix K'!$G$31))/((1+$Y$16)^1))</f>
        <v>34971064.972647354</v>
      </c>
      <c r="Z390" s="193">
        <f>+(((C390*'Appendix K'!$C$6*1000)-('Appendix K'!$E$32+'Appendix K'!$F$32+'Appendix K'!$H$32+'Appendix K'!$G$32))/((1+$Y$16)^2))</f>
        <v>14284789.695090508</v>
      </c>
      <c r="AA390" s="193">
        <f>(((D390*'Appendix K'!$C$7*1000)-('Appendix K'!$E$33+'Appendix K'!$F$33+'Appendix K'!$H$33+'Appendix K'!$G$33))/((1+$Y$16)^3))</f>
        <v>1220104.8548381221</v>
      </c>
      <c r="AB390" s="193">
        <f>(((E390*'Appendix K'!$C$8*1000)-('Appendix K'!$E$34+'Appendix K'!$F$34+'Appendix K'!$H$34+'Appendix K'!$G$34))/((1+$Y$16)^4))</f>
        <v>4765013.73305366</v>
      </c>
      <c r="AC390" s="193">
        <f>(((F390*'Appendix K'!$C$9*1000)-('Appendix K'!$E$35+'Appendix K'!$F$35+'Appendix K'!$H$35+'Appendix K'!$G$35))/((1+$Y$16)^AC$34))</f>
        <v>10981734.979946095</v>
      </c>
      <c r="AD390" s="193">
        <f>(((G390*'Appendix K'!$C$10*1000)-('Appendix K'!$E$36+'Appendix K'!$F$36+'Appendix K'!$H$36+'Appendix K'!$G$36))/((1+$Y$16)^AD$34))</f>
        <v>8240233.5174989784</v>
      </c>
      <c r="AE390" s="193">
        <f>(((H390*'Appendix K'!$C$11*1000)-('Appendix K'!$E$37+'Appendix K'!$F$37+'Appendix K'!$H$37+'Appendix K'!$G$37))/((1+$Y$16)^AE$34))</f>
        <v>3015705.9740405632</v>
      </c>
      <c r="AF390" s="193">
        <f>(((I390*'Appendix K'!$C$12*1000)-('Appendix K'!$E$38+'Appendix K'!$F$38+'Appendix K'!$H$38+'Appendix K'!$G$38))/((1+$Y$16)^AF$34))</f>
        <v>2108100.1949974331</v>
      </c>
      <c r="AG390" s="193">
        <f>(((J390*'Appendix K'!$C$13*1000)-('Appendix K'!$E$39+'Appendix K'!$F$39+'Appendix K'!$H$39+'Appendix K'!$G$39))/((1+$Y$16)^AG$34))</f>
        <v>1963589.341311401</v>
      </c>
      <c r="AH390" s="193">
        <f>(((K390*'Appendix K'!$C$14*1000)-('Appendix K'!$E$40+'Appendix K'!$F$40+'Appendix K'!$H$40+'Appendix K'!$G$40))/((1+$Y$16)^AH$34))</f>
        <v>2135448.7296984666</v>
      </c>
      <c r="AI390" s="193">
        <f>(((L390*'Appendix K'!$C$15*1000)-('Appendix K'!$E$41+'Appendix K'!$F$41+'Appendix K'!$H$41+'Appendix K'!$G$41))/((1+$Y$16)^AI$34))</f>
        <v>9839.833915910358</v>
      </c>
      <c r="AJ390" s="193">
        <f>(((M390*'Appendix K'!$C$16*1000)-('Appendix K'!$E$42+'Appendix K'!$F$42+'Appendix K'!$H$42+'Appendix K'!$G$42))/((1+$Y$16)^AJ$34))</f>
        <v>21481.393421359509</v>
      </c>
      <c r="AK390" s="193">
        <f>(((N390*'Appendix K'!$C$17*1000)-('Appendix K'!$E$43+'Appendix K'!$F$43+'Appendix K'!$H$43))/((1+$Y$16)^AK$34))</f>
        <v>501228.53015685588</v>
      </c>
      <c r="AL390" s="193">
        <f>(((O390*'Appendix K'!$C$18*1000)-('Appendix K'!$E$44+'Appendix K'!$F$44+'Appendix K'!$H$44+'Appendix K'!$G$44))/((1+$Y$16)^AL$34))</f>
        <v>270930.74349541694</v>
      </c>
      <c r="AM390" s="193">
        <f>(((P390*'Appendix K'!$C$19*1000)-('Appendix K'!$E$45+'Appendix K'!$F$45+'Appendix K'!$H$45+'Appendix K'!$G$45))/((1+$Y$16)^AM$34))</f>
        <v>681815.41454141482</v>
      </c>
      <c r="AN390" s="193">
        <f>(((Q390*'Appendix K'!$C$20*1000)-('Appendix K'!$E$46+'Appendix K'!$F$46+'Appendix K'!$H$46+'Appendix K'!$G$46))/((1+$Y$16)^AN$34))</f>
        <v>650448.45756489923</v>
      </c>
      <c r="AO390" s="193">
        <f>(((R390*'Appendix K'!$C$21*1000)-('Appendix K'!$E$47+'Appendix K'!$F$47+'Appendix K'!$H$47+'Appendix K'!$G$47))/((1+$Y$16)^AO$34))</f>
        <v>831385.66666448989</v>
      </c>
      <c r="AP390" s="193">
        <f>(((S390*'Appendix K'!$C$22*1000)-('Appendix K'!$E$48+'Appendix K'!$F$48+'Appendix K'!$H$48+'Appendix K'!$G$48))/((1+$Y$16)^AP$34))</f>
        <v>753738.1054358884</v>
      </c>
      <c r="AQ390" s="193">
        <f>(((T390*'Appendix K'!$C$23*1000)-('Appendix K'!$E$49+'Appendix K'!$F$49+'Appendix K'!$H$49+'Appendix K'!$G$49))/((1+$Y$16)^AQ$34))</f>
        <v>436019.79308074364</v>
      </c>
      <c r="AR390" s="193">
        <f>(((U390*'Appendix K'!$C$24*1000)-('Appendix K'!$E$50+'Appendix K'!$F$50+'Appendix K'!$H$50+'Appendix K'!$G$50))/((1+$Y$16)^AR$34))</f>
        <v>541377.90664381045</v>
      </c>
      <c r="AS390" s="209">
        <f t="shared" si="26"/>
        <v>54789149.393968292</v>
      </c>
      <c r="AU390" s="199">
        <f t="shared" si="25"/>
        <v>5.9466999511136338E-9</v>
      </c>
    </row>
    <row r="391" spans="1:47" x14ac:dyDescent="0.35">
      <c r="A391">
        <v>357</v>
      </c>
      <c r="B391" s="70">
        <v>56</v>
      </c>
      <c r="C391" s="70">
        <v>55.187128579465174</v>
      </c>
      <c r="D391" s="70">
        <v>69.587434352626076</v>
      </c>
      <c r="E391" s="70">
        <v>87.084642808682929</v>
      </c>
      <c r="F391" s="70">
        <v>69.366465183494995</v>
      </c>
      <c r="G391" s="70">
        <v>80.204248816885723</v>
      </c>
      <c r="H391" s="70">
        <v>133.39791875491352</v>
      </c>
      <c r="I391" s="70">
        <v>68.787354179710604</v>
      </c>
      <c r="J391" s="70">
        <v>61.007773399570084</v>
      </c>
      <c r="K391" s="70">
        <v>59.972337082279608</v>
      </c>
      <c r="L391" s="70">
        <v>78.629690051666842</v>
      </c>
      <c r="M391" s="70">
        <v>117.59569708895336</v>
      </c>
      <c r="N391" s="70">
        <v>112.07599973665343</v>
      </c>
      <c r="O391" s="70">
        <v>76.088489884113159</v>
      </c>
      <c r="P391" s="70">
        <v>62.06274165657657</v>
      </c>
      <c r="Q391" s="70">
        <v>113.0114031855189</v>
      </c>
      <c r="R391" s="70">
        <v>163.16715758241571</v>
      </c>
      <c r="S391" s="70">
        <v>137.5689817864239</v>
      </c>
      <c r="T391" s="70">
        <v>121.90011845465695</v>
      </c>
      <c r="U391" s="70">
        <v>135.50144820599823</v>
      </c>
      <c r="V391" s="70">
        <v>110.46661784785834</v>
      </c>
      <c r="X391" s="193">
        <f>((0-('Appendix K'!$I$30))/(1+$Y$16)^0)</f>
        <v>-33594902.4440751</v>
      </c>
      <c r="Y391" s="193">
        <f>(((B391*'Appendix K'!$C$5*1000)-('Appendix K'!$E$31+'Appendix K'!$F$31+'Appendix K'!$H$31+'Appendix K'!$G$31))/((1+$Y$16)^1))</f>
        <v>34971064.972647354</v>
      </c>
      <c r="Z391" s="193">
        <f>+(((C391*'Appendix K'!$C$6*1000)-('Appendix K'!$E$32+'Appendix K'!$F$32+'Appendix K'!$H$32+'Appendix K'!$G$32))/((1+$Y$16)^2))</f>
        <v>10453964.88159458</v>
      </c>
      <c r="AA391" s="193">
        <f>(((D391*'Appendix K'!$C$7*1000)-('Appendix K'!$E$33+'Appendix K'!$F$33+'Appendix K'!$H$33+'Appendix K'!$G$33))/((1+$Y$16)^3))</f>
        <v>5898792.5054974761</v>
      </c>
      <c r="AB391" s="193">
        <f>(((E391*'Appendix K'!$C$8*1000)-('Appendix K'!$E$34+'Appendix K'!$F$34+'Appendix K'!$H$34+'Appendix K'!$G$34))/((1+$Y$16)^4))</f>
        <v>15794948.631633021</v>
      </c>
      <c r="AC391" s="193">
        <f>(((F391*'Appendix K'!$C$9*1000)-('Appendix K'!$E$35+'Appendix K'!$F$35+'Appendix K'!$H$35+'Appendix K'!$G$35))/((1+$Y$16)^AC$34))</f>
        <v>15453269.001716893</v>
      </c>
      <c r="AD391" s="193">
        <f>(((G391*'Appendix K'!$C$10*1000)-('Appendix K'!$E$36+'Appendix K'!$F$36+'Appendix K'!$H$36+'Appendix K'!$G$36))/((1+$Y$16)^AD$34))</f>
        <v>10079829.184810767</v>
      </c>
      <c r="AE391" s="193">
        <f>(((H391*'Appendix K'!$C$11*1000)-('Appendix K'!$E$37+'Appendix K'!$F$37+'Appendix K'!$H$37+'Appendix K'!$G$37))/((1+$Y$16)^AE$34))</f>
        <v>11084851.142946543</v>
      </c>
      <c r="AF391" s="193">
        <f>(((I391*'Appendix K'!$C$12*1000)-('Appendix K'!$E$38+'Appendix K'!$F$38+'Appendix K'!$H$38+'Appendix K'!$G$38))/((1+$Y$16)^AF$34))</f>
        <v>2520165.6143887611</v>
      </c>
      <c r="AG391" s="193">
        <f>(((J391*'Appendix K'!$C$13*1000)-('Appendix K'!$E$39+'Appendix K'!$F$39+'Appendix K'!$H$39+'Appendix K'!$G$39))/((1+$Y$16)^AG$34))</f>
        <v>992568.73881804477</v>
      </c>
      <c r="AH391" s="193">
        <f>(((K391*'Appendix K'!$C$14*1000)-('Appendix K'!$E$40+'Appendix K'!$F$40+'Appendix K'!$H$40+'Appendix K'!$G$40))/((1+$Y$16)^AH$34))</f>
        <v>388718.02843329334</v>
      </c>
      <c r="AI391" s="193">
        <f>(((L391*'Appendix K'!$C$15*1000)-('Appendix K'!$E$41+'Appendix K'!$F$41+'Appendix K'!$H$41+'Appendix K'!$G$41))/((1+$Y$16)^AI$34))</f>
        <v>543763.56926404277</v>
      </c>
      <c r="AJ391" s="193">
        <f>(((M391*'Appendix K'!$C$16*1000)-('Appendix K'!$E$42+'Appendix K'!$F$42+'Appendix K'!$H$42+'Appendix K'!$G$42))/((1+$Y$16)^AJ$34))</f>
        <v>975286.3595279596</v>
      </c>
      <c r="AK391" s="193">
        <f>(((N391*'Appendix K'!$C$17*1000)-('Appendix K'!$E$43+'Appendix K'!$F$43+'Appendix K'!$H$43))/((1+$Y$16)^AK$34))</f>
        <v>717665.5515921606</v>
      </c>
      <c r="AL391" s="193">
        <f>(((O391*'Appendix K'!$C$18*1000)-('Appendix K'!$E$44+'Appendix K'!$F$44+'Appendix K'!$H$44+'Appendix K'!$G$44))/((1+$Y$16)^AL$34))</f>
        <v>-232689.86587388735</v>
      </c>
      <c r="AM391" s="193">
        <f>(((P391*'Appendix K'!$C$19*1000)-('Appendix K'!$E$45+'Appendix K'!$F$45+'Appendix K'!$H$45+'Appendix K'!$G$45))/((1+$Y$16)^AM$34))</f>
        <v>-451523.03540532815</v>
      </c>
      <c r="AN391" s="193">
        <f>(((Q391*'Appendix K'!$C$20*1000)-('Appendix K'!$E$46+'Appendix K'!$F$46+'Appendix K'!$H$46+'Appendix K'!$G$46))/((1+$Y$16)^AN$34))</f>
        <v>-97933.814271176845</v>
      </c>
      <c r="AO391" s="193">
        <f>(((R391*'Appendix K'!$C$21*1000)-('Appendix K'!$E$47+'Appendix K'!$F$47+'Appendix K'!$H$47+'Appendix K'!$G$47))/((1+$Y$16)^AO$34))</f>
        <v>121337.00264520834</v>
      </c>
      <c r="AP391" s="193">
        <f>(((S391*'Appendix K'!$C$22*1000)-('Appendix K'!$E$48+'Appendix K'!$F$48+'Appendix K'!$H$48+'Appendix K'!$G$48))/((1+$Y$16)^AP$34))</f>
        <v>-105536.41993875588</v>
      </c>
      <c r="AQ391" s="193">
        <f>(((T391*'Appendix K'!$C$23*1000)-('Appendix K'!$E$49+'Appendix K'!$F$49+'Appendix K'!$H$49+'Appendix K'!$G$49))/((1+$Y$16)^AQ$34))</f>
        <v>-216399.7751109298</v>
      </c>
      <c r="AR391" s="193">
        <f>(((U391*'Appendix K'!$C$24*1000)-('Appendix K'!$E$50+'Appendix K'!$F$50+'Appendix K'!$H$50+'Appendix K'!$G$50))/((1+$Y$16)^AR$34))</f>
        <v>-192970.40948907909</v>
      </c>
      <c r="AS391" s="209">
        <f t="shared" si="26"/>
        <v>76401322.741441011</v>
      </c>
      <c r="AU391" s="199">
        <f t="shared" si="25"/>
        <v>6.8937249629765973E-9</v>
      </c>
    </row>
    <row r="392" spans="1:47" x14ac:dyDescent="0.35">
      <c r="A392">
        <v>358</v>
      </c>
      <c r="B392" s="70">
        <v>56</v>
      </c>
      <c r="C392" s="70">
        <v>78.956124106311819</v>
      </c>
      <c r="D392" s="70">
        <v>92.513430445320665</v>
      </c>
      <c r="E392" s="70">
        <v>85.338009005638</v>
      </c>
      <c r="F392" s="70">
        <v>114.36965201051669</v>
      </c>
      <c r="G392" s="70">
        <v>108.99264640965934</v>
      </c>
      <c r="H392" s="70">
        <v>89.559959133814345</v>
      </c>
      <c r="I392" s="70">
        <v>126.84355492867968</v>
      </c>
      <c r="J392" s="70">
        <v>99.154969794632819</v>
      </c>
      <c r="K392" s="70">
        <v>134.52203197793872</v>
      </c>
      <c r="L392" s="70">
        <v>166.9087544559348</v>
      </c>
      <c r="M392" s="70">
        <v>233.22543384813326</v>
      </c>
      <c r="N392" s="70">
        <v>213.58354458198733</v>
      </c>
      <c r="O392" s="70">
        <v>155.19786932901951</v>
      </c>
      <c r="P392" s="70">
        <v>213.16837676197258</v>
      </c>
      <c r="Q392" s="70">
        <v>241.67787504353953</v>
      </c>
      <c r="R392" s="70">
        <v>239.59014183436986</v>
      </c>
      <c r="S392" s="70">
        <v>226.38651111220582</v>
      </c>
      <c r="T392" s="70">
        <v>265.97298960763334</v>
      </c>
      <c r="U392" s="70">
        <v>245.90530932659385</v>
      </c>
      <c r="V392" s="70">
        <v>221.79200507213352</v>
      </c>
      <c r="X392" s="193">
        <f>((0-('Appendix K'!$I$30))/(1+$Y$16)^0)</f>
        <v>-33594902.4440751</v>
      </c>
      <c r="Y392" s="193">
        <f>(((B392*'Appendix K'!$C$5*1000)-('Appendix K'!$E$31+'Appendix K'!$F$31+'Appendix K'!$H$31+'Appendix K'!$G$31))/((1+$Y$16)^1))</f>
        <v>34971064.972647354</v>
      </c>
      <c r="Z392" s="193">
        <f>+(((C392*'Appendix K'!$C$6*1000)-('Appendix K'!$E$32+'Appendix K'!$F$32+'Appendix K'!$H$32+'Appendix K'!$G$32))/((1+$Y$16)^2))</f>
        <v>16458419.675755935</v>
      </c>
      <c r="AA392" s="193">
        <f>(((D392*'Appendix K'!$C$7*1000)-('Appendix K'!$E$33+'Appendix K'!$F$33+'Appendix K'!$H$33+'Appendix K'!$G$33))/((1+$Y$16)^3))</f>
        <v>8818988.331495095</v>
      </c>
      <c r="AB392" s="193">
        <f>(((E392*'Appendix K'!$C$8*1000)-('Appendix K'!$E$34+'Appendix K'!$F$34+'Appendix K'!$H$34+'Appendix K'!$G$34))/((1+$Y$16)^4))</f>
        <v>15412102.490899103</v>
      </c>
      <c r="AC392" s="193">
        <f>(((F392*'Appendix K'!$C$9*1000)-('Appendix K'!$E$35+'Appendix K'!$F$35+'Appendix K'!$H$35+'Appendix K'!$G$35))/((1+$Y$16)^AC$34))</f>
        <v>27415045.392654624</v>
      </c>
      <c r="AD392" s="193">
        <f>(((G392*'Appendix K'!$C$10*1000)-('Appendix K'!$E$36+'Appendix K'!$F$36+'Appendix K'!$H$36+'Appendix K'!$G$36))/((1+$Y$16)^AD$34))</f>
        <v>14600872.900602799</v>
      </c>
      <c r="AE392" s="193">
        <f>(((H392*'Appendix K'!$C$11*1000)-('Appendix K'!$E$37+'Appendix K'!$F$37+'Appendix K'!$H$37+'Appendix K'!$G$37))/((1+$Y$16)^AE$34))</f>
        <v>6712556.9973086175</v>
      </c>
      <c r="AF392" s="193">
        <f>(((I392*'Appendix K'!$C$12*1000)-('Appendix K'!$E$38+'Appendix K'!$F$38+'Appendix K'!$H$38+'Appendix K'!$G$38))/((1+$Y$16)^AF$34))</f>
        <v>6332276.660231716</v>
      </c>
      <c r="AG392" s="193">
        <f>(((J392*'Appendix K'!$C$13*1000)-('Appendix K'!$E$39+'Appendix K'!$F$39+'Appendix K'!$H$39+'Appendix K'!$G$39))/((1+$Y$16)^AG$34))</f>
        <v>2748061.9971438874</v>
      </c>
      <c r="AH392" s="193">
        <f>(((K392*'Appendix K'!$C$14*1000)-('Appendix K'!$E$40+'Appendix K'!$F$40+'Appendix K'!$H$40+'Appendix K'!$G$40))/((1+$Y$16)^AH$34))</f>
        <v>2901529.3140970315</v>
      </c>
      <c r="AI392" s="193">
        <f>(((L392*'Appendix K'!$C$15*1000)-('Appendix K'!$E$41+'Appendix K'!$F$41+'Appendix K'!$H$41+'Appendix K'!$G$41))/((1+$Y$16)^AI$34))</f>
        <v>2856840.1393157844</v>
      </c>
      <c r="AJ392" s="193">
        <f>(((M392*'Appendix K'!$C$16*1000)-('Appendix K'!$E$42+'Appendix K'!$F$42+'Appendix K'!$H$42+'Appendix K'!$G$42))/((1+$Y$16)^AJ$34))</f>
        <v>3292722.1623505699</v>
      </c>
      <c r="AK392" s="193">
        <f>(((N392*'Appendix K'!$C$17*1000)-('Appendix K'!$E$43+'Appendix K'!$F$43+'Appendix K'!$H$43))/((1+$Y$16)^AK$34))</f>
        <v>2277217.0622785711</v>
      </c>
      <c r="AL392" s="193">
        <f>(((O392*'Appendix K'!$C$18*1000)-('Appendix K'!$E$44+'Appendix K'!$F$44+'Appendix K'!$H$44+'Appendix K'!$G$44))/((1+$Y$16)^AL$34))</f>
        <v>705016.88678967906</v>
      </c>
      <c r="AM392" s="193">
        <f>(((P392*'Appendix K'!$C$19*1000)-('Appendix K'!$E$45+'Appendix K'!$F$45+'Appendix K'!$H$45+'Appendix K'!$G$45))/((1+$Y$16)^AM$34))</f>
        <v>949034.56868759799</v>
      </c>
      <c r="AN392" s="193">
        <f>(((Q392*'Appendix K'!$C$20*1000)-('Appendix K'!$E$46+'Appendix K'!$F$46+'Appendix K'!$H$46+'Appendix K'!$G$46))/((1+$Y$16)^AN$34))</f>
        <v>833124.68267841241</v>
      </c>
      <c r="AO392" s="193">
        <f>(((R392*'Appendix K'!$C$21*1000)-('Appendix K'!$E$47+'Appendix K'!$F$47+'Appendix K'!$H$47+'Appendix K'!$G$47))/((1+$Y$16)^AO$34))</f>
        <v>573005.28278863255</v>
      </c>
      <c r="AP392" s="193">
        <f>(((S392*'Appendix K'!$C$22*1000)-('Appendix K'!$E$48+'Appendix K'!$F$48+'Appendix K'!$H$48+'Appendix K'!$G$48))/((1+$Y$16)^AP$34))</f>
        <v>319874.61815359292</v>
      </c>
      <c r="AQ392" s="193">
        <f>(((T392*'Appendix K'!$C$23*1000)-('Appendix K'!$E$49+'Appendix K'!$F$49+'Appendix K'!$H$49+'Appendix K'!$G$49))/((1+$Y$16)^AQ$34))</f>
        <v>347464.55898088211</v>
      </c>
      <c r="AR392" s="193">
        <f>(((U392*'Appendix K'!$C$24*1000)-('Appendix K'!$E$50+'Appendix K'!$F$50+'Appendix K'!$H$50+'Appendix K'!$G$50))/((1+$Y$16)^AR$34))</f>
        <v>162533.11670940925</v>
      </c>
      <c r="AS392" s="209">
        <f t="shared" si="26"/>
        <v>115092849.36749417</v>
      </c>
      <c r="AU392" s="199">
        <f t="shared" si="25"/>
        <v>6.2522534339212708E-9</v>
      </c>
    </row>
    <row r="393" spans="1:47" x14ac:dyDescent="0.35">
      <c r="A393">
        <v>359</v>
      </c>
      <c r="B393" s="70">
        <v>56</v>
      </c>
      <c r="C393" s="70">
        <v>56.065519760723575</v>
      </c>
      <c r="D393" s="70">
        <v>53.966755620366676</v>
      </c>
      <c r="E393" s="70">
        <v>59.302277827920555</v>
      </c>
      <c r="F393" s="70">
        <v>51.700925725476182</v>
      </c>
      <c r="G393" s="70">
        <v>47.478722526522738</v>
      </c>
      <c r="H393" s="70">
        <v>38.30624837588271</v>
      </c>
      <c r="I393" s="70">
        <v>57.081609446923068</v>
      </c>
      <c r="J393" s="70">
        <v>65.514881889451758</v>
      </c>
      <c r="K393" s="70">
        <v>90.077329303786982</v>
      </c>
      <c r="L393" s="70">
        <v>121.25018450809277</v>
      </c>
      <c r="M393" s="70">
        <v>107.24210632250877</v>
      </c>
      <c r="N393" s="70">
        <v>202.9987905250386</v>
      </c>
      <c r="O393" s="70">
        <v>225.92506056766126</v>
      </c>
      <c r="P393" s="70">
        <v>202.27733243552808</v>
      </c>
      <c r="Q393" s="70">
        <v>264.66841218671527</v>
      </c>
      <c r="R393" s="70">
        <v>362.38511327489351</v>
      </c>
      <c r="S393" s="70">
        <v>404.3107547795808</v>
      </c>
      <c r="T393" s="70">
        <v>412.20205444114345</v>
      </c>
      <c r="U393" s="70">
        <v>322.57301386607219</v>
      </c>
      <c r="V393" s="70">
        <v>330.35199638128711</v>
      </c>
      <c r="X393" s="193">
        <f>((0-('Appendix K'!$I$30))/(1+$Y$16)^0)</f>
        <v>-33594902.4440751</v>
      </c>
      <c r="Y393" s="193">
        <f>(((B393*'Appendix K'!$C$5*1000)-('Appendix K'!$E$31+'Appendix K'!$F$31+'Appendix K'!$H$31+'Appendix K'!$G$31))/((1+$Y$16)^1))</f>
        <v>34971064.972647354</v>
      </c>
      <c r="Z393" s="193">
        <f>+(((C393*'Appendix K'!$C$6*1000)-('Appendix K'!$E$32+'Appendix K'!$F$32+'Appendix K'!$H$32+'Appendix K'!$G$32))/((1+$Y$16)^2))</f>
        <v>10675861.517213821</v>
      </c>
      <c r="AA393" s="193">
        <f>(((D393*'Appendix K'!$C$7*1000)-('Appendix K'!$E$33+'Appendix K'!$F$33+'Appendix K'!$H$33+'Appendix K'!$G$33))/((1+$Y$16)^3))</f>
        <v>3909110.5458233603</v>
      </c>
      <c r="AB393" s="193">
        <f>(((E393*'Appendix K'!$C$8*1000)-('Appendix K'!$E$34+'Appendix K'!$F$34+'Appendix K'!$H$34+'Appendix K'!$G$34))/((1+$Y$16)^4))</f>
        <v>9705308.5509226229</v>
      </c>
      <c r="AC393" s="193">
        <f>(((F393*'Appendix K'!$C$9*1000)-('Appendix K'!$E$35+'Appendix K'!$F$35+'Appendix K'!$H$35+'Appendix K'!$G$35))/((1+$Y$16)^AC$34))</f>
        <v>10757796.353650361</v>
      </c>
      <c r="AD393" s="193">
        <f>(((G393*'Appendix K'!$C$10*1000)-('Appendix K'!$E$36+'Appendix K'!$F$36+'Appendix K'!$H$36+'Appendix K'!$G$36))/((1+$Y$16)^AD$34))</f>
        <v>4940483.2207210073</v>
      </c>
      <c r="AE393" s="193">
        <f>(((H393*'Appendix K'!$C$11*1000)-('Appendix K'!$E$37+'Appendix K'!$F$37+'Appendix K'!$H$37+'Appendix K'!$G$37))/((1+$Y$16)^AE$34))</f>
        <v>1600633.4172415705</v>
      </c>
      <c r="AF393" s="193">
        <f>(((I393*'Appendix K'!$C$12*1000)-('Appendix K'!$E$38+'Appendix K'!$F$38+'Appendix K'!$H$38+'Appendix K'!$G$38))/((1+$Y$16)^AF$34))</f>
        <v>1751538.0049344897</v>
      </c>
      <c r="AG393" s="193">
        <f>(((J393*'Appendix K'!$C$13*1000)-('Appendix K'!$E$39+'Appendix K'!$F$39+'Appendix K'!$H$39+'Appendix K'!$G$39))/((1+$Y$16)^AG$34))</f>
        <v>1199981.0604625915</v>
      </c>
      <c r="AH393" s="193">
        <f>(((K393*'Appendix K'!$C$14*1000)-('Appendix K'!$E$40+'Appendix K'!$F$40+'Appendix K'!$H$40+'Appendix K'!$G$40))/((1+$Y$16)^AH$34))</f>
        <v>1403452.7542413746</v>
      </c>
      <c r="AI393" s="193">
        <f>(((L393*'Appendix K'!$C$15*1000)-('Appendix K'!$E$41+'Appendix K'!$F$41+'Appendix K'!$H$41+'Appendix K'!$G$41))/((1+$Y$16)^AI$34))</f>
        <v>1660500.22473785</v>
      </c>
      <c r="AJ393" s="193">
        <f>(((M393*'Appendix K'!$C$16*1000)-('Appendix K'!$E$42+'Appendix K'!$F$42+'Appendix K'!$H$42+'Appendix K'!$G$42))/((1+$Y$16)^AJ$34))</f>
        <v>767781.07064276829</v>
      </c>
      <c r="AK393" s="193">
        <f>(((N393*'Appendix K'!$C$17*1000)-('Appendix K'!$E$43+'Appendix K'!$F$43+'Appendix K'!$H$43))/((1+$Y$16)^AK$34))</f>
        <v>2114593.9862805181</v>
      </c>
      <c r="AL393" s="193">
        <f>(((O393*'Appendix K'!$C$18*1000)-('Appendix K'!$E$44+'Appendix K'!$F$44+'Appendix K'!$H$44+'Appendix K'!$G$44))/((1+$Y$16)^AL$34))</f>
        <v>1543367.0961676906</v>
      </c>
      <c r="AM393" s="193">
        <f>(((P393*'Appendix K'!$C$19*1000)-('Appendix K'!$E$45+'Appendix K'!$F$45+'Appendix K'!$H$45+'Appendix K'!$G$45))/((1+$Y$16)^AM$34))</f>
        <v>848088.39988803177</v>
      </c>
      <c r="AN393" s="193">
        <f>(((Q393*'Appendix K'!$C$20*1000)-('Appendix K'!$E$46+'Appendix K'!$F$46+'Appendix K'!$H$46+'Appendix K'!$G$46))/((1+$Y$16)^AN$34))</f>
        <v>999489.19588438002</v>
      </c>
      <c r="AO393" s="193">
        <f>(((R393*'Appendix K'!$C$21*1000)-('Appendix K'!$E$47+'Appendix K'!$F$47+'Appendix K'!$H$47+'Appendix K'!$G$47))/((1+$Y$16)^AO$34))</f>
        <v>1298737.1303955128</v>
      </c>
      <c r="AP393" s="193">
        <f>(((S393*'Appendix K'!$C$22*1000)-('Appendix K'!$E$48+'Appendix K'!$F$48+'Appendix K'!$H$48+'Appendix K'!$G$48))/((1+$Y$16)^AP$34))</f>
        <v>1172081.809401847</v>
      </c>
      <c r="AQ393" s="193">
        <f>(((T393*'Appendix K'!$C$23*1000)-('Appendix K'!$E$49+'Appendix K'!$F$49+'Appendix K'!$H$49+'Appendix K'!$G$49))/((1+$Y$16)^AQ$34))</f>
        <v>919767.68313856423</v>
      </c>
      <c r="AR393" s="193">
        <f>(((U393*'Appendix K'!$C$24*1000)-('Appendix K'!$E$50+'Appendix K'!$F$50+'Appendix K'!$H$50+'Appendix K'!$G$50))/((1+$Y$16)^AR$34))</f>
        <v>409405.27346809977</v>
      </c>
      <c r="AS393" s="209">
        <f t="shared" si="26"/>
        <v>59054139.823788725</v>
      </c>
      <c r="AU393" s="199">
        <f t="shared" si="25"/>
        <v>6.1934026751986037E-9</v>
      </c>
    </row>
    <row r="394" spans="1:47" x14ac:dyDescent="0.35">
      <c r="A394">
        <v>360</v>
      </c>
      <c r="B394" s="70">
        <v>56</v>
      </c>
      <c r="C394" s="70">
        <v>53.889480308235918</v>
      </c>
      <c r="D394" s="70">
        <v>66.485002549434938</v>
      </c>
      <c r="E394" s="70">
        <v>78.004901813514095</v>
      </c>
      <c r="F394" s="70">
        <v>82.382839178778326</v>
      </c>
      <c r="G394" s="70">
        <v>119.25135628401779</v>
      </c>
      <c r="H394" s="70">
        <v>165.55916895129386</v>
      </c>
      <c r="I394" s="70">
        <v>188.72591828963414</v>
      </c>
      <c r="J394" s="70">
        <v>234.69798655286405</v>
      </c>
      <c r="K394" s="70">
        <v>232.95285845656289</v>
      </c>
      <c r="L394" s="70">
        <v>331.4038302878547</v>
      </c>
      <c r="M394" s="70">
        <v>319.4424778820657</v>
      </c>
      <c r="N394" s="70">
        <v>392.58920574381045</v>
      </c>
      <c r="O394" s="70">
        <v>500</v>
      </c>
      <c r="P394" s="70">
        <v>499.53253183192322</v>
      </c>
      <c r="Q394" s="70">
        <v>500</v>
      </c>
      <c r="R394" s="70">
        <v>399.44663191481902</v>
      </c>
      <c r="S394" s="70">
        <v>500</v>
      </c>
      <c r="T394" s="70">
        <v>391.99053965516043</v>
      </c>
      <c r="U394" s="70">
        <v>500</v>
      </c>
      <c r="V394" s="70">
        <v>301.82214379955599</v>
      </c>
      <c r="X394" s="193">
        <f>((0-('Appendix K'!$I$30))/(1+$Y$16)^0)</f>
        <v>-33594902.4440751</v>
      </c>
      <c r="Y394" s="193">
        <f>(((B394*'Appendix K'!$C$5*1000)-('Appendix K'!$E$31+'Appendix K'!$F$31+'Appendix K'!$H$31+'Appendix K'!$G$31))/((1+$Y$16)^1))</f>
        <v>34971064.972647354</v>
      </c>
      <c r="Z394" s="193">
        <f>+(((C394*'Appendix K'!$C$6*1000)-('Appendix K'!$E$32+'Appendix K'!$F$32+'Appendix K'!$H$32+'Appendix K'!$G$32))/((1+$Y$16)^2))</f>
        <v>10126156.734442666</v>
      </c>
      <c r="AA394" s="193">
        <f>(((D394*'Appendix K'!$C$7*1000)-('Appendix K'!$E$33+'Appendix K'!$F$33+'Appendix K'!$H$33+'Appendix K'!$G$33))/((1+$Y$16)^3))</f>
        <v>5503620.650565166</v>
      </c>
      <c r="AB394" s="193">
        <f>(((E394*'Appendix K'!$C$8*1000)-('Appendix K'!$E$34+'Appendix K'!$F$34+'Appendix K'!$H$34+'Appendix K'!$G$34))/((1+$Y$16)^4))</f>
        <v>13804752.522520781</v>
      </c>
      <c r="AC394" s="193">
        <f>(((F394*'Appendix K'!$C$9*1000)-('Appendix K'!$E$35+'Appendix K'!$F$35+'Appendix K'!$H$35+'Appendix K'!$G$35))/((1+$Y$16)^AC$34))</f>
        <v>18913000.770288184</v>
      </c>
      <c r="AD394" s="193">
        <f>(((G394*'Appendix K'!$C$10*1000)-('Appendix K'!$E$36+'Appendix K'!$F$36+'Appendix K'!$H$36+'Appendix K'!$G$36))/((1+$Y$16)^AD$34))</f>
        <v>16211941.236731518</v>
      </c>
      <c r="AE394" s="193">
        <f>(((H394*'Appendix K'!$C$11*1000)-('Appendix K'!$E$37+'Appendix K'!$F$37+'Appendix K'!$H$37+'Appendix K'!$G$37))/((1+$Y$16)^AE$34))</f>
        <v>14292537.977950394</v>
      </c>
      <c r="AF394" s="193">
        <f>(((I394*'Appendix K'!$C$12*1000)-('Appendix K'!$E$38+'Appendix K'!$F$38+'Appendix K'!$H$38+'Appendix K'!$G$38))/((1+$Y$16)^AF$34))</f>
        <v>10395622.829423657</v>
      </c>
      <c r="AG394" s="193">
        <f>(((J394*'Appendix K'!$C$13*1000)-('Appendix K'!$E$39+'Appendix K'!$F$39+'Appendix K'!$H$39+'Appendix K'!$G$39))/((1+$Y$16)^AG$34))</f>
        <v>8985606.9445628319</v>
      </c>
      <c r="AH394" s="193">
        <f>(((K394*'Appendix K'!$C$14*1000)-('Appendix K'!$E$40+'Appendix K'!$F$40+'Appendix K'!$H$40+'Appendix K'!$G$40))/((1+$Y$16)^AH$34))</f>
        <v>6219290.6004292434</v>
      </c>
      <c r="AI394" s="193">
        <f>(((L394*'Appendix K'!$C$15*1000)-('Appendix K'!$E$41+'Appendix K'!$F$41+'Appendix K'!$H$41+'Appendix K'!$G$41))/((1+$Y$16)^AI$34))</f>
        <v>7166918.733412249</v>
      </c>
      <c r="AJ394" s="193">
        <f>(((M394*'Appendix K'!$C$16*1000)-('Appendix K'!$E$42+'Appendix K'!$F$42+'Appendix K'!$H$42+'Appendix K'!$G$42))/((1+$Y$16)^AJ$34))</f>
        <v>5020672.6901105158</v>
      </c>
      <c r="AK394" s="193">
        <f>(((N394*'Appendix K'!$C$17*1000)-('Appendix K'!$E$43+'Appendix K'!$F$43+'Appendix K'!$H$43))/((1+$Y$16)^AK$34))</f>
        <v>5027441.6855980251</v>
      </c>
      <c r="AL394" s="193">
        <f>(((O394*'Appendix K'!$C$18*1000)-('Appendix K'!$E$44+'Appendix K'!$F$44+'Appendix K'!$H$44+'Appendix K'!$G$44))/((1+$Y$16)^AL$34))</f>
        <v>4792058.0003928225</v>
      </c>
      <c r="AM394" s="193">
        <f>(((P394*'Appendix K'!$C$19*1000)-('Appendix K'!$E$45+'Appendix K'!$F$45+'Appendix K'!$H$45+'Appendix K'!$G$45))/((1+$Y$16)^AM$34))</f>
        <v>3603267.1169517282</v>
      </c>
      <c r="AN394" s="193">
        <f>(((Q394*'Appendix K'!$C$20*1000)-('Appendix K'!$E$46+'Appendix K'!$F$46+'Appendix K'!$H$46+'Appendix K'!$G$46))/((1+$Y$16)^AN$34))</f>
        <v>2702399.606577659</v>
      </c>
      <c r="AO394" s="193">
        <f>(((R394*'Appendix K'!$C$21*1000)-('Appendix K'!$E$47+'Appendix K'!$F$47+'Appendix K'!$H$47+'Appendix K'!$G$47))/((1+$Y$16)^AO$34))</f>
        <v>1517774.8001155432</v>
      </c>
      <c r="AP394" s="193">
        <f>(((S394*'Appendix K'!$C$22*1000)-('Appendix K'!$E$48+'Appendix K'!$F$48+'Appendix K'!$H$48+'Appendix K'!$G$48))/((1+$Y$16)^AP$34))</f>
        <v>1630406.4380253027</v>
      </c>
      <c r="AQ394" s="193">
        <f>(((T394*'Appendix K'!$C$23*1000)-('Appendix K'!$E$49+'Appendix K'!$F$49+'Appendix K'!$H$49+'Appendix K'!$G$49))/((1+$Y$16)^AQ$34))</f>
        <v>840664.98854671209</v>
      </c>
      <c r="AR394" s="193">
        <f>(((U394*'Appendix K'!$C$24*1000)-('Appendix K'!$E$50+'Appendix K'!$F$50+'Appendix K'!$H$50+'Appendix K'!$G$50))/((1+$Y$16)^AR$34))</f>
        <v>980725.14012097823</v>
      </c>
      <c r="AS394" s="209">
        <f t="shared" si="26"/>
        <v>139111021.9953382</v>
      </c>
      <c r="AU394" s="199">
        <f t="shared" si="25"/>
        <v>4.6575305313831839E-9</v>
      </c>
    </row>
    <row r="395" spans="1:47" x14ac:dyDescent="0.35">
      <c r="A395">
        <v>361</v>
      </c>
      <c r="B395" s="70">
        <v>56</v>
      </c>
      <c r="C395" s="70">
        <v>50.809164010603887</v>
      </c>
      <c r="D395" s="70">
        <v>51.869760344445091</v>
      </c>
      <c r="E395" s="70">
        <v>66.945096119495958</v>
      </c>
      <c r="F395" s="70">
        <v>86.929104818938214</v>
      </c>
      <c r="G395" s="70">
        <v>77.519800218257444</v>
      </c>
      <c r="H395" s="70">
        <v>112.25925718693736</v>
      </c>
      <c r="I395" s="70">
        <v>131.06613436966705</v>
      </c>
      <c r="J395" s="70">
        <v>196.50610226049849</v>
      </c>
      <c r="K395" s="70">
        <v>221.50897299975753</v>
      </c>
      <c r="L395" s="70">
        <v>256.21368058723021</v>
      </c>
      <c r="M395" s="70">
        <v>288.44770738914451</v>
      </c>
      <c r="N395" s="70">
        <v>265.40608254272058</v>
      </c>
      <c r="O395" s="70">
        <v>135.48714247506246</v>
      </c>
      <c r="P395" s="70">
        <v>174.26344242402712</v>
      </c>
      <c r="Q395" s="70">
        <v>134.40090455267202</v>
      </c>
      <c r="R395" s="70">
        <v>158.45959558931719</v>
      </c>
      <c r="S395" s="70">
        <v>235.0549598255364</v>
      </c>
      <c r="T395" s="70">
        <v>342.05379193549948</v>
      </c>
      <c r="U395" s="70">
        <v>294.84258667333671</v>
      </c>
      <c r="V395" s="70">
        <v>432.66850239802898</v>
      </c>
      <c r="X395" s="193">
        <f>((0-('Appendix K'!$I$30))/(1+$Y$16)^0)</f>
        <v>-33594902.4440751</v>
      </c>
      <c r="Y395" s="193">
        <f>(((B395*'Appendix K'!$C$5*1000)-('Appendix K'!$E$31+'Appendix K'!$F$31+'Appendix K'!$H$31+'Appendix K'!$G$31))/((1+$Y$16)^1))</f>
        <v>34971064.972647354</v>
      </c>
      <c r="Z395" s="193">
        <f>+(((C395*'Appendix K'!$C$6*1000)-('Appendix K'!$E$32+'Appendix K'!$F$32+'Appendix K'!$H$32+'Appendix K'!$G$32))/((1+$Y$16)^2))</f>
        <v>9348016.154628953</v>
      </c>
      <c r="AA395" s="193">
        <f>(((D395*'Appendix K'!$C$7*1000)-('Appendix K'!$E$33+'Appendix K'!$F$33+'Appendix K'!$H$33+'Appendix K'!$G$33))/((1+$Y$16)^3))</f>
        <v>3642006.0402165479</v>
      </c>
      <c r="AB395" s="193">
        <f>(((E395*'Appendix K'!$C$8*1000)-('Appendix K'!$E$34+'Appendix K'!$F$34+'Appendix K'!$H$34+'Appendix K'!$G$34))/((1+$Y$16)^4))</f>
        <v>11380544.357168479</v>
      </c>
      <c r="AC395" s="193">
        <f>(((F395*'Appendix K'!$C$9*1000)-('Appendix K'!$E$35+'Appendix K'!$F$35+'Appendix K'!$H$35+'Appendix K'!$G$35))/((1+$Y$16)^AC$34))</f>
        <v>20121391.038524549</v>
      </c>
      <c r="AD395" s="193">
        <f>(((G395*'Appendix K'!$C$10*1000)-('Appendix K'!$E$36+'Appendix K'!$F$36+'Appendix K'!$H$36+'Appendix K'!$G$36))/((1+$Y$16)^AD$34))</f>
        <v>9658252.7692397386</v>
      </c>
      <c r="AE395" s="193">
        <f>(((H395*'Appendix K'!$C$11*1000)-('Appendix K'!$E$37+'Appendix K'!$F$37+'Appendix K'!$H$37+'Appendix K'!$G$37))/((1+$Y$16)^AE$34))</f>
        <v>8976531.1613797061</v>
      </c>
      <c r="AF395" s="193">
        <f>(((I395*'Appendix K'!$C$12*1000)-('Appendix K'!$E$38+'Appendix K'!$F$38+'Appendix K'!$H$38+'Appendix K'!$G$38))/((1+$Y$16)^AF$34))</f>
        <v>6609541.4746920932</v>
      </c>
      <c r="AG395" s="193">
        <f>(((J395*'Appendix K'!$C$13*1000)-('Appendix K'!$E$39+'Appendix K'!$F$39+'Appendix K'!$H$39+'Appendix K'!$G$39))/((1+$Y$16)^AG$34))</f>
        <v>7228057.1969046816</v>
      </c>
      <c r="AH395" s="193">
        <f>(((K395*'Appendix K'!$C$14*1000)-('Appendix K'!$E$40+'Appendix K'!$F$40+'Appendix K'!$H$40+'Appendix K'!$G$40))/((1+$Y$16)^AH$34))</f>
        <v>5833556.9690850582</v>
      </c>
      <c r="AI395" s="193">
        <f>(((L395*'Appendix K'!$C$15*1000)-('Appendix K'!$E$41+'Appendix K'!$F$41+'Appendix K'!$H$41+'Appendix K'!$G$41))/((1+$Y$16)^AI$34))</f>
        <v>5196796.2049864819</v>
      </c>
      <c r="AJ395" s="193">
        <f>(((M395*'Appendix K'!$C$16*1000)-('Appendix K'!$E$42+'Appendix K'!$F$42+'Appendix K'!$H$42+'Appendix K'!$G$42))/((1+$Y$16)^AJ$34))</f>
        <v>4399479.6228793664</v>
      </c>
      <c r="AK395" s="193">
        <f>(((N395*'Appendix K'!$C$17*1000)-('Appendix K'!$E$43+'Appendix K'!$F$43+'Appendix K'!$H$43))/((1+$Y$16)^AK$34))</f>
        <v>3073413.2217602138</v>
      </c>
      <c r="AL395" s="193">
        <f>(((O395*'Appendix K'!$C$18*1000)-('Appendix K'!$E$44+'Appendix K'!$F$44+'Appendix K'!$H$44+'Appendix K'!$G$44))/((1+$Y$16)^AL$34))</f>
        <v>471379.84146644355</v>
      </c>
      <c r="AM395" s="193">
        <f>(((P395*'Appendix K'!$C$19*1000)-('Appendix K'!$E$45+'Appendix K'!$F$45+'Appendix K'!$H$45+'Appendix K'!$G$45))/((1+$Y$16)^AM$34))</f>
        <v>588435.16691320506</v>
      </c>
      <c r="AN395" s="193">
        <f>(((Q395*'Appendix K'!$C$20*1000)-('Appendix K'!$E$46+'Appendix K'!$F$46+'Appendix K'!$H$46+'Appendix K'!$G$46))/((1+$Y$16)^AN$34))</f>
        <v>56845.256809424478</v>
      </c>
      <c r="AO395" s="193">
        <f>(((R395*'Appendix K'!$C$21*1000)-('Appendix K'!$E$47+'Appendix K'!$F$47+'Appendix K'!$H$47+'Appendix K'!$G$47))/((1+$Y$16)^AO$34))</f>
        <v>93514.791174357801</v>
      </c>
      <c r="AP395" s="193">
        <f>(((S395*'Appendix K'!$C$22*1000)-('Appendix K'!$E$48+'Appendix K'!$F$48+'Appendix K'!$H$48+'Appendix K'!$G$48))/((1+$Y$16)^AP$34))</f>
        <v>361394.05461823463</v>
      </c>
      <c r="AQ395" s="193">
        <f>(((T395*'Appendix K'!$C$23*1000)-('Appendix K'!$E$49+'Appendix K'!$F$49+'Appendix K'!$H$49+'Appendix K'!$G$49))/((1+$Y$16)^AQ$34))</f>
        <v>645225.34210723941</v>
      </c>
      <c r="AR395" s="193">
        <f>(((U395*'Appendix K'!$C$24*1000)-('Appendix K'!$E$50+'Appendix K'!$F$50+'Appendix K'!$H$50+'Appendix K'!$G$50))/((1+$Y$16)^AR$34))</f>
        <v>320112.52093257388</v>
      </c>
      <c r="AS395" s="209">
        <f t="shared" si="26"/>
        <v>99380655.714059621</v>
      </c>
      <c r="AU395" s="199">
        <f t="shared" si="25"/>
        <v>6.8802632456239058E-9</v>
      </c>
    </row>
    <row r="396" spans="1:47" x14ac:dyDescent="0.35">
      <c r="A396">
        <v>362</v>
      </c>
      <c r="B396" s="70">
        <v>56</v>
      </c>
      <c r="C396" s="70">
        <v>75.809184955105422</v>
      </c>
      <c r="D396" s="70">
        <v>72.65627266749712</v>
      </c>
      <c r="E396" s="70">
        <v>101.63631943662129</v>
      </c>
      <c r="F396" s="70">
        <v>121.9999041817682</v>
      </c>
      <c r="G396" s="70">
        <v>132.59715564813067</v>
      </c>
      <c r="H396" s="70">
        <v>60.587912717810141</v>
      </c>
      <c r="I396" s="70">
        <v>31.061734195979199</v>
      </c>
      <c r="J396" s="70">
        <v>42.990203617327026</v>
      </c>
      <c r="K396" s="70">
        <v>44.135995014131936</v>
      </c>
      <c r="L396" s="70">
        <v>70.09340293989186</v>
      </c>
      <c r="M396" s="70">
        <v>75.599224912991048</v>
      </c>
      <c r="N396" s="70">
        <v>78.549852187565961</v>
      </c>
      <c r="O396" s="70">
        <v>78.048594141068847</v>
      </c>
      <c r="P396" s="70">
        <v>57.227573883871884</v>
      </c>
      <c r="Q396" s="70">
        <v>43.856502839513666</v>
      </c>
      <c r="R396" s="70">
        <v>33.614339957063478</v>
      </c>
      <c r="S396" s="70">
        <v>40.995636773242936</v>
      </c>
      <c r="T396" s="70">
        <v>54.834949171535207</v>
      </c>
      <c r="U396" s="70">
        <v>72.356086995415382</v>
      </c>
      <c r="V396" s="70">
        <v>69.415998476298086</v>
      </c>
      <c r="X396" s="193">
        <f>((0-('Appendix K'!$I$30))/(1+$Y$16)^0)</f>
        <v>-33594902.4440751</v>
      </c>
      <c r="Y396" s="193">
        <f>(((B396*'Appendix K'!$C$5*1000)-('Appendix K'!$E$31+'Appendix K'!$F$31+'Appendix K'!$H$31+'Appendix K'!$G$31))/((1+$Y$16)^1))</f>
        <v>34971064.972647354</v>
      </c>
      <c r="Z396" s="193">
        <f>+(((C396*'Appendix K'!$C$6*1000)-('Appendix K'!$E$32+'Appendix K'!$F$32+'Appendix K'!$H$32+'Appendix K'!$G$32))/((1+$Y$16)^2))</f>
        <v>15663449.023670401</v>
      </c>
      <c r="AA396" s="193">
        <f>(((D396*'Appendix K'!$C$7*1000)-('Appendix K'!$E$33+'Appendix K'!$F$33+'Appendix K'!$H$33+'Appendix K'!$G$33))/((1+$Y$16)^3))</f>
        <v>6289685.3941429397</v>
      </c>
      <c r="AB396" s="193">
        <f>(((E396*'Appendix K'!$C$8*1000)-('Appendix K'!$E$34+'Appendix K'!$F$34+'Appendix K'!$H$34+'Appendix K'!$G$34))/((1+$Y$16)^4))</f>
        <v>18984542.940698877</v>
      </c>
      <c r="AC396" s="193">
        <f>(((F396*'Appendix K'!$C$9*1000)-('Appendix K'!$E$35+'Appendix K'!$F$35+'Appendix K'!$H$35+'Appendix K'!$G$35))/((1+$Y$16)^AC$34))</f>
        <v>29443154.438127264</v>
      </c>
      <c r="AD396" s="193">
        <f>(((G396*'Appendix K'!$C$10*1000)-('Appendix K'!$E$36+'Appendix K'!$F$36+'Appendix K'!$H$36+'Appendix K'!$G$36))/((1+$Y$16)^AD$34))</f>
        <v>18307818.305015773</v>
      </c>
      <c r="AE396" s="193">
        <f>(((H396*'Appendix K'!$C$11*1000)-('Appendix K'!$E$37+'Appendix K'!$F$37+'Appendix K'!$H$37+'Appendix K'!$G$37))/((1+$Y$16)^AE$34))</f>
        <v>3822953.7852358306</v>
      </c>
      <c r="AF396" s="193">
        <f>(((I396*'Appendix K'!$C$12*1000)-('Appendix K'!$E$38+'Appendix K'!$F$38+'Appendix K'!$H$38+'Appendix K'!$G$38))/((1+$Y$16)^AF$34))</f>
        <v>43009.844704504809</v>
      </c>
      <c r="AG396" s="193">
        <f>(((J396*'Appendix K'!$C$13*1000)-('Appendix K'!$E$39+'Appendix K'!$F$39+'Appendix K'!$H$39+'Appendix K'!$G$39))/((1+$Y$16)^AG$34))</f>
        <v>163419.41008161247</v>
      </c>
      <c r="AH396" s="193">
        <f>(((K396*'Appendix K'!$C$14*1000)-('Appendix K'!$E$40+'Appendix K'!$F$40+'Appendix K'!$H$40+'Appendix K'!$G$40))/((1+$Y$16)^AH$34))</f>
        <v>-145070.05920635178</v>
      </c>
      <c r="AI396" s="193">
        <f>(((L396*'Appendix K'!$C$15*1000)-('Appendix K'!$E$41+'Appendix K'!$F$41+'Appendix K'!$H$41+'Appendix K'!$G$41))/((1+$Y$16)^AI$34))</f>
        <v>320096.88400036498</v>
      </c>
      <c r="AJ396" s="193">
        <f>(((M396*'Appendix K'!$C$16*1000)-('Appendix K'!$E$42+'Appendix K'!$F$42+'Appendix K'!$H$42+'Appendix K'!$G$42))/((1+$Y$16)^AJ$34))</f>
        <v>133598.6506342348</v>
      </c>
      <c r="AK396" s="193">
        <f>(((N396*'Appendix K'!$C$17*1000)-('Appendix K'!$E$43+'Appendix K'!$F$43+'Appendix K'!$H$43))/((1+$Y$16)^AK$34))</f>
        <v>202573.25833118</v>
      </c>
      <c r="AL396" s="193">
        <f>(((O396*'Appendix K'!$C$18*1000)-('Appendix K'!$E$44+'Appendix K'!$F$44+'Appendix K'!$H$44+'Appendix K'!$G$44))/((1+$Y$16)^AL$34))</f>
        <v>-209456.17335134669</v>
      </c>
      <c r="AM396" s="193">
        <f>(((P396*'Appendix K'!$C$19*1000)-('Appendix K'!$E$45+'Appendix K'!$F$45+'Appendix K'!$H$45+'Appendix K'!$G$45))/((1+$Y$16)^AM$34))</f>
        <v>-496338.90866116807</v>
      </c>
      <c r="AN396" s="193">
        <f>(((Q396*'Appendix K'!$C$20*1000)-('Appendix K'!$E$46+'Appendix K'!$F$46+'Appendix K'!$H$46+'Appendix K'!$G$46))/((1+$Y$16)^AN$34))</f>
        <v>-598353.67224240932</v>
      </c>
      <c r="AO396" s="193">
        <f>(((R396*'Appendix K'!$C$21*1000)-('Appendix K'!$E$47+'Appendix K'!$F$47+'Appendix K'!$H$47+'Appendix K'!$G$47))/((1+$Y$16)^AO$34))</f>
        <v>-644334.46252112731</v>
      </c>
      <c r="AP396" s="193">
        <f>(((S396*'Appendix K'!$C$22*1000)-('Appendix K'!$E$48+'Appendix K'!$F$48+'Appendix K'!$H$48+'Appendix K'!$G$48))/((1+$Y$16)^AP$34))</f>
        <v>-568095.63843958196</v>
      </c>
      <c r="AQ396" s="193">
        <f>(((T396*'Appendix K'!$C$23*1000)-('Appendix K'!$E$49+'Appendix K'!$F$49+'Appendix K'!$H$49+'Appendix K'!$G$49))/((1+$Y$16)^AQ$34))</f>
        <v>-478875.67856140988</v>
      </c>
      <c r="AR396" s="193">
        <f>(((U396*'Appendix K'!$C$24*1000)-('Appendix K'!$E$50+'Appendix K'!$F$50+'Appendix K'!$H$50+'Appendix K'!$G$50))/((1+$Y$16)^AR$34))</f>
        <v>-396300.24184810097</v>
      </c>
      <c r="AS396" s="209">
        <f t="shared" si="26"/>
        <v>94750464.463215232</v>
      </c>
      <c r="AU396" s="199">
        <f t="shared" si="25"/>
        <v>6.9743592814479912E-9</v>
      </c>
    </row>
    <row r="397" spans="1:47" x14ac:dyDescent="0.35">
      <c r="A397">
        <v>363</v>
      </c>
      <c r="B397" s="70">
        <v>56</v>
      </c>
      <c r="C397" s="70">
        <v>39.28322001783534</v>
      </c>
      <c r="D397" s="70">
        <v>44.441761790207323</v>
      </c>
      <c r="E397" s="70">
        <v>37.850593613489337</v>
      </c>
      <c r="F397" s="70">
        <v>46.352144249774383</v>
      </c>
      <c r="G397" s="70">
        <v>50.358127783094801</v>
      </c>
      <c r="H397" s="70">
        <v>64.738970264021333</v>
      </c>
      <c r="I397" s="70">
        <v>80.843032855314362</v>
      </c>
      <c r="J397" s="70">
        <v>90.260004158228753</v>
      </c>
      <c r="K397" s="70">
        <v>94.046549318579665</v>
      </c>
      <c r="L397" s="70">
        <v>132.45667850937403</v>
      </c>
      <c r="M397" s="70">
        <v>78.67061811209615</v>
      </c>
      <c r="N397" s="70">
        <v>41.232137110469907</v>
      </c>
      <c r="O397" s="70">
        <v>42.544624801056138</v>
      </c>
      <c r="P397" s="70">
        <v>41.190476308082303</v>
      </c>
      <c r="Q397" s="70">
        <v>26.484795269335805</v>
      </c>
      <c r="R397" s="70">
        <v>19.294803577329105</v>
      </c>
      <c r="S397" s="70">
        <v>23.122438219675054</v>
      </c>
      <c r="T397" s="70">
        <v>8.9971352730721517</v>
      </c>
      <c r="U397" s="70">
        <v>12.587606025878284</v>
      </c>
      <c r="V397" s="70">
        <v>7.0499538189319901</v>
      </c>
      <c r="X397" s="193">
        <f>((0-('Appendix K'!$I$30))/(1+$Y$16)^0)</f>
        <v>-33594902.4440751</v>
      </c>
      <c r="Y397" s="193">
        <f>(((B397*'Appendix K'!$C$5*1000)-('Appendix K'!$E$31+'Appendix K'!$F$31+'Appendix K'!$H$31+'Appendix K'!$G$31))/((1+$Y$16)^1))</f>
        <v>34971064.972647354</v>
      </c>
      <c r="Z397" s="193">
        <f>+(((C397*'Appendix K'!$C$6*1000)-('Appendix K'!$E$32+'Appendix K'!$F$32+'Appendix K'!$H$32+'Appendix K'!$G$32))/((1+$Y$16)^2))</f>
        <v>6436365.5724053038</v>
      </c>
      <c r="AA397" s="193">
        <f>(((D397*'Appendix K'!$C$7*1000)-('Appendix K'!$E$33+'Appendix K'!$F$33+'Appendix K'!$H$33+'Appendix K'!$G$33))/((1+$Y$16)^3))</f>
        <v>2695865.6724916562</v>
      </c>
      <c r="AB397" s="193">
        <f>(((E397*'Appendix K'!$C$8*1000)-('Appendix K'!$E$34+'Appendix K'!$F$34+'Appendix K'!$H$34+'Appendix K'!$G$34))/((1+$Y$16)^4))</f>
        <v>5003295.7423874792</v>
      </c>
      <c r="AC397" s="193">
        <f>(((F397*'Appendix K'!$C$9*1000)-('Appendix K'!$E$35+'Appendix K'!$F$35+'Appendix K'!$H$35+'Appendix K'!$G$35))/((1+$Y$16)^AC$34))</f>
        <v>9336098.6365029588</v>
      </c>
      <c r="AD397" s="193">
        <f>(((G397*'Appendix K'!$C$10*1000)-('Appendix K'!$E$36+'Appendix K'!$F$36+'Appendix K'!$H$36+'Appendix K'!$G$36))/((1+$Y$16)^AD$34))</f>
        <v>5392676.4002299411</v>
      </c>
      <c r="AE397" s="193">
        <f>(((H397*'Appendix K'!$C$11*1000)-('Appendix K'!$E$37+'Appendix K'!$F$37+'Appendix K'!$H$37+'Appendix K'!$G$37))/((1+$Y$16)^AE$34))</f>
        <v>4236970.4220587239</v>
      </c>
      <c r="AF397" s="193">
        <f>(((I397*'Appendix K'!$C$12*1000)-('Appendix K'!$E$38+'Appendix K'!$F$38+'Appendix K'!$H$38+'Appendix K'!$G$38))/((1+$Y$16)^AF$34))</f>
        <v>3311770.7358316854</v>
      </c>
      <c r="AG397" s="193">
        <f>(((J397*'Appendix K'!$C$13*1000)-('Appendix K'!$E$39+'Appendix K'!$F$39+'Appendix K'!$H$39+'Appendix K'!$G$39))/((1+$Y$16)^AG$34))</f>
        <v>2338725.1733827479</v>
      </c>
      <c r="AH397" s="193">
        <f>(((K397*'Appendix K'!$C$14*1000)-('Appendix K'!$E$40+'Appendix K'!$F$40+'Appendix K'!$H$40+'Appendix K'!$G$40))/((1+$Y$16)^AH$34))</f>
        <v>1537241.3748710505</v>
      </c>
      <c r="AI397" s="193">
        <f>(((L397*'Appendix K'!$C$15*1000)-('Appendix K'!$E$41+'Appendix K'!$F$41+'Appendix K'!$H$41+'Appendix K'!$G$41))/((1+$Y$16)^AI$34))</f>
        <v>1954131.3238179607</v>
      </c>
      <c r="AJ397" s="193">
        <f>(((M397*'Appendix K'!$C$16*1000)-('Appendix K'!$E$42+'Appendix K'!$F$42+'Appendix K'!$H$42+'Appendix K'!$G$42))/((1+$Y$16)^AJ$34))</f>
        <v>195155.10456767323</v>
      </c>
      <c r="AK397" s="193">
        <f>(((N397*'Appendix K'!$C$17*1000)-('Appendix K'!$E$43+'Appendix K'!$F$43+'Appendix K'!$H$43))/((1+$Y$16)^AK$34))</f>
        <v>-370772.28965273907</v>
      </c>
      <c r="AL397" s="193">
        <f>(((O397*'Appendix K'!$C$18*1000)-('Appendix K'!$E$44+'Appendix K'!$F$44+'Appendix K'!$H$44+'Appendix K'!$G$44))/((1+$Y$16)^AL$34))</f>
        <v>-630295.16905697854</v>
      </c>
      <c r="AM397" s="193">
        <f>(((P397*'Appendix K'!$C$19*1000)-('Appendix K'!$E$45+'Appendix K'!$F$45+'Appendix K'!$H$45+'Appendix K'!$G$45))/((1+$Y$16)^AM$34))</f>
        <v>-644982.46481766668</v>
      </c>
      <c r="AN397" s="193">
        <f>(((Q397*'Appendix K'!$C$20*1000)-('Appendix K'!$E$46+'Appendix K'!$F$46+'Appendix K'!$H$46+'Appendix K'!$G$46))/((1+$Y$16)^AN$34))</f>
        <v>-724059.11598524533</v>
      </c>
      <c r="AO397" s="193">
        <f>(((R397*'Appendix K'!$C$21*1000)-('Appendix K'!$E$47+'Appendix K'!$F$47+'Appendix K'!$H$47+'Appendix K'!$G$47))/((1+$Y$16)^AO$34))</f>
        <v>-728964.50454831286</v>
      </c>
      <c r="AP397" s="193">
        <f>(((S397*'Appendix K'!$C$22*1000)-('Appendix K'!$E$48+'Appendix K'!$F$48+'Appendix K'!$H$48+'Appendix K'!$G$48))/((1+$Y$16)^AP$34))</f>
        <v>-653703.2432493777</v>
      </c>
      <c r="AQ397" s="193">
        <f>(((T397*'Appendix K'!$C$23*1000)-('Appendix K'!$E$49+'Appendix K'!$F$49+'Appendix K'!$H$49+'Appendix K'!$G$49))/((1+$Y$16)^AQ$34))</f>
        <v>-658273.14737868425</v>
      </c>
      <c r="AR397" s="193">
        <f>(((U397*'Appendix K'!$C$24*1000)-('Appendix K'!$E$50+'Appendix K'!$F$50+'Appendix K'!$H$50+'Appendix K'!$G$50))/((1+$Y$16)^AR$34))</f>
        <v>-588756.42521462578</v>
      </c>
      <c r="AS397" s="209">
        <f t="shared" si="26"/>
        <v>43814458.687119402</v>
      </c>
      <c r="AU397" s="199">
        <f t="shared" si="25"/>
        <v>5.2188407877411461E-9</v>
      </c>
    </row>
    <row r="398" spans="1:47" x14ac:dyDescent="0.35">
      <c r="A398">
        <v>364</v>
      </c>
      <c r="B398" s="70">
        <v>56</v>
      </c>
      <c r="C398" s="70">
        <v>45.526675475443092</v>
      </c>
      <c r="D398" s="70">
        <v>55.353600339900254</v>
      </c>
      <c r="E398" s="70">
        <v>64.134984911698737</v>
      </c>
      <c r="F398" s="70">
        <v>73.166005306163385</v>
      </c>
      <c r="G398" s="70">
        <v>51.516286491608099</v>
      </c>
      <c r="H398" s="70">
        <v>62.975345989070405</v>
      </c>
      <c r="I398" s="70">
        <v>46.260898029284583</v>
      </c>
      <c r="J398" s="70">
        <v>55.103023035667981</v>
      </c>
      <c r="K398" s="70">
        <v>72.095302499088888</v>
      </c>
      <c r="L398" s="70">
        <v>75.479685843812248</v>
      </c>
      <c r="M398" s="70">
        <v>79.591273487510065</v>
      </c>
      <c r="N398" s="70">
        <v>90.013097565209435</v>
      </c>
      <c r="O398" s="70">
        <v>118.49555726914471</v>
      </c>
      <c r="P398" s="70">
        <v>108.80781784203687</v>
      </c>
      <c r="Q398" s="70">
        <v>77.119466061037073</v>
      </c>
      <c r="R398" s="70">
        <v>84.989764067463923</v>
      </c>
      <c r="S398" s="70">
        <v>116.49330525571926</v>
      </c>
      <c r="T398" s="70">
        <v>150.96063240486757</v>
      </c>
      <c r="U398" s="70">
        <v>102.91976062475821</v>
      </c>
      <c r="V398" s="70">
        <v>103.15816926933985</v>
      </c>
      <c r="X398" s="193">
        <f>((0-('Appendix K'!$I$30))/(1+$Y$16)^0)</f>
        <v>-33594902.4440751</v>
      </c>
      <c r="Y398" s="193">
        <f>(((B398*'Appendix K'!$C$5*1000)-('Appendix K'!$E$31+'Appendix K'!$F$31+'Appendix K'!$H$31+'Appendix K'!$G$31))/((1+$Y$16)^1))</f>
        <v>34971064.972647354</v>
      </c>
      <c r="Z398" s="193">
        <f>+(((C398*'Appendix K'!$C$6*1000)-('Appendix K'!$E$32+'Appendix K'!$F$32+'Appendix K'!$H$32+'Appendix K'!$G$32))/((1+$Y$16)^2))</f>
        <v>8013569.2035904387</v>
      </c>
      <c r="AA398" s="193">
        <f>(((D398*'Appendix K'!$C$7*1000)-('Appendix K'!$E$33+'Appendix K'!$F$33+'Appendix K'!$H$33+'Appendix K'!$G$33))/((1+$Y$16)^3))</f>
        <v>4085759.7149549602</v>
      </c>
      <c r="AB398" s="193">
        <f>(((E398*'Appendix K'!$C$8*1000)-('Appendix K'!$E$34+'Appendix K'!$F$34+'Appendix K'!$H$34+'Appendix K'!$G$34))/((1+$Y$16)^4))</f>
        <v>10764593.704511486</v>
      </c>
      <c r="AC398" s="193">
        <f>(((F398*'Appendix K'!$C$9*1000)-('Appendix K'!$E$35+'Appendix K'!$F$35+'Appendix K'!$H$35+'Appendix K'!$G$35))/((1+$Y$16)^AC$34))</f>
        <v>16463180.799973497</v>
      </c>
      <c r="AD398" s="193">
        <f>(((G398*'Appendix K'!$C$10*1000)-('Appendix K'!$E$36+'Appendix K'!$F$36+'Appendix K'!$H$36+'Appendix K'!$G$36))/((1+$Y$16)^AD$34))</f>
        <v>5574558.2202979056</v>
      </c>
      <c r="AE398" s="193">
        <f>(((H398*'Appendix K'!$C$11*1000)-('Appendix K'!$E$37+'Appendix K'!$F$37+'Appendix K'!$H$37+'Appendix K'!$G$37))/((1+$Y$16)^AE$34))</f>
        <v>4061070.7187166563</v>
      </c>
      <c r="AF398" s="193">
        <f>(((I398*'Appendix K'!$C$12*1000)-('Appendix K'!$E$38+'Appendix K'!$F$38+'Appendix K'!$H$38+'Appendix K'!$G$38))/((1+$Y$16)^AF$34))</f>
        <v>1041023.8309633118</v>
      </c>
      <c r="AG398" s="193">
        <f>(((J398*'Appendix K'!$C$13*1000)-('Appendix K'!$E$39+'Appendix K'!$F$39+'Appendix K'!$H$39+'Appendix K'!$G$39))/((1+$Y$16)^AG$34))</f>
        <v>720838.4300274147</v>
      </c>
      <c r="AH398" s="193">
        <f>(((K398*'Appendix K'!$C$14*1000)-('Appendix K'!$E$40+'Appendix K'!$F$40+'Appendix K'!$H$40+'Appendix K'!$G$40))/((1+$Y$16)^AH$34))</f>
        <v>797341.08661891916</v>
      </c>
      <c r="AI398" s="193">
        <f>(((L398*'Appendix K'!$C$15*1000)-('Appendix K'!$E$41+'Appendix K'!$F$41+'Appendix K'!$H$41+'Appendix K'!$G$41))/((1+$Y$16)^AI$34))</f>
        <v>461227.56848149956</v>
      </c>
      <c r="AJ398" s="193">
        <f>(((M398*'Appendix K'!$C$16*1000)-('Appendix K'!$E$42+'Appendix K'!$F$42+'Appendix K'!$H$42+'Appendix K'!$G$42))/((1+$Y$16)^AJ$34))</f>
        <v>213606.75713425115</v>
      </c>
      <c r="AK398" s="193">
        <f>(((N398*'Appendix K'!$C$17*1000)-('Appendix K'!$E$43+'Appendix K'!$F$43+'Appendix K'!$H$43))/((1+$Y$16)^AK$34))</f>
        <v>378693.38490219205</v>
      </c>
      <c r="AL398" s="193">
        <f>(((O398*'Appendix K'!$C$18*1000)-('Appendix K'!$E$44+'Appendix K'!$F$44+'Appendix K'!$H$44+'Appendix K'!$G$44))/((1+$Y$16)^AL$34))</f>
        <v>269973.5822106289</v>
      </c>
      <c r="AM398" s="193">
        <f>(((P398*'Appendix K'!$C$19*1000)-('Appendix K'!$E$45+'Appendix K'!$F$45+'Appendix K'!$H$45+'Appendix K'!$G$45))/((1+$Y$16)^AM$34))</f>
        <v>-18255.461632947572</v>
      </c>
      <c r="AN398" s="193">
        <f>(((Q398*'Appendix K'!$C$20*1000)-('Appendix K'!$E$46+'Appendix K'!$F$46+'Appendix K'!$H$46+'Appendix K'!$G$46))/((1+$Y$16)^AN$34))</f>
        <v>-357655.65593793488</v>
      </c>
      <c r="AO398" s="193">
        <f>(((R398*'Appendix K'!$C$21*1000)-('Appendix K'!$E$47+'Appendix K'!$F$47+'Appendix K'!$H$47+'Appendix K'!$G$47))/((1+$Y$16)^AO$34))</f>
        <v>-340700.03006973775</v>
      </c>
      <c r="AP398" s="193">
        <f>(((S398*'Appendix K'!$C$22*1000)-('Appendix K'!$E$48+'Appendix K'!$F$48+'Appendix K'!$H$48+'Appendix K'!$G$48))/((1+$Y$16)^AP$34))</f>
        <v>-206482.99545696293</v>
      </c>
      <c r="AQ398" s="193">
        <f>(((T398*'Appendix K'!$C$23*1000)-('Appendix K'!$E$49+'Appendix K'!$F$49+'Appendix K'!$H$49+'Appendix K'!$G$49))/((1+$Y$16)^AQ$34))</f>
        <v>-102664.36319217592</v>
      </c>
      <c r="AR398" s="193">
        <f>(((U398*'Appendix K'!$C$24*1000)-('Appendix K'!$E$50+'Appendix K'!$F$50+'Appendix K'!$H$50+'Appendix K'!$G$50))/((1+$Y$16)^AR$34))</f>
        <v>-297884.35640236823</v>
      </c>
      <c r="AS398" s="209">
        <f t="shared" si="26"/>
        <v>54221599.530955397</v>
      </c>
      <c r="AU398" s="199">
        <f t="shared" si="25"/>
        <v>5.912102448971907E-9</v>
      </c>
    </row>
    <row r="399" spans="1:47" x14ac:dyDescent="0.35">
      <c r="A399">
        <v>365</v>
      </c>
      <c r="B399" s="70">
        <v>56</v>
      </c>
      <c r="C399" s="70">
        <v>26.229782362578106</v>
      </c>
      <c r="D399" s="70">
        <v>20.188194983177713</v>
      </c>
      <c r="E399" s="70">
        <v>17.596641274705039</v>
      </c>
      <c r="F399" s="70">
        <v>27.951753890949661</v>
      </c>
      <c r="G399" s="70">
        <v>22.527489189392298</v>
      </c>
      <c r="H399" s="70">
        <v>29.141087404939135</v>
      </c>
      <c r="I399" s="70">
        <v>53.315061247056406</v>
      </c>
      <c r="J399" s="70">
        <v>53.243438224748893</v>
      </c>
      <c r="K399" s="70">
        <v>44.561746296722063</v>
      </c>
      <c r="L399" s="70">
        <v>52.46618352828623</v>
      </c>
      <c r="M399" s="70">
        <v>64.988351496177799</v>
      </c>
      <c r="N399" s="70">
        <v>7.5283989244022891</v>
      </c>
      <c r="O399" s="70">
        <v>9.3532255250858736</v>
      </c>
      <c r="P399" s="70">
        <v>11.634108975514799</v>
      </c>
      <c r="Q399" s="70">
        <v>14.927062746324356</v>
      </c>
      <c r="R399" s="70">
        <v>18.735066387637726</v>
      </c>
      <c r="S399" s="70">
        <v>15.982741103436663</v>
      </c>
      <c r="T399" s="70">
        <v>26.795467955117566</v>
      </c>
      <c r="U399" s="70">
        <v>31.695295481086038</v>
      </c>
      <c r="V399" s="70">
        <v>15.792561421203281</v>
      </c>
      <c r="X399" s="193">
        <f>((0-('Appendix K'!$I$30))/(1+$Y$16)^0)</f>
        <v>-33594902.4440751</v>
      </c>
      <c r="Y399" s="193">
        <f>(((B399*'Appendix K'!$C$5*1000)-('Appendix K'!$E$31+'Appendix K'!$F$31+'Appendix K'!$H$31+'Appendix K'!$G$31))/((1+$Y$16)^1))</f>
        <v>34971064.972647354</v>
      </c>
      <c r="Z399" s="193">
        <f>+(((C399*'Appendix K'!$C$6*1000)-('Appendix K'!$E$32+'Appendix K'!$F$32+'Appendix K'!$H$32+'Appendix K'!$G$32))/((1+$Y$16)^2))</f>
        <v>3138843.9661233621</v>
      </c>
      <c r="AA399" s="193">
        <f>(((D399*'Appendix K'!$C$7*1000)-('Appendix K'!$E$33+'Appendix K'!$F$33+'Appendix K'!$H$33+'Appendix K'!$G$33))/((1+$Y$16)^3))</f>
        <v>-393429.30379122059</v>
      </c>
      <c r="AB399" s="193">
        <f>(((E399*'Appendix K'!$C$8*1000)-('Appendix K'!$E$34+'Appendix K'!$F$34+'Appendix K'!$H$34+'Appendix K'!$G$34))/((1+$Y$16)^4))</f>
        <v>563814.7968141262</v>
      </c>
      <c r="AC399" s="193">
        <f>(((F399*'Appendix K'!$C$9*1000)-('Appendix K'!$E$35+'Appendix K'!$F$35+'Appendix K'!$H$35+'Appendix K'!$G$35))/((1+$Y$16)^AC$34))</f>
        <v>4445303.7729252027</v>
      </c>
      <c r="AD399" s="193">
        <f>(((G399*'Appendix K'!$C$10*1000)-('Appendix K'!$E$36+'Appendix K'!$F$36+'Appendix K'!$H$36+'Appendix K'!$G$36))/((1+$Y$16)^AD$34))</f>
        <v>1022042.9422523528</v>
      </c>
      <c r="AE399" s="193">
        <f>(((H399*'Appendix K'!$C$11*1000)-('Appendix K'!$E$37+'Appendix K'!$F$37+'Appendix K'!$H$37+'Appendix K'!$G$37))/((1+$Y$16)^AE$34))</f>
        <v>686521.99409497902</v>
      </c>
      <c r="AF399" s="193">
        <f>(((I399*'Appendix K'!$C$12*1000)-('Appendix K'!$E$38+'Appendix K'!$F$38+'Appendix K'!$H$38+'Appendix K'!$G$38))/((1+$Y$16)^AF$34))</f>
        <v>1504217.3085717233</v>
      </c>
      <c r="AG399" s="193">
        <f>(((J399*'Appendix K'!$C$13*1000)-('Appendix K'!$E$39+'Appendix K'!$F$39+'Appendix K'!$H$39+'Appendix K'!$G$39))/((1+$Y$16)^AG$34))</f>
        <v>635262.32202079555</v>
      </c>
      <c r="AH399" s="193">
        <f>(((K399*'Appendix K'!$C$14*1000)-('Appendix K'!$E$40+'Appendix K'!$F$40+'Appendix K'!$H$40+'Appendix K'!$G$40))/((1+$Y$16)^AH$34))</f>
        <v>-130719.46220826021</v>
      </c>
      <c r="AI399" s="193">
        <f>(((L399*'Appendix K'!$C$15*1000)-('Appendix K'!$E$41+'Appendix K'!$F$41+'Appendix K'!$H$41+'Appendix K'!$G$41))/((1+$Y$16)^AI$34))</f>
        <v>-141769.22764563715</v>
      </c>
      <c r="AJ399" s="193">
        <f>(((M399*'Appendix K'!$C$16*1000)-('Appendix K'!$E$42+'Appendix K'!$F$42+'Appendix K'!$H$42+'Appendix K'!$G$42))/((1+$Y$16)^AJ$34))</f>
        <v>-79063.062905379149</v>
      </c>
      <c r="AK399" s="193">
        <f>(((N399*'Appendix K'!$C$17*1000)-('Appendix K'!$E$43+'Appendix K'!$F$43+'Appendix K'!$H$43))/((1+$Y$16)^AK$34))</f>
        <v>-888593.06725060474</v>
      </c>
      <c r="AL399" s="193">
        <f>(((O399*'Appendix K'!$C$18*1000)-('Appendix K'!$E$44+'Appendix K'!$F$44+'Appendix K'!$H$44+'Appendix K'!$G$44))/((1+$Y$16)^AL$34))</f>
        <v>-1023722.5913148572</v>
      </c>
      <c r="AM399" s="193">
        <f>(((P399*'Appendix K'!$C$19*1000)-('Appendix K'!$E$45+'Appendix K'!$F$45+'Appendix K'!$H$45+'Appendix K'!$G$45))/((1+$Y$16)^AM$34))</f>
        <v>-918932.50637712225</v>
      </c>
      <c r="AN399" s="193">
        <f>(((Q399*'Appendix K'!$C$20*1000)-('Appendix K'!$E$46+'Appendix K'!$F$46+'Appendix K'!$H$46+'Appendix K'!$G$46))/((1+$Y$16)^AN$34))</f>
        <v>-807693.37528859172</v>
      </c>
      <c r="AO399" s="193">
        <f>(((R399*'Appendix K'!$C$21*1000)-('Appendix K'!$E$47+'Appendix K'!$F$47+'Appendix K'!$H$47+'Appendix K'!$G$47))/((1+$Y$16)^AO$34))</f>
        <v>-732272.61317917623</v>
      </c>
      <c r="AP399" s="193">
        <f>(((S399*'Appendix K'!$C$22*1000)-('Appendix K'!$E$48+'Appendix K'!$F$48+'Appendix K'!$H$48+'Appendix K'!$G$48))/((1+$Y$16)^AP$34))</f>
        <v>-687900.38862079545</v>
      </c>
      <c r="AQ399" s="193">
        <f>(((T399*'Appendix K'!$C$23*1000)-('Appendix K'!$E$49+'Appendix K'!$F$49+'Appendix K'!$H$49+'Appendix K'!$G$49))/((1+$Y$16)^AQ$34))</f>
        <v>-588615.02975118149</v>
      </c>
      <c r="AR399" s="193">
        <f>(((U399*'Appendix K'!$C$24*1000)-('Appendix K'!$E$50+'Appendix K'!$F$50+'Appendix K'!$H$50+'Appendix K'!$G$50))/((1+$Y$16)^AR$34))</f>
        <v>-527229.12979320833</v>
      </c>
      <c r="AS399" s="209">
        <f t="shared" si="26"/>
        <v>13372169.631374814</v>
      </c>
      <c r="AU399" s="199">
        <f t="shared" si="25"/>
        <v>2.9873247571324267E-9</v>
      </c>
    </row>
    <row r="400" spans="1:47" x14ac:dyDescent="0.35">
      <c r="A400">
        <v>366</v>
      </c>
      <c r="B400" s="70">
        <v>56</v>
      </c>
      <c r="C400" s="70">
        <v>57.35229708864037</v>
      </c>
      <c r="D400" s="70">
        <v>47.021950667900761</v>
      </c>
      <c r="E400" s="70">
        <v>59.644924546048799</v>
      </c>
      <c r="F400" s="70">
        <v>47.759884474994095</v>
      </c>
      <c r="G400" s="70">
        <v>27.28215285015991</v>
      </c>
      <c r="H400" s="70">
        <v>37.436476864471686</v>
      </c>
      <c r="I400" s="70">
        <v>36.681006192953852</v>
      </c>
      <c r="J400" s="70">
        <v>16.354326103358403</v>
      </c>
      <c r="K400" s="70">
        <v>23.608471044982675</v>
      </c>
      <c r="L400" s="70">
        <v>36.486541602983536</v>
      </c>
      <c r="M400" s="70">
        <v>25.760756165378108</v>
      </c>
      <c r="N400" s="70">
        <v>31.119289528429576</v>
      </c>
      <c r="O400" s="70">
        <v>25.399519629520924</v>
      </c>
      <c r="P400" s="70">
        <v>17.380641305345705</v>
      </c>
      <c r="Q400" s="70">
        <v>19.60488426201206</v>
      </c>
      <c r="R400" s="70">
        <v>17.83865854401424</v>
      </c>
      <c r="S400" s="70">
        <v>12.852572264583801</v>
      </c>
      <c r="T400" s="70">
        <v>16.027624977526933</v>
      </c>
      <c r="U400" s="70">
        <v>22.642182134791625</v>
      </c>
      <c r="V400" s="70">
        <v>14.85767117611188</v>
      </c>
      <c r="X400" s="193">
        <f>((0-('Appendix K'!$I$30))/(1+$Y$16)^0)</f>
        <v>-33594902.4440751</v>
      </c>
      <c r="Y400" s="193">
        <f>(((B400*'Appendix K'!$C$5*1000)-('Appendix K'!$E$31+'Appendix K'!$F$31+'Appendix K'!$H$31+'Appendix K'!$G$31))/((1+$Y$16)^1))</f>
        <v>34971064.972647354</v>
      </c>
      <c r="Z400" s="193">
        <f>+(((C400*'Appendix K'!$C$6*1000)-('Appendix K'!$E$32+'Appendix K'!$F$32+'Appendix K'!$H$32+'Appendix K'!$G$32))/((1+$Y$16)^2))</f>
        <v>11000923.478157915</v>
      </c>
      <c r="AA400" s="193">
        <f>(((D400*'Appendix K'!$C$7*1000)-('Appendix K'!$E$33+'Appendix K'!$F$33+'Appendix K'!$H$33+'Appendix K'!$G$33))/((1+$Y$16)^3))</f>
        <v>3024516.901448587</v>
      </c>
      <c r="AB400" s="193">
        <f>(((E400*'Appendix K'!$C$8*1000)-('Appendix K'!$E$34+'Appendix K'!$F$34+'Appendix K'!$H$34+'Appendix K'!$G$34))/((1+$Y$16)^4))</f>
        <v>9780413.574907532</v>
      </c>
      <c r="AC400" s="193">
        <f>(((F400*'Appendix K'!$C$9*1000)-('Appendix K'!$E$35+'Appendix K'!$F$35+'Appendix K'!$H$35+'Appendix K'!$G$35))/((1+$Y$16)^AC$34))</f>
        <v>9710273.7778175212</v>
      </c>
      <c r="AD400" s="193">
        <f>(((G400*'Appendix K'!$C$10*1000)-('Appendix K'!$E$36+'Appendix K'!$F$36+'Appendix K'!$H$36+'Appendix K'!$G$36))/((1+$Y$16)^AD$34))</f>
        <v>1768734.1116703416</v>
      </c>
      <c r="AE400" s="193">
        <f>(((H400*'Appendix K'!$C$11*1000)-('Appendix K'!$E$37+'Appendix K'!$F$37+'Appendix K'!$H$37+'Appendix K'!$G$37))/((1+$Y$16)^AE$34))</f>
        <v>1513884.4690639109</v>
      </c>
      <c r="AF400" s="193">
        <f>(((I400*'Appendix K'!$C$12*1000)-('Appendix K'!$E$38+'Appendix K'!$F$38+'Appendix K'!$H$38+'Appendix K'!$G$38))/((1+$Y$16)^AF$34))</f>
        <v>411984.88221836515</v>
      </c>
      <c r="AG400" s="193">
        <f>(((J400*'Appendix K'!$C$13*1000)-('Appendix K'!$E$39+'Appendix K'!$F$39+'Appendix K'!$H$39+'Appendix K'!$G$39))/((1+$Y$16)^AG$34))</f>
        <v>-1062335.2409578727</v>
      </c>
      <c r="AH400" s="193">
        <f>(((K400*'Appendix K'!$C$14*1000)-('Appendix K'!$E$40+'Appendix K'!$F$40+'Appendix K'!$H$40+'Appendix K'!$G$40))/((1+$Y$16)^AH$34))</f>
        <v>-836981.59511009767</v>
      </c>
      <c r="AI400" s="193">
        <f>(((L400*'Appendix K'!$C$15*1000)-('Appendix K'!$E$41+'Appendix K'!$F$41+'Appendix K'!$H$41+'Appendix K'!$G$41))/((1+$Y$16)^AI$34))</f>
        <v>-560465.72816549521</v>
      </c>
      <c r="AJ400" s="193">
        <f>(((M400*'Appendix K'!$C$16*1000)-('Appendix K'!$E$42+'Appendix K'!$F$42+'Appendix K'!$H$42+'Appendix K'!$G$42))/((1+$Y$16)^AJ$34))</f>
        <v>-865257.31039003481</v>
      </c>
      <c r="AK400" s="193">
        <f>(((N400*'Appendix K'!$C$17*1000)-('Appendix K'!$E$43+'Appendix K'!$F$43+'Appendix K'!$H$43))/((1+$Y$16)^AK$34))</f>
        <v>-526145.04295835097</v>
      </c>
      <c r="AL400" s="193">
        <f>(((O400*'Appendix K'!$C$18*1000)-('Appendix K'!$E$44+'Appendix K'!$F$44+'Appendix K'!$H$44+'Appendix K'!$G$44))/((1+$Y$16)^AL$34))</f>
        <v>-833521.1456388334</v>
      </c>
      <c r="AM400" s="193">
        <f>(((P400*'Appendix K'!$C$19*1000)-('Appendix K'!$E$45+'Appendix K'!$F$45+'Appendix K'!$H$45+'Appendix K'!$G$45))/((1+$Y$16)^AM$34))</f>
        <v>-865669.43947629631</v>
      </c>
      <c r="AN400" s="193">
        <f>(((Q400*'Appendix K'!$C$20*1000)-('Appendix K'!$E$46+'Appendix K'!$F$46+'Appendix K'!$H$46+'Appendix K'!$G$46))/((1+$Y$16)^AN$34))</f>
        <v>-773843.64422422706</v>
      </c>
      <c r="AO400" s="193">
        <f>(((R400*'Appendix K'!$C$21*1000)-('Appendix K'!$E$47+'Appendix K'!$F$47+'Appendix K'!$H$47+'Appendix K'!$G$47))/((1+$Y$16)^AO$34))</f>
        <v>-737570.48257016554</v>
      </c>
      <c r="AP400" s="193">
        <f>(((S400*'Appendix K'!$C$22*1000)-('Appendix K'!$E$48+'Appendix K'!$F$48+'Appendix K'!$H$48+'Appendix K'!$G$48))/((1+$Y$16)^AP$34))</f>
        <v>-702893.01885098789</v>
      </c>
      <c r="AQ400" s="193">
        <f>(((T400*'Appendix K'!$C$23*1000)-('Appendix K'!$E$49+'Appendix K'!$F$49+'Appendix K'!$H$49+'Appendix K'!$G$49))/((1+$Y$16)^AQ$34))</f>
        <v>-630757.61052697187</v>
      </c>
      <c r="AR400" s="193">
        <f>(((U400*'Appendix K'!$C$24*1000)-('Appendix K'!$E$50+'Appendix K'!$F$50+'Appendix K'!$H$50+'Appendix K'!$G$50))/((1+$Y$16)^AR$34))</f>
        <v>-556380.40842617874</v>
      </c>
      <c r="AS400" s="209">
        <f t="shared" si="26"/>
        <v>38586893.723856427</v>
      </c>
      <c r="AU400" s="199">
        <f t="shared" si="25"/>
        <v>4.8401037814864421E-9</v>
      </c>
    </row>
    <row r="401" spans="1:47" x14ac:dyDescent="0.35">
      <c r="A401">
        <v>367</v>
      </c>
      <c r="B401" s="70">
        <v>56</v>
      </c>
      <c r="C401" s="70">
        <v>41.39312956769492</v>
      </c>
      <c r="D401" s="70">
        <v>42.633318553764497</v>
      </c>
      <c r="E401" s="70">
        <v>65.197045661223825</v>
      </c>
      <c r="F401" s="70">
        <v>50.544767060757607</v>
      </c>
      <c r="G401" s="70">
        <v>48.92610885482172</v>
      </c>
      <c r="H401" s="70">
        <v>69.677733978119903</v>
      </c>
      <c r="I401" s="70">
        <v>45.125661799323041</v>
      </c>
      <c r="J401" s="70">
        <v>40.691826838196057</v>
      </c>
      <c r="K401" s="70">
        <v>45.843337243224163</v>
      </c>
      <c r="L401" s="70">
        <v>38.760072746053815</v>
      </c>
      <c r="M401" s="70">
        <v>25.721050685345524</v>
      </c>
      <c r="N401" s="70">
        <v>7.0598708732096753</v>
      </c>
      <c r="O401" s="70">
        <v>3.8810809778439053</v>
      </c>
      <c r="P401" s="70">
        <v>2.5320813187616444</v>
      </c>
      <c r="Q401" s="70">
        <v>3.3433520011124136</v>
      </c>
      <c r="R401" s="70">
        <v>4.9944519165589361</v>
      </c>
      <c r="S401" s="70">
        <v>7.0320827407975939</v>
      </c>
      <c r="T401" s="70">
        <v>1.6496902217978571</v>
      </c>
      <c r="U401" s="70">
        <v>1.6304943357972213</v>
      </c>
      <c r="V401" s="70">
        <v>1.8991539111150277</v>
      </c>
      <c r="X401" s="193">
        <f>((0-('Appendix K'!$I$30))/(1+$Y$16)^0)</f>
        <v>-33594902.4440751</v>
      </c>
      <c r="Y401" s="193">
        <f>(((B401*'Appendix K'!$C$5*1000)-('Appendix K'!$E$31+'Appendix K'!$F$31+'Appendix K'!$H$31+'Appendix K'!$G$31))/((1+$Y$16)^1))</f>
        <v>34971064.972647354</v>
      </c>
      <c r="Z401" s="193">
        <f>+(((C401*'Appendix K'!$C$6*1000)-('Appendix K'!$E$32+'Appendix K'!$F$32+'Appendix K'!$H$32+'Appendix K'!$G$32))/((1+$Y$16)^2))</f>
        <v>6969364.8107446749</v>
      </c>
      <c r="AA401" s="193">
        <f>(((D401*'Appendix K'!$C$7*1000)-('Appendix K'!$E$33+'Appendix K'!$F$33+'Appendix K'!$H$33+'Appendix K'!$G$33))/((1+$Y$16)^3))</f>
        <v>2465515.4460822237</v>
      </c>
      <c r="AB401" s="193">
        <f>(((E401*'Appendix K'!$C$8*1000)-('Appendix K'!$E$34+'Appendix K'!$F$34+'Appendix K'!$H$34+'Appendix K'!$G$34))/((1+$Y$16)^4))</f>
        <v>10997387.698576991</v>
      </c>
      <c r="AC401" s="193">
        <f>(((F401*'Appendix K'!$C$9*1000)-('Appendix K'!$E$35+'Appendix K'!$F$35+'Appendix K'!$H$35+'Appendix K'!$G$35))/((1+$Y$16)^AC$34))</f>
        <v>10450491.19606306</v>
      </c>
      <c r="AD401" s="193">
        <f>(((G401*'Appendix K'!$C$10*1000)-('Appendix K'!$E$36+'Appendix K'!$F$36+'Appendix K'!$H$36+'Appendix K'!$G$36))/((1+$Y$16)^AD$34))</f>
        <v>5167786.4890877744</v>
      </c>
      <c r="AE401" s="193">
        <f>(((H401*'Appendix K'!$C$11*1000)-('Appendix K'!$E$37+'Appendix K'!$F$37+'Appendix K'!$H$37+'Appendix K'!$G$37))/((1+$Y$16)^AE$34))</f>
        <v>4729551.0042865779</v>
      </c>
      <c r="AF401" s="193">
        <f>(((I401*'Appendix K'!$C$12*1000)-('Appendix K'!$E$38+'Appendix K'!$F$38+'Appendix K'!$H$38+'Appendix K'!$G$38))/((1+$Y$16)^AF$34))</f>
        <v>966481.4648413891</v>
      </c>
      <c r="AG401" s="193">
        <f>(((J401*'Appendix K'!$C$13*1000)-('Appendix K'!$E$39+'Appendix K'!$F$39+'Appendix K'!$H$39+'Appendix K'!$G$39))/((1+$Y$16)^AG$34))</f>
        <v>57650.564081194752</v>
      </c>
      <c r="AH401" s="193">
        <f>(((K401*'Appendix K'!$C$14*1000)-('Appendix K'!$E$40+'Appendix K'!$F$40+'Appendix K'!$H$40+'Appendix K'!$G$40))/((1+$Y$16)^AH$34))</f>
        <v>-87521.482679541106</v>
      </c>
      <c r="AI401" s="193">
        <f>(((L401*'Appendix K'!$C$15*1000)-('Appendix K'!$E$41+'Appendix K'!$F$41+'Appendix K'!$H$41+'Appendix K'!$G$41))/((1+$Y$16)^AI$34))</f>
        <v>-500894.96069296898</v>
      </c>
      <c r="AJ401" s="193">
        <f>(((M401*'Appendix K'!$C$16*1000)-('Appendix K'!$E$42+'Appendix K'!$F$42+'Appendix K'!$H$42+'Appendix K'!$G$42))/((1+$Y$16)^AJ$34))</f>
        <v>-866053.08233914338</v>
      </c>
      <c r="AK401" s="193">
        <f>(((N401*'Appendix K'!$C$17*1000)-('Appendix K'!$E$43+'Appendix K'!$F$43+'Appendix K'!$H$43))/((1+$Y$16)^AK$34))</f>
        <v>-895791.48418749112</v>
      </c>
      <c r="AL401" s="193">
        <f>(((O401*'Appendix K'!$C$18*1000)-('Appendix K'!$E$44+'Appendix K'!$F$44+'Appendix K'!$H$44+'Appendix K'!$G$44))/((1+$Y$16)^AL$34))</f>
        <v>-1088585.5308234834</v>
      </c>
      <c r="AM401" s="193">
        <f>(((P401*'Appendix K'!$C$19*1000)-('Appendix K'!$E$45+'Appendix K'!$F$45+'Appendix K'!$H$45+'Appendix K'!$G$45))/((1+$Y$16)^AM$34))</f>
        <v>-1003296.7594934147</v>
      </c>
      <c r="AN401" s="193">
        <f>(((Q401*'Appendix K'!$C$20*1000)-('Appendix K'!$E$46+'Appendix K'!$F$46+'Appendix K'!$H$46+'Appendix K'!$G$46))/((1+$Y$16)^AN$34))</f>
        <v>-891515.61864222051</v>
      </c>
      <c r="AO401" s="193">
        <f>(((R401*'Appendix K'!$C$21*1000)-('Appendix K'!$E$47+'Appendix K'!$F$47+'Appendix K'!$H$47+'Appendix K'!$G$47))/((1+$Y$16)^AO$34))</f>
        <v>-813481.16276689142</v>
      </c>
      <c r="AP401" s="193">
        <f>(((S401*'Appendix K'!$C$22*1000)-('Appendix K'!$E$48+'Appendix K'!$F$48+'Appendix K'!$H$48+'Appendix K'!$G$48))/((1+$Y$16)^AP$34))</f>
        <v>-730771.53010114003</v>
      </c>
      <c r="AQ401" s="193">
        <f>(((T401*'Appendix K'!$C$23*1000)-('Appendix K'!$E$49+'Appendix K'!$F$49+'Appendix K'!$H$49+'Appendix K'!$G$49))/((1+$Y$16)^AQ$34))</f>
        <v>-687029.16631519841</v>
      </c>
      <c r="AR401" s="193">
        <f>(((U401*'Appendix K'!$C$24*1000)-('Appendix K'!$E$50+'Appendix K'!$F$50+'Appendix K'!$H$50+'Appendix K'!$G$50))/((1+$Y$16)^AR$34))</f>
        <v>-624038.63186244958</v>
      </c>
      <c r="AS401" s="209">
        <f t="shared" si="26"/>
        <v>43180391.20233614</v>
      </c>
      <c r="AU401" s="199">
        <f t="shared" si="25"/>
        <v>5.1737064994831606E-9</v>
      </c>
    </row>
    <row r="402" spans="1:47" x14ac:dyDescent="0.35">
      <c r="A402">
        <v>368</v>
      </c>
      <c r="B402" s="70">
        <v>56</v>
      </c>
      <c r="C402" s="70">
        <v>72.979036165938069</v>
      </c>
      <c r="D402" s="70">
        <v>78.623918199392392</v>
      </c>
      <c r="E402" s="70">
        <v>111.55235647434827</v>
      </c>
      <c r="F402" s="70">
        <v>165.4038165572257</v>
      </c>
      <c r="G402" s="70">
        <v>169.76518232131849</v>
      </c>
      <c r="H402" s="70">
        <v>167.07957251943824</v>
      </c>
      <c r="I402" s="70">
        <v>142.70515971445889</v>
      </c>
      <c r="J402" s="70">
        <v>166.21505447891042</v>
      </c>
      <c r="K402" s="70">
        <v>118.04881757236691</v>
      </c>
      <c r="L402" s="70">
        <v>167.22572690764838</v>
      </c>
      <c r="M402" s="70">
        <v>161.76490645276249</v>
      </c>
      <c r="N402" s="70">
        <v>260.26965423056578</v>
      </c>
      <c r="O402" s="70">
        <v>247.5508806042308</v>
      </c>
      <c r="P402" s="70">
        <v>263.16719481425986</v>
      </c>
      <c r="Q402" s="70">
        <v>235.34113325695409</v>
      </c>
      <c r="R402" s="70">
        <v>420.03671986605298</v>
      </c>
      <c r="S402" s="70">
        <v>500</v>
      </c>
      <c r="T402" s="70">
        <v>492.86415795434357</v>
      </c>
      <c r="U402" s="70">
        <v>500</v>
      </c>
      <c r="V402" s="70">
        <v>480.08151357271436</v>
      </c>
      <c r="X402" s="193">
        <f>((0-('Appendix K'!$I$30))/(1+$Y$16)^0)</f>
        <v>-33594902.4440751</v>
      </c>
      <c r="Y402" s="193">
        <f>(((B402*'Appendix K'!$C$5*1000)-('Appendix K'!$E$31+'Appendix K'!$F$31+'Appendix K'!$H$31+'Appendix K'!$G$31))/((1+$Y$16)^1))</f>
        <v>34971064.972647354</v>
      </c>
      <c r="Z402" s="193">
        <f>+(((C402*'Appendix K'!$C$6*1000)-('Appendix K'!$E$32+'Appendix K'!$F$32+'Appendix K'!$H$32+'Appendix K'!$G$32))/((1+$Y$16)^2))</f>
        <v>14948505.035140809</v>
      </c>
      <c r="AA402" s="193">
        <f>(((D402*'Appendix K'!$C$7*1000)-('Appendix K'!$E$33+'Appendix K'!$F$33+'Appendix K'!$H$33+'Appendix K'!$G$33))/((1+$Y$16)^3))</f>
        <v>7049813.4820486577</v>
      </c>
      <c r="AB402" s="193">
        <f>(((E402*'Appendix K'!$C$8*1000)-('Appendix K'!$E$34+'Appendix K'!$F$34+'Appendix K'!$H$34+'Appendix K'!$G$34))/((1+$Y$16)^4))</f>
        <v>21158047.486786444</v>
      </c>
      <c r="AC402" s="193">
        <f>(((F402*'Appendix K'!$C$9*1000)-('Appendix K'!$E$35+'Appendix K'!$F$35+'Appendix K'!$H$35+'Appendix K'!$G$35))/((1+$Y$16)^AC$34))</f>
        <v>40979846.191150777</v>
      </c>
      <c r="AD402" s="193">
        <f>(((G402*'Appendix K'!$C$10*1000)-('Appendix K'!$E$36+'Appendix K'!$F$36+'Appendix K'!$H$36+'Appendix K'!$G$36))/((1+$Y$16)^AD$34))</f>
        <v>24144832.083837103</v>
      </c>
      <c r="AE402" s="193">
        <f>(((H402*'Appendix K'!$C$11*1000)-('Appendix K'!$E$37+'Appendix K'!$F$37+'Appendix K'!$H$37+'Appendix K'!$G$37))/((1+$Y$16)^AE$34))</f>
        <v>14444179.424711643</v>
      </c>
      <c r="AF402" s="193">
        <f>(((I402*'Appendix K'!$C$12*1000)-('Appendix K'!$E$38+'Appendix K'!$F$38+'Appendix K'!$H$38+'Appendix K'!$G$38))/((1+$Y$16)^AF$34))</f>
        <v>7373788.1272000056</v>
      </c>
      <c r="AG402" s="193">
        <f>(((J402*'Appendix K'!$C$13*1000)-('Appendix K'!$E$39+'Appendix K'!$F$39+'Appendix K'!$H$39+'Appendix K'!$G$39))/((1+$Y$16)^AG$34))</f>
        <v>5834095.5118177477</v>
      </c>
      <c r="AH402" s="193">
        <f>(((K402*'Appendix K'!$C$14*1000)-('Appendix K'!$E$40+'Appendix K'!$F$40+'Appendix K'!$H$40+'Appendix K'!$G$40))/((1+$Y$16)^AH$34))</f>
        <v>2346274.4719757442</v>
      </c>
      <c r="AI402" s="193">
        <f>(((L402*'Appendix K'!$C$15*1000)-('Appendix K'!$E$41+'Appendix K'!$F$41+'Appendix K'!$H$41+'Appendix K'!$G$41))/((1+$Y$16)^AI$34))</f>
        <v>2865145.4102920718</v>
      </c>
      <c r="AJ402" s="193">
        <f>(((M402*'Appendix K'!$C$16*1000)-('Appendix K'!$E$42+'Appendix K'!$F$42+'Appendix K'!$H$42+'Appendix K'!$G$42))/((1+$Y$16)^AJ$34))</f>
        <v>1860519.778118551</v>
      </c>
      <c r="AK402" s="193">
        <f>(((N402*'Appendix K'!$C$17*1000)-('Appendix K'!$E$43+'Appendix K'!$F$43+'Appendix K'!$H$43))/((1+$Y$16)^AK$34))</f>
        <v>2994497.6638481487</v>
      </c>
      <c r="AL402" s="193">
        <f>(((O402*'Appendix K'!$C$18*1000)-('Appendix K'!$E$44+'Appendix K'!$F$44+'Appendix K'!$H$44+'Appendix K'!$G$44))/((1+$Y$16)^AL$34))</f>
        <v>1799704.3045046723</v>
      </c>
      <c r="AM402" s="193">
        <f>(((P402*'Appendix K'!$C$19*1000)-('Appendix K'!$E$45+'Appendix K'!$F$45+'Appendix K'!$H$45+'Appendix K'!$G$45))/((1+$Y$16)^AM$34))</f>
        <v>1412460.2031448856</v>
      </c>
      <c r="AN402" s="193">
        <f>(((Q402*'Appendix K'!$C$20*1000)-('Appendix K'!$E$46+'Appendix K'!$F$46+'Appendix K'!$H$46+'Appendix K'!$G$46))/((1+$Y$16)^AN$34))</f>
        <v>787270.64472914592</v>
      </c>
      <c r="AO402" s="193">
        <f>(((R402*'Appendix K'!$C$21*1000)-('Appendix K'!$E$47+'Appendix K'!$F$47+'Appendix K'!$H$47+'Appendix K'!$G$47))/((1+$Y$16)^AO$34))</f>
        <v>1639464.4947010812</v>
      </c>
      <c r="AP402" s="193">
        <f>(((S402*'Appendix K'!$C$22*1000)-('Appendix K'!$E$48+'Appendix K'!$F$48+'Appendix K'!$H$48+'Appendix K'!$G$48))/((1+$Y$16)^AP$34))</f>
        <v>1630406.4380253027</v>
      </c>
      <c r="AQ402" s="193">
        <f>(((T402*'Appendix K'!$C$23*1000)-('Appendix K'!$E$49+'Appendix K'!$F$49+'Appendix K'!$H$49+'Appendix K'!$G$49))/((1+$Y$16)^AQ$34))</f>
        <v>1235458.5062611361</v>
      </c>
      <c r="AR402" s="193">
        <f>(((U402*'Appendix K'!$C$24*1000)-('Appendix K'!$E$50+'Appendix K'!$F$50+'Appendix K'!$H$50+'Appendix K'!$G$50))/((1+$Y$16)^AR$34))</f>
        <v>980725.14012097823</v>
      </c>
      <c r="AS402" s="209">
        <f t="shared" si="26"/>
        <v>156861196.92698714</v>
      </c>
      <c r="AU402" s="199">
        <f t="shared" si="25"/>
        <v>3.3393434342755356E-9</v>
      </c>
    </row>
    <row r="403" spans="1:47" x14ac:dyDescent="0.35">
      <c r="A403">
        <v>369</v>
      </c>
      <c r="B403" s="70">
        <v>56</v>
      </c>
      <c r="C403" s="70">
        <v>64.801967907538241</v>
      </c>
      <c r="D403" s="70">
        <v>64.083403322490369</v>
      </c>
      <c r="E403" s="70">
        <v>60.511352132070535</v>
      </c>
      <c r="F403" s="70">
        <v>37.596937931046192</v>
      </c>
      <c r="G403" s="70">
        <v>23.512474417763194</v>
      </c>
      <c r="H403" s="70">
        <v>28.11924475882104</v>
      </c>
      <c r="I403" s="70">
        <v>39.533435807228187</v>
      </c>
      <c r="J403" s="70">
        <v>53.341971520123998</v>
      </c>
      <c r="K403" s="70">
        <v>72.044241296282024</v>
      </c>
      <c r="L403" s="70">
        <v>73.051333715561199</v>
      </c>
      <c r="M403" s="70">
        <v>90.781638394041209</v>
      </c>
      <c r="N403" s="70">
        <v>118.18424125164945</v>
      </c>
      <c r="O403" s="70">
        <v>118.0871943418671</v>
      </c>
      <c r="P403" s="70">
        <v>67.691332627659961</v>
      </c>
      <c r="Q403" s="70">
        <v>111.38929126086654</v>
      </c>
      <c r="R403" s="70">
        <v>96.928393822685905</v>
      </c>
      <c r="S403" s="70">
        <v>75.921354688586845</v>
      </c>
      <c r="T403" s="70">
        <v>83.453573164038133</v>
      </c>
      <c r="U403" s="70">
        <v>65.738293866109657</v>
      </c>
      <c r="V403" s="70">
        <v>72.485350078747814</v>
      </c>
      <c r="X403" s="193">
        <f>((0-('Appendix K'!$I$30))/(1+$Y$16)^0)</f>
        <v>-33594902.4440751</v>
      </c>
      <c r="Y403" s="193">
        <f>(((B403*'Appendix K'!$C$5*1000)-('Appendix K'!$E$31+'Appendix K'!$F$31+'Appendix K'!$H$31+'Appendix K'!$G$31))/((1+$Y$16)^1))</f>
        <v>34971064.972647354</v>
      </c>
      <c r="Z403" s="193">
        <f>+(((C403*'Appendix K'!$C$6*1000)-('Appendix K'!$E$32+'Appendix K'!$F$32+'Appendix K'!$H$32+'Appendix K'!$G$32))/((1+$Y$16)^2))</f>
        <v>12882837.739655931</v>
      </c>
      <c r="AA403" s="193">
        <f>(((D403*'Appendix K'!$C$7*1000)-('Appendix K'!$E$33+'Appendix K'!$F$33+'Appendix K'!$H$33+'Appendix K'!$G$33))/((1+$Y$16)^3))</f>
        <v>5197717.2555769142</v>
      </c>
      <c r="AB403" s="193">
        <f>(((E403*'Appendix K'!$C$8*1000)-('Appendix K'!$E$34+'Appendix K'!$F$34+'Appendix K'!$H$34+'Appendix K'!$G$34))/((1+$Y$16)^4))</f>
        <v>9970326.5703823436</v>
      </c>
      <c r="AC403" s="193">
        <f>(((F403*'Appendix K'!$C$9*1000)-('Appendix K'!$E$35+'Appendix K'!$F$35+'Appendix K'!$H$35+'Appendix K'!$G$35))/((1+$Y$16)^AC$34))</f>
        <v>7008978.5451260293</v>
      </c>
      <c r="AD403" s="193">
        <f>(((G403*'Appendix K'!$C$10*1000)-('Appendix K'!$E$36+'Appendix K'!$F$36+'Appendix K'!$H$36+'Appendix K'!$G$36))/((1+$Y$16)^AD$34))</f>
        <v>1176728.9147009219</v>
      </c>
      <c r="AE403" s="193">
        <f>(((H403*'Appendix K'!$C$11*1000)-('Appendix K'!$E$37+'Appendix K'!$F$37+'Appendix K'!$H$37+'Appendix K'!$G$37))/((1+$Y$16)^AE$34))</f>
        <v>584605.83152716304</v>
      </c>
      <c r="AF403" s="193">
        <f>(((I403*'Appendix K'!$C$12*1000)-('Appendix K'!$E$38+'Appendix K'!$F$38+'Appendix K'!$H$38+'Appendix K'!$G$38))/((1+$Y$16)^AF$34))</f>
        <v>599282.33364964591</v>
      </c>
      <c r="AG403" s="193">
        <f>(((J403*'Appendix K'!$C$13*1000)-('Appendix K'!$E$39+'Appendix K'!$F$39+'Appendix K'!$H$39+'Appendix K'!$G$39))/((1+$Y$16)^AG$34))</f>
        <v>639796.71909575386</v>
      </c>
      <c r="AH403" s="193">
        <f>(((K403*'Appendix K'!$C$14*1000)-('Appendix K'!$E$40+'Appendix K'!$F$40+'Appendix K'!$H$40+'Appendix K'!$G$40))/((1+$Y$16)^AH$34))</f>
        <v>795619.99082030798</v>
      </c>
      <c r="AI403" s="193">
        <f>(((L403*'Appendix K'!$C$15*1000)-('Appendix K'!$E$41+'Appendix K'!$F$41+'Appendix K'!$H$41+'Appendix K'!$G$41))/((1+$Y$16)^AI$34))</f>
        <v>397600.20168057532</v>
      </c>
      <c r="AJ403" s="193">
        <f>(((M403*'Appendix K'!$C$16*1000)-('Appendix K'!$E$42+'Appendix K'!$F$42+'Appendix K'!$H$42+'Appendix K'!$G$42))/((1+$Y$16)^AJ$34))</f>
        <v>437882.56202564453</v>
      </c>
      <c r="AK403" s="193">
        <f>(((N403*'Appendix K'!$C$17*1000)-('Appendix K'!$E$43+'Appendix K'!$F$43+'Appendix K'!$H$43))/((1+$Y$16)^AK$34))</f>
        <v>811511.94790550217</v>
      </c>
      <c r="AL403" s="193">
        <f>(((O403*'Appendix K'!$C$18*1000)-('Appendix K'!$E$44+'Appendix K'!$F$44+'Appendix K'!$H$44+'Appendix K'!$G$44))/((1+$Y$16)^AL$34))</f>
        <v>265133.13627194788</v>
      </c>
      <c r="AM403" s="193">
        <f>(((P403*'Appendix K'!$C$19*1000)-('Appendix K'!$E$45+'Appendix K'!$F$45+'Appendix K'!$H$45+'Appendix K'!$G$45))/((1+$Y$16)^AM$34))</f>
        <v>-399353.13532594906</v>
      </c>
      <c r="AN403" s="193">
        <f>(((Q403*'Appendix K'!$C$20*1000)-('Appendix K'!$E$46+'Appendix K'!$F$46+'Appendix K'!$H$46+'Appendix K'!$G$46))/((1+$Y$16)^AN$34))</f>
        <v>-109671.76797925224</v>
      </c>
      <c r="AO403" s="193">
        <f>(((R403*'Appendix K'!$C$21*1000)-('Appendix K'!$E$47+'Appendix K'!$F$47+'Appendix K'!$H$47+'Appendix K'!$G$47))/((1+$Y$16)^AO$34))</f>
        <v>-270141.40923608019</v>
      </c>
      <c r="AP403" s="193">
        <f>(((S403*'Appendix K'!$C$22*1000)-('Appendix K'!$E$48+'Appendix K'!$F$48+'Appendix K'!$H$48+'Appendix K'!$G$48))/((1+$Y$16)^AP$34))</f>
        <v>-400811.2518182341</v>
      </c>
      <c r="AQ403" s="193">
        <f>(((T403*'Appendix K'!$C$23*1000)-('Appendix K'!$E$49+'Appendix K'!$F$49+'Appendix K'!$H$49+'Appendix K'!$G$49))/((1+$Y$16)^AQ$34))</f>
        <v>-366869.71081039339</v>
      </c>
      <c r="AR403" s="193">
        <f>(((U403*'Appendix K'!$C$24*1000)-('Appendix K'!$E$50+'Appendix K'!$F$50+'Appendix K'!$H$50+'Appendix K'!$G$50))/((1+$Y$16)^AR$34))</f>
        <v>-417609.72114747518</v>
      </c>
      <c r="AS403" s="209">
        <f t="shared" si="26"/>
        <v>42144184.276990928</v>
      </c>
      <c r="AU403" s="199">
        <f t="shared" si="25"/>
        <v>5.0994153477861925E-9</v>
      </c>
    </row>
    <row r="404" spans="1:47" x14ac:dyDescent="0.35">
      <c r="A404">
        <v>370</v>
      </c>
      <c r="B404" s="70">
        <v>56</v>
      </c>
      <c r="C404" s="70">
        <v>51.812784120679126</v>
      </c>
      <c r="D404" s="70">
        <v>71.537672087714739</v>
      </c>
      <c r="E404" s="70">
        <v>87.018346366451325</v>
      </c>
      <c r="F404" s="70">
        <v>114.66516470614205</v>
      </c>
      <c r="G404" s="70">
        <v>120.73070228743262</v>
      </c>
      <c r="H404" s="70">
        <v>66.216861353989771</v>
      </c>
      <c r="I404" s="70">
        <v>37.587969064291343</v>
      </c>
      <c r="J404" s="70">
        <v>21.364242966901593</v>
      </c>
      <c r="K404" s="70">
        <v>31.404997160054229</v>
      </c>
      <c r="L404" s="70">
        <v>29.368700536157039</v>
      </c>
      <c r="M404" s="70">
        <v>43.65074413987039</v>
      </c>
      <c r="N404" s="70">
        <v>39.154126295615342</v>
      </c>
      <c r="O404" s="70">
        <v>29.091060804462714</v>
      </c>
      <c r="P404" s="70">
        <v>36.178316993745149</v>
      </c>
      <c r="Q404" s="70">
        <v>27.889768917672733</v>
      </c>
      <c r="R404" s="70">
        <v>40.902295566985977</v>
      </c>
      <c r="S404" s="70">
        <v>56.554467995887521</v>
      </c>
      <c r="T404" s="70">
        <v>69.701781802355924</v>
      </c>
      <c r="U404" s="70">
        <v>75.002590104838063</v>
      </c>
      <c r="V404" s="70">
        <v>108.07831231090083</v>
      </c>
      <c r="X404" s="193">
        <f>((0-('Appendix K'!$I$30))/(1+$Y$16)^0)</f>
        <v>-33594902.4440751</v>
      </c>
      <c r="Y404" s="193">
        <f>(((B404*'Appendix K'!$C$5*1000)-('Appendix K'!$E$31+'Appendix K'!$F$31+'Appendix K'!$H$31+'Appendix K'!$G$31))/((1+$Y$16)^1))</f>
        <v>34971064.972647354</v>
      </c>
      <c r="Z404" s="193">
        <f>+(((C404*'Appendix K'!$C$6*1000)-('Appendix K'!$E$32+'Appendix K'!$F$32+'Appendix K'!$H$32+'Appendix K'!$G$32))/((1+$Y$16)^2))</f>
        <v>9601547.7594732363</v>
      </c>
      <c r="AA404" s="193">
        <f>(((D404*'Appendix K'!$C$7*1000)-('Appendix K'!$E$33+'Appendix K'!$F$33+'Appendix K'!$H$33+'Appendix K'!$G$33))/((1+$Y$16)^3))</f>
        <v>6147203.7880730545</v>
      </c>
      <c r="AB404" s="193">
        <f>(((E404*'Appendix K'!$C$8*1000)-('Appendix K'!$E$34+'Appendix K'!$F$34+'Appendix K'!$H$34+'Appendix K'!$G$34))/((1+$Y$16)^4))</f>
        <v>15780417.058381367</v>
      </c>
      <c r="AC404" s="193">
        <f>(((F404*'Appendix K'!$C$9*1000)-('Appendix K'!$E$35+'Appendix K'!$F$35+'Appendix K'!$H$35+'Appendix K'!$G$35))/((1+$Y$16)^AC$34))</f>
        <v>27493592.203113645</v>
      </c>
      <c r="AD404" s="193">
        <f>(((G404*'Appendix K'!$C$10*1000)-('Appendix K'!$E$36+'Appendix K'!$F$36+'Appendix K'!$H$36+'Appendix K'!$G$36))/((1+$Y$16)^AD$34))</f>
        <v>16444263.578767659</v>
      </c>
      <c r="AE404" s="193">
        <f>(((H404*'Appendix K'!$C$11*1000)-('Appendix K'!$E$37+'Appendix K'!$F$37+'Appendix K'!$H$37+'Appendix K'!$G$37))/((1+$Y$16)^AE$34))</f>
        <v>4384371.7750507416</v>
      </c>
      <c r="AF404" s="193">
        <f>(((I404*'Appendix K'!$C$12*1000)-('Appendix K'!$E$38+'Appendix K'!$F$38+'Appendix K'!$H$38+'Appendix K'!$G$38))/((1+$Y$16)^AF$34))</f>
        <v>471538.26558467973</v>
      </c>
      <c r="AG404" s="193">
        <f>(((J404*'Appendix K'!$C$13*1000)-('Appendix K'!$E$39+'Appendix K'!$F$39+'Appendix K'!$H$39+'Appendix K'!$G$39))/((1+$Y$16)^AG$34))</f>
        <v>-831784.21467429225</v>
      </c>
      <c r="AH404" s="193">
        <f>(((K404*'Appendix K'!$C$14*1000)-('Appendix K'!$E$40+'Appendix K'!$F$40+'Appendix K'!$H$40+'Appendix K'!$G$40))/((1+$Y$16)^AH$34))</f>
        <v>-574187.77900737594</v>
      </c>
      <c r="AI404" s="193">
        <f>(((L404*'Appendix K'!$C$15*1000)-('Appendix K'!$E$41+'Appendix K'!$F$41+'Appendix K'!$H$41+'Appendix K'!$G$41))/((1+$Y$16)^AI$34))</f>
        <v>-746966.47454441246</v>
      </c>
      <c r="AJ404" s="193">
        <f>(((M404*'Appendix K'!$C$16*1000)-('Appendix K'!$E$42+'Appendix K'!$F$42+'Appendix K'!$H$42+'Appendix K'!$G$42))/((1+$Y$16)^AJ$34))</f>
        <v>-506708.55116817373</v>
      </c>
      <c r="AK404" s="193">
        <f>(((N404*'Appendix K'!$C$17*1000)-('Appendix K'!$E$43+'Appendix K'!$F$43+'Appendix K'!$H$43))/((1+$Y$16)^AK$34))</f>
        <v>-402698.63473838812</v>
      </c>
      <c r="AL404" s="193">
        <f>(((O404*'Appendix K'!$C$18*1000)-('Appendix K'!$E$44+'Appendix K'!$F$44+'Appendix K'!$H$44+'Appendix K'!$G$44))/((1+$Y$16)^AL$34))</f>
        <v>-789764.22184840916</v>
      </c>
      <c r="AM404" s="193">
        <f>(((P404*'Appendix K'!$C$19*1000)-('Appendix K'!$E$45+'Appendix K'!$F$45+'Appendix K'!$H$45+'Appendix K'!$G$45))/((1+$Y$16)^AM$34))</f>
        <v>-691438.8252023987</v>
      </c>
      <c r="AN404" s="193">
        <f>(((Q404*'Appendix K'!$C$20*1000)-('Appendix K'!$E$46+'Appendix K'!$F$46+'Appendix K'!$H$46+'Appendix K'!$G$46))/((1+$Y$16)^AN$34))</f>
        <v>-713892.42193990131</v>
      </c>
      <c r="AO404" s="193">
        <f>(((R404*'Appendix K'!$C$21*1000)-('Appendix K'!$E$47+'Appendix K'!$F$47+'Appendix K'!$H$47+'Appendix K'!$G$47))/((1+$Y$16)^AO$34))</f>
        <v>-601261.8396928563</v>
      </c>
      <c r="AP404" s="193">
        <f>(((S404*'Appendix K'!$C$22*1000)-('Appendix K'!$E$48+'Appendix K'!$F$48+'Appendix K'!$H$48+'Appendix K'!$G$48))/((1+$Y$16)^AP$34))</f>
        <v>-493573.20359847281</v>
      </c>
      <c r="AQ404" s="193">
        <f>(((T404*'Appendix K'!$C$23*1000)-('Appendix K'!$E$49+'Appendix K'!$F$49+'Appendix K'!$H$49+'Appendix K'!$G$49))/((1+$Y$16)^AQ$34))</f>
        <v>-420690.70165114047</v>
      </c>
      <c r="AR404" s="193">
        <f>(((U404*'Appendix K'!$C$24*1000)-('Appendix K'!$E$50+'Appendix K'!$F$50+'Appendix K'!$H$50+'Appendix K'!$G$50))/((1+$Y$16)^AR$34))</f>
        <v>-387778.42768376367</v>
      </c>
      <c r="AS404" s="209">
        <f t="shared" si="26"/>
        <v>81699096.957016647</v>
      </c>
      <c r="AU404" s="199">
        <f t="shared" si="25"/>
        <v>6.9915569555123515E-9</v>
      </c>
    </row>
    <row r="405" spans="1:47" x14ac:dyDescent="0.35">
      <c r="A405">
        <v>371</v>
      </c>
      <c r="B405" s="70">
        <v>56</v>
      </c>
      <c r="C405" s="70">
        <v>43.501743675947182</v>
      </c>
      <c r="D405" s="70">
        <v>54.099949405980276</v>
      </c>
      <c r="E405" s="70">
        <v>83.344248172877286</v>
      </c>
      <c r="F405" s="70">
        <v>119.79101280829002</v>
      </c>
      <c r="G405" s="70">
        <v>107.94273734581346</v>
      </c>
      <c r="H405" s="70">
        <v>83.605011301326783</v>
      </c>
      <c r="I405" s="70">
        <v>73.330419978512566</v>
      </c>
      <c r="J405" s="70">
        <v>85.328807074628216</v>
      </c>
      <c r="K405" s="70">
        <v>70.067413106736808</v>
      </c>
      <c r="L405" s="70">
        <v>113.33839381926869</v>
      </c>
      <c r="M405" s="70">
        <v>46.760811959130578</v>
      </c>
      <c r="N405" s="70">
        <v>38.838145880741259</v>
      </c>
      <c r="O405" s="70">
        <v>40.066193847067218</v>
      </c>
      <c r="P405" s="70">
        <v>59.562682642009378</v>
      </c>
      <c r="Q405" s="70">
        <v>43.873076707166661</v>
      </c>
      <c r="R405" s="70">
        <v>39.352997175424704</v>
      </c>
      <c r="S405" s="70">
        <v>31.299332642367773</v>
      </c>
      <c r="T405" s="70">
        <v>46.598345607653087</v>
      </c>
      <c r="U405" s="70">
        <v>33.601969742447643</v>
      </c>
      <c r="V405" s="70">
        <v>40.074888340844112</v>
      </c>
      <c r="X405" s="193">
        <f>((0-('Appendix K'!$I$30))/(1+$Y$16)^0)</f>
        <v>-33594902.4440751</v>
      </c>
      <c r="Y405" s="193">
        <f>(((B405*'Appendix K'!$C$5*1000)-('Appendix K'!$E$31+'Appendix K'!$F$31+'Appendix K'!$H$31+'Appendix K'!$G$31))/((1+$Y$16)^1))</f>
        <v>34971064.972647354</v>
      </c>
      <c r="Z405" s="193">
        <f>+(((C405*'Appendix K'!$C$6*1000)-('Appendix K'!$E$32+'Appendix K'!$F$32+'Appendix K'!$H$32+'Appendix K'!$G$32))/((1+$Y$16)^2))</f>
        <v>7502036.7983779386</v>
      </c>
      <c r="AA405" s="193">
        <f>(((D405*'Appendix K'!$C$7*1000)-('Appendix K'!$E$33+'Appendix K'!$F$33+'Appendix K'!$H$33+'Appendix K'!$G$33))/((1+$Y$16)^3))</f>
        <v>3926076.087264834</v>
      </c>
      <c r="AB405" s="193">
        <f>(((E405*'Appendix K'!$C$8*1000)-('Appendix K'!$E$34+'Appendix K'!$F$34+'Appendix K'!$H$34+'Appendix K'!$G$34))/((1+$Y$16)^4))</f>
        <v>14975088.367481701</v>
      </c>
      <c r="AC405" s="193">
        <f>(((F405*'Appendix K'!$C$9*1000)-('Appendix K'!$E$35+'Appendix K'!$F$35+'Appendix K'!$H$35+'Appendix K'!$G$35))/((1+$Y$16)^AC$34))</f>
        <v>28856034.579638656</v>
      </c>
      <c r="AD405" s="193">
        <f>(((G405*'Appendix K'!$C$10*1000)-('Appendix K'!$E$36+'Appendix K'!$F$36+'Appendix K'!$H$36+'Appendix K'!$G$36))/((1+$Y$16)^AD$34))</f>
        <v>14435991.032483641</v>
      </c>
      <c r="AE405" s="193">
        <f>(((H405*'Appendix K'!$C$11*1000)-('Appendix K'!$E$37+'Appendix K'!$F$37+'Appendix K'!$H$37+'Appendix K'!$G$37))/((1+$Y$16)^AE$34))</f>
        <v>6118624.6206513532</v>
      </c>
      <c r="AF405" s="193">
        <f>(((I405*'Appendix K'!$C$12*1000)-('Appendix K'!$E$38+'Appendix K'!$F$38+'Appendix K'!$H$38+'Appendix K'!$G$38))/((1+$Y$16)^AF$34))</f>
        <v>2818474.3409361453</v>
      </c>
      <c r="AG405" s="193">
        <f>(((J405*'Appendix K'!$C$13*1000)-('Appendix K'!$E$39+'Appendix K'!$F$39+'Appendix K'!$H$39+'Appendix K'!$G$39))/((1+$Y$16)^AG$34))</f>
        <v>2111796.7473436282</v>
      </c>
      <c r="AH405" s="193">
        <f>(((K405*'Appendix K'!$C$14*1000)-('Appendix K'!$E$40+'Appendix K'!$F$40+'Appendix K'!$H$40+'Appendix K'!$G$40))/((1+$Y$16)^AH$34))</f>
        <v>728987.97855708026</v>
      </c>
      <c r="AI405" s="193">
        <f>(((L405*'Appendix K'!$C$15*1000)-('Appendix K'!$E$41+'Appendix K'!$F$41+'Appendix K'!$H$41+'Appendix K'!$G$41))/((1+$Y$16)^AI$34))</f>
        <v>1453196.5135695222</v>
      </c>
      <c r="AJ405" s="193">
        <f>(((M405*'Appendix K'!$C$16*1000)-('Appendix K'!$E$42+'Appendix K'!$F$42+'Appendix K'!$H$42+'Appendix K'!$G$42))/((1+$Y$16)^AJ$34))</f>
        <v>-444376.98564216471</v>
      </c>
      <c r="AK405" s="193">
        <f>(((N405*'Appendix K'!$C$17*1000)-('Appendix K'!$E$43+'Appendix K'!$F$43+'Appendix K'!$H$43))/((1+$Y$16)^AK$34))</f>
        <v>-407553.32543271093</v>
      </c>
      <c r="AL405" s="193">
        <f>(((O405*'Appendix K'!$C$18*1000)-('Appendix K'!$E$44+'Appendix K'!$F$44+'Appendix K'!$H$44+'Appendix K'!$G$44))/((1+$Y$16)^AL$34))</f>
        <v>-659672.74043818668</v>
      </c>
      <c r="AM405" s="193">
        <f>(((P405*'Appendix K'!$C$19*1000)-('Appendix K'!$E$45+'Appendix K'!$F$45+'Appendix K'!$H$45+'Appendix K'!$G$45))/((1+$Y$16)^AM$34))</f>
        <v>-474695.41187620483</v>
      </c>
      <c r="AN405" s="193">
        <f>(((Q405*'Appendix K'!$C$20*1000)-('Appendix K'!$E$46+'Appendix K'!$F$46+'Appendix K'!$H$46+'Appendix K'!$G$46))/((1+$Y$16)^AN$34))</f>
        <v>-598233.74014135147</v>
      </c>
      <c r="AO405" s="193">
        <f>(((R405*'Appendix K'!$C$21*1000)-('Appendix K'!$E$47+'Appendix K'!$F$47+'Appendix K'!$H$47+'Appendix K'!$G$47))/((1+$Y$16)^AO$34))</f>
        <v>-610418.36435353209</v>
      </c>
      <c r="AP405" s="193">
        <f>(((S405*'Appendix K'!$C$22*1000)-('Appendix K'!$E$48+'Appendix K'!$F$48+'Appendix K'!$H$48+'Appendix K'!$G$48))/((1+$Y$16)^AP$34))</f>
        <v>-614538.21387809236</v>
      </c>
      <c r="AQ405" s="193">
        <f>(((T405*'Appendix K'!$C$23*1000)-('Appendix K'!$E$49+'Appendix K'!$F$49+'Appendix K'!$H$49+'Appendix K'!$G$49))/((1+$Y$16)^AQ$34))</f>
        <v>-511111.63628585404</v>
      </c>
      <c r="AR405" s="193">
        <f>(((U405*'Appendix K'!$C$24*1000)-('Appendix K'!$E$50+'Appendix K'!$F$50+'Appendix K'!$H$50+'Appendix K'!$G$50))/((1+$Y$16)^AR$34))</f>
        <v>-521089.58524878748</v>
      </c>
      <c r="AS405" s="209">
        <f t="shared" si="26"/>
        <v>84302469.594876736</v>
      </c>
      <c r="AU405" s="199">
        <f t="shared" si="25"/>
        <v>7.0176942197222081E-9</v>
      </c>
    </row>
    <row r="406" spans="1:47" x14ac:dyDescent="0.35">
      <c r="A406">
        <v>372</v>
      </c>
      <c r="B406" s="70">
        <v>56</v>
      </c>
      <c r="C406" s="70">
        <v>71.246672603035762</v>
      </c>
      <c r="D406" s="70">
        <v>67.503962997315938</v>
      </c>
      <c r="E406" s="70">
        <v>45.048627721944101</v>
      </c>
      <c r="F406" s="70">
        <v>34.850874360151366</v>
      </c>
      <c r="G406" s="70">
        <v>42.619091830983123</v>
      </c>
      <c r="H406" s="70">
        <v>45.86227248903176</v>
      </c>
      <c r="I406" s="70">
        <v>39.914960510127266</v>
      </c>
      <c r="J406" s="70">
        <v>20.396337805690944</v>
      </c>
      <c r="K406" s="70">
        <v>24.328287098576585</v>
      </c>
      <c r="L406" s="70">
        <v>32.455604511165745</v>
      </c>
      <c r="M406" s="70">
        <v>33.051286525423009</v>
      </c>
      <c r="N406" s="70">
        <v>25.334793874734128</v>
      </c>
      <c r="O406" s="70">
        <v>36.308485875121093</v>
      </c>
      <c r="P406" s="70">
        <v>28.39466263763088</v>
      </c>
      <c r="Q406" s="70">
        <v>29.289934723651214</v>
      </c>
      <c r="R406" s="70">
        <v>31.90839380406954</v>
      </c>
      <c r="S406" s="70">
        <v>31.042251923148076</v>
      </c>
      <c r="T406" s="70">
        <v>22.450990917733012</v>
      </c>
      <c r="U406" s="70">
        <v>26.305688341475882</v>
      </c>
      <c r="V406" s="70">
        <v>4.9014260116784421</v>
      </c>
      <c r="X406" s="193">
        <f>((0-('Appendix K'!$I$30))/(1+$Y$16)^0)</f>
        <v>-33594902.4440751</v>
      </c>
      <c r="Y406" s="193">
        <f>(((B406*'Appendix K'!$C$5*1000)-('Appendix K'!$E$31+'Appendix K'!$F$31+'Appendix K'!$H$31+'Appendix K'!$G$31))/((1+$Y$16)^1))</f>
        <v>34971064.972647354</v>
      </c>
      <c r="Z406" s="193">
        <f>+(((C406*'Appendix K'!$C$6*1000)-('Appendix K'!$E$32+'Appendix K'!$F$32+'Appendix K'!$H$32+'Appendix K'!$G$32))/((1+$Y$16)^2))</f>
        <v>14510880.370322708</v>
      </c>
      <c r="AA406" s="193">
        <f>(((D406*'Appendix K'!$C$7*1000)-('Appendix K'!$E$33+'Appendix K'!$F$33+'Appendix K'!$H$33+'Appendix K'!$G$33))/((1+$Y$16)^3))</f>
        <v>5633410.6075523319</v>
      </c>
      <c r="AB406" s="193">
        <f>(((E406*'Appendix K'!$C$8*1000)-('Appendix K'!$E$34+'Appendix K'!$F$34+'Appendix K'!$H$34+'Appendix K'!$G$34))/((1+$Y$16)^4))</f>
        <v>6581038.9273005966</v>
      </c>
      <c r="AC406" s="193">
        <f>(((F406*'Appendix K'!$C$9*1000)-('Appendix K'!$E$35+'Appendix K'!$F$35+'Appendix K'!$H$35+'Appendix K'!$G$35))/((1+$Y$16)^AC$34))</f>
        <v>6279079.1600757968</v>
      </c>
      <c r="AD406" s="193">
        <f>(((G406*'Appendix K'!$C$10*1000)-('Appendix K'!$E$36+'Appendix K'!$F$36+'Appendix K'!$H$36+'Appendix K'!$G$36))/((1+$Y$16)^AD$34))</f>
        <v>4177307.613383472</v>
      </c>
      <c r="AE406" s="193">
        <f>(((H406*'Appendix K'!$C$11*1000)-('Appendix K'!$E$37+'Appendix K'!$F$37+'Appendix K'!$H$37+'Appendix K'!$G$37))/((1+$Y$16)^AE$34))</f>
        <v>2354253.345718347</v>
      </c>
      <c r="AF406" s="193">
        <f>(((I406*'Appendix K'!$C$12*1000)-('Appendix K'!$E$38+'Appendix K'!$F$38+'Appendix K'!$H$38+'Appendix K'!$G$38))/((1+$Y$16)^AF$34))</f>
        <v>624334.17161734717</v>
      </c>
      <c r="AG406" s="193">
        <f>(((J406*'Appendix K'!$C$13*1000)-('Appendix K'!$E$39+'Appendix K'!$F$39+'Appendix K'!$H$39+'Appendix K'!$G$39))/((1+$Y$16)^AG$34))</f>
        <v>-876326.17701425566</v>
      </c>
      <c r="AH406" s="193">
        <f>(((K406*'Appendix K'!$C$14*1000)-('Appendix K'!$E$40+'Appendix K'!$F$40+'Appendix K'!$H$40+'Appendix K'!$G$40))/((1+$Y$16)^AH$34))</f>
        <v>-812719.09604012466</v>
      </c>
      <c r="AI406" s="193">
        <f>(((L406*'Appendix K'!$C$15*1000)-('Appendix K'!$E$41+'Appendix K'!$F$41+'Appendix K'!$H$41+'Appendix K'!$G$41))/((1+$Y$16)^AI$34))</f>
        <v>-666083.81786044524</v>
      </c>
      <c r="AJ406" s="193">
        <f>(((M406*'Appendix K'!$C$16*1000)-('Appendix K'!$E$42+'Appendix K'!$F$42+'Appendix K'!$H$42+'Appendix K'!$G$42))/((1+$Y$16)^AJ$34))</f>
        <v>-719141.47071532451</v>
      </c>
      <c r="AK406" s="193">
        <f>(((N406*'Appendix K'!$C$17*1000)-('Appendix K'!$E$43+'Appendix K'!$F$43+'Appendix K'!$H$43))/((1+$Y$16)^AK$34))</f>
        <v>-615017.44105472171</v>
      </c>
      <c r="AL406" s="193">
        <f>(((O406*'Appendix K'!$C$18*1000)-('Appendix K'!$E$44+'Appendix K'!$F$44+'Appendix K'!$H$44+'Appendix K'!$G$44))/((1+$Y$16)^AL$34))</f>
        <v>-704213.95874322392</v>
      </c>
      <c r="AM406" s="193">
        <f>(((P406*'Appendix K'!$C$19*1000)-('Appendix K'!$E$45+'Appendix K'!$F$45+'Appendix K'!$H$45+'Appendix K'!$G$45))/((1+$Y$16)^AM$34))</f>
        <v>-763583.42979297612</v>
      </c>
      <c r="AN406" s="193">
        <f>(((Q406*'Appendix K'!$C$20*1000)-('Appendix K'!$E$46+'Appendix K'!$F$46+'Appendix K'!$H$46+'Appendix K'!$G$46))/((1+$Y$16)^AN$34))</f>
        <v>-703760.51848464017</v>
      </c>
      <c r="AO406" s="193">
        <f>(((R406*'Appendix K'!$C$21*1000)-('Appendix K'!$E$47+'Appendix K'!$F$47+'Appendix K'!$H$47+'Appendix K'!$G$47))/((1+$Y$16)^AO$34))</f>
        <v>-654416.79275832116</v>
      </c>
      <c r="AP406" s="193">
        <f>(((S406*'Appendix K'!$C$22*1000)-('Appendix K'!$E$48+'Appendix K'!$F$48+'Appendix K'!$H$48+'Appendix K'!$G$48))/((1+$Y$16)^AP$34))</f>
        <v>-615769.55837131315</v>
      </c>
      <c r="AQ406" s="193">
        <f>(((T406*'Appendix K'!$C$23*1000)-('Appendix K'!$E$49+'Appendix K'!$F$49+'Appendix K'!$H$49+'Appendix K'!$G$49))/((1+$Y$16)^AQ$34))</f>
        <v>-605618.20066085912</v>
      </c>
      <c r="AR406" s="193">
        <f>(((U406*'Appendix K'!$C$24*1000)-('Appendix K'!$E$50+'Appendix K'!$F$50+'Appendix K'!$H$50+'Appendix K'!$G$50))/((1+$Y$16)^AR$34))</f>
        <v>-544583.81579339318</v>
      </c>
      <c r="AS406" s="209">
        <f t="shared" si="26"/>
        <v>41536466.724542849</v>
      </c>
      <c r="AU406" s="199">
        <f t="shared" si="25"/>
        <v>5.0555579751568484E-9</v>
      </c>
    </row>
    <row r="407" spans="1:47" x14ac:dyDescent="0.35">
      <c r="A407">
        <v>373</v>
      </c>
      <c r="B407" s="70">
        <v>56</v>
      </c>
      <c r="C407" s="70">
        <v>56.692199124923697</v>
      </c>
      <c r="D407" s="70">
        <v>58.833832037619203</v>
      </c>
      <c r="E407" s="70">
        <v>69.557214936928986</v>
      </c>
      <c r="F407" s="70">
        <v>111.56562238122348</v>
      </c>
      <c r="G407" s="70">
        <v>56.326186954567632</v>
      </c>
      <c r="H407" s="70">
        <v>79.478530778414182</v>
      </c>
      <c r="I407" s="70">
        <v>77.570748769338323</v>
      </c>
      <c r="J407" s="70">
        <v>51.287491429212416</v>
      </c>
      <c r="K407" s="70">
        <v>79.511565724298748</v>
      </c>
      <c r="L407" s="70">
        <v>87.421451332808275</v>
      </c>
      <c r="M407" s="70">
        <v>121.83200444695201</v>
      </c>
      <c r="N407" s="70">
        <v>89.861588055728902</v>
      </c>
      <c r="O407" s="70">
        <v>112.56497030046383</v>
      </c>
      <c r="P407" s="70">
        <v>81.232337031254559</v>
      </c>
      <c r="Q407" s="70">
        <v>71.876389707187087</v>
      </c>
      <c r="R407" s="70">
        <v>62.595202940987384</v>
      </c>
      <c r="S407" s="70">
        <v>31.74785342530323</v>
      </c>
      <c r="T407" s="70">
        <v>26.714202287850981</v>
      </c>
      <c r="U407" s="70">
        <v>17.459676480184484</v>
      </c>
      <c r="V407" s="70">
        <v>22.686433103658885</v>
      </c>
      <c r="X407" s="193">
        <f>((0-('Appendix K'!$I$30))/(1+$Y$16)^0)</f>
        <v>-33594902.4440751</v>
      </c>
      <c r="Y407" s="193">
        <f>(((B407*'Appendix K'!$C$5*1000)-('Appendix K'!$E$31+'Appendix K'!$F$31+'Appendix K'!$H$31+'Appendix K'!$G$31))/((1+$Y$16)^1))</f>
        <v>34971064.972647354</v>
      </c>
      <c r="Z407" s="193">
        <f>+(((C407*'Appendix K'!$C$6*1000)-('Appendix K'!$E$32+'Appendix K'!$F$32+'Appendix K'!$H$32+'Appendix K'!$G$32))/((1+$Y$16)^2))</f>
        <v>10834171.442785701</v>
      </c>
      <c r="AA407" s="193">
        <f>(((D407*'Appendix K'!$C$7*1000)-('Appendix K'!$E$33+'Appendix K'!$F$33+'Appendix K'!$H$33+'Appendix K'!$G$33))/((1+$Y$16)^3))</f>
        <v>4529053.7832297925</v>
      </c>
      <c r="AB407" s="193">
        <f>(((E407*'Appendix K'!$C$8*1000)-('Appendix K'!$E$34+'Appendix K'!$F$34+'Appendix K'!$H$34+'Appendix K'!$G$34))/((1+$Y$16)^4))</f>
        <v>11953096.89030353</v>
      </c>
      <c r="AC407" s="193">
        <f>(((F407*'Appendix K'!$C$9*1000)-('Appendix K'!$E$35+'Appendix K'!$F$35+'Appendix K'!$H$35+'Appendix K'!$G$35))/((1+$Y$16)^AC$34))</f>
        <v>26669738.720305145</v>
      </c>
      <c r="AD407" s="193">
        <f>(((G407*'Appendix K'!$C$10*1000)-('Appendix K'!$E$36+'Appendix K'!$F$36+'Appendix K'!$H$36+'Appendix K'!$G$36))/((1+$Y$16)^AD$34))</f>
        <v>6329923.995401239</v>
      </c>
      <c r="AE407" s="193">
        <f>(((H407*'Appendix K'!$C$11*1000)-('Appendix K'!$E$37+'Appendix K'!$F$37+'Appendix K'!$H$37+'Appendix K'!$G$37))/((1+$Y$16)^AE$34))</f>
        <v>5707059.2378561199</v>
      </c>
      <c r="AF407" s="193">
        <f>(((I407*'Appendix K'!$C$12*1000)-('Appendix K'!$E$38+'Appendix K'!$F$38+'Appendix K'!$H$38+'Appendix K'!$G$38))/((1+$Y$16)^AF$34))</f>
        <v>3096904.6207852759</v>
      </c>
      <c r="AG407" s="193">
        <f>(((J407*'Appendix K'!$C$13*1000)-('Appendix K'!$E$39+'Appendix K'!$F$39+'Appendix K'!$H$39+'Appendix K'!$G$39))/((1+$Y$16)^AG$34))</f>
        <v>545251.73834254849</v>
      </c>
      <c r="AH407" s="193">
        <f>(((K407*'Appendix K'!$C$14*1000)-('Appendix K'!$E$40+'Appendix K'!$F$40+'Appendix K'!$H$40+'Appendix K'!$G$40))/((1+$Y$16)^AH$34))</f>
        <v>1047317.5614501447</v>
      </c>
      <c r="AI407" s="193">
        <f>(((L407*'Appendix K'!$C$15*1000)-('Appendix K'!$E$41+'Appendix K'!$F$41+'Appendix K'!$H$41+'Appendix K'!$G$41))/((1+$Y$16)^AI$34))</f>
        <v>774124.15550416126</v>
      </c>
      <c r="AJ407" s="193">
        <f>(((M407*'Appendix K'!$C$16*1000)-('Appendix K'!$E$42+'Appendix K'!$F$42+'Appendix K'!$H$42+'Appendix K'!$G$42))/((1+$Y$16)^AJ$34))</f>
        <v>1060189.86807467</v>
      </c>
      <c r="AK407" s="193">
        <f>(((N407*'Appendix K'!$C$17*1000)-('Appendix K'!$E$43+'Appendix K'!$F$43+'Appendix K'!$H$43))/((1+$Y$16)^AK$34))</f>
        <v>376365.60833392089</v>
      </c>
      <c r="AL407" s="193">
        <f>(((O407*'Appendix K'!$C$18*1000)-('Appendix K'!$E$44+'Appendix K'!$F$44+'Appendix K'!$H$44+'Appendix K'!$G$44))/((1+$Y$16)^AL$34))</f>
        <v>199676.5897830301</v>
      </c>
      <c r="AM407" s="193">
        <f>(((P407*'Appendix K'!$C$19*1000)-('Appendix K'!$E$45+'Appendix K'!$F$45+'Appendix K'!$H$45+'Appendix K'!$G$45))/((1+$Y$16)^AM$34))</f>
        <v>-273845.19731104863</v>
      </c>
      <c r="AN407" s="193">
        <f>(((Q407*'Appendix K'!$C$20*1000)-('Appendix K'!$E$46+'Appendix K'!$F$46+'Appendix K'!$H$46+'Appendix K'!$G$46))/((1+$Y$16)^AN$34))</f>
        <v>-395595.69360986399</v>
      </c>
      <c r="AO407" s="193">
        <f>(((R407*'Appendix K'!$C$21*1000)-('Appendix K'!$E$47+'Appendix K'!$F$47+'Appendix K'!$H$47+'Appendix K'!$G$47))/((1+$Y$16)^AO$34))</f>
        <v>-473054.36047922843</v>
      </c>
      <c r="AP407" s="193">
        <f>(((S407*'Appendix K'!$C$22*1000)-('Appendix K'!$E$48+'Appendix K'!$F$48+'Appendix K'!$H$48+'Appendix K'!$G$48))/((1+$Y$16)^AP$34))</f>
        <v>-612389.92520891875</v>
      </c>
      <c r="AQ407" s="193">
        <f>(((T407*'Appendix K'!$C$23*1000)-('Appendix K'!$E$49+'Appendix K'!$F$49+'Appendix K'!$H$49+'Appendix K'!$G$49))/((1+$Y$16)^AQ$34))</f>
        <v>-588933.08276831859</v>
      </c>
      <c r="AR407" s="193">
        <f>(((U407*'Appendix K'!$C$24*1000)-('Appendix K'!$E$50+'Appendix K'!$F$50+'Appendix K'!$H$50+'Appendix K'!$G$50))/((1+$Y$16)^AR$34))</f>
        <v>-573068.22184190678</v>
      </c>
      <c r="AS407" s="209">
        <f t="shared" si="26"/>
        <v>74499036.740727514</v>
      </c>
      <c r="AU407" s="199">
        <f t="shared" si="25"/>
        <v>6.8443622932431988E-9</v>
      </c>
    </row>
    <row r="408" spans="1:47" x14ac:dyDescent="0.35">
      <c r="A408">
        <v>374</v>
      </c>
      <c r="B408" s="70">
        <v>56</v>
      </c>
      <c r="C408" s="70">
        <v>67.961976235890262</v>
      </c>
      <c r="D408" s="70">
        <v>98.237160744031797</v>
      </c>
      <c r="E408" s="70">
        <v>145.81257953242374</v>
      </c>
      <c r="F408" s="70">
        <v>81.48259863142772</v>
      </c>
      <c r="G408" s="70">
        <v>97.936479623313147</v>
      </c>
      <c r="H408" s="70">
        <v>119.11235909152194</v>
      </c>
      <c r="I408" s="70">
        <v>87.405684921727271</v>
      </c>
      <c r="J408" s="70">
        <v>109.74281413328887</v>
      </c>
      <c r="K408" s="70">
        <v>70.349088814722876</v>
      </c>
      <c r="L408" s="70">
        <v>74.206924589945444</v>
      </c>
      <c r="M408" s="70">
        <v>50.675564441412632</v>
      </c>
      <c r="N408" s="70">
        <v>61.199351648604058</v>
      </c>
      <c r="O408" s="70">
        <v>52.952622626287706</v>
      </c>
      <c r="P408" s="70">
        <v>54.751641620711908</v>
      </c>
      <c r="Q408" s="70">
        <v>67.044026140019696</v>
      </c>
      <c r="R408" s="70">
        <v>66.005524516626636</v>
      </c>
      <c r="S408" s="70">
        <v>76.242100234525736</v>
      </c>
      <c r="T408" s="70">
        <v>111.63763892023658</v>
      </c>
      <c r="U408" s="70">
        <v>82.386960162217605</v>
      </c>
      <c r="V408" s="70">
        <v>120.07192770101238</v>
      </c>
      <c r="X408" s="193">
        <f>((0-('Appendix K'!$I$30))/(1+$Y$16)^0)</f>
        <v>-33594902.4440751</v>
      </c>
      <c r="Y408" s="193">
        <f>(((B408*'Appendix K'!$C$5*1000)-('Appendix K'!$E$31+'Appendix K'!$F$31+'Appendix K'!$H$31+'Appendix K'!$G$31))/((1+$Y$16)^1))</f>
        <v>34971064.972647354</v>
      </c>
      <c r="Z408" s="193">
        <f>+(((C408*'Appendix K'!$C$6*1000)-('Appendix K'!$E$32+'Appendix K'!$F$32+'Appendix K'!$H$32+'Appendix K'!$G$32))/((1+$Y$16)^2))</f>
        <v>13681109.889412204</v>
      </c>
      <c r="AA408" s="193">
        <f>(((D408*'Appendix K'!$C$7*1000)-('Appendix K'!$E$33+'Appendix K'!$F$33+'Appendix K'!$H$33+'Appendix K'!$G$33))/((1+$Y$16)^3))</f>
        <v>9548047.7477076966</v>
      </c>
      <c r="AB408" s="193">
        <f>(((E408*'Appendix K'!$C$8*1000)-('Appendix K'!$E$34+'Appendix K'!$F$34+'Appendix K'!$H$34+'Appendix K'!$G$34))/((1+$Y$16)^4))</f>
        <v>28667574.758960731</v>
      </c>
      <c r="AC408" s="193">
        <f>(((F408*'Appendix K'!$C$9*1000)-('Appendix K'!$E$35+'Appendix K'!$F$35+'Appendix K'!$H$35+'Appendix K'!$G$35))/((1+$Y$16)^AC$34))</f>
        <v>18673718.246433731</v>
      </c>
      <c r="AD408" s="193">
        <f>(((G408*'Appendix K'!$C$10*1000)-('Appendix K'!$E$36+'Appendix K'!$F$36+'Appendix K'!$H$36+'Appendix K'!$G$36))/((1+$Y$16)^AD$34))</f>
        <v>12864568.779851519</v>
      </c>
      <c r="AE408" s="193">
        <f>(((H408*'Appendix K'!$C$11*1000)-('Appendix K'!$E$37+'Appendix K'!$F$37+'Appendix K'!$H$37+'Appendix K'!$G$37))/((1+$Y$16)^AE$34))</f>
        <v>9660043.2955177575</v>
      </c>
      <c r="AF408" s="193">
        <f>(((I408*'Appendix K'!$C$12*1000)-('Appendix K'!$E$38+'Appendix K'!$F$38+'Appendix K'!$H$38+'Appendix K'!$G$38))/((1+$Y$16)^AF$34))</f>
        <v>3742690.3983251178</v>
      </c>
      <c r="AG408" s="193">
        <f>(((J408*'Appendix K'!$C$13*1000)-('Appendix K'!$E$39+'Appendix K'!$F$39+'Appendix K'!$H$39+'Appendix K'!$G$39))/((1+$Y$16)^AG$34))</f>
        <v>3235303.2917392571</v>
      </c>
      <c r="AH408" s="193">
        <f>(((K408*'Appendix K'!$C$14*1000)-('Appendix K'!$E$40+'Appendix K'!$F$40+'Appendix K'!$H$40+'Appendix K'!$G$40))/((1+$Y$16)^AH$34))</f>
        <v>738482.28834487195</v>
      </c>
      <c r="AI408" s="193">
        <f>(((L408*'Appendix K'!$C$15*1000)-('Appendix K'!$E$41+'Appendix K'!$F$41+'Appendix K'!$H$41+'Appendix K'!$G$41))/((1+$Y$16)^AI$34))</f>
        <v>427878.84355497401</v>
      </c>
      <c r="AJ408" s="193">
        <f>(((M408*'Appendix K'!$C$16*1000)-('Appendix K'!$E$42+'Appendix K'!$F$42+'Appendix K'!$H$42+'Appendix K'!$G$42))/((1+$Y$16)^AJ$34))</f>
        <v>-365918.03714067664</v>
      </c>
      <c r="AK408" s="193">
        <f>(((N408*'Appendix K'!$C$17*1000)-('Appendix K'!$E$43+'Appendix K'!$F$43+'Appendix K'!$H$43))/((1+$Y$16)^AK$34))</f>
        <v>-63998.052874632049</v>
      </c>
      <c r="AL408" s="193">
        <f>(((O408*'Appendix K'!$C$18*1000)-('Appendix K'!$E$44+'Appendix K'!$F$44+'Appendix K'!$H$44+'Appendix K'!$G$44))/((1+$Y$16)^AL$34))</f>
        <v>-506926.10825902084</v>
      </c>
      <c r="AM408" s="193">
        <f>(((P408*'Appendix K'!$C$19*1000)-('Appendix K'!$E$45+'Appendix K'!$F$45+'Appendix K'!$H$45+'Appendix K'!$G$45))/((1+$Y$16)^AM$34))</f>
        <v>-519287.66074423236</v>
      </c>
      <c r="AN408" s="193">
        <f>(((Q408*'Appendix K'!$C$20*1000)-('Appendix K'!$E$46+'Appendix K'!$F$46+'Appendix K'!$H$46+'Appendix K'!$G$46))/((1+$Y$16)^AN$34))</f>
        <v>-430563.72447749804</v>
      </c>
      <c r="AO408" s="193">
        <f>(((R408*'Appendix K'!$C$21*1000)-('Appendix K'!$E$47+'Appendix K'!$F$47+'Appendix K'!$H$47+'Appendix K'!$G$47))/((1+$Y$16)^AO$34))</f>
        <v>-452898.9831947356</v>
      </c>
      <c r="AP408" s="193">
        <f>(((S408*'Appendix K'!$C$22*1000)-('Appendix K'!$E$48+'Appendix K'!$F$48+'Appendix K'!$H$48+'Appendix K'!$G$48))/((1+$Y$16)^AP$34))</f>
        <v>-399274.97067309136</v>
      </c>
      <c r="AQ408" s="193">
        <f>(((T408*'Appendix K'!$C$23*1000)-('Appendix K'!$E$49+'Appendix K'!$F$49+'Appendix K'!$H$49+'Appendix K'!$G$49))/((1+$Y$16)^AQ$34))</f>
        <v>-256564.49274651118</v>
      </c>
      <c r="AR408" s="193">
        <f>(((U408*'Appendix K'!$C$24*1000)-('Appendix K'!$E$50+'Appendix K'!$F$50+'Appendix K'!$H$50+'Appendix K'!$G$50))/((1+$Y$16)^AR$34))</f>
        <v>-364000.54919738125</v>
      </c>
      <c r="AS408" s="209">
        <f t="shared" si="26"/>
        <v>102615580.06842011</v>
      </c>
      <c r="AU408" s="199">
        <f t="shared" si="25"/>
        <v>6.7884097857336103E-9</v>
      </c>
    </row>
    <row r="409" spans="1:47" x14ac:dyDescent="0.35">
      <c r="A409">
        <v>375</v>
      </c>
      <c r="B409" s="70">
        <v>56</v>
      </c>
      <c r="C409" s="70">
        <v>54.250571171749776</v>
      </c>
      <c r="D409" s="70">
        <v>80.772837876949751</v>
      </c>
      <c r="E409" s="70">
        <v>94.651251895706054</v>
      </c>
      <c r="F409" s="70">
        <v>88.576622432465811</v>
      </c>
      <c r="G409" s="70">
        <v>74.565694714666819</v>
      </c>
      <c r="H409" s="70">
        <v>64.61690152028487</v>
      </c>
      <c r="I409" s="70">
        <v>58.9451083146879</v>
      </c>
      <c r="J409" s="70">
        <v>63.156906264943878</v>
      </c>
      <c r="K409" s="70">
        <v>82.855189303442131</v>
      </c>
      <c r="L409" s="70">
        <v>86.172221450861215</v>
      </c>
      <c r="M409" s="70">
        <v>93.920052736283907</v>
      </c>
      <c r="N409" s="70">
        <v>69.92945807891094</v>
      </c>
      <c r="O409" s="70">
        <v>92.615022062750427</v>
      </c>
      <c r="P409" s="70">
        <v>167.28042552184206</v>
      </c>
      <c r="Q409" s="70">
        <v>193.96624467001791</v>
      </c>
      <c r="R409" s="70">
        <v>175.87496607858338</v>
      </c>
      <c r="S409" s="70">
        <v>317.8716698550561</v>
      </c>
      <c r="T409" s="70">
        <v>451.88685353423784</v>
      </c>
      <c r="U409" s="70">
        <v>248.25765112328173</v>
      </c>
      <c r="V409" s="70">
        <v>173.53426131630511</v>
      </c>
      <c r="X409" s="193">
        <f>((0-('Appendix K'!$I$30))/(1+$Y$16)^0)</f>
        <v>-33594902.4440751</v>
      </c>
      <c r="Y409" s="193">
        <f>(((B409*'Appendix K'!$C$5*1000)-('Appendix K'!$E$31+'Appendix K'!$F$31+'Appendix K'!$H$31+'Appendix K'!$G$31))/((1+$Y$16)^1))</f>
        <v>34971064.972647354</v>
      </c>
      <c r="Z409" s="193">
        <f>+(((C409*'Appendix K'!$C$6*1000)-('Appendix K'!$E$32+'Appendix K'!$F$32+'Appendix K'!$H$32+'Appendix K'!$G$32))/((1+$Y$16)^2))</f>
        <v>10217374.462348111</v>
      </c>
      <c r="AA409" s="193">
        <f>(((D409*'Appendix K'!$C$7*1000)-('Appendix K'!$E$33+'Appendix K'!$F$33+'Appendix K'!$H$33+'Appendix K'!$G$33))/((1+$Y$16)^3))</f>
        <v>7323531.8516861182</v>
      </c>
      <c r="AB409" s="193">
        <f>(((E409*'Appendix K'!$C$8*1000)-('Appendix K'!$E$34+'Appendix K'!$F$34+'Appendix K'!$H$34+'Appendix K'!$G$34))/((1+$Y$16)^4))</f>
        <v>17453480.07786914</v>
      </c>
      <c r="AC409" s="193">
        <f>(((F409*'Appendix K'!$C$9*1000)-('Appendix K'!$E$35+'Appendix K'!$F$35+'Appendix K'!$H$35+'Appendix K'!$G$35))/((1+$Y$16)^AC$34))</f>
        <v>20559298.633133281</v>
      </c>
      <c r="AD409" s="193">
        <f>(((G409*'Appendix K'!$C$10*1000)-('Appendix K'!$E$36+'Appendix K'!$F$36+'Appendix K'!$H$36+'Appendix K'!$G$36))/((1+$Y$16)^AD$34))</f>
        <v>9194328.3677597642</v>
      </c>
      <c r="AE409" s="193">
        <f>(((H409*'Appendix K'!$C$11*1000)-('Appendix K'!$E$37+'Appendix K'!$F$37+'Appendix K'!$H$37+'Appendix K'!$G$37))/((1+$Y$16)^AE$34))</f>
        <v>4224795.5750034014</v>
      </c>
      <c r="AF409" s="193">
        <f>(((I409*'Appendix K'!$C$12*1000)-('Appendix K'!$E$38+'Appendix K'!$F$38+'Appendix K'!$H$38+'Appendix K'!$G$38))/((1+$Y$16)^AF$34))</f>
        <v>1873899.8633764288</v>
      </c>
      <c r="AG409" s="193">
        <f>(((J409*'Appendix K'!$C$13*1000)-('Appendix K'!$E$39+'Appendix K'!$F$39+'Appendix K'!$H$39+'Appendix K'!$G$39))/((1+$Y$16)^AG$34))</f>
        <v>1091469.5392160132</v>
      </c>
      <c r="AH409" s="193">
        <f>(((K409*'Appendix K'!$C$14*1000)-('Appendix K'!$E$40+'Appendix K'!$F$40+'Appendix K'!$H$40+'Appendix K'!$G$40))/((1+$Y$16)^AH$34))</f>
        <v>1160019.4990830524</v>
      </c>
      <c r="AI409" s="193">
        <f>(((L409*'Appendix K'!$C$15*1000)-('Appendix K'!$E$41+'Appendix K'!$F$41+'Appendix K'!$H$41+'Appendix K'!$G$41))/((1+$Y$16)^AI$34))</f>
        <v>741391.99652581394</v>
      </c>
      <c r="AJ409" s="193">
        <f>(((M409*'Appendix K'!$C$16*1000)-('Appendix K'!$E$42+'Appendix K'!$F$42+'Appendix K'!$H$42+'Appendix K'!$G$42))/((1+$Y$16)^AJ$34))</f>
        <v>500782.24479455635</v>
      </c>
      <c r="AK409" s="193">
        <f>(((N409*'Appendix K'!$C$17*1000)-('Appendix K'!$E$43+'Appendix K'!$F$43+'Appendix K'!$H$43))/((1+$Y$16)^AK$34))</f>
        <v>70130.407158396847</v>
      </c>
      <c r="AL409" s="193">
        <f>(((O409*'Appendix K'!$C$18*1000)-('Appendix K'!$E$44+'Appendix K'!$F$44+'Appendix K'!$H$44+'Appendix K'!$G$44))/((1+$Y$16)^AL$34))</f>
        <v>-36796.016993270285</v>
      </c>
      <c r="AM409" s="193">
        <f>(((P409*'Appendix K'!$C$19*1000)-('Appendix K'!$E$45+'Appendix K'!$F$45+'Appendix K'!$H$45+'Appendix K'!$G$45))/((1+$Y$16)^AM$34))</f>
        <v>523711.4561459453</v>
      </c>
      <c r="AN409" s="193">
        <f>(((Q409*'Appendix K'!$C$20*1000)-('Appendix K'!$E$46+'Appendix K'!$F$46+'Appendix K'!$H$46+'Appendix K'!$G$46))/((1+$Y$16)^AN$34))</f>
        <v>487872.97707787325</v>
      </c>
      <c r="AO409" s="193">
        <f>(((R409*'Appendix K'!$C$21*1000)-('Appendix K'!$E$47+'Appendix K'!$F$47+'Appendix K'!$H$47+'Appendix K'!$G$47))/((1+$Y$16)^AO$34))</f>
        <v>196441.55481675343</v>
      </c>
      <c r="AP409" s="193">
        <f>(((S409*'Appendix K'!$C$22*1000)-('Appendix K'!$E$48+'Appendix K'!$F$48+'Appendix K'!$H$48+'Appendix K'!$G$48))/((1+$Y$16)^AP$34))</f>
        <v>758062.8524613214</v>
      </c>
      <c r="AQ409" s="193">
        <f>(((T409*'Appendix K'!$C$23*1000)-('Appendix K'!$E$49+'Appendix K'!$F$49+'Appendix K'!$H$49+'Appendix K'!$G$49))/((1+$Y$16)^AQ$34))</f>
        <v>1075083.8272198141</v>
      </c>
      <c r="AR409" s="193">
        <f>(((U409*'Appendix K'!$C$24*1000)-('Appendix K'!$E$50+'Appendix K'!$F$50+'Appendix K'!$H$50+'Appendix K'!$G$50))/((1+$Y$16)^AR$34))</f>
        <v>170107.72320467629</v>
      </c>
      <c r="AS409" s="209">
        <f t="shared" si="26"/>
        <v>78997945.437452704</v>
      </c>
      <c r="AU409" s="199">
        <f t="shared" si="25"/>
        <v>6.949066106313903E-9</v>
      </c>
    </row>
    <row r="410" spans="1:47" x14ac:dyDescent="0.35">
      <c r="A410">
        <v>376</v>
      </c>
      <c r="B410" s="70">
        <v>56</v>
      </c>
      <c r="C410" s="70">
        <v>25.083359498008541</v>
      </c>
      <c r="D410" s="70">
        <v>23.789783769086881</v>
      </c>
      <c r="E410" s="70">
        <v>34.948862803300699</v>
      </c>
      <c r="F410" s="70">
        <v>27.882177833826876</v>
      </c>
      <c r="G410" s="70">
        <v>27.236615007195699</v>
      </c>
      <c r="H410" s="70">
        <v>19.398272178236702</v>
      </c>
      <c r="I410" s="70">
        <v>12.896822451715693</v>
      </c>
      <c r="J410" s="70">
        <v>23.888081140974268</v>
      </c>
      <c r="K410" s="70">
        <v>25.794453021192002</v>
      </c>
      <c r="L410" s="70">
        <v>19.579639880289854</v>
      </c>
      <c r="M410" s="70">
        <v>18.236990533904873</v>
      </c>
      <c r="N410" s="70">
        <v>27.730319461905694</v>
      </c>
      <c r="O410" s="70">
        <v>33.081831032121919</v>
      </c>
      <c r="P410" s="70">
        <v>28.048061430006811</v>
      </c>
      <c r="Q410" s="70">
        <v>43.922966044799459</v>
      </c>
      <c r="R410" s="70">
        <v>37.777335366009055</v>
      </c>
      <c r="S410" s="70">
        <v>45.431517901979895</v>
      </c>
      <c r="T410" s="70">
        <v>72.320275132187163</v>
      </c>
      <c r="U410" s="70">
        <v>116.57548651041168</v>
      </c>
      <c r="V410" s="70">
        <v>113.93654649174508</v>
      </c>
      <c r="X410" s="193">
        <f>((0-('Appendix K'!$I$30))/(1+$Y$16)^0)</f>
        <v>-33594902.4440751</v>
      </c>
      <c r="Y410" s="193">
        <f>(((B410*'Appendix K'!$C$5*1000)-('Appendix K'!$E$31+'Appendix K'!$F$31+'Appendix K'!$H$31+'Appendix K'!$G$31))/((1+$Y$16)^1))</f>
        <v>34971064.972647354</v>
      </c>
      <c r="Z410" s="193">
        <f>+(((C410*'Appendix K'!$C$6*1000)-('Appendix K'!$E$32+'Appendix K'!$F$32+'Appendix K'!$H$32+'Appendix K'!$G$32))/((1+$Y$16)^2))</f>
        <v>2849237.9431205811</v>
      </c>
      <c r="AA410" s="193">
        <f>(((D410*'Appendix K'!$C$7*1000)-('Appendix K'!$E$33+'Appendix K'!$F$33+'Appendix K'!$H$33+'Appendix K'!$G$33))/((1+$Y$16)^3))</f>
        <v>65322.608101635429</v>
      </c>
      <c r="AB410" s="193">
        <f>(((E410*'Appendix K'!$C$8*1000)-('Appendix K'!$E$34+'Appendix K'!$F$34+'Appendix K'!$H$34+'Appendix K'!$G$34))/((1+$Y$16)^4))</f>
        <v>4367262.9115830194</v>
      </c>
      <c r="AC410" s="193">
        <f>(((F410*'Appendix K'!$C$9*1000)-('Appendix K'!$E$35+'Appendix K'!$F$35+'Appendix K'!$H$35+'Appendix K'!$G$35))/((1+$Y$16)^AC$34))</f>
        <v>4426810.5661959825</v>
      </c>
      <c r="AD410" s="193">
        <f>(((G410*'Appendix K'!$C$10*1000)-('Appendix K'!$E$36+'Appendix K'!$F$36+'Appendix K'!$H$36+'Appendix K'!$G$36))/((1+$Y$16)^AD$34))</f>
        <v>1761582.6688677121</v>
      </c>
      <c r="AE410" s="193">
        <f>(((H410*'Appendix K'!$C$11*1000)-('Appendix K'!$E$37+'Appendix K'!$F$37+'Appendix K'!$H$37+'Appendix K'!$G$37))/((1+$Y$16)^AE$34))</f>
        <v>-285203.29480830446</v>
      </c>
      <c r="AF410" s="193">
        <f>(((I410*'Appendix K'!$C$12*1000)-('Appendix K'!$E$38+'Appendix K'!$F$38+'Appendix K'!$H$38+'Appendix K'!$G$38))/((1+$Y$16)^AF$34))</f>
        <v>-1149742.3473737717</v>
      </c>
      <c r="AG410" s="193">
        <f>(((J410*'Appendix K'!$C$13*1000)-('Appendix K'!$E$39+'Appendix K'!$F$39+'Appendix K'!$H$39+'Appendix K'!$G$39))/((1+$Y$16)^AG$34))</f>
        <v>-715639.87594476424</v>
      </c>
      <c r="AH410" s="193">
        <f>(((K410*'Appendix K'!$C$14*1000)-('Appendix K'!$E$40+'Appendix K'!$F$40+'Appendix K'!$H$40+'Appendix K'!$G$40))/((1+$Y$16)^AH$34))</f>
        <v>-763299.73514052515</v>
      </c>
      <c r="AI410" s="193">
        <f>(((L410*'Appendix K'!$C$15*1000)-('Appendix K'!$E$41+'Appendix K'!$F$41+'Appendix K'!$H$41+'Appendix K'!$G$41))/((1+$Y$16)^AI$34))</f>
        <v>-1003458.169361321</v>
      </c>
      <c r="AJ410" s="193">
        <f>(((M410*'Appendix K'!$C$16*1000)-('Appendix K'!$E$42+'Appendix K'!$F$42+'Appendix K'!$H$42+'Appendix K'!$G$42))/((1+$Y$16)^AJ$34))</f>
        <v>-1016047.6203492772</v>
      </c>
      <c r="AK410" s="193">
        <f>(((N410*'Appendix K'!$C$17*1000)-('Appendix K'!$E$43+'Appendix K'!$F$43+'Appendix K'!$H$43))/((1+$Y$16)^AK$34))</f>
        <v>-578212.83156432572</v>
      </c>
      <c r="AL410" s="193">
        <f>(((O410*'Appendix K'!$C$18*1000)-('Appendix K'!$E$44+'Appendix K'!$F$44+'Appendix K'!$H$44+'Appendix K'!$G$44))/((1+$Y$16)^AL$34))</f>
        <v>-742460.44804734073</v>
      </c>
      <c r="AM410" s="193">
        <f>(((P410*'Appendix K'!$C$19*1000)-('Appendix K'!$E$45+'Appendix K'!$F$45+'Appendix K'!$H$45+'Appendix K'!$G$45))/((1+$Y$16)^AM$34))</f>
        <v>-766795.98342532129</v>
      </c>
      <c r="AN410" s="193">
        <f>(((Q410*'Appendix K'!$C$20*1000)-('Appendix K'!$E$46+'Appendix K'!$F$46+'Appendix K'!$H$46+'Appendix K'!$G$46))/((1+$Y$16)^AN$34))</f>
        <v>-597872.73007369798</v>
      </c>
      <c r="AO410" s="193">
        <f>(((R410*'Appendix K'!$C$21*1000)-('Appendix K'!$E$47+'Appendix K'!$F$47+'Appendix K'!$H$47+'Appendix K'!$G$47))/((1+$Y$16)^AO$34))</f>
        <v>-619730.69972635864</v>
      </c>
      <c r="AP410" s="193">
        <f>(((S410*'Appendix K'!$C$22*1000)-('Appendix K'!$E$48+'Appendix K'!$F$48+'Appendix K'!$H$48+'Appendix K'!$G$48))/((1+$Y$16)^AP$34))</f>
        <v>-546849.01279985625</v>
      </c>
      <c r="AQ410" s="193">
        <f>(((T410*'Appendix K'!$C$23*1000)-('Appendix K'!$E$49+'Appendix K'!$F$49+'Appendix K'!$H$49+'Appendix K'!$G$49))/((1+$Y$16)^AQ$34))</f>
        <v>-410442.58910966536</v>
      </c>
      <c r="AR410" s="193">
        <f>(((U410*'Appendix K'!$C$24*1000)-('Appendix K'!$E$50+'Appendix K'!$F$50+'Appendix K'!$H$50+'Appendix K'!$G$50))/((1+$Y$16)^AR$34))</f>
        <v>-253912.53643271181</v>
      </c>
      <c r="AS410" s="209">
        <f t="shared" si="26"/>
        <v>14846379.22644119</v>
      </c>
      <c r="AU410" s="199">
        <f t="shared" si="25"/>
        <v>3.0895485097232669E-9</v>
      </c>
    </row>
    <row r="411" spans="1:47" x14ac:dyDescent="0.35">
      <c r="A411">
        <v>377</v>
      </c>
      <c r="B411" s="70">
        <v>56</v>
      </c>
      <c r="C411" s="70">
        <v>72.375083409764088</v>
      </c>
      <c r="D411" s="70">
        <v>74.006246813635585</v>
      </c>
      <c r="E411" s="70">
        <v>69.571095066943599</v>
      </c>
      <c r="F411" s="70">
        <v>48.623035903611402</v>
      </c>
      <c r="G411" s="70">
        <v>43.285298666315668</v>
      </c>
      <c r="H411" s="70">
        <v>55.496015147397316</v>
      </c>
      <c r="I411" s="70">
        <v>71.056842088724139</v>
      </c>
      <c r="J411" s="70">
        <v>86.252515373718566</v>
      </c>
      <c r="K411" s="70">
        <v>91.570220168045864</v>
      </c>
      <c r="L411" s="70">
        <v>115.15900552206688</v>
      </c>
      <c r="M411" s="70">
        <v>125.15387597092966</v>
      </c>
      <c r="N411" s="70">
        <v>161.72190073534938</v>
      </c>
      <c r="O411" s="70">
        <v>232.73257294903004</v>
      </c>
      <c r="P411" s="70">
        <v>290.66258373391059</v>
      </c>
      <c r="Q411" s="70">
        <v>286.63840046461297</v>
      </c>
      <c r="R411" s="70">
        <v>242.13935639715419</v>
      </c>
      <c r="S411" s="70">
        <v>274.73371263780803</v>
      </c>
      <c r="T411" s="70">
        <v>430.31827465805281</v>
      </c>
      <c r="U411" s="70">
        <v>445.67365966414616</v>
      </c>
      <c r="V411" s="70">
        <v>500</v>
      </c>
      <c r="X411" s="193">
        <f>((0-('Appendix K'!$I$30))/(1+$Y$16)^0)</f>
        <v>-33594902.4440751</v>
      </c>
      <c r="Y411" s="193">
        <f>(((B411*'Appendix K'!$C$5*1000)-('Appendix K'!$E$31+'Appendix K'!$F$31+'Appendix K'!$H$31+'Appendix K'!$G$31))/((1+$Y$16)^1))</f>
        <v>34971064.972647354</v>
      </c>
      <c r="Z411" s="193">
        <f>+(((C411*'Appendix K'!$C$6*1000)-('Appendix K'!$E$32+'Appendix K'!$F$32+'Appendix K'!$H$32+'Appendix K'!$G$32))/((1+$Y$16)^2))</f>
        <v>14795936.239452329</v>
      </c>
      <c r="AA411" s="193">
        <f>(((D411*'Appendix K'!$C$7*1000)-('Appendix K'!$E$33+'Appendix K'!$F$33+'Appendix K'!$H$33+'Appendix K'!$G$33))/((1+$Y$16)^3))</f>
        <v>6461638.1786945518</v>
      </c>
      <c r="AB411" s="193">
        <f>(((E411*'Appendix K'!$C$8*1000)-('Appendix K'!$E$34+'Appendix K'!$F$34+'Appendix K'!$H$34+'Appendix K'!$G$34))/((1+$Y$16)^4))</f>
        <v>11956139.287742374</v>
      </c>
      <c r="AC411" s="193">
        <f>(((F411*'Appendix K'!$C$9*1000)-('Appendix K'!$E$35+'Appendix K'!$F$35+'Appendix K'!$H$35+'Appendix K'!$G$35))/((1+$Y$16)^AC$34))</f>
        <v>9939698.0721530356</v>
      </c>
      <c r="AD411" s="193">
        <f>(((G411*'Appendix K'!$C$10*1000)-('Appendix K'!$E$36+'Appendix K'!$F$36+'Appendix K'!$H$36+'Appendix K'!$G$36))/((1+$Y$16)^AD$34))</f>
        <v>4281931.3673312757</v>
      </c>
      <c r="AE411" s="193">
        <f>(((H411*'Appendix K'!$C$11*1000)-('Appendix K'!$E$37+'Appendix K'!$F$37+'Appendix K'!$H$37+'Appendix K'!$G$37))/((1+$Y$16)^AE$34))</f>
        <v>3315099.9952846048</v>
      </c>
      <c r="AF411" s="193">
        <f>(((I411*'Appendix K'!$C$12*1000)-('Appendix K'!$E$38+'Appendix K'!$F$38+'Appendix K'!$H$38+'Appendix K'!$G$38))/((1+$Y$16)^AF$34))</f>
        <v>2669185.6986303418</v>
      </c>
      <c r="AG411" s="193">
        <f>(((J411*'Appendix K'!$C$13*1000)-('Appendix K'!$E$39+'Appendix K'!$F$39+'Appendix K'!$H$39+'Appendix K'!$G$39))/((1+$Y$16)^AG$34))</f>
        <v>2154304.8172662342</v>
      </c>
      <c r="AH411" s="193">
        <f>(((K411*'Appendix K'!$C$14*1000)-('Appendix K'!$E$40+'Appendix K'!$F$40+'Appendix K'!$H$40+'Appendix K'!$G$40))/((1+$Y$16)^AH$34))</f>
        <v>1453772.9201015362</v>
      </c>
      <c r="AI411" s="193">
        <f>(((L411*'Appendix K'!$C$15*1000)-('Appendix K'!$E$41+'Appendix K'!$F$41+'Appendix K'!$H$41+'Appendix K'!$G$41))/((1+$Y$16)^AI$34))</f>
        <v>1500899.9447434137</v>
      </c>
      <c r="AJ411" s="193">
        <f>(((M411*'Appendix K'!$C$16*1000)-('Appendix K'!$E$42+'Appendix K'!$F$42+'Appendix K'!$H$42+'Appendix K'!$G$42))/((1+$Y$16)^AJ$34))</f>
        <v>1126766.3752760633</v>
      </c>
      <c r="AK411" s="193">
        <f>(((N411*'Appendix K'!$C$17*1000)-('Appendix K'!$E$43+'Appendix K'!$F$43+'Appendix K'!$H$43))/((1+$Y$16)^AK$34))</f>
        <v>1480420.0839757046</v>
      </c>
      <c r="AL411" s="193">
        <f>(((O411*'Appendix K'!$C$18*1000)-('Appendix K'!$E$44+'Appendix K'!$F$44+'Appendix K'!$H$44+'Appendix K'!$G$44))/((1+$Y$16)^AL$34))</f>
        <v>1624058.5435490459</v>
      </c>
      <c r="AM411" s="193">
        <f>(((P411*'Appendix K'!$C$19*1000)-('Appendix K'!$E$45+'Appendix K'!$F$45+'Appendix K'!$H$45+'Appendix K'!$G$45))/((1+$Y$16)^AM$34))</f>
        <v>1667307.5885653524</v>
      </c>
      <c r="AN411" s="193">
        <f>(((Q411*'Appendix K'!$C$20*1000)-('Appendix K'!$E$46+'Appendix K'!$F$46+'Appendix K'!$H$46+'Appendix K'!$G$46))/((1+$Y$16)^AN$34))</f>
        <v>1158468.7961534483</v>
      </c>
      <c r="AO411" s="193">
        <f>(((R411*'Appendix K'!$C$21*1000)-('Appendix K'!$E$47+'Appendix K'!$F$47+'Appendix K'!$H$47+'Appendix K'!$G$47))/((1+$Y$16)^AO$34))</f>
        <v>588071.42249201541</v>
      </c>
      <c r="AP411" s="193">
        <f>(((S411*'Appendix K'!$C$22*1000)-('Appendix K'!$E$48+'Appendix K'!$F$48+'Appendix K'!$H$48+'Appendix K'!$G$48))/((1+$Y$16)^AP$34))</f>
        <v>551444.14441709965</v>
      </c>
      <c r="AQ411" s="193">
        <f>(((T411*'Appendix K'!$C$23*1000)-('Appendix K'!$E$49+'Appendix K'!$F$49+'Appendix K'!$H$49+'Appendix K'!$G$49))/((1+$Y$16)^AQ$34))</f>
        <v>990669.93119622837</v>
      </c>
      <c r="AR411" s="193">
        <f>(((U411*'Appendix K'!$C$24*1000)-('Appendix K'!$E$50+'Appendix K'!$F$50+'Appendix K'!$H$50+'Appendix K'!$G$50))/((1+$Y$16)^AR$34))</f>
        <v>805792.80207748234</v>
      </c>
      <c r="AS411" s="209">
        <f t="shared" si="26"/>
        <v>69897768.737674385</v>
      </c>
      <c r="AU411" s="199">
        <f t="shared" si="25"/>
        <v>6.695243646222528E-9</v>
      </c>
    </row>
    <row r="412" spans="1:47" x14ac:dyDescent="0.35">
      <c r="A412">
        <v>378</v>
      </c>
      <c r="B412" s="70">
        <v>56</v>
      </c>
      <c r="C412" s="70">
        <v>38.307320288204181</v>
      </c>
      <c r="D412" s="70">
        <v>41.359749675711036</v>
      </c>
      <c r="E412" s="70">
        <v>42.419562715147734</v>
      </c>
      <c r="F412" s="70">
        <v>56.378539485991965</v>
      </c>
      <c r="G412" s="70">
        <v>38.604835623536871</v>
      </c>
      <c r="H412" s="70">
        <v>47.692939965103918</v>
      </c>
      <c r="I412" s="70">
        <v>41.977829068722713</v>
      </c>
      <c r="J412" s="70">
        <v>51.307521069951548</v>
      </c>
      <c r="K412" s="70">
        <v>80.854468634532225</v>
      </c>
      <c r="L412" s="70">
        <v>81.110587504496266</v>
      </c>
      <c r="M412" s="70">
        <v>79.430950524152593</v>
      </c>
      <c r="N412" s="70">
        <v>103.61148792807055</v>
      </c>
      <c r="O412" s="70">
        <v>113.345684173561</v>
      </c>
      <c r="P412" s="70">
        <v>103.74433481061784</v>
      </c>
      <c r="Q412" s="70">
        <v>114.80421297672233</v>
      </c>
      <c r="R412" s="70">
        <v>135.1238923803148</v>
      </c>
      <c r="S412" s="70">
        <v>197.7100365432147</v>
      </c>
      <c r="T412" s="70">
        <v>297.88429717435179</v>
      </c>
      <c r="U412" s="70">
        <v>333.36896558373951</v>
      </c>
      <c r="V412" s="70">
        <v>500</v>
      </c>
      <c r="X412" s="193">
        <f>((0-('Appendix K'!$I$30))/(1+$Y$16)^0)</f>
        <v>-33594902.4440751</v>
      </c>
      <c r="Y412" s="193">
        <f>(((B412*'Appendix K'!$C$5*1000)-('Appendix K'!$E$31+'Appendix K'!$F$31+'Appendix K'!$H$31+'Appendix K'!$G$31))/((1+$Y$16)^1))</f>
        <v>34971064.972647354</v>
      </c>
      <c r="Z412" s="193">
        <f>+(((C412*'Appendix K'!$C$6*1000)-('Appendix K'!$E$32+'Appendix K'!$F$32+'Appendix K'!$H$32+'Appendix K'!$G$32))/((1+$Y$16)^2))</f>
        <v>6189836.6097663017</v>
      </c>
      <c r="AA412" s="193">
        <f>(((D412*'Appendix K'!$C$7*1000)-('Appendix K'!$E$33+'Appendix K'!$F$33+'Appendix K'!$H$33+'Appendix K'!$G$33))/((1+$Y$16)^3))</f>
        <v>2303294.7728004516</v>
      </c>
      <c r="AB412" s="193">
        <f>(((E412*'Appendix K'!$C$8*1000)-('Appendix K'!$E$34+'Appendix K'!$F$34+'Appendix K'!$H$34+'Appendix K'!$G$34))/((1+$Y$16)^4))</f>
        <v>6004771.9445845345</v>
      </c>
      <c r="AC412" s="193">
        <f>(((F412*'Appendix K'!$C$9*1000)-('Appendix K'!$E$35+'Appendix K'!$F$35+'Appendix K'!$H$35+'Appendix K'!$G$35))/((1+$Y$16)^AC$34))</f>
        <v>12001098.746023763</v>
      </c>
      <c r="AD412" s="193">
        <f>(((G412*'Appendix K'!$C$10*1000)-('Appendix K'!$E$36+'Appendix K'!$F$36+'Appendix K'!$H$36+'Appendix K'!$G$36))/((1+$Y$16)^AD$34))</f>
        <v>3546892.9561672038</v>
      </c>
      <c r="AE412" s="193">
        <f>(((H412*'Appendix K'!$C$11*1000)-('Appendix K'!$E$37+'Appendix K'!$F$37+'Appendix K'!$H$37+'Appendix K'!$G$37))/((1+$Y$16)^AE$34))</f>
        <v>2536839.7789698537</v>
      </c>
      <c r="AF412" s="193">
        <f>(((I412*'Appendix K'!$C$12*1000)-('Appendix K'!$E$38+'Appendix K'!$F$38+'Appendix K'!$H$38+'Appendix K'!$G$38))/((1+$Y$16)^AF$34))</f>
        <v>759787.12783724768</v>
      </c>
      <c r="AG412" s="193">
        <f>(((J412*'Appendix K'!$C$13*1000)-('Appendix K'!$E$39+'Appendix K'!$F$39+'Appendix K'!$H$39+'Appendix K'!$G$39))/((1+$Y$16)^AG$34))</f>
        <v>546173.48102895962</v>
      </c>
      <c r="AH412" s="193">
        <f>(((K412*'Appendix K'!$C$14*1000)-('Appendix K'!$E$40+'Appendix K'!$F$40+'Appendix K'!$H$40+'Appendix K'!$G$40))/((1+$Y$16)^AH$34))</f>
        <v>1092582.154324848</v>
      </c>
      <c r="AI412" s="193">
        <f>(((L412*'Appendix K'!$C$15*1000)-('Appendix K'!$E$41+'Appendix K'!$F$41+'Appendix K'!$H$41+'Appendix K'!$G$41))/((1+$Y$16)^AI$34))</f>
        <v>608767.72182915977</v>
      </c>
      <c r="AJ412" s="193">
        <f>(((M412*'Appendix K'!$C$16*1000)-('Appendix K'!$E$42+'Appendix K'!$F$42+'Appendix K'!$H$42+'Appendix K'!$G$42))/((1+$Y$16)^AJ$34))</f>
        <v>210393.58562913036</v>
      </c>
      <c r="AK412" s="193">
        <f>(((N412*'Appendix K'!$C$17*1000)-('Appendix K'!$E$43+'Appendix K'!$F$43+'Appendix K'!$H$43))/((1+$Y$16)^AK$34))</f>
        <v>587617.66009392345</v>
      </c>
      <c r="AL412" s="193">
        <f>(((O412*'Appendix K'!$C$18*1000)-('Appendix K'!$E$44+'Appendix K'!$F$44+'Appendix K'!$H$44+'Appendix K'!$G$44))/((1+$Y$16)^AL$34))</f>
        <v>208930.62104756778</v>
      </c>
      <c r="AM412" s="193">
        <f>(((P412*'Appendix K'!$C$19*1000)-('Appendix K'!$E$45+'Appendix K'!$F$45+'Appendix K'!$H$45+'Appendix K'!$G$45))/((1+$Y$16)^AM$34))</f>
        <v>-65187.527785894068</v>
      </c>
      <c r="AN412" s="193">
        <f>(((Q412*'Appendix K'!$C$20*1000)-('Appendix K'!$E$46+'Appendix K'!$F$46+'Appendix K'!$H$46+'Appendix K'!$G$46))/((1+$Y$16)^AN$34))</f>
        <v>-84960.653777926636</v>
      </c>
      <c r="AO412" s="193">
        <f>(((R412*'Appendix K'!$C$21*1000)-('Appendix K'!$E$47+'Appendix K'!$F$47+'Appendix K'!$H$47+'Appendix K'!$G$47))/((1+$Y$16)^AO$34))</f>
        <v>-44401.792920275882</v>
      </c>
      <c r="AP412" s="193">
        <f>(((S412*'Appendix K'!$C$22*1000)-('Appendix K'!$E$48+'Appendix K'!$F$48+'Appendix K'!$H$48+'Appendix K'!$G$48))/((1+$Y$16)^AP$34))</f>
        <v>182522.35325916577</v>
      </c>
      <c r="AQ412" s="193">
        <f>(((T412*'Appendix K'!$C$23*1000)-('Appendix K'!$E$49+'Appendix K'!$F$49+'Appendix K'!$H$49+'Appendix K'!$G$49))/((1+$Y$16)^AQ$34))</f>
        <v>472357.24729276466</v>
      </c>
      <c r="AR412" s="193">
        <f>(((U412*'Appendix K'!$C$24*1000)-('Appendix K'!$E$50+'Appendix K'!$F$50+'Appendix K'!$H$50+'Appendix K'!$G$50))/((1+$Y$16)^AR$34))</f>
        <v>444168.54048923298</v>
      </c>
      <c r="AS412" s="209">
        <f t="shared" si="26"/>
        <v>39072197.829716362</v>
      </c>
      <c r="AU412" s="199">
        <f t="shared" si="25"/>
        <v>4.8758166390272684E-9</v>
      </c>
    </row>
    <row r="413" spans="1:47" x14ac:dyDescent="0.35">
      <c r="A413">
        <v>379</v>
      </c>
      <c r="B413" s="70">
        <v>56</v>
      </c>
      <c r="C413" s="70">
        <v>79.94785492433428</v>
      </c>
      <c r="D413" s="70">
        <v>83.274118535070357</v>
      </c>
      <c r="E413" s="70">
        <v>72.937282762070225</v>
      </c>
      <c r="F413" s="70">
        <v>97.858929292348193</v>
      </c>
      <c r="G413" s="70">
        <v>53.582586985857041</v>
      </c>
      <c r="H413" s="70">
        <v>43.970607701504207</v>
      </c>
      <c r="I413" s="70">
        <v>77.311735346588961</v>
      </c>
      <c r="J413" s="70">
        <v>92.64768251733426</v>
      </c>
      <c r="K413" s="70">
        <v>69.771155274712811</v>
      </c>
      <c r="L413" s="70">
        <v>105.39300765540703</v>
      </c>
      <c r="M413" s="70">
        <v>126.24611477959735</v>
      </c>
      <c r="N413" s="70">
        <v>142.74551174602911</v>
      </c>
      <c r="O413" s="70">
        <v>87.626097020062289</v>
      </c>
      <c r="P413" s="70">
        <v>136.16370969071491</v>
      </c>
      <c r="Q413" s="70">
        <v>95.91693765288565</v>
      </c>
      <c r="R413" s="70">
        <v>91.257308938283344</v>
      </c>
      <c r="S413" s="70">
        <v>114.00312281745036</v>
      </c>
      <c r="T413" s="70">
        <v>95.278322519884583</v>
      </c>
      <c r="U413" s="70">
        <v>137.13111040140339</v>
      </c>
      <c r="V413" s="70">
        <v>64.275095166002018</v>
      </c>
      <c r="X413" s="193">
        <f>((0-('Appendix K'!$I$30))/(1+$Y$16)^0)</f>
        <v>-33594902.4440751</v>
      </c>
      <c r="Y413" s="193">
        <f>(((B413*'Appendix K'!$C$5*1000)-('Appendix K'!$E$31+'Appendix K'!$F$31+'Appendix K'!$H$31+'Appendix K'!$G$31))/((1+$Y$16)^1))</f>
        <v>34971064.972647354</v>
      </c>
      <c r="Z413" s="193">
        <f>+(((C413*'Appendix K'!$C$6*1000)-('Appendix K'!$E$32+'Appendix K'!$F$32+'Appendix K'!$H$32+'Appendix K'!$G$32))/((1+$Y$16)^2))</f>
        <v>16708947.842083648</v>
      </c>
      <c r="AA413" s="193">
        <f>(((D413*'Appendix K'!$C$7*1000)-('Appendix K'!$E$33+'Appendix K'!$F$33+'Appendix K'!$H$33+'Appendix K'!$G$33))/((1+$Y$16)^3))</f>
        <v>7642132.1562469248</v>
      </c>
      <c r="AB413" s="193">
        <f>(((E413*'Appendix K'!$C$8*1000)-('Appendix K'!$E$34+'Appendix K'!$F$34+'Appendix K'!$H$34+'Appendix K'!$G$34))/((1+$Y$16)^4))</f>
        <v>12693976.816031685</v>
      </c>
      <c r="AC413" s="193">
        <f>(((F413*'Appendix K'!$C$9*1000)-('Appendix K'!$E$35+'Appendix K'!$F$35+'Appendix K'!$H$35+'Appendix K'!$G$35))/((1+$Y$16)^AC$34))</f>
        <v>23026521.220652614</v>
      </c>
      <c r="AD413" s="193">
        <f>(((G413*'Appendix K'!$C$10*1000)-('Appendix K'!$E$36+'Appendix K'!$F$36+'Appendix K'!$H$36+'Appendix K'!$G$36))/((1+$Y$16)^AD$34))</f>
        <v>5899058.2149348808</v>
      </c>
      <c r="AE413" s="193">
        <f>(((H413*'Appendix K'!$C$11*1000)-('Appendix K'!$E$37+'Appendix K'!$F$37+'Appendix K'!$H$37+'Appendix K'!$G$37))/((1+$Y$16)^AE$34))</f>
        <v>2165583.1852568798</v>
      </c>
      <c r="AF413" s="193">
        <f>(((I413*'Appendix K'!$C$12*1000)-('Appendix K'!$E$38+'Appendix K'!$F$38+'Appendix K'!$H$38+'Appendix K'!$G$38))/((1+$Y$16)^AF$34))</f>
        <v>3079897.1708118641</v>
      </c>
      <c r="AG413" s="193">
        <f>(((J413*'Appendix K'!$C$13*1000)-('Appendix K'!$E$39+'Appendix K'!$F$39+'Appendix K'!$H$39+'Appendix K'!$G$39))/((1+$Y$16)^AG$34))</f>
        <v>2448603.5827696756</v>
      </c>
      <c r="AH413" s="193">
        <f>(((K413*'Appendix K'!$C$14*1000)-('Appendix K'!$E$40+'Appendix K'!$F$40+'Appendix K'!$H$40+'Appendix K'!$G$40))/((1+$Y$16)^AH$34))</f>
        <v>719002.15601524292</v>
      </c>
      <c r="AI413" s="193">
        <f>(((L413*'Appendix K'!$C$15*1000)-('Appendix K'!$E$41+'Appendix K'!$F$41+'Appendix K'!$H$41+'Appendix K'!$G$41))/((1+$Y$16)^AI$34))</f>
        <v>1245012.5381313644</v>
      </c>
      <c r="AJ413" s="193">
        <f>(((M413*'Appendix K'!$C$16*1000)-('Appendix K'!$E$42+'Appendix K'!$F$42+'Appendix K'!$H$42+'Appendix K'!$G$42))/((1+$Y$16)^AJ$34))</f>
        <v>1148656.8801875336</v>
      </c>
      <c r="AK413" s="193">
        <f>(((N413*'Appendix K'!$C$17*1000)-('Appendix K'!$E$43+'Appendix K'!$F$43+'Appendix K'!$H$43))/((1+$Y$16)^AK$34))</f>
        <v>1188868.7893329218</v>
      </c>
      <c r="AL413" s="193">
        <f>(((O413*'Appendix K'!$C$18*1000)-('Appendix K'!$E$44+'Appendix K'!$F$44+'Appendix K'!$H$44+'Appendix K'!$G$44))/((1+$Y$16)^AL$34))</f>
        <v>-95931.213526053121</v>
      </c>
      <c r="AM413" s="193">
        <f>(((P413*'Appendix K'!$C$19*1000)-('Appendix K'!$E$45+'Appendix K'!$F$45+'Appendix K'!$H$45+'Appendix K'!$G$45))/((1+$Y$16)^AM$34))</f>
        <v>235298.96285086509</v>
      </c>
      <c r="AN413" s="193">
        <f>(((Q413*'Appendix K'!$C$20*1000)-('Appendix K'!$E$46+'Appendix K'!$F$46+'Appendix K'!$H$46+'Appendix K'!$G$46))/((1+$Y$16)^AN$34))</f>
        <v>-221633.0744990691</v>
      </c>
      <c r="AO413" s="193">
        <f>(((R413*'Appendix K'!$C$21*1000)-('Appendix K'!$E$47+'Appendix K'!$F$47+'Appendix K'!$H$47+'Appendix K'!$G$47))/((1+$Y$16)^AO$34))</f>
        <v>-303658.14744458545</v>
      </c>
      <c r="AP413" s="193">
        <f>(((S413*'Appendix K'!$C$22*1000)-('Appendix K'!$E$48+'Appendix K'!$F$48+'Appendix K'!$H$48+'Appendix K'!$G$48))/((1+$Y$16)^AP$34))</f>
        <v>-218410.27044586319</v>
      </c>
      <c r="AQ413" s="193">
        <f>(((T413*'Appendix K'!$C$23*1000)-('Appendix K'!$E$49+'Appendix K'!$F$49+'Appendix K'!$H$49+'Appendix K'!$G$49))/((1+$Y$16)^AQ$34))</f>
        <v>-320590.66904508194</v>
      </c>
      <c r="AR413" s="193">
        <f>(((U413*'Appendix K'!$C$24*1000)-('Appendix K'!$E$50+'Appendix K'!$F$50+'Appendix K'!$H$50+'Appendix K'!$G$50))/((1+$Y$16)^AR$34))</f>
        <v>-187722.85155859994</v>
      </c>
      <c r="AS413" s="209">
        <f t="shared" si="26"/>
        <v>79577722.043878376</v>
      </c>
      <c r="AU413" s="199">
        <f t="shared" si="25"/>
        <v>6.9594932688200461E-9</v>
      </c>
    </row>
    <row r="414" spans="1:47" x14ac:dyDescent="0.35">
      <c r="A414">
        <v>380</v>
      </c>
      <c r="B414" s="70">
        <v>56</v>
      </c>
      <c r="C414" s="70">
        <v>73.424004000334094</v>
      </c>
      <c r="D414" s="70">
        <v>61.216098424215403</v>
      </c>
      <c r="E414" s="70">
        <v>77.912438859707052</v>
      </c>
      <c r="F414" s="70">
        <v>91.019377068288293</v>
      </c>
      <c r="G414" s="70">
        <v>107.02486325848469</v>
      </c>
      <c r="H414" s="70">
        <v>126.51495780722973</v>
      </c>
      <c r="I414" s="70">
        <v>170.29409400670528</v>
      </c>
      <c r="J414" s="70">
        <v>140.97641734245644</v>
      </c>
      <c r="K414" s="70">
        <v>134.68341992077742</v>
      </c>
      <c r="L414" s="70">
        <v>152.08832889076271</v>
      </c>
      <c r="M414" s="70">
        <v>93.14022761788965</v>
      </c>
      <c r="N414" s="70">
        <v>120.3581850792786</v>
      </c>
      <c r="O414" s="70">
        <v>130.44573099833687</v>
      </c>
      <c r="P414" s="70">
        <v>148.5511107119668</v>
      </c>
      <c r="Q414" s="70">
        <v>164.53917673979976</v>
      </c>
      <c r="R414" s="70">
        <v>195.39079492019906</v>
      </c>
      <c r="S414" s="70">
        <v>224.0549619973026</v>
      </c>
      <c r="T414" s="70">
        <v>140.30952206536759</v>
      </c>
      <c r="U414" s="70">
        <v>258.81549357164687</v>
      </c>
      <c r="V414" s="70">
        <v>264.243539588445</v>
      </c>
      <c r="X414" s="193">
        <f>((0-('Appendix K'!$I$30))/(1+$Y$16)^0)</f>
        <v>-33594902.4440751</v>
      </c>
      <c r="Y414" s="193">
        <f>(((B414*'Appendix K'!$C$5*1000)-('Appendix K'!$E$31+'Appendix K'!$F$31+'Appendix K'!$H$31+'Appendix K'!$G$31))/((1+$Y$16)^1))</f>
        <v>34971064.972647354</v>
      </c>
      <c r="Z414" s="193">
        <f>+(((C414*'Appendix K'!$C$6*1000)-('Appendix K'!$E$32+'Appendix K'!$F$32+'Appendix K'!$H$32+'Appendix K'!$G$32))/((1+$Y$16)^2))</f>
        <v>15060911.520449329</v>
      </c>
      <c r="AA414" s="193">
        <f>(((D414*'Appendix K'!$C$7*1000)-('Appendix K'!$E$33+'Appendix K'!$F$33+'Appendix K'!$H$33+'Appendix K'!$G$33))/((1+$Y$16)^3))</f>
        <v>4832494.6601463426</v>
      </c>
      <c r="AB414" s="193">
        <f>(((E414*'Appendix K'!$C$8*1000)-('Appendix K'!$E$34+'Appendix K'!$F$34+'Appendix K'!$H$34+'Appendix K'!$G$34))/((1+$Y$16)^4))</f>
        <v>13784485.489463151</v>
      </c>
      <c r="AC414" s="193">
        <f>(((F414*'Appendix K'!$C$9*1000)-('Appendix K'!$E$35+'Appendix K'!$F$35+'Appendix K'!$H$35+'Appendix K'!$G$35))/((1+$Y$16)^AC$34))</f>
        <v>21208578.979521781</v>
      </c>
      <c r="AD414" s="193">
        <f>(((G414*'Appendix K'!$C$10*1000)-('Appendix K'!$E$36+'Appendix K'!$F$36+'Appendix K'!$H$36+'Appendix K'!$G$36))/((1+$Y$16)^AD$34))</f>
        <v>14291844.458815096</v>
      </c>
      <c r="AE414" s="193">
        <f>(((H414*'Appendix K'!$C$11*1000)-('Appendix K'!$E$37+'Appendix K'!$F$37+'Appendix K'!$H$37+'Appendix K'!$G$37))/((1+$Y$16)^AE$34))</f>
        <v>10398360.93865045</v>
      </c>
      <c r="AF414" s="193">
        <f>(((I414*'Appendix K'!$C$12*1000)-('Appendix K'!$E$38+'Appendix K'!$F$38+'Appendix K'!$H$38+'Appendix K'!$G$38))/((1+$Y$16)^AF$34))</f>
        <v>9185344.5122494623</v>
      </c>
      <c r="AG414" s="193">
        <f>(((J414*'Appendix K'!$C$13*1000)-('Appendix K'!$E$39+'Appendix K'!$F$39+'Appendix K'!$H$39+'Appendix K'!$G$39))/((1+$Y$16)^AG$34))</f>
        <v>4672640.3714837227</v>
      </c>
      <c r="AH414" s="193">
        <f>(((K414*'Appendix K'!$C$14*1000)-('Appendix K'!$E$40+'Appendix K'!$F$40+'Appendix K'!$H$40+'Appendix K'!$G$40))/((1+$Y$16)^AH$34))</f>
        <v>2906969.1411104449</v>
      </c>
      <c r="AI414" s="193">
        <f>(((L414*'Appendix K'!$C$15*1000)-('Appendix K'!$E$41+'Appendix K'!$F$41+'Appendix K'!$H$41+'Appendix K'!$G$41))/((1+$Y$16)^AI$34))</f>
        <v>2468517.2751765717</v>
      </c>
      <c r="AJ414" s="193">
        <f>(((M414*'Appendix K'!$C$16*1000)-('Appendix K'!$E$42+'Appendix K'!$F$42+'Appendix K'!$H$42+'Appendix K'!$G$42))/((1+$Y$16)^AJ$34))</f>
        <v>485153.09350563609</v>
      </c>
      <c r="AK414" s="193">
        <f>(((N414*'Appendix K'!$C$17*1000)-('Appendix K'!$E$43+'Appendix K'!$F$43+'Appendix K'!$H$43))/((1+$Y$16)^AK$34))</f>
        <v>844912.19796270051</v>
      </c>
      <c r="AL414" s="193">
        <f>(((O414*'Appendix K'!$C$18*1000)-('Appendix K'!$E$44+'Appendix K'!$F$44+'Appendix K'!$H$44+'Appendix K'!$G$44))/((1+$Y$16)^AL$34))</f>
        <v>411622.50778676994</v>
      </c>
      <c r="AM414" s="193">
        <f>(((P414*'Appendix K'!$C$19*1000)-('Appendix K'!$E$45+'Appendix K'!$F$45+'Appendix K'!$H$45+'Appendix K'!$G$45))/((1+$Y$16)^AM$34))</f>
        <v>350114.46052017261</v>
      </c>
      <c r="AN414" s="193">
        <f>(((Q414*'Appendix K'!$C$20*1000)-('Appendix K'!$E$46+'Appendix K'!$F$46+'Appendix K'!$H$46+'Appendix K'!$G$46))/((1+$Y$16)^AN$34))</f>
        <v>274932.33107200812</v>
      </c>
      <c r="AO414" s="193">
        <f>(((R414*'Appendix K'!$C$21*1000)-('Appendix K'!$E$47+'Appendix K'!$F$47+'Appendix K'!$H$47+'Appendix K'!$G$47))/((1+$Y$16)^AO$34))</f>
        <v>311782.25938025769</v>
      </c>
      <c r="AP414" s="193">
        <f>(((S414*'Appendix K'!$C$22*1000)-('Appendix K'!$E$48+'Appendix K'!$F$48+'Appendix K'!$H$48+'Appendix K'!$G$48))/((1+$Y$16)^AP$34))</f>
        <v>308707.15226185316</v>
      </c>
      <c r="AQ414" s="193">
        <f>(((T414*'Appendix K'!$C$23*1000)-('Appendix K'!$E$49+'Appendix K'!$F$49+'Appendix K'!$H$49+'Appendix K'!$G$49))/((1+$Y$16)^AQ$34))</f>
        <v>-144350.0823068012</v>
      </c>
      <c r="AR414" s="193">
        <f>(((U414*'Appendix K'!$C$24*1000)-('Appendix K'!$E$50+'Appendix K'!$F$50+'Appendix K'!$H$50+'Appendix K'!$G$50))/((1+$Y$16)^AR$34))</f>
        <v>204104.27170710638</v>
      </c>
      <c r="AS414" s="209">
        <f t="shared" si="26"/>
        <v>103377638.14983514</v>
      </c>
      <c r="AU414" s="199">
        <f t="shared" si="25"/>
        <v>6.763751620064622E-9</v>
      </c>
    </row>
    <row r="415" spans="1:47" x14ac:dyDescent="0.35">
      <c r="A415">
        <v>381</v>
      </c>
      <c r="B415" s="70">
        <v>56</v>
      </c>
      <c r="C415" s="70">
        <v>58.354097869441496</v>
      </c>
      <c r="D415" s="70">
        <v>48.996126560158807</v>
      </c>
      <c r="E415" s="70">
        <v>61.762653536221983</v>
      </c>
      <c r="F415" s="70">
        <v>73.114424033436421</v>
      </c>
      <c r="G415" s="70">
        <v>55.643553255792668</v>
      </c>
      <c r="H415" s="70">
        <v>50.937598381533633</v>
      </c>
      <c r="I415" s="70">
        <v>36.719841335918318</v>
      </c>
      <c r="J415" s="70">
        <v>66.55203798725563</v>
      </c>
      <c r="K415" s="70">
        <v>102.14350137858857</v>
      </c>
      <c r="L415" s="70">
        <v>132.42147526359526</v>
      </c>
      <c r="M415" s="70">
        <v>101.6059912315325</v>
      </c>
      <c r="N415" s="70">
        <v>125.87432847236356</v>
      </c>
      <c r="O415" s="70">
        <v>152.93303617085303</v>
      </c>
      <c r="P415" s="70">
        <v>188.46185030369082</v>
      </c>
      <c r="Q415" s="70">
        <v>155.04806319531667</v>
      </c>
      <c r="R415" s="70">
        <v>132.65169168261377</v>
      </c>
      <c r="S415" s="70">
        <v>166.80317433817146</v>
      </c>
      <c r="T415" s="70">
        <v>141.75033224427676</v>
      </c>
      <c r="U415" s="70">
        <v>131.92302675700157</v>
      </c>
      <c r="V415" s="70">
        <v>87.802000847395959</v>
      </c>
      <c r="X415" s="193">
        <f>((0-('Appendix K'!$I$30))/(1+$Y$16)^0)</f>
        <v>-33594902.4440751</v>
      </c>
      <c r="Y415" s="193">
        <f>(((B415*'Appendix K'!$C$5*1000)-('Appendix K'!$E$31+'Appendix K'!$F$31+'Appendix K'!$H$31+'Appendix K'!$G$31))/((1+$Y$16)^1))</f>
        <v>34971064.972647354</v>
      </c>
      <c r="Z415" s="193">
        <f>+(((C415*'Appendix K'!$C$6*1000)-('Appendix K'!$E$32+'Appendix K'!$F$32+'Appendix K'!$H$32+'Appendix K'!$G$32))/((1+$Y$16)^2))</f>
        <v>11253995.489311343</v>
      </c>
      <c r="AA415" s="193">
        <f>(((D415*'Appendix K'!$C$7*1000)-('Appendix K'!$E$33+'Appendix K'!$F$33+'Appendix K'!$H$33+'Appendix K'!$G$33))/((1+$Y$16)^3))</f>
        <v>3275977.3037381121</v>
      </c>
      <c r="AB415" s="193">
        <f>(((E415*'Appendix K'!$C$8*1000)-('Appendix K'!$E$34+'Appendix K'!$F$34+'Appendix K'!$H$34+'Appendix K'!$G$34))/((1+$Y$16)^4))</f>
        <v>10244600.383610493</v>
      </c>
      <c r="AC415" s="193">
        <f>(((F415*'Appendix K'!$C$9*1000)-('Appendix K'!$E$35+'Appendix K'!$F$35+'Appendix K'!$H$35+'Appendix K'!$G$35))/((1+$Y$16)^AC$34))</f>
        <v>16449470.578679806</v>
      </c>
      <c r="AD415" s="193">
        <f>(((G415*'Appendix K'!$C$10*1000)-('Appendix K'!$E$36+'Appendix K'!$F$36+'Appendix K'!$H$36+'Appendix K'!$G$36))/((1+$Y$16)^AD$34))</f>
        <v>6222720.5019074185</v>
      </c>
      <c r="AE415" s="193">
        <f>(((H415*'Appendix K'!$C$11*1000)-('Appendix K'!$E$37+'Appendix K'!$F$37+'Appendix K'!$H$37+'Appendix K'!$G$37))/((1+$Y$16)^AE$34))</f>
        <v>2860454.3158088909</v>
      </c>
      <c r="AF415" s="193">
        <f>(((I415*'Appendix K'!$C$12*1000)-('Appendix K'!$E$38+'Appendix K'!$F$38+'Appendix K'!$H$38+'Appendix K'!$G$38))/((1+$Y$16)^AF$34))</f>
        <v>414534.89195981977</v>
      </c>
      <c r="AG415" s="193">
        <f>(((J415*'Appendix K'!$C$13*1000)-('Appendix K'!$E$39+'Appendix K'!$F$39+'Appendix K'!$H$39+'Appendix K'!$G$39))/((1+$Y$16)^AG$34))</f>
        <v>1247709.8769834801</v>
      </c>
      <c r="AH415" s="193">
        <f>(((K415*'Appendix K'!$C$14*1000)-('Appendix K'!$E$40+'Appendix K'!$F$40+'Appendix K'!$H$40+'Appendix K'!$G$40))/((1+$Y$16)^AH$34))</f>
        <v>1810161.5061250471</v>
      </c>
      <c r="AI415" s="193">
        <f>(((L415*'Appendix K'!$C$15*1000)-('Appendix K'!$E$41+'Appendix K'!$F$41+'Appendix K'!$H$41+'Appendix K'!$G$41))/((1+$Y$16)^AI$34))</f>
        <v>1953208.9329481639</v>
      </c>
      <c r="AJ415" s="193">
        <f>(((M415*'Appendix K'!$C$16*1000)-('Appendix K'!$E$42+'Appendix K'!$F$42+'Appendix K'!$H$42+'Appendix K'!$G$42))/((1+$Y$16)^AJ$34))</f>
        <v>654822.80171701731</v>
      </c>
      <c r="AK415" s="193">
        <f>(((N415*'Appendix K'!$C$17*1000)-('Appendix K'!$E$43+'Appendix K'!$F$43+'Appendix K'!$H$43))/((1+$Y$16)^AK$34))</f>
        <v>929661.65944318846</v>
      </c>
      <c r="AL415" s="193">
        <f>(((O415*'Appendix K'!$C$18*1000)-('Appendix K'!$E$44+'Appendix K'!$F$44+'Appendix K'!$H$44+'Appendix K'!$G$44))/((1+$Y$16)^AL$34))</f>
        <v>678171.15293395985</v>
      </c>
      <c r="AM415" s="193">
        <f>(((P415*'Appendix K'!$C$19*1000)-('Appendix K'!$E$45+'Appendix K'!$F$45+'Appendix K'!$H$45+'Appendix K'!$G$45))/((1+$Y$16)^AM$34))</f>
        <v>720036.40142709762</v>
      </c>
      <c r="AN415" s="193">
        <f>(((Q415*'Appendix K'!$C$20*1000)-('Appendix K'!$E$46+'Appendix K'!$F$46+'Appendix K'!$H$46+'Appendix K'!$G$46))/((1+$Y$16)^AN$34))</f>
        <v>206252.57492811189</v>
      </c>
      <c r="AO415" s="193">
        <f>(((R415*'Appendix K'!$C$21*1000)-('Appendix K'!$E$47+'Appendix K'!$F$47+'Appendix K'!$H$47+'Appendix K'!$G$47))/((1+$Y$16)^AO$34))</f>
        <v>-59012.772172521552</v>
      </c>
      <c r="AP415" s="193">
        <f>(((S415*'Appendix K'!$C$22*1000)-('Appendix K'!$E$48+'Appendix K'!$F$48+'Appendix K'!$H$48+'Appendix K'!$G$48))/((1+$Y$16)^AP$34))</f>
        <v>34487.15756488531</v>
      </c>
      <c r="AQ415" s="193">
        <f>(((T415*'Appendix K'!$C$23*1000)-('Appendix K'!$E$49+'Appendix K'!$F$49+'Appendix K'!$H$49+'Appendix K'!$G$49))/((1+$Y$16)^AQ$34))</f>
        <v>-138711.12012341619</v>
      </c>
      <c r="AR415" s="193">
        <f>(((U415*'Appendix K'!$C$24*1000)-('Appendix K'!$E$50+'Appendix K'!$F$50+'Appendix K'!$H$50+'Appendix K'!$G$50))/((1+$Y$16)^AR$34))</f>
        <v>-204493.02681813281</v>
      </c>
      <c r="AS415" s="209">
        <f t="shared" si="26"/>
        <v>60332428.057659067</v>
      </c>
      <c r="AU415" s="199">
        <f t="shared" si="25"/>
        <v>6.2624252020078577E-9</v>
      </c>
    </row>
    <row r="416" spans="1:47" x14ac:dyDescent="0.35">
      <c r="A416">
        <v>382</v>
      </c>
      <c r="B416" s="70">
        <v>56</v>
      </c>
      <c r="C416" s="70">
        <v>27.254993334565015</v>
      </c>
      <c r="D416" s="70">
        <v>31.990564533385871</v>
      </c>
      <c r="E416" s="70">
        <v>22.416748569337642</v>
      </c>
      <c r="F416" s="70">
        <v>25.271503000374</v>
      </c>
      <c r="G416" s="70">
        <v>21.44011688248413</v>
      </c>
      <c r="H416" s="70">
        <v>34.037381012433421</v>
      </c>
      <c r="I416" s="70">
        <v>36.419935612895394</v>
      </c>
      <c r="J416" s="70">
        <v>58.859742283009354</v>
      </c>
      <c r="K416" s="70">
        <v>72.725999677545673</v>
      </c>
      <c r="L416" s="70">
        <v>123.85697872240377</v>
      </c>
      <c r="M416" s="70">
        <v>171.42262712979738</v>
      </c>
      <c r="N416" s="70">
        <v>237.33804431206698</v>
      </c>
      <c r="O416" s="70">
        <v>289.63089215490476</v>
      </c>
      <c r="P416" s="70">
        <v>482.49622383867006</v>
      </c>
      <c r="Q416" s="70">
        <v>500</v>
      </c>
      <c r="R416" s="70">
        <v>500</v>
      </c>
      <c r="S416" s="70">
        <v>500</v>
      </c>
      <c r="T416" s="70">
        <v>422.35385785088152</v>
      </c>
      <c r="U416" s="70">
        <v>481.57637526561888</v>
      </c>
      <c r="V416" s="70">
        <v>500</v>
      </c>
      <c r="X416" s="193">
        <f>((0-('Appendix K'!$I$30))/(1+$Y$16)^0)</f>
        <v>-33594902.4440751</v>
      </c>
      <c r="Y416" s="193">
        <f>(((B416*'Appendix K'!$C$5*1000)-('Appendix K'!$E$31+'Appendix K'!$F$31+'Appendix K'!$H$31+'Appendix K'!$G$31))/((1+$Y$16)^1))</f>
        <v>34971064.972647354</v>
      </c>
      <c r="Z416" s="193">
        <f>+(((C416*'Appendix K'!$C$6*1000)-('Appendix K'!$E$32+'Appendix K'!$F$32+'Appendix K'!$H$32+'Appendix K'!$G$32))/((1+$Y$16)^2))</f>
        <v>3397829.7919577234</v>
      </c>
      <c r="AA416" s="193">
        <f>(((D416*'Appendix K'!$C$7*1000)-('Appendix K'!$E$33+'Appendix K'!$F$33+'Appendix K'!$H$33+'Appendix K'!$G$33))/((1+$Y$16)^3))</f>
        <v>1109896.0111939658</v>
      </c>
      <c r="AB416" s="193">
        <f>(((E416*'Appendix K'!$C$8*1000)-('Appendix K'!$E$34+'Appendix K'!$F$34+'Appendix K'!$H$34+'Appendix K'!$G$34))/((1+$Y$16)^4))</f>
        <v>1620338.1919622449</v>
      </c>
      <c r="AC416" s="193">
        <f>(((F416*'Appendix K'!$C$9*1000)-('Appendix K'!$E$35+'Appendix K'!$F$35+'Appendix K'!$H$35+'Appendix K'!$G$35))/((1+$Y$16)^AC$34))</f>
        <v>3732897.2949593505</v>
      </c>
      <c r="AD416" s="193">
        <f>(((G416*'Appendix K'!$C$10*1000)-('Appendix K'!$E$36+'Appendix K'!$F$36+'Appendix K'!$H$36+'Appendix K'!$G$36))/((1+$Y$16)^AD$34))</f>
        <v>851277.69840607932</v>
      </c>
      <c r="AE416" s="193">
        <f>(((H416*'Appendix K'!$C$11*1000)-('Appendix K'!$E$37+'Appendix K'!$F$37+'Appendix K'!$H$37+'Appendix K'!$G$37))/((1+$Y$16)^AE$34))</f>
        <v>1174866.7085936891</v>
      </c>
      <c r="AF416" s="193">
        <f>(((I416*'Appendix K'!$C$12*1000)-('Appendix K'!$E$38+'Appendix K'!$F$38+'Appendix K'!$H$38+'Appendix K'!$G$38))/((1+$Y$16)^AF$34))</f>
        <v>394842.35430323693</v>
      </c>
      <c r="AG416" s="193">
        <f>(((J416*'Appendix K'!$C$13*1000)-('Appendix K'!$E$39+'Appendix K'!$F$39+'Appendix K'!$H$39+'Appendix K'!$G$39))/((1+$Y$16)^AG$34))</f>
        <v>893718.63972440478</v>
      </c>
      <c r="AH416" s="193">
        <f>(((K416*'Appendix K'!$C$14*1000)-('Appendix K'!$E$40+'Appendix K'!$F$40+'Appendix K'!$H$40+'Appendix K'!$G$40))/((1+$Y$16)^AH$34))</f>
        <v>818599.69793960417</v>
      </c>
      <c r="AI416" s="193">
        <f>(((L416*'Appendix K'!$C$15*1000)-('Appendix K'!$E$41+'Appendix K'!$F$41+'Appendix K'!$H$41+'Appendix K'!$G$41))/((1+$Y$16)^AI$34))</f>
        <v>1728803.1078818813</v>
      </c>
      <c r="AJ416" s="193">
        <f>(((M416*'Appendix K'!$C$16*1000)-('Appendix K'!$E$42+'Appendix K'!$F$42+'Appendix K'!$H$42+'Appendix K'!$G$42))/((1+$Y$16)^AJ$34))</f>
        <v>2054078.5312378602</v>
      </c>
      <c r="AK416" s="193">
        <f>(((N416*'Appendix K'!$C$17*1000)-('Appendix K'!$E$43+'Appendix K'!$F$43+'Appendix K'!$H$43))/((1+$Y$16)^AK$34))</f>
        <v>2642178.7604074422</v>
      </c>
      <c r="AL416" s="193">
        <f>(((O416*'Appendix K'!$C$18*1000)-('Appendix K'!$E$44+'Appendix K'!$F$44+'Appendix K'!$H$44+'Appendix K'!$G$44))/((1+$Y$16)^AL$34))</f>
        <v>2298491.0635476732</v>
      </c>
      <c r="AM416" s="193">
        <f>(((P416*'Appendix K'!$C$19*1000)-('Appendix K'!$E$45+'Appendix K'!$F$45+'Appendix K'!$H$45+'Appendix K'!$G$45))/((1+$Y$16)^AM$34))</f>
        <v>3445362.1474317163</v>
      </c>
      <c r="AN416" s="193">
        <f>(((Q416*'Appendix K'!$C$20*1000)-('Appendix K'!$E$46+'Appendix K'!$F$46+'Appendix K'!$H$46+'Appendix K'!$G$46))/((1+$Y$16)^AN$34))</f>
        <v>2702399.606577659</v>
      </c>
      <c r="AO416" s="193">
        <f>(((R416*'Appendix K'!$C$21*1000)-('Appendix K'!$E$47+'Appendix K'!$F$47+'Appendix K'!$H$47+'Appendix K'!$G$47))/((1+$Y$16)^AO$34))</f>
        <v>2112056.3146391152</v>
      </c>
      <c r="AP416" s="193">
        <f>(((S416*'Appendix K'!$C$22*1000)-('Appendix K'!$E$48+'Appendix K'!$F$48+'Appendix K'!$H$48+'Appendix K'!$G$48))/((1+$Y$16)^AP$34))</f>
        <v>1630406.4380253027</v>
      </c>
      <c r="AQ416" s="193">
        <f>(((T416*'Appendix K'!$C$23*1000)-('Appendix K'!$E$49+'Appendix K'!$F$49+'Appendix K'!$H$49+'Appendix K'!$G$49))/((1+$Y$16)^AQ$34))</f>
        <v>959499.24275595369</v>
      </c>
      <c r="AR416" s="193">
        <f>(((U416*'Appendix K'!$C$24*1000)-('Appendix K'!$E$50+'Appendix K'!$F$50+'Appendix K'!$H$50+'Appendix K'!$G$50))/((1+$Y$16)^AR$34))</f>
        <v>921400.55226733512</v>
      </c>
      <c r="AS416" s="209">
        <f t="shared" si="26"/>
        <v>35865104.682384469</v>
      </c>
      <c r="AU416" s="199">
        <f t="shared" si="25"/>
        <v>4.638314467010191E-9</v>
      </c>
    </row>
    <row r="417" spans="1:47" x14ac:dyDescent="0.35">
      <c r="A417">
        <v>383</v>
      </c>
      <c r="B417" s="70">
        <v>56</v>
      </c>
      <c r="C417" s="70">
        <v>65.326141790237813</v>
      </c>
      <c r="D417" s="70">
        <v>71.961791909697013</v>
      </c>
      <c r="E417" s="70">
        <v>58.901833711005892</v>
      </c>
      <c r="F417" s="70">
        <v>94.138936763668724</v>
      </c>
      <c r="G417" s="70">
        <v>96.986931369661235</v>
      </c>
      <c r="H417" s="70">
        <v>96.437039176949909</v>
      </c>
      <c r="I417" s="70">
        <v>55.352701071384459</v>
      </c>
      <c r="J417" s="70">
        <v>92.139136237010462</v>
      </c>
      <c r="K417" s="70">
        <v>119.46078488625906</v>
      </c>
      <c r="L417" s="70">
        <v>66.765678637478146</v>
      </c>
      <c r="M417" s="70">
        <v>70.447799246762287</v>
      </c>
      <c r="N417" s="70">
        <v>80.449557952972015</v>
      </c>
      <c r="O417" s="70">
        <v>103.59031835159979</v>
      </c>
      <c r="P417" s="70">
        <v>111.90470518358015</v>
      </c>
      <c r="Q417" s="70">
        <v>101.62775390453389</v>
      </c>
      <c r="R417" s="70">
        <v>121.69494207781722</v>
      </c>
      <c r="S417" s="70">
        <v>115.35957961999527</v>
      </c>
      <c r="T417" s="70">
        <v>145.88173501658105</v>
      </c>
      <c r="U417" s="70">
        <v>142.88927768770375</v>
      </c>
      <c r="V417" s="70">
        <v>138.25849032455667</v>
      </c>
      <c r="X417" s="193">
        <f>((0-('Appendix K'!$I$30))/(1+$Y$16)^0)</f>
        <v>-33594902.4440751</v>
      </c>
      <c r="Y417" s="193">
        <f>(((B417*'Appendix K'!$C$5*1000)-('Appendix K'!$E$31+'Appendix K'!$F$31+'Appendix K'!$H$31+'Appendix K'!$G$31))/((1+$Y$16)^1))</f>
        <v>34971064.972647354</v>
      </c>
      <c r="Z417" s="193">
        <f>+(((C417*'Appendix K'!$C$6*1000)-('Appendix K'!$E$32+'Appendix K'!$F$32+'Appendix K'!$H$32+'Appendix K'!$G$32))/((1+$Y$16)^2))</f>
        <v>13015253.0274368</v>
      </c>
      <c r="AA417" s="193">
        <f>(((D417*'Appendix K'!$C$7*1000)-('Appendix K'!$E$33+'Appendix K'!$F$33+'Appendix K'!$H$33+'Appendix K'!$G$33))/((1+$Y$16)^3))</f>
        <v>6201225.9962627413</v>
      </c>
      <c r="AB417" s="193">
        <f>(((E417*'Appendix K'!$C$8*1000)-('Appendix K'!$E$34+'Appendix K'!$F$34+'Appendix K'!$H$34+'Appendix K'!$G$34))/((1+$Y$16)^4))</f>
        <v>9617534.8662079927</v>
      </c>
      <c r="AC417" s="193">
        <f>(((F417*'Appendix K'!$C$9*1000)-('Appendix K'!$E$35+'Appendix K'!$F$35+'Appendix K'!$H$35+'Appendix K'!$G$35))/((1+$Y$16)^AC$34))</f>
        <v>22037753.047966126</v>
      </c>
      <c r="AD417" s="193">
        <f>(((G417*'Appendix K'!$C$10*1000)-('Appendix K'!$E$36+'Appendix K'!$F$36+'Appendix K'!$H$36+'Appendix K'!$G$36))/((1+$Y$16)^AD$34))</f>
        <v>12715447.969942603</v>
      </c>
      <c r="AE417" s="193">
        <f>(((H417*'Appendix K'!$C$11*1000)-('Appendix K'!$E$37+'Appendix K'!$F$37+'Appendix K'!$H$37+'Appendix K'!$G$37))/((1+$Y$16)^AE$34))</f>
        <v>7398460.6541296579</v>
      </c>
      <c r="AF417" s="193">
        <f>(((I417*'Appendix K'!$C$12*1000)-('Appendix K'!$E$38+'Appendix K'!$F$38+'Appendix K'!$H$38+'Appendix K'!$G$38))/((1+$Y$16)^AF$34))</f>
        <v>1638013.6848685034</v>
      </c>
      <c r="AG417" s="193">
        <f>(((J417*'Appendix K'!$C$13*1000)-('Appendix K'!$E$39+'Appendix K'!$F$39+'Appendix K'!$H$39+'Appendix K'!$G$39))/((1+$Y$16)^AG$34))</f>
        <v>2425200.8257909049</v>
      </c>
      <c r="AH417" s="193">
        <f>(((K417*'Appendix K'!$C$14*1000)-('Appendix K'!$E$40+'Appendix K'!$F$40+'Appendix K'!$H$40+'Appendix K'!$G$40))/((1+$Y$16)^AH$34))</f>
        <v>2393866.9860202665</v>
      </c>
      <c r="AI417" s="193">
        <f>(((L417*'Appendix K'!$C$15*1000)-('Appendix K'!$E$41+'Appendix K'!$F$41+'Appendix K'!$H$41+'Appendix K'!$G$41))/((1+$Y$16)^AI$34))</f>
        <v>232904.28440216626</v>
      </c>
      <c r="AJ417" s="193">
        <f>(((M417*'Appendix K'!$C$16*1000)-('Appendix K'!$E$42+'Appendix K'!$F$42+'Appendix K'!$H$42+'Appendix K'!$G$42))/((1+$Y$16)^AJ$34))</f>
        <v>30354.462684891641</v>
      </c>
      <c r="AK417" s="193">
        <f>(((N417*'Appendix K'!$C$17*1000)-('Appendix K'!$E$43+'Appendix K'!$F$43+'Appendix K'!$H$43))/((1+$Y$16)^AK$34))</f>
        <v>231760.14292003424</v>
      </c>
      <c r="AL417" s="193">
        <f>(((O417*'Appendix K'!$C$18*1000)-('Appendix K'!$E$44+'Appendix K'!$F$44+'Appendix K'!$H$44+'Appendix K'!$G$44))/((1+$Y$16)^AL$34))</f>
        <v>93297.399422728326</v>
      </c>
      <c r="AM417" s="193">
        <f>(((P417*'Appendix K'!$C$19*1000)-('Appendix K'!$E$45+'Appendix K'!$F$45+'Appendix K'!$H$45+'Appendix K'!$G$45))/((1+$Y$16)^AM$34))</f>
        <v>10448.756526701114</v>
      </c>
      <c r="AN417" s="193">
        <f>(((Q417*'Appendix K'!$C$20*1000)-('Appendix K'!$E$46+'Appendix K'!$F$46+'Appendix K'!$H$46+'Appendix K'!$G$46))/((1+$Y$16)^AN$34))</f>
        <v>-180308.36947815152</v>
      </c>
      <c r="AO417" s="193">
        <f>(((R417*'Appendix K'!$C$21*1000)-('Appendix K'!$E$47+'Appendix K'!$F$47+'Appendix K'!$H$47+'Appendix K'!$G$47))/((1+$Y$16)^AO$34))</f>
        <v>-123768.37283900638</v>
      </c>
      <c r="AP417" s="193">
        <f>(((S417*'Appendix K'!$C$22*1000)-('Appendix K'!$E$48+'Appendix K'!$F$48+'Appendix K'!$H$48+'Appendix K'!$G$48))/((1+$Y$16)^AP$34))</f>
        <v>-211913.223062554</v>
      </c>
      <c r="AQ417" s="193">
        <f>(((T417*'Appendix K'!$C$23*1000)-('Appendix K'!$E$49+'Appendix K'!$F$49+'Appendix K'!$H$49+'Appendix K'!$G$49))/((1+$Y$16)^AQ$34))</f>
        <v>-122541.86733885204</v>
      </c>
      <c r="AR417" s="193">
        <f>(((U417*'Appendix K'!$C$24*1000)-('Appendix K'!$E$50+'Appendix K'!$F$50+'Appendix K'!$H$50+'Appendix K'!$G$50))/((1+$Y$16)^AR$34))</f>
        <v>-169181.39155943799</v>
      </c>
      <c r="AS417" s="209">
        <f t="shared" si="26"/>
        <v>79417684.633154362</v>
      </c>
      <c r="AU417" s="199">
        <f t="shared" si="25"/>
        <v>6.9566860140171577E-9</v>
      </c>
    </row>
    <row r="418" spans="1:47" x14ac:dyDescent="0.35">
      <c r="A418">
        <v>384</v>
      </c>
      <c r="B418" s="70">
        <v>56</v>
      </c>
      <c r="C418" s="70">
        <v>68.502793828360765</v>
      </c>
      <c r="D418" s="70">
        <v>67.53249810314982</v>
      </c>
      <c r="E418" s="70">
        <v>68.798354028722827</v>
      </c>
      <c r="F418" s="70">
        <v>95.393159948312928</v>
      </c>
      <c r="G418" s="70">
        <v>142.28603904932601</v>
      </c>
      <c r="H418" s="70">
        <v>221.0562331237779</v>
      </c>
      <c r="I418" s="70">
        <v>258.98905219993804</v>
      </c>
      <c r="J418" s="70">
        <v>323.65895762358684</v>
      </c>
      <c r="K418" s="70">
        <v>375.15380634864704</v>
      </c>
      <c r="L418" s="70">
        <v>363.95434731744041</v>
      </c>
      <c r="M418" s="70">
        <v>500</v>
      </c>
      <c r="N418" s="70">
        <v>500</v>
      </c>
      <c r="O418" s="70">
        <v>500</v>
      </c>
      <c r="P418" s="70">
        <v>316.12761979240668</v>
      </c>
      <c r="Q418" s="70">
        <v>262.01316240813651</v>
      </c>
      <c r="R418" s="70">
        <v>133.05116090054676</v>
      </c>
      <c r="S418" s="70">
        <v>126.02411035227766</v>
      </c>
      <c r="T418" s="70">
        <v>183.11878251857294</v>
      </c>
      <c r="U418" s="70">
        <v>237.87525591853597</v>
      </c>
      <c r="V418" s="70">
        <v>250.16650245056863</v>
      </c>
      <c r="X418" s="193">
        <f>((0-('Appendix K'!$I$30))/(1+$Y$16)^0)</f>
        <v>-33594902.4440751</v>
      </c>
      <c r="Y418" s="193">
        <f>(((B418*'Appendix K'!$C$5*1000)-('Appendix K'!$E$31+'Appendix K'!$F$31+'Appendix K'!$H$31+'Appendix K'!$G$31))/((1+$Y$16)^1))</f>
        <v>34971064.972647354</v>
      </c>
      <c r="Z418" s="193">
        <f>+(((C418*'Appendix K'!$C$6*1000)-('Appendix K'!$E$32+'Appendix K'!$F$32+'Appendix K'!$H$32+'Appendix K'!$G$32))/((1+$Y$16)^2))</f>
        <v>13817729.662940644</v>
      </c>
      <c r="AA418" s="193">
        <f>(((D418*'Appendix K'!$C$7*1000)-('Appendix K'!$E$33+'Appendix K'!$F$33+'Appendix K'!$H$33+'Appendix K'!$G$33))/((1+$Y$16)^3))</f>
        <v>5637045.2630156567</v>
      </c>
      <c r="AB418" s="193">
        <f>(((E418*'Appendix K'!$C$8*1000)-('Appendix K'!$E$34+'Appendix K'!$F$34+'Appendix K'!$H$34+'Appendix K'!$G$34))/((1+$Y$16)^4))</f>
        <v>11786761.525927734</v>
      </c>
      <c r="AC418" s="193">
        <f>(((F418*'Appendix K'!$C$9*1000)-('Appendix K'!$E$35+'Appendix K'!$F$35+'Appendix K'!$H$35+'Appendix K'!$G$35))/((1+$Y$16)^AC$34))</f>
        <v>22371123.600960735</v>
      </c>
      <c r="AD418" s="193">
        <f>(((G418*'Appendix K'!$C$10*1000)-('Appendix K'!$E$36+'Appendix K'!$F$36+'Appendix K'!$H$36+'Appendix K'!$G$36))/((1+$Y$16)^AD$34))</f>
        <v>19829398.840120357</v>
      </c>
      <c r="AE418" s="193">
        <f>(((H418*'Appendix K'!$C$11*1000)-('Appendix K'!$E$37+'Appendix K'!$F$37+'Appendix K'!$H$37+'Appendix K'!$G$37))/((1+$Y$16)^AE$34))</f>
        <v>19827683.565900095</v>
      </c>
      <c r="AF418" s="193">
        <f>(((I418*'Appendix K'!$C$12*1000)-('Appendix K'!$E$38+'Appendix K'!$F$38+'Appendix K'!$H$38+'Appendix K'!$G$38))/((1+$Y$16)^AF$34))</f>
        <v>15009270.733343177</v>
      </c>
      <c r="AG418" s="193">
        <f>(((J418*'Appendix K'!$C$13*1000)-('Appendix K'!$E$39+'Appendix K'!$F$39+'Appendix K'!$H$39+'Appendix K'!$G$39))/((1+$Y$16)^AG$34))</f>
        <v>13079495.87289799</v>
      </c>
      <c r="AH418" s="193">
        <f>(((K418*'Appendix K'!$C$14*1000)-('Appendix K'!$E$40+'Appendix K'!$F$40+'Appendix K'!$H$40+'Appendix K'!$G$40))/((1+$Y$16)^AH$34))</f>
        <v>11012390.655304404</v>
      </c>
      <c r="AI418" s="193">
        <f>(((L418*'Appendix K'!$C$15*1000)-('Appendix K'!$E$41+'Appendix K'!$F$41+'Appendix K'!$H$41+'Appendix K'!$G$41))/((1+$Y$16)^AI$34))</f>
        <v>8019803.1493527154</v>
      </c>
      <c r="AJ418" s="193">
        <f>(((M418*'Appendix K'!$C$16*1000)-('Appendix K'!$E$42+'Appendix K'!$F$42+'Appendix K'!$H$42+'Appendix K'!$G$42))/((1+$Y$16)^AJ$34))</f>
        <v>8639382.5302660316</v>
      </c>
      <c r="AK418" s="193">
        <f>(((N418*'Appendix K'!$C$17*1000)-('Appendix K'!$E$43+'Appendix K'!$F$43+'Appendix K'!$H$43))/((1+$Y$16)^AK$34))</f>
        <v>6677690.1149291173</v>
      </c>
      <c r="AL418" s="193">
        <f>(((O418*'Appendix K'!$C$18*1000)-('Appendix K'!$E$44+'Appendix K'!$F$44+'Appendix K'!$H$44+'Appendix K'!$G$44))/((1+$Y$16)^AL$34))</f>
        <v>4792058.0003928225</v>
      </c>
      <c r="AM418" s="193">
        <f>(((P418*'Appendix K'!$C$19*1000)-('Appendix K'!$E$45+'Appendix K'!$F$45+'Appendix K'!$H$45+'Appendix K'!$G$45))/((1+$Y$16)^AM$34))</f>
        <v>1903336.1778721032</v>
      </c>
      <c r="AN418" s="193">
        <f>(((Q418*'Appendix K'!$C$20*1000)-('Appendix K'!$E$46+'Appendix K'!$F$46+'Appendix K'!$H$46+'Appendix K'!$G$46))/((1+$Y$16)^AN$34))</f>
        <v>980275.23258710955</v>
      </c>
      <c r="AO418" s="193">
        <f>(((R418*'Appendix K'!$C$21*1000)-('Appendix K'!$E$47+'Appendix K'!$F$47+'Appendix K'!$H$47+'Appendix K'!$G$47))/((1+$Y$16)^AO$34))</f>
        <v>-56651.864961162311</v>
      </c>
      <c r="AP418" s="193">
        <f>(((S418*'Appendix K'!$C$22*1000)-('Appendix K'!$E$48+'Appendix K'!$F$48+'Appendix K'!$H$48+'Appendix K'!$G$48))/((1+$Y$16)^AP$34))</f>
        <v>-160833.11394414981</v>
      </c>
      <c r="AQ418" s="193">
        <f>(((T418*'Appendix K'!$C$23*1000)-('Appendix K'!$E$49+'Appendix K'!$F$49+'Appendix K'!$H$49+'Appendix K'!$G$49))/((1+$Y$16)^AQ$34))</f>
        <v>23194.403655300845</v>
      </c>
      <c r="AR418" s="193">
        <f>(((U418*'Appendix K'!$C$24*1000)-('Appendix K'!$E$50+'Appendix K'!$F$50+'Appendix K'!$H$50+'Appendix K'!$G$50))/((1+$Y$16)^AR$34))</f>
        <v>136676.11974253206</v>
      </c>
      <c r="AS418" s="209">
        <f t="shared" si="26"/>
        <v>164919477.97778076</v>
      </c>
      <c r="AU418" s="199">
        <f t="shared" si="25"/>
        <v>2.779975628204324E-9</v>
      </c>
    </row>
    <row r="419" spans="1:47" x14ac:dyDescent="0.35">
      <c r="A419">
        <v>385</v>
      </c>
      <c r="B419" s="70">
        <v>56</v>
      </c>
      <c r="C419" s="70">
        <v>75.305812745239194</v>
      </c>
      <c r="D419" s="70">
        <v>93.946427635439136</v>
      </c>
      <c r="E419" s="70">
        <v>103.81245633317334</v>
      </c>
      <c r="F419" s="70">
        <v>108.38904937348258</v>
      </c>
      <c r="G419" s="70">
        <v>79.568326616696623</v>
      </c>
      <c r="H419" s="70">
        <v>69.732652042531541</v>
      </c>
      <c r="I419" s="70">
        <v>87.814289465745887</v>
      </c>
      <c r="J419" s="70">
        <v>75.280921721405591</v>
      </c>
      <c r="K419" s="70">
        <v>106.70941430446695</v>
      </c>
      <c r="L419" s="70">
        <v>79.00465831226407</v>
      </c>
      <c r="M419" s="70">
        <v>102.22242126778218</v>
      </c>
      <c r="N419" s="70">
        <v>77.904420264386602</v>
      </c>
      <c r="O419" s="70">
        <v>108.88626691933763</v>
      </c>
      <c r="P419" s="70">
        <v>173.23252449062153</v>
      </c>
      <c r="Q419" s="70">
        <v>233.59473015422958</v>
      </c>
      <c r="R419" s="70">
        <v>226.49529191235484</v>
      </c>
      <c r="S419" s="70">
        <v>265.04030803099232</v>
      </c>
      <c r="T419" s="70">
        <v>205.3670704539141</v>
      </c>
      <c r="U419" s="70">
        <v>125.72323492263776</v>
      </c>
      <c r="V419" s="70">
        <v>184.31584062803762</v>
      </c>
      <c r="X419" s="193">
        <f>((0-('Appendix K'!$I$30))/(1+$Y$16)^0)</f>
        <v>-33594902.4440751</v>
      </c>
      <c r="Y419" s="193">
        <f>(((B419*'Appendix K'!$C$5*1000)-('Appendix K'!$E$31+'Appendix K'!$F$31+'Appendix K'!$H$31+'Appendix K'!$G$31))/((1+$Y$16)^1))</f>
        <v>34971064.972647354</v>
      </c>
      <c r="Z419" s="193">
        <f>+(((C419*'Appendix K'!$C$6*1000)-('Appendix K'!$E$32+'Appendix K'!$F$32+'Appendix K'!$H$32+'Appendix K'!$G$32))/((1+$Y$16)^2))</f>
        <v>15536288.594220828</v>
      </c>
      <c r="AA419" s="193">
        <f>(((D419*'Appendix K'!$C$7*1000)-('Appendix K'!$E$33+'Appendix K'!$F$33+'Appendix K'!$H$33+'Appendix K'!$G$33))/((1+$Y$16)^3))</f>
        <v>9001516.1656764727</v>
      </c>
      <c r="AB419" s="193">
        <f>(((E419*'Appendix K'!$C$8*1000)-('Appendix K'!$E$34+'Appendix K'!$F$34+'Appendix K'!$H$34+'Appendix K'!$G$34))/((1+$Y$16)^4))</f>
        <v>19461532.227807164</v>
      </c>
      <c r="AC419" s="193">
        <f>(((F419*'Appendix K'!$C$9*1000)-('Appendix K'!$E$35+'Appendix K'!$F$35+'Appendix K'!$H$35+'Appendix K'!$G$35))/((1+$Y$16)^AC$34))</f>
        <v>25825410.60296236</v>
      </c>
      <c r="AD419" s="193">
        <f>(((G419*'Appendix K'!$C$10*1000)-('Appendix K'!$E$36+'Appendix K'!$F$36+'Appendix K'!$H$36+'Appendix K'!$G$36))/((1+$Y$16)^AD$34))</f>
        <v>9979961.4496361203</v>
      </c>
      <c r="AE419" s="193">
        <f>(((H419*'Appendix K'!$C$11*1000)-('Appendix K'!$E$37+'Appendix K'!$F$37+'Appendix K'!$H$37+'Appendix K'!$G$37))/((1+$Y$16)^AE$34))</f>
        <v>4735028.401811284</v>
      </c>
      <c r="AF419" s="193">
        <f>(((I419*'Appendix K'!$C$12*1000)-('Appendix K'!$E$38+'Appendix K'!$F$38+'Appendix K'!$H$38+'Appendix K'!$G$38))/((1+$Y$16)^AF$34))</f>
        <v>3769520.3643845599</v>
      </c>
      <c r="AG419" s="193">
        <f>(((J419*'Appendix K'!$C$13*1000)-('Appendix K'!$E$39+'Appendix K'!$F$39+'Appendix K'!$H$39+'Appendix K'!$G$39))/((1+$Y$16)^AG$34))</f>
        <v>1649403.7888850537</v>
      </c>
      <c r="AH419" s="193">
        <f>(((K419*'Appendix K'!$C$14*1000)-('Appendix K'!$E$40+'Appendix K'!$F$40+'Appendix K'!$H$40+'Appendix K'!$G$40))/((1+$Y$16)^AH$34))</f>
        <v>1964062.5723274404</v>
      </c>
      <c r="AI419" s="193">
        <f>(((L419*'Appendix K'!$C$15*1000)-('Appendix K'!$E$41+'Appendix K'!$F$41+'Appendix K'!$H$41+'Appendix K'!$G$41))/((1+$Y$16)^AI$34))</f>
        <v>553588.43888577633</v>
      </c>
      <c r="AJ419" s="193">
        <f>(((M419*'Appendix K'!$C$16*1000)-('Appendix K'!$E$42+'Appendix K'!$F$42+'Appendix K'!$H$42+'Appendix K'!$G$42))/((1+$Y$16)^AJ$34))</f>
        <v>667177.21050474502</v>
      </c>
      <c r="AK419" s="193">
        <f>(((N419*'Appendix K'!$C$17*1000)-('Appendix K'!$E$43+'Appendix K'!$F$43+'Appendix K'!$H$43))/((1+$Y$16)^AK$34))</f>
        <v>192656.90844434802</v>
      </c>
      <c r="AL419" s="193">
        <f>(((O419*'Appendix K'!$C$18*1000)-('Appendix K'!$E$44+'Appendix K'!$F$44+'Appendix K'!$H$44+'Appendix K'!$G$44))/((1+$Y$16)^AL$34))</f>
        <v>156071.83614025029</v>
      </c>
      <c r="AM419" s="193">
        <f>(((P419*'Appendix K'!$C$19*1000)-('Appendix K'!$E$45+'Appendix K'!$F$45+'Appendix K'!$H$45+'Appendix K'!$G$45))/((1+$Y$16)^AM$34))</f>
        <v>578879.86508862453</v>
      </c>
      <c r="AN419" s="193">
        <f>(((Q419*'Appendix K'!$C$20*1000)-('Appendix K'!$E$46+'Appendix K'!$F$46+'Appendix K'!$H$46+'Appendix K'!$G$46))/((1+$Y$16)^AN$34))</f>
        <v>774633.29309891711</v>
      </c>
      <c r="AO419" s="193">
        <f>(((R419*'Appendix K'!$C$21*1000)-('Appendix K'!$E$47+'Appendix K'!$F$47+'Appendix K'!$H$47+'Appendix K'!$G$47))/((1+$Y$16)^AO$34))</f>
        <v>495613.27302997751</v>
      </c>
      <c r="AP419" s="193">
        <f>(((S419*'Appendix K'!$C$22*1000)-('Appendix K'!$E$48+'Appendix K'!$F$48+'Appendix K'!$H$48+'Appendix K'!$G$48))/((1+$Y$16)^AP$34))</f>
        <v>505015.45688505872</v>
      </c>
      <c r="AQ419" s="193">
        <f>(((T419*'Appendix K'!$C$23*1000)-('Appendix K'!$E$49+'Appendix K'!$F$49+'Appendix K'!$H$49+'Appendix K'!$G$49))/((1+$Y$16)^AQ$34))</f>
        <v>110268.50692644158</v>
      </c>
      <c r="AR419" s="193">
        <f>(((U419*'Appendix K'!$C$24*1000)-('Appendix K'!$E$50+'Appendix K'!$F$50+'Appendix K'!$H$50+'Appendix K'!$G$50))/((1+$Y$16)^AR$34))</f>
        <v>-224456.53023587484</v>
      </c>
      <c r="AS419" s="209">
        <f t="shared" si="26"/>
        <v>97332791.485287666</v>
      </c>
      <c r="AU419" s="199">
        <f t="shared" ref="AU419:AU482" si="27">_xlfn.NORM.DIST(AS419,$Y$17,$Y$19,FALSE)</f>
        <v>6.9274078431911636E-9</v>
      </c>
    </row>
    <row r="420" spans="1:47" x14ac:dyDescent="0.35">
      <c r="A420">
        <v>386</v>
      </c>
      <c r="B420" s="70">
        <v>56</v>
      </c>
      <c r="C420" s="70">
        <v>71.518568539999407</v>
      </c>
      <c r="D420" s="70">
        <v>51.813762052505837</v>
      </c>
      <c r="E420" s="70">
        <v>36.407860934112513</v>
      </c>
      <c r="F420" s="70">
        <v>37.383270527778002</v>
      </c>
      <c r="G420" s="70">
        <v>45.628800353608199</v>
      </c>
      <c r="H420" s="70">
        <v>65.01973704772405</v>
      </c>
      <c r="I420" s="70">
        <v>69.558309589789729</v>
      </c>
      <c r="J420" s="70">
        <v>80.166136576040117</v>
      </c>
      <c r="K420" s="70">
        <v>77.11085599878524</v>
      </c>
      <c r="L420" s="70">
        <v>84.19787128322946</v>
      </c>
      <c r="M420" s="70">
        <v>64.95922499600502</v>
      </c>
      <c r="N420" s="70">
        <v>100.03852837387157</v>
      </c>
      <c r="O420" s="70">
        <v>37.646418481287604</v>
      </c>
      <c r="P420" s="70">
        <v>40.736267725567323</v>
      </c>
      <c r="Q420" s="70">
        <v>44.47420759218798</v>
      </c>
      <c r="R420" s="70">
        <v>52.239017389674387</v>
      </c>
      <c r="S420" s="70">
        <v>56.133617708556265</v>
      </c>
      <c r="T420" s="70">
        <v>70.777097886715495</v>
      </c>
      <c r="U420" s="70">
        <v>97.936845158917365</v>
      </c>
      <c r="V420" s="70">
        <v>120.63548532343862</v>
      </c>
      <c r="X420" s="193">
        <f>((0-('Appendix K'!$I$30))/(1+$Y$16)^0)</f>
        <v>-33594902.4440751</v>
      </c>
      <c r="Y420" s="193">
        <f>(((B420*'Appendix K'!$C$5*1000)-('Appendix K'!$E$31+'Appendix K'!$F$31+'Appendix K'!$H$31+'Appendix K'!$G$31))/((1+$Y$16)^1))</f>
        <v>34971064.972647354</v>
      </c>
      <c r="Z420" s="193">
        <f>+(((C420*'Appendix K'!$C$6*1000)-('Appendix K'!$E$32+'Appendix K'!$F$32+'Appendix K'!$H$32+'Appendix K'!$G$32))/((1+$Y$16)^2))</f>
        <v>14579565.934269672</v>
      </c>
      <c r="AA420" s="193">
        <f>(((D420*'Appendix K'!$C$7*1000)-('Appendix K'!$E$33+'Appendix K'!$F$33+'Appendix K'!$H$33+'Appendix K'!$G$33))/((1+$Y$16)^3))</f>
        <v>3634873.2649284923</v>
      </c>
      <c r="AB420" s="193">
        <f>(((E420*'Appendix K'!$C$8*1000)-('Appendix K'!$E$34+'Appendix K'!$F$34+'Appendix K'!$H$34+'Appendix K'!$G$34))/((1+$Y$16)^4))</f>
        <v>4687061.9460145859</v>
      </c>
      <c r="AC420" s="193">
        <f>(((F420*'Appendix K'!$C$9*1000)-('Appendix K'!$E$35+'Appendix K'!$F$35+'Appendix K'!$H$35+'Appendix K'!$G$35))/((1+$Y$16)^AC$34))</f>
        <v>6952186.0848553767</v>
      </c>
      <c r="AD420" s="193">
        <f>(((G420*'Appendix K'!$C$10*1000)-('Appendix K'!$E$36+'Appendix K'!$F$36+'Appendix K'!$H$36+'Appendix K'!$G$36))/((1+$Y$16)^AD$34))</f>
        <v>4649964.1326888548</v>
      </c>
      <c r="AE420" s="193">
        <f>(((H420*'Appendix K'!$C$11*1000)-('Appendix K'!$E$37+'Appendix K'!$F$37+'Appendix K'!$H$37+'Appendix K'!$G$37))/((1+$Y$16)^AE$34))</f>
        <v>4264973.4353212779</v>
      </c>
      <c r="AF420" s="193">
        <f>(((I420*'Appendix K'!$C$12*1000)-('Appendix K'!$E$38+'Appendix K'!$F$38+'Appendix K'!$H$38+'Appendix K'!$G$38))/((1+$Y$16)^AF$34))</f>
        <v>2570788.4177534329</v>
      </c>
      <c r="AG420" s="193">
        <f>(((J420*'Appendix K'!$C$13*1000)-('Appendix K'!$E$39+'Appendix K'!$F$39+'Appendix K'!$H$39+'Appendix K'!$G$39))/((1+$Y$16)^AG$34))</f>
        <v>1874216.161830347</v>
      </c>
      <c r="AH420" s="193">
        <f>(((K420*'Appendix K'!$C$14*1000)-('Appendix K'!$E$40+'Appendix K'!$F$40+'Appendix K'!$H$40+'Appendix K'!$G$40))/((1+$Y$16)^AH$34))</f>
        <v>966397.97485336184</v>
      </c>
      <c r="AI420" s="193">
        <f>(((L420*'Appendix K'!$C$15*1000)-('Appendix K'!$E$41+'Appendix K'!$F$41+'Appendix K'!$H$41+'Appendix K'!$G$41))/((1+$Y$16)^AI$34))</f>
        <v>689660.33008094446</v>
      </c>
      <c r="AJ420" s="193">
        <f>(((M420*'Appendix K'!$C$16*1000)-('Appendix K'!$E$42+'Appendix K'!$F$42+'Appendix K'!$H$42+'Appendix K'!$G$42))/((1+$Y$16)^AJ$34))</f>
        <v>-79646.812347375133</v>
      </c>
      <c r="AK420" s="193">
        <f>(((N420*'Appendix K'!$C$17*1000)-('Appendix K'!$E$43+'Appendix K'!$F$43+'Appendix K'!$H$43))/((1+$Y$16)^AK$34))</f>
        <v>532723.07586510805</v>
      </c>
      <c r="AL420" s="193">
        <f>(((O420*'Appendix K'!$C$18*1000)-('Appendix K'!$E$44+'Appendix K'!$F$44+'Appendix K'!$H$44+'Appendix K'!$G$44))/((1+$Y$16)^AL$34))</f>
        <v>-688355.04987281829</v>
      </c>
      <c r="AM420" s="193">
        <f>(((P420*'Appendix K'!$C$19*1000)-('Appendix K'!$E$45+'Appendix K'!$F$45+'Appendix K'!$H$45+'Appendix K'!$G$45))/((1+$Y$16)^AM$34))</f>
        <v>-649192.40234674641</v>
      </c>
      <c r="AN420" s="193">
        <f>(((Q420*'Appendix K'!$C$20*1000)-('Appendix K'!$E$46+'Appendix K'!$F$46+'Appendix K'!$H$46+'Appendix K'!$G$46))/((1+$Y$16)^AN$34))</f>
        <v>-593883.82667752751</v>
      </c>
      <c r="AO420" s="193">
        <f>(((R420*'Appendix K'!$C$21*1000)-('Appendix K'!$E$47+'Appendix K'!$F$47+'Appendix K'!$H$47+'Appendix K'!$G$47))/((1+$Y$16)^AO$34))</f>
        <v>-534260.5612392847</v>
      </c>
      <c r="AP420" s="193">
        <f>(((S420*'Appendix K'!$C$22*1000)-('Appendix K'!$E$48+'Appendix K'!$F$48+'Appendix K'!$H$48+'Appendix K'!$G$48))/((1+$Y$16)^AP$34))</f>
        <v>-495588.95835965686</v>
      </c>
      <c r="AQ420" s="193">
        <f>(((T420*'Appendix K'!$C$23*1000)-('Appendix K'!$E$49+'Appendix K'!$F$49+'Appendix K'!$H$49+'Appendix K'!$G$49))/((1+$Y$16)^AQ$34))</f>
        <v>-416482.1897849348</v>
      </c>
      <c r="AR420" s="193">
        <f>(((U420*'Appendix K'!$C$24*1000)-('Appendix K'!$E$50+'Appendix K'!$F$50+'Appendix K'!$H$50+'Appendix K'!$G$50))/((1+$Y$16)^AR$34))</f>
        <v>-313929.48381797952</v>
      </c>
      <c r="AS420" s="209">
        <f t="shared" ref="AS420:AS483" si="28">SUMIF(Y420:AR420,"&gt;0")+X420</f>
        <v>46778573.287033699</v>
      </c>
      <c r="AU420" s="199">
        <f t="shared" si="27"/>
        <v>5.4261197877310365E-9</v>
      </c>
    </row>
    <row r="421" spans="1:47" x14ac:dyDescent="0.35">
      <c r="A421">
        <v>387</v>
      </c>
      <c r="B421" s="70">
        <v>56</v>
      </c>
      <c r="C421" s="70">
        <v>56.844180342104679</v>
      </c>
      <c r="D421" s="70">
        <v>56.395251287080185</v>
      </c>
      <c r="E421" s="70">
        <v>75.931348208089275</v>
      </c>
      <c r="F421" s="70">
        <v>120.82415991343498</v>
      </c>
      <c r="G421" s="70">
        <v>62.413503938377069</v>
      </c>
      <c r="H421" s="70">
        <v>75.489514193846929</v>
      </c>
      <c r="I421" s="70">
        <v>65.374812138255976</v>
      </c>
      <c r="J421" s="70">
        <v>104.54153119442255</v>
      </c>
      <c r="K421" s="70">
        <v>108.63573901712066</v>
      </c>
      <c r="L421" s="70">
        <v>103.80047586203493</v>
      </c>
      <c r="M421" s="70">
        <v>126.27418112141433</v>
      </c>
      <c r="N421" s="70">
        <v>140.33217069537983</v>
      </c>
      <c r="O421" s="70">
        <v>137.93053968790878</v>
      </c>
      <c r="P421" s="70">
        <v>73.095798075920328</v>
      </c>
      <c r="Q421" s="70">
        <v>54.724267615518464</v>
      </c>
      <c r="R421" s="70">
        <v>59.093865352370486</v>
      </c>
      <c r="S421" s="70">
        <v>75.874343060536034</v>
      </c>
      <c r="T421" s="70">
        <v>90.906692835557749</v>
      </c>
      <c r="U421" s="70">
        <v>116.59801733067059</v>
      </c>
      <c r="V421" s="70">
        <v>186.2447712163106</v>
      </c>
      <c r="X421" s="193">
        <f>((0-('Appendix K'!$I$30))/(1+$Y$16)^0)</f>
        <v>-33594902.4440751</v>
      </c>
      <c r="Y421" s="193">
        <f>(((B421*'Appendix K'!$C$5*1000)-('Appendix K'!$E$31+'Appendix K'!$F$31+'Appendix K'!$H$31+'Appendix K'!$G$31))/((1+$Y$16)^1))</f>
        <v>34971064.972647354</v>
      </c>
      <c r="Z421" s="193">
        <f>+(((C421*'Appendix K'!$C$6*1000)-('Appendix K'!$E$32+'Appendix K'!$F$32+'Appendix K'!$H$32+'Appendix K'!$G$32))/((1+$Y$16)^2))</f>
        <v>10872564.497599231</v>
      </c>
      <c r="AA421" s="193">
        <f>(((D421*'Appendix K'!$C$7*1000)-('Appendix K'!$E$33+'Appendix K'!$F$33+'Appendix K'!$H$33+'Appendix K'!$G$33))/((1+$Y$16)^3))</f>
        <v>4218439.8713940773</v>
      </c>
      <c r="AB421" s="193">
        <f>(((E421*'Appendix K'!$C$8*1000)-('Appendix K'!$E$34+'Appendix K'!$F$34+'Appendix K'!$H$34+'Appendix K'!$G$34))/((1+$Y$16)^4))</f>
        <v>13350248.553767936</v>
      </c>
      <c r="AC421" s="193">
        <f>(((F421*'Appendix K'!$C$9*1000)-('Appendix K'!$E$35+'Appendix K'!$F$35+'Appendix K'!$H$35+'Appendix K'!$G$35))/((1+$Y$16)^AC$34))</f>
        <v>29130643.457854107</v>
      </c>
      <c r="AD421" s="193">
        <f>(((G421*'Appendix K'!$C$10*1000)-('Appendix K'!$E$36+'Appendix K'!$F$36+'Appendix K'!$H$36+'Appendix K'!$G$36))/((1+$Y$16)^AD$34))</f>
        <v>7285900.3086710684</v>
      </c>
      <c r="AE421" s="193">
        <f>(((H421*'Appendix K'!$C$11*1000)-('Appendix K'!$E$37+'Appendix K'!$F$37+'Appendix K'!$H$37+'Appendix K'!$G$37))/((1+$Y$16)^AE$34))</f>
        <v>5309204.1823219769</v>
      </c>
      <c r="AF421" s="193">
        <f>(((I421*'Appendix K'!$C$12*1000)-('Appendix K'!$E$38+'Appendix K'!$F$38+'Appendix K'!$H$38+'Appendix K'!$G$38))/((1+$Y$16)^AF$34))</f>
        <v>2296089.8215740942</v>
      </c>
      <c r="AG421" s="193">
        <f>(((J421*'Appendix K'!$C$13*1000)-('Appendix K'!$E$39+'Appendix K'!$F$39+'Appendix K'!$H$39+'Appendix K'!$G$39))/((1+$Y$16)^AG$34))</f>
        <v>2995945.8029407659</v>
      </c>
      <c r="AH421" s="193">
        <f>(((K421*'Appendix K'!$C$14*1000)-('Appendix K'!$E$40+'Appendix K'!$F$40+'Appendix K'!$H$40+'Appendix K'!$G$40))/((1+$Y$16)^AH$34))</f>
        <v>2028992.287795546</v>
      </c>
      <c r="AI421" s="193">
        <f>(((L421*'Appendix K'!$C$15*1000)-('Appendix K'!$E$41+'Appendix K'!$F$41+'Appendix K'!$H$41+'Appendix K'!$G$41))/((1+$Y$16)^AI$34))</f>
        <v>1203285.2270959588</v>
      </c>
      <c r="AJ421" s="193">
        <f>(((M421*'Appendix K'!$C$16*1000)-('Appendix K'!$E$42+'Appendix K'!$F$42+'Appendix K'!$H$42+'Appendix K'!$G$42))/((1+$Y$16)^AJ$34))</f>
        <v>1149219.3820767868</v>
      </c>
      <c r="AK421" s="193">
        <f>(((N421*'Appendix K'!$C$17*1000)-('Appendix K'!$E$43+'Appendix K'!$F$43+'Appendix K'!$H$43))/((1+$Y$16)^AK$34))</f>
        <v>1151790.4648884051</v>
      </c>
      <c r="AL421" s="193">
        <f>(((O421*'Appendix K'!$C$18*1000)-('Appendix K'!$E$44+'Appendix K'!$F$44+'Appendix K'!$H$44+'Appendix K'!$G$44))/((1+$Y$16)^AL$34))</f>
        <v>500342.14760513551</v>
      </c>
      <c r="AM421" s="193">
        <f>(((P421*'Appendix K'!$C$19*1000)-('Appendix K'!$E$45+'Appendix K'!$F$45+'Appendix K'!$H$45+'Appendix K'!$G$45))/((1+$Y$16)^AM$34))</f>
        <v>-349260.59460541955</v>
      </c>
      <c r="AN421" s="193">
        <f>(((Q421*'Appendix K'!$C$20*1000)-('Appendix K'!$E$46+'Appendix K'!$F$46+'Appendix K'!$H$46+'Appendix K'!$G$46))/((1+$Y$16)^AN$34))</f>
        <v>-519712.16920411825</v>
      </c>
      <c r="AO421" s="193">
        <f>(((R421*'Appendix K'!$C$21*1000)-('Appendix K'!$E$47+'Appendix K'!$F$47+'Appendix K'!$H$47+'Appendix K'!$G$47))/((1+$Y$16)^AO$34))</f>
        <v>-493747.65245587204</v>
      </c>
      <c r="AP421" s="193">
        <f>(((S421*'Appendix K'!$C$22*1000)-('Appendix K'!$E$48+'Appendix K'!$F$48+'Appendix K'!$H$48+'Appendix K'!$G$48))/((1+$Y$16)^AP$34))</f>
        <v>-401036.4243223932</v>
      </c>
      <c r="AQ421" s="193">
        <f>(((T421*'Appendix K'!$C$23*1000)-('Appendix K'!$E$49+'Appendix K'!$F$49+'Appendix K'!$H$49+'Appendix K'!$G$49))/((1+$Y$16)^AQ$34))</f>
        <v>-337700.10846363573</v>
      </c>
      <c r="AR421" s="193">
        <f>(((U421*'Appendix K'!$C$24*1000)-('Appendix K'!$E$50+'Appendix K'!$F$50+'Appendix K'!$H$50+'Appendix K'!$G$50))/((1+$Y$16)^AR$34))</f>
        <v>-253839.98656019027</v>
      </c>
      <c r="AS421" s="209">
        <f t="shared" si="28"/>
        <v>82868828.534157336</v>
      </c>
      <c r="AU421" s="199">
        <f t="shared" si="27"/>
        <v>7.0051122256520279E-9</v>
      </c>
    </row>
    <row r="422" spans="1:47" x14ac:dyDescent="0.35">
      <c r="A422">
        <v>388</v>
      </c>
      <c r="B422" s="70">
        <v>56</v>
      </c>
      <c r="C422" s="70">
        <v>66.780600818591452</v>
      </c>
      <c r="D422" s="70">
        <v>80.148124977016494</v>
      </c>
      <c r="E422" s="70">
        <v>103.19956265793067</v>
      </c>
      <c r="F422" s="70">
        <v>109.1681764961976</v>
      </c>
      <c r="G422" s="70">
        <v>114.61113627448213</v>
      </c>
      <c r="H422" s="70">
        <v>94.945721069221875</v>
      </c>
      <c r="I422" s="70">
        <v>55.053034600727557</v>
      </c>
      <c r="J422" s="70">
        <v>62.586686921305599</v>
      </c>
      <c r="K422" s="70">
        <v>61.455401281773646</v>
      </c>
      <c r="L422" s="70">
        <v>55.7595705965471</v>
      </c>
      <c r="M422" s="70">
        <v>58.330382479822681</v>
      </c>
      <c r="N422" s="70">
        <v>58.78237337339435</v>
      </c>
      <c r="O422" s="70">
        <v>52.561199306975517</v>
      </c>
      <c r="P422" s="70">
        <v>67.160794839385431</v>
      </c>
      <c r="Q422" s="70">
        <v>72.743269779319277</v>
      </c>
      <c r="R422" s="70">
        <v>65.606899028601674</v>
      </c>
      <c r="S422" s="70">
        <v>73.39476403861697</v>
      </c>
      <c r="T422" s="70">
        <v>87.296935037770311</v>
      </c>
      <c r="U422" s="70">
        <v>145.56764862018738</v>
      </c>
      <c r="V422" s="70">
        <v>253.97394499149357</v>
      </c>
      <c r="X422" s="193">
        <f>((0-('Appendix K'!$I$30))/(1+$Y$16)^0)</f>
        <v>-33594902.4440751</v>
      </c>
      <c r="Y422" s="193">
        <f>(((B422*'Appendix K'!$C$5*1000)-('Appendix K'!$E$31+'Appendix K'!$F$31+'Appendix K'!$H$31+'Appendix K'!$G$31))/((1+$Y$16)^1))</f>
        <v>34971064.972647354</v>
      </c>
      <c r="Z422" s="193">
        <f>+(((C422*'Appendix K'!$C$6*1000)-('Appendix K'!$E$32+'Appendix K'!$F$32+'Appendix K'!$H$32+'Appendix K'!$G$32))/((1+$Y$16)^2))</f>
        <v>13382674.253792169</v>
      </c>
      <c r="AA422" s="193">
        <f>(((D422*'Appendix K'!$C$7*1000)-('Appendix K'!$E$33+'Appendix K'!$F$33+'Appendix K'!$H$33+'Appendix K'!$G$33))/((1+$Y$16)^3))</f>
        <v>7243959.1257964326</v>
      </c>
      <c r="AB422" s="193">
        <f>(((E422*'Appendix K'!$C$8*1000)-('Appendix K'!$E$34+'Appendix K'!$F$34+'Appendix K'!$H$34+'Appendix K'!$G$34))/((1+$Y$16)^4))</f>
        <v>19327191.544695552</v>
      </c>
      <c r="AC422" s="193">
        <f>(((F422*'Appendix K'!$C$9*1000)-('Appendix K'!$E$35+'Appendix K'!$F$35+'Appendix K'!$H$35+'Appendix K'!$G$35))/((1+$Y$16)^AC$34))</f>
        <v>26032501.368730884</v>
      </c>
      <c r="AD422" s="193">
        <f>(((G422*'Appendix K'!$C$10*1000)-('Appendix K'!$E$36+'Appendix K'!$F$36+'Appendix K'!$H$36+'Appendix K'!$G$36))/((1+$Y$16)^AD$34))</f>
        <v>15483222.750528952</v>
      </c>
      <c r="AE422" s="193">
        <f>(((H422*'Appendix K'!$C$11*1000)-('Appendix K'!$E$37+'Appendix K'!$F$37+'Appendix K'!$H$37+'Appendix K'!$G$37))/((1+$Y$16)^AE$34))</f>
        <v>7249720.1222239528</v>
      </c>
      <c r="AF422" s="193">
        <f>(((I422*'Appendix K'!$C$12*1000)-('Appendix K'!$E$38+'Appendix K'!$F$38+'Appendix K'!$H$38+'Appendix K'!$G$38))/((1+$Y$16)^AF$34))</f>
        <v>1618336.8571029485</v>
      </c>
      <c r="AG422" s="193">
        <f>(((J422*'Appendix K'!$C$13*1000)-('Appendix K'!$E$39+'Appendix K'!$F$39+'Appendix K'!$H$39+'Appendix K'!$G$39))/((1+$Y$16)^AG$34))</f>
        <v>1065228.6536956937</v>
      </c>
      <c r="AH422" s="193">
        <f>(((K422*'Appendix K'!$C$14*1000)-('Appendix K'!$E$40+'Appendix K'!$F$40+'Appendix K'!$H$40+'Appendix K'!$G$40))/((1+$Y$16)^AH$34))</f>
        <v>438706.97155463521</v>
      </c>
      <c r="AI422" s="193">
        <f>(((L422*'Appendix K'!$C$15*1000)-('Appendix K'!$E$41+'Appendix K'!$F$41+'Appendix K'!$H$41+'Appendix K'!$G$41))/((1+$Y$16)^AI$34))</f>
        <v>-55476.327793185446</v>
      </c>
      <c r="AJ422" s="193">
        <f>(((M422*'Appendix K'!$C$16*1000)-('Appendix K'!$E$42+'Appendix K'!$F$42+'Appendix K'!$H$42+'Appendix K'!$G$42))/((1+$Y$16)^AJ$34))</f>
        <v>-212501.19227446674</v>
      </c>
      <c r="AK422" s="193">
        <f>(((N422*'Appendix K'!$C$17*1000)-('Appendix K'!$E$43+'Appendix K'!$F$43+'Appendix K'!$H$43))/((1+$Y$16)^AK$34))</f>
        <v>-101132.25926434353</v>
      </c>
      <c r="AL422" s="193">
        <f>(((O422*'Appendix K'!$C$18*1000)-('Appendix K'!$E$44+'Appendix K'!$F$44+'Appendix K'!$H$44+'Appendix K'!$G$44))/((1+$Y$16)^AL$34))</f>
        <v>-511565.76403997216</v>
      </c>
      <c r="AM422" s="193">
        <f>(((P422*'Appendix K'!$C$19*1000)-('Appendix K'!$E$45+'Appendix K'!$F$45+'Appendix K'!$H$45+'Appendix K'!$G$45))/((1+$Y$16)^AM$34))</f>
        <v>-404270.54779113119</v>
      </c>
      <c r="AN422" s="193">
        <f>(((Q422*'Appendix K'!$C$20*1000)-('Appendix K'!$E$46+'Appendix K'!$F$46+'Appendix K'!$H$46+'Appendix K'!$G$46))/((1+$Y$16)^AN$34))</f>
        <v>-389322.76138952939</v>
      </c>
      <c r="AO422" s="193">
        <f>(((R422*'Appendix K'!$C$21*1000)-('Appendix K'!$E$47+'Appendix K'!$F$47+'Appendix K'!$H$47+'Appendix K'!$G$47))/((1+$Y$16)^AO$34))</f>
        <v>-455254.90386912314</v>
      </c>
      <c r="AP422" s="193">
        <f>(((S422*'Appendix K'!$C$22*1000)-('Appendix K'!$E$48+'Appendix K'!$F$48+'Appendix K'!$H$48+'Appendix K'!$G$48))/((1+$Y$16)^AP$34))</f>
        <v>-412912.91192291462</v>
      </c>
      <c r="AQ422" s="193">
        <f>(((T422*'Appendix K'!$C$23*1000)-('Appendix K'!$E$49+'Appendix K'!$F$49+'Appendix K'!$H$49+'Appendix K'!$G$49))/((1+$Y$16)^AQ$34))</f>
        <v>-351827.77636247932</v>
      </c>
      <c r="AR422" s="193">
        <f>(((U422*'Appendix K'!$C$24*1000)-('Appendix K'!$E$50+'Appendix K'!$F$50+'Appendix K'!$H$50+'Appendix K'!$G$50))/((1+$Y$16)^AR$34))</f>
        <v>-160556.96211194427</v>
      </c>
      <c r="AS422" s="209">
        <f t="shared" si="28"/>
        <v>93217704.176693469</v>
      </c>
      <c r="AU422" s="199">
        <f t="shared" si="27"/>
        <v>6.9955246262926067E-9</v>
      </c>
    </row>
    <row r="423" spans="1:47" x14ac:dyDescent="0.35">
      <c r="A423">
        <v>389</v>
      </c>
      <c r="B423" s="70">
        <v>56</v>
      </c>
      <c r="C423" s="70">
        <v>41.195836850521715</v>
      </c>
      <c r="D423" s="70">
        <v>42.936830039706891</v>
      </c>
      <c r="E423" s="70">
        <v>45.556685618727521</v>
      </c>
      <c r="F423" s="70">
        <v>21.286150104179342</v>
      </c>
      <c r="G423" s="70">
        <v>25.721966322855309</v>
      </c>
      <c r="H423" s="70">
        <v>30.714440979385369</v>
      </c>
      <c r="I423" s="70">
        <v>39.884893238893746</v>
      </c>
      <c r="J423" s="70">
        <v>36.783762600972508</v>
      </c>
      <c r="K423" s="70">
        <v>37.734734637463212</v>
      </c>
      <c r="L423" s="70">
        <v>51.157047812360425</v>
      </c>
      <c r="M423" s="70">
        <v>71.303394328543661</v>
      </c>
      <c r="N423" s="70">
        <v>104.08239930330248</v>
      </c>
      <c r="O423" s="70">
        <v>104.5323458921479</v>
      </c>
      <c r="P423" s="70">
        <v>185.44478910120716</v>
      </c>
      <c r="Q423" s="70">
        <v>125.55741163878622</v>
      </c>
      <c r="R423" s="70">
        <v>226.60164286955776</v>
      </c>
      <c r="S423" s="70">
        <v>262.92677067670189</v>
      </c>
      <c r="T423" s="70">
        <v>173.41884519854688</v>
      </c>
      <c r="U423" s="70">
        <v>172.98578942143669</v>
      </c>
      <c r="V423" s="70">
        <v>172.17427789822671</v>
      </c>
      <c r="X423" s="193">
        <f>((0-('Appendix K'!$I$30))/(1+$Y$16)^0)</f>
        <v>-33594902.4440751</v>
      </c>
      <c r="Y423" s="193">
        <f>(((B423*'Appendix K'!$C$5*1000)-('Appendix K'!$E$31+'Appendix K'!$F$31+'Appendix K'!$H$31+'Appendix K'!$G$31))/((1+$Y$16)^1))</f>
        <v>34971064.972647354</v>
      </c>
      <c r="Z423" s="193">
        <f>+(((C423*'Appendix K'!$C$6*1000)-('Appendix K'!$E$32+'Appendix K'!$F$32+'Appendix K'!$H$32+'Appendix K'!$G$32))/((1+$Y$16)^2))</f>
        <v>6919525.2960649012</v>
      </c>
      <c r="AA423" s="193">
        <f>(((D423*'Appendix K'!$C$7*1000)-('Appendix K'!$E$33+'Appendix K'!$F$33+'Appendix K'!$H$33+'Appendix K'!$G$33))/((1+$Y$16)^3))</f>
        <v>2504175.1828634636</v>
      </c>
      <c r="AB423" s="193">
        <f>(((E423*'Appendix K'!$C$8*1000)-('Appendix K'!$E$34+'Appendix K'!$F$34+'Appendix K'!$H$34+'Appendix K'!$G$34))/((1+$Y$16)^4))</f>
        <v>6692400.567453119</v>
      </c>
      <c r="AC423" s="193">
        <f>(((F423*'Appendix K'!$C$9*1000)-('Appendix K'!$E$35+'Appendix K'!$F$35+'Appendix K'!$H$35+'Appendix K'!$G$35))/((1+$Y$16)^AC$34))</f>
        <v>2673596.7532778778</v>
      </c>
      <c r="AD423" s="193">
        <f>(((G423*'Appendix K'!$C$10*1000)-('Appendix K'!$E$36+'Appendix K'!$F$36+'Appendix K'!$H$36+'Appendix K'!$G$36))/((1+$Y$16)^AD$34))</f>
        <v>1523716.2543199048</v>
      </c>
      <c r="AE423" s="193">
        <f>(((H423*'Appendix K'!$C$11*1000)-('Appendix K'!$E$37+'Appendix K'!$F$37+'Appendix K'!$H$37+'Appendix K'!$G$37))/((1+$Y$16)^AE$34))</f>
        <v>843444.54893165128</v>
      </c>
      <c r="AF423" s="193">
        <f>(((I423*'Appendix K'!$C$12*1000)-('Appendix K'!$E$38+'Appendix K'!$F$38+'Appendix K'!$H$38+'Appendix K'!$G$38))/((1+$Y$16)^AF$34))</f>
        <v>622359.88161371346</v>
      </c>
      <c r="AG423" s="193">
        <f>(((J423*'Appendix K'!$C$13*1000)-('Appendix K'!$E$39+'Appendix K'!$F$39+'Appendix K'!$H$39+'Appendix K'!$G$39))/((1+$Y$16)^AG$34))</f>
        <v>-122194.38049874848</v>
      </c>
      <c r="AH423" s="193">
        <f>(((K423*'Appendix K'!$C$14*1000)-('Appendix K'!$E$40+'Appendix K'!$F$40+'Appendix K'!$H$40+'Appendix K'!$G$40))/((1+$Y$16)^AH$34))</f>
        <v>-360834.31336565199</v>
      </c>
      <c r="AI423" s="193">
        <f>(((L423*'Appendix K'!$C$15*1000)-('Appendix K'!$E$41+'Appendix K'!$F$41+'Appendix K'!$H$41+'Appendix K'!$G$41))/((1+$Y$16)^AI$34))</f>
        <v>-176071.03149868632</v>
      </c>
      <c r="AJ423" s="193">
        <f>(((M423*'Appendix K'!$C$16*1000)-('Appendix K'!$E$42+'Appendix K'!$F$42+'Appendix K'!$H$42+'Appendix K'!$G$42))/((1+$Y$16)^AJ$34))</f>
        <v>47502.185500940359</v>
      </c>
      <c r="AK423" s="193">
        <f>(((N423*'Appendix K'!$C$17*1000)-('Appendix K'!$E$43+'Appendix K'!$F$43+'Appendix K'!$H$43))/((1+$Y$16)^AK$34))</f>
        <v>594852.6941769704</v>
      </c>
      <c r="AL423" s="193">
        <f>(((O423*'Appendix K'!$C$18*1000)-('Appendix K'!$E$44+'Appendix K'!$F$44+'Appendix K'!$H$44+'Appendix K'!$G$44))/((1+$Y$16)^AL$34))</f>
        <v>104463.52905445144</v>
      </c>
      <c r="AM423" s="193">
        <f>(((P423*'Appendix K'!$C$19*1000)-('Appendix K'!$E$45+'Appendix K'!$F$45+'Appendix K'!$H$45+'Appendix K'!$G$45))/((1+$Y$16)^AM$34))</f>
        <v>692072.07034040533</v>
      </c>
      <c r="AN423" s="193">
        <f>(((Q423*'Appendix K'!$C$20*1000)-('Appendix K'!$E$46+'Appendix K'!$F$46+'Appendix K'!$H$46+'Appendix K'!$G$46))/((1+$Y$16)^AN$34))</f>
        <v>-7148.1759884577141</v>
      </c>
      <c r="AO423" s="193">
        <f>(((R423*'Appendix K'!$C$21*1000)-('Appendix K'!$E$47+'Appendix K'!$F$47+'Appendix K'!$H$47+'Appendix K'!$G$47))/((1+$Y$16)^AO$34))</f>
        <v>496241.81893670483</v>
      </c>
      <c r="AP423" s="193">
        <f>(((S423*'Appendix K'!$C$22*1000)-('Appendix K'!$E$48+'Appendix K'!$F$48+'Appendix K'!$H$48+'Appendix K'!$G$48))/((1+$Y$16)^AP$34))</f>
        <v>494892.20613984059</v>
      </c>
      <c r="AQ423" s="193">
        <f>(((T423*'Appendix K'!$C$23*1000)-('Appendix K'!$E$49+'Appendix K'!$F$49+'Appendix K'!$H$49+'Appendix K'!$G$49))/((1+$Y$16)^AQ$34))</f>
        <v>-14768.667767641584</v>
      </c>
      <c r="AR423" s="193">
        <f>(((U423*'Appendix K'!$C$24*1000)-('Appendix K'!$E$50+'Appendix K'!$F$50+'Appendix K'!$H$50+'Appendix K'!$G$50))/((1+$Y$16)^AR$34))</f>
        <v>-72269.78050691211</v>
      </c>
      <c r="AS423" s="209">
        <f t="shared" si="28"/>
        <v>25585405.517246194</v>
      </c>
      <c r="AU423" s="199">
        <f t="shared" si="27"/>
        <v>3.8681098789800707E-9</v>
      </c>
    </row>
    <row r="424" spans="1:47" x14ac:dyDescent="0.35">
      <c r="A424">
        <v>390</v>
      </c>
      <c r="B424" s="70">
        <v>56</v>
      </c>
      <c r="C424" s="70">
        <v>68.263272634884515</v>
      </c>
      <c r="D424" s="70">
        <v>39.796176807268353</v>
      </c>
      <c r="E424" s="70">
        <v>41.499595462878588</v>
      </c>
      <c r="F424" s="70">
        <v>38.267920640743519</v>
      </c>
      <c r="G424" s="70">
        <v>60.960088763517462</v>
      </c>
      <c r="H424" s="70">
        <v>64.157602235694284</v>
      </c>
      <c r="I424" s="70">
        <v>53.961520698437127</v>
      </c>
      <c r="J424" s="70">
        <v>56.143531920383609</v>
      </c>
      <c r="K424" s="70">
        <v>55.244214782860212</v>
      </c>
      <c r="L424" s="70">
        <v>87.168733296881086</v>
      </c>
      <c r="M424" s="70">
        <v>100.50571110416027</v>
      </c>
      <c r="N424" s="70">
        <v>65.82764285345138</v>
      </c>
      <c r="O424" s="70">
        <v>21.603276823840694</v>
      </c>
      <c r="P424" s="70">
        <v>22.568180223400592</v>
      </c>
      <c r="Q424" s="70">
        <v>35.794759734791441</v>
      </c>
      <c r="R424" s="70">
        <v>49.394174965627542</v>
      </c>
      <c r="S424" s="70">
        <v>39.991132853719492</v>
      </c>
      <c r="T424" s="70">
        <v>29.958737470252963</v>
      </c>
      <c r="U424" s="70">
        <v>36.439364052827145</v>
      </c>
      <c r="V424" s="70">
        <v>48.143495216051527</v>
      </c>
      <c r="X424" s="193">
        <f>((0-('Appendix K'!$I$30))/(1+$Y$16)^0)</f>
        <v>-33594902.4440751</v>
      </c>
      <c r="Y424" s="193">
        <f>(((B424*'Appendix K'!$C$5*1000)-('Appendix K'!$E$31+'Appendix K'!$F$31+'Appendix K'!$H$31+'Appendix K'!$G$31))/((1+$Y$16)^1))</f>
        <v>34971064.972647354</v>
      </c>
      <c r="Z424" s="193">
        <f>+(((C424*'Appendix K'!$C$6*1000)-('Appendix K'!$E$32+'Appendix K'!$F$32+'Appendix K'!$H$32+'Appendix K'!$G$32))/((1+$Y$16)^2))</f>
        <v>13757222.51290785</v>
      </c>
      <c r="AA424" s="193">
        <f>(((D424*'Appendix K'!$C$7*1000)-('Appendix K'!$E$33+'Appendix K'!$F$33+'Appendix K'!$H$33+'Appendix K'!$G$33))/((1+$Y$16)^3))</f>
        <v>2104134.8782594078</v>
      </c>
      <c r="AB424" s="193">
        <f>(((E424*'Appendix K'!$C$8*1000)-('Appendix K'!$E$34+'Appendix K'!$F$34+'Appendix K'!$H$34+'Appendix K'!$G$34))/((1+$Y$16)^4))</f>
        <v>5803123.5443767617</v>
      </c>
      <c r="AC424" s="193">
        <f>(((F424*'Appendix K'!$C$9*1000)-('Appendix K'!$E$35+'Appendix K'!$F$35+'Appendix K'!$H$35+'Appendix K'!$G$35))/((1+$Y$16)^AC$34))</f>
        <v>7187324.6957316501</v>
      </c>
      <c r="AD424" s="193">
        <f>(((G424*'Appendix K'!$C$10*1000)-('Appendix K'!$E$36+'Appendix K'!$F$36+'Appendix K'!$H$36+'Appendix K'!$G$36))/((1+$Y$16)^AD$34))</f>
        <v>7057650.2464173362</v>
      </c>
      <c r="AE424" s="193">
        <f>(((H424*'Appendix K'!$C$11*1000)-('Appendix K'!$E$37+'Appendix K'!$F$37+'Appendix K'!$H$37+'Appendix K'!$G$37))/((1+$Y$16)^AE$34))</f>
        <v>4178986.1534320428</v>
      </c>
      <c r="AF424" s="193">
        <f>(((I424*'Appendix K'!$C$12*1000)-('Appendix K'!$E$38+'Appendix K'!$F$38+'Appendix K'!$H$38+'Appendix K'!$G$38))/((1+$Y$16)^AF$34))</f>
        <v>1546665.4051317067</v>
      </c>
      <c r="AG424" s="193">
        <f>(((J424*'Appendix K'!$C$13*1000)-('Appendix K'!$E$39+'Appendix K'!$F$39+'Appendix K'!$H$39+'Appendix K'!$G$39))/((1+$Y$16)^AG$34))</f>
        <v>768721.5382230893</v>
      </c>
      <c r="AH424" s="193">
        <f>(((K424*'Appendix K'!$C$14*1000)-('Appendix K'!$E$40+'Appendix K'!$F$40+'Appendix K'!$H$40+'Appendix K'!$G$40))/((1+$Y$16)^AH$34))</f>
        <v>229349.44764153962</v>
      </c>
      <c r="AI424" s="193">
        <f>(((L424*'Appendix K'!$C$15*1000)-('Appendix K'!$E$41+'Appendix K'!$F$41+'Appendix K'!$H$41+'Appendix K'!$G$41))/((1+$Y$16)^AI$34))</f>
        <v>767502.4703778245</v>
      </c>
      <c r="AJ424" s="193">
        <f>(((M424*'Appendix K'!$C$16*1000)-('Appendix K'!$E$42+'Appendix K'!$F$42+'Appendix K'!$H$42+'Appendix K'!$G$42))/((1+$Y$16)^AJ$34))</f>
        <v>632771.13376574335</v>
      </c>
      <c r="AK424" s="193">
        <f>(((N424*'Appendix K'!$C$17*1000)-('Appendix K'!$E$43+'Appendix K'!$F$43+'Appendix K'!$H$43))/((1+$Y$16)^AK$34))</f>
        <v>7110.5386238064348</v>
      </c>
      <c r="AL424" s="193">
        <f>(((O424*'Appendix K'!$C$18*1000)-('Appendix K'!$E$44+'Appendix K'!$F$44+'Appendix K'!$H$44+'Appendix K'!$G$44))/((1+$Y$16)^AL$34))</f>
        <v>-878519.12866707763</v>
      </c>
      <c r="AM424" s="193">
        <f>(((P424*'Appendix K'!$C$19*1000)-('Appendix K'!$E$45+'Appendix K'!$F$45+'Appendix K'!$H$45+'Appendix K'!$G$45))/((1+$Y$16)^AM$34))</f>
        <v>-817587.53258286952</v>
      </c>
      <c r="AN424" s="193">
        <f>(((Q424*'Appendix K'!$C$20*1000)-('Appendix K'!$E$46+'Appendix K'!$F$46+'Appendix K'!$H$46+'Appendix K'!$G$46))/((1+$Y$16)^AN$34))</f>
        <v>-656690.19386677607</v>
      </c>
      <c r="AO424" s="193">
        <f>(((R424*'Appendix K'!$C$21*1000)-('Appendix K'!$E$47+'Appendix K'!$F$47+'Appendix K'!$H$47+'Appendix K'!$G$47))/((1+$Y$16)^AO$34))</f>
        <v>-551073.89426370698</v>
      </c>
      <c r="AP424" s="193">
        <f>(((S424*'Appendix K'!$C$22*1000)-('Appendix K'!$E$48+'Appendix K'!$F$48+'Appendix K'!$H$48+'Appendix K'!$G$48))/((1+$Y$16)^AP$34))</f>
        <v>-572906.93029172148</v>
      </c>
      <c r="AQ424" s="193">
        <f>(((T424*'Appendix K'!$C$23*1000)-('Appendix K'!$E$49+'Appendix K'!$F$49+'Appendix K'!$H$49+'Appendix K'!$G$49))/((1+$Y$16)^AQ$34))</f>
        <v>-576234.80268670619</v>
      </c>
      <c r="AR424" s="193">
        <f>(((U424*'Appendix K'!$C$24*1000)-('Appendix K'!$E$50+'Appendix K'!$F$50+'Appendix K'!$H$50+'Appendix K'!$G$50))/((1+$Y$16)^AR$34))</f>
        <v>-511953.09606881556</v>
      </c>
      <c r="AS424" s="209">
        <f t="shared" si="28"/>
        <v>45416725.093460999</v>
      </c>
      <c r="AU424" s="199">
        <f t="shared" si="27"/>
        <v>5.3316892495545231E-9</v>
      </c>
    </row>
    <row r="425" spans="1:47" x14ac:dyDescent="0.35">
      <c r="A425">
        <v>391</v>
      </c>
      <c r="B425" s="70">
        <v>56</v>
      </c>
      <c r="C425" s="70">
        <v>57.271080868637277</v>
      </c>
      <c r="D425" s="70">
        <v>88.661306279467013</v>
      </c>
      <c r="E425" s="70">
        <v>170.38903372467871</v>
      </c>
      <c r="F425" s="70">
        <v>171.36140027485214</v>
      </c>
      <c r="G425" s="70">
        <v>123.95032777606899</v>
      </c>
      <c r="H425" s="70">
        <v>97.926288266738212</v>
      </c>
      <c r="I425" s="70">
        <v>75.8963522629968</v>
      </c>
      <c r="J425" s="70">
        <v>59.907439266291973</v>
      </c>
      <c r="K425" s="70">
        <v>75.665290466382771</v>
      </c>
      <c r="L425" s="70">
        <v>64.030677880911867</v>
      </c>
      <c r="M425" s="70">
        <v>109.33146726479815</v>
      </c>
      <c r="N425" s="70">
        <v>174.70067862693313</v>
      </c>
      <c r="O425" s="70">
        <v>264.55638490040155</v>
      </c>
      <c r="P425" s="70">
        <v>161.65359445609059</v>
      </c>
      <c r="Q425" s="70">
        <v>150.79285926155481</v>
      </c>
      <c r="R425" s="70">
        <v>213.87618730563423</v>
      </c>
      <c r="S425" s="70">
        <v>264.5467584684186</v>
      </c>
      <c r="T425" s="70">
        <v>341.02830263507428</v>
      </c>
      <c r="U425" s="70">
        <v>500</v>
      </c>
      <c r="V425" s="70">
        <v>455.73270127189704</v>
      </c>
      <c r="X425" s="193">
        <f>((0-('Appendix K'!$I$30))/(1+$Y$16)^0)</f>
        <v>-33594902.4440751</v>
      </c>
      <c r="Y425" s="193">
        <f>(((B425*'Appendix K'!$C$5*1000)-('Appendix K'!$E$31+'Appendix K'!$F$31+'Appendix K'!$H$31+'Appendix K'!$G$31))/((1+$Y$16)^1))</f>
        <v>34971064.972647354</v>
      </c>
      <c r="Z425" s="193">
        <f>+(((C425*'Appendix K'!$C$6*1000)-('Appendix K'!$E$32+'Appendix K'!$F$32+'Appendix K'!$H$32+'Appendix K'!$G$32))/((1+$Y$16)^2))</f>
        <v>10980406.871934045</v>
      </c>
      <c r="AA425" s="193">
        <f>(((D425*'Appendix K'!$C$7*1000)-('Appendix K'!$E$33+'Appendix K'!$F$33+'Appendix K'!$H$33+'Appendix K'!$G$33))/((1+$Y$16)^3))</f>
        <v>8328324.5075605307</v>
      </c>
      <c r="AB425" s="193">
        <f>(((E425*'Appendix K'!$C$8*1000)-('Appendix K'!$E$34+'Appendix K'!$F$34+'Appendix K'!$H$34+'Appendix K'!$G$34))/((1+$Y$16)^4))</f>
        <v>34054508.542118892</v>
      </c>
      <c r="AC425" s="193">
        <f>(((F425*'Appendix K'!$C$9*1000)-('Appendix K'!$E$35+'Appendix K'!$F$35+'Appendix K'!$H$35+'Appendix K'!$G$35))/((1+$Y$16)^AC$34))</f>
        <v>42563362.58821068</v>
      </c>
      <c r="AD425" s="193">
        <f>(((G425*'Appendix K'!$C$10*1000)-('Appendix K'!$E$36+'Appendix K'!$F$36+'Appendix K'!$H$36+'Appendix K'!$G$36))/((1+$Y$16)^AD$34))</f>
        <v>16949886.287905768</v>
      </c>
      <c r="AE425" s="193">
        <f>(((H425*'Appendix K'!$C$11*1000)-('Appendix K'!$E$37+'Appendix K'!$F$37+'Appendix K'!$H$37+'Appendix K'!$G$37))/((1+$Y$16)^AE$34))</f>
        <v>7546994.8270920347</v>
      </c>
      <c r="AF425" s="193">
        <f>(((I425*'Appendix K'!$C$12*1000)-('Appendix K'!$E$38+'Appendix K'!$F$38+'Appendix K'!$H$38+'Appendix K'!$G$38))/((1+$Y$16)^AF$34))</f>
        <v>2986959.6823532046</v>
      </c>
      <c r="AG425" s="193">
        <f>(((J425*'Appendix K'!$C$13*1000)-('Appendix K'!$E$39+'Appendix K'!$F$39+'Appendix K'!$H$39+'Appendix K'!$G$39))/((1+$Y$16)^AG$34))</f>
        <v>941932.53654328105</v>
      </c>
      <c r="AH425" s="193">
        <f>(((K425*'Appendix K'!$C$14*1000)-('Appendix K'!$E$40+'Appendix K'!$F$40+'Appendix K'!$H$40+'Appendix K'!$G$40))/((1+$Y$16)^AH$34))</f>
        <v>917672.98155766225</v>
      </c>
      <c r="AI425" s="193">
        <f>(((L425*'Appendix K'!$C$15*1000)-('Appendix K'!$E$41+'Appendix K'!$F$41+'Appendix K'!$H$41+'Appendix K'!$G$41))/((1+$Y$16)^AI$34))</f>
        <v>161242.150103636</v>
      </c>
      <c r="AJ425" s="193">
        <f>(((M425*'Appendix K'!$C$16*1000)-('Appendix K'!$E$42+'Appendix K'!$F$42+'Appendix K'!$H$42+'Appendix K'!$G$42))/((1+$Y$16)^AJ$34))</f>
        <v>809655.76471705176</v>
      </c>
      <c r="AK425" s="193">
        <f>(((N425*'Appendix K'!$C$17*1000)-('Appendix K'!$E$43+'Appendix K'!$F$43+'Appendix K'!$H$43))/((1+$Y$16)^AK$34))</f>
        <v>1679824.6966921675</v>
      </c>
      <c r="AL425" s="193">
        <f>(((O425*'Appendix K'!$C$18*1000)-('Appendix K'!$E$44+'Appendix K'!$F$44+'Appendix K'!$H$44+'Appendix K'!$G$44))/((1+$Y$16)^AL$34))</f>
        <v>2001275.5508329782</v>
      </c>
      <c r="AM425" s="193">
        <f>(((P425*'Appendix K'!$C$19*1000)-('Appendix K'!$E$45+'Appendix K'!$F$45+'Appendix K'!$H$45+'Appendix K'!$G$45))/((1+$Y$16)^AM$34))</f>
        <v>471557.86815706751</v>
      </c>
      <c r="AN425" s="193">
        <f>(((Q425*'Appendix K'!$C$20*1000)-('Appendix K'!$E$46+'Appendix K'!$F$46+'Appendix K'!$H$46+'Appendix K'!$G$46))/((1+$Y$16)^AN$34))</f>
        <v>175460.99634846413</v>
      </c>
      <c r="AO425" s="193">
        <f>(((R425*'Appendix K'!$C$21*1000)-('Appendix K'!$E$47+'Appendix K'!$F$47+'Appendix K'!$H$47+'Appendix K'!$G$47))/((1+$Y$16)^AO$34))</f>
        <v>421032.97064507403</v>
      </c>
      <c r="AP425" s="193">
        <f>(((S425*'Appendix K'!$C$22*1000)-('Appendix K'!$E$48+'Appendix K'!$F$48+'Appendix K'!$H$48+'Appendix K'!$G$48))/((1+$Y$16)^AP$34))</f>
        <v>502651.49299911939</v>
      </c>
      <c r="AQ425" s="193">
        <f>(((T425*'Appendix K'!$C$23*1000)-('Appendix K'!$E$49+'Appendix K'!$F$49+'Appendix K'!$H$49+'Appendix K'!$G$49))/((1+$Y$16)^AQ$34))</f>
        <v>641211.83951736905</v>
      </c>
      <c r="AR425" s="193">
        <f>(((U425*'Appendix K'!$C$24*1000)-('Appendix K'!$E$50+'Appendix K'!$F$50+'Appendix K'!$H$50+'Appendix K'!$G$50))/((1+$Y$16)^AR$34))</f>
        <v>980725.14012097823</v>
      </c>
      <c r="AS425" s="209">
        <f t="shared" si="28"/>
        <v>134490849.82398221</v>
      </c>
      <c r="AU425" s="199">
        <f t="shared" si="27"/>
        <v>4.9980156202314005E-9</v>
      </c>
    </row>
    <row r="426" spans="1:47" x14ac:dyDescent="0.35">
      <c r="A426">
        <v>392</v>
      </c>
      <c r="B426" s="70">
        <v>56</v>
      </c>
      <c r="C426" s="70">
        <v>67.985837866690957</v>
      </c>
      <c r="D426" s="70">
        <v>67.071619380015377</v>
      </c>
      <c r="E426" s="70">
        <v>99.844481098288497</v>
      </c>
      <c r="F426" s="70">
        <v>155.69122066394493</v>
      </c>
      <c r="G426" s="70">
        <v>174.8109098442705</v>
      </c>
      <c r="H426" s="70">
        <v>216.56392226393447</v>
      </c>
      <c r="I426" s="70">
        <v>158.18260540336573</v>
      </c>
      <c r="J426" s="70">
        <v>273.31181504186668</v>
      </c>
      <c r="K426" s="70">
        <v>337.00518372641824</v>
      </c>
      <c r="L426" s="70">
        <v>423.40625196718827</v>
      </c>
      <c r="M426" s="70">
        <v>452.77684180280721</v>
      </c>
      <c r="N426" s="70">
        <v>392.14868850350814</v>
      </c>
      <c r="O426" s="70">
        <v>451.67722356264574</v>
      </c>
      <c r="P426" s="70">
        <v>500</v>
      </c>
      <c r="Q426" s="70">
        <v>500</v>
      </c>
      <c r="R426" s="70">
        <v>500</v>
      </c>
      <c r="S426" s="70">
        <v>465.17542227653303</v>
      </c>
      <c r="T426" s="70">
        <v>500</v>
      </c>
      <c r="U426" s="70">
        <v>500</v>
      </c>
      <c r="V426" s="70">
        <v>500</v>
      </c>
      <c r="X426" s="193">
        <f>((0-('Appendix K'!$I$30))/(1+$Y$16)^0)</f>
        <v>-33594902.4440751</v>
      </c>
      <c r="Y426" s="193">
        <f>(((B426*'Appendix K'!$C$5*1000)-('Appendix K'!$E$31+'Appendix K'!$F$31+'Appendix K'!$H$31+'Appendix K'!$G$31))/((1+$Y$16)^1))</f>
        <v>34971064.972647354</v>
      </c>
      <c r="Z426" s="193">
        <f>+(((C426*'Appendix K'!$C$6*1000)-('Appendix K'!$E$32+'Appendix K'!$F$32+'Appendix K'!$H$32+'Appendix K'!$G$32))/((1+$Y$16)^2))</f>
        <v>13687137.74546089</v>
      </c>
      <c r="AA426" s="193">
        <f>(((D426*'Appendix K'!$C$7*1000)-('Appendix K'!$E$33+'Appendix K'!$F$33+'Appendix K'!$H$33+'Appendix K'!$G$33))/((1+$Y$16)^3))</f>
        <v>5578340.8944836743</v>
      </c>
      <c r="AB426" s="193">
        <f>(((E426*'Appendix K'!$C$8*1000)-('Appendix K'!$E$34+'Appendix K'!$F$34+'Appendix K'!$H$34+'Appendix K'!$G$34))/((1+$Y$16)^4))</f>
        <v>18591788.379637551</v>
      </c>
      <c r="AC426" s="193">
        <f>(((F426*'Appendix K'!$C$9*1000)-('Appendix K'!$E$35+'Appendix K'!$F$35+'Appendix K'!$H$35+'Appendix K'!$G$35))/((1+$Y$16)^AC$34))</f>
        <v>38398253.454229176</v>
      </c>
      <c r="AD426" s="193">
        <f>(((G426*'Appendix K'!$C$10*1000)-('Appendix K'!$E$36+'Appendix K'!$F$36+'Appendix K'!$H$36+'Appendix K'!$G$36))/((1+$Y$16)^AD$34))</f>
        <v>24937233.072316129</v>
      </c>
      <c r="AE426" s="193">
        <f>(((H426*'Appendix K'!$C$11*1000)-('Appendix K'!$E$37+'Appendix K'!$F$37+'Appendix K'!$H$37+'Appendix K'!$G$37))/((1+$Y$16)^AE$34))</f>
        <v>19379631.132742926</v>
      </c>
      <c r="AF426" s="193">
        <f>(((I426*'Appendix K'!$C$12*1000)-('Appendix K'!$E$38+'Appendix K'!$F$38+'Appendix K'!$H$38+'Appendix K'!$G$38))/((1+$Y$16)^AF$34))</f>
        <v>8390074.7754985355</v>
      </c>
      <c r="AG426" s="193">
        <f>(((J426*'Appendix K'!$C$13*1000)-('Appendix K'!$E$39+'Appendix K'!$F$39+'Appendix K'!$H$39+'Appendix K'!$G$39))/((1+$Y$16)^AG$34))</f>
        <v>10762574.113750862</v>
      </c>
      <c r="AH426" s="193">
        <f>(((K426*'Appendix K'!$C$14*1000)-('Appendix K'!$E$40+'Appendix K'!$F$40+'Appendix K'!$H$40+'Appendix K'!$G$40))/((1+$Y$16)^AH$34))</f>
        <v>9726533.0861777812</v>
      </c>
      <c r="AI426" s="193">
        <f>(((L426*'Appendix K'!$C$15*1000)-('Appendix K'!$E$41+'Appendix K'!$F$41+'Appendix K'!$H$41+'Appendix K'!$G$41))/((1+$Y$16)^AI$34))</f>
        <v>9577554.2267829552</v>
      </c>
      <c r="AJ426" s="193">
        <f>(((M426*'Appendix K'!$C$16*1000)-('Appendix K'!$E$42+'Appendix K'!$F$42+'Appendix K'!$H$42+'Appendix K'!$G$42))/((1+$Y$16)^AJ$34))</f>
        <v>7692942.2753993059</v>
      </c>
      <c r="AK426" s="193">
        <f>(((N426*'Appendix K'!$C$17*1000)-('Appendix K'!$E$43+'Appendix K'!$F$43+'Appendix K'!$H$43))/((1+$Y$16)^AK$34))</f>
        <v>5020673.6238875026</v>
      </c>
      <c r="AL426" s="193">
        <f>(((O426*'Appendix K'!$C$18*1000)-('Appendix K'!$E$44+'Appendix K'!$F$44+'Appendix K'!$H$44+'Appendix K'!$G$44))/((1+$Y$16)^AL$34))</f>
        <v>4219273.9122011606</v>
      </c>
      <c r="AM426" s="193">
        <f>(((P426*'Appendix K'!$C$19*1000)-('Appendix K'!$E$45+'Appendix K'!$F$45+'Appendix K'!$H$45+'Appendix K'!$G$45))/((1+$Y$16)^AM$34))</f>
        <v>3607599.9540230581</v>
      </c>
      <c r="AN426" s="193">
        <f>(((Q426*'Appendix K'!$C$20*1000)-('Appendix K'!$E$46+'Appendix K'!$F$46+'Appendix K'!$H$46+'Appendix K'!$G$46))/((1+$Y$16)^AN$34))</f>
        <v>2702399.606577659</v>
      </c>
      <c r="AO426" s="193">
        <f>(((R426*'Appendix K'!$C$21*1000)-('Appendix K'!$E$47+'Appendix K'!$F$47+'Appendix K'!$H$47+'Appendix K'!$G$47))/((1+$Y$16)^AO$34))</f>
        <v>2112056.3146391152</v>
      </c>
      <c r="AP426" s="193">
        <f>(((S426*'Appendix K'!$C$22*1000)-('Appendix K'!$E$48+'Appendix K'!$F$48+'Appendix K'!$H$48+'Appendix K'!$G$48))/((1+$Y$16)^AP$34))</f>
        <v>1463606.4845372096</v>
      </c>
      <c r="AQ426" s="193">
        <f>(((T426*'Appendix K'!$C$23*1000)-('Appendix K'!$E$49+'Appendix K'!$F$49+'Appendix K'!$H$49+'Appendix K'!$G$49))/((1+$Y$16)^AQ$34))</f>
        <v>1263386.3652054211</v>
      </c>
      <c r="AR426" s="193">
        <f>(((U426*'Appendix K'!$C$24*1000)-('Appendix K'!$E$50+'Appendix K'!$F$50+'Appendix K'!$H$50+'Appendix K'!$G$50))/((1+$Y$16)^AR$34))</f>
        <v>980725.14012097823</v>
      </c>
      <c r="AS426" s="209">
        <f t="shared" si="28"/>
        <v>189467947.08624417</v>
      </c>
      <c r="AU426" s="199">
        <f t="shared" si="27"/>
        <v>1.4044977803318813E-9</v>
      </c>
    </row>
    <row r="427" spans="1:47" x14ac:dyDescent="0.35">
      <c r="A427">
        <v>393</v>
      </c>
      <c r="B427" s="70">
        <v>56</v>
      </c>
      <c r="C427" s="70">
        <v>64.204549660578508</v>
      </c>
      <c r="D427" s="70">
        <v>60.620900763214536</v>
      </c>
      <c r="E427" s="70">
        <v>64.556792073294361</v>
      </c>
      <c r="F427" s="70">
        <v>54.36450858509599</v>
      </c>
      <c r="G427" s="70">
        <v>45.040280477509938</v>
      </c>
      <c r="H427" s="70">
        <v>48.395582380126825</v>
      </c>
      <c r="I427" s="70">
        <v>58.614780215478852</v>
      </c>
      <c r="J427" s="70">
        <v>60.462975223123422</v>
      </c>
      <c r="K427" s="70">
        <v>64.157220254733559</v>
      </c>
      <c r="L427" s="70">
        <v>57.75778579701975</v>
      </c>
      <c r="M427" s="70">
        <v>60.89178700953876</v>
      </c>
      <c r="N427" s="70">
        <v>56.672386232043507</v>
      </c>
      <c r="O427" s="70">
        <v>55.326912190406532</v>
      </c>
      <c r="P427" s="70">
        <v>46.169132305080453</v>
      </c>
      <c r="Q427" s="70">
        <v>32.68629877136442</v>
      </c>
      <c r="R427" s="70">
        <v>19.926231054919217</v>
      </c>
      <c r="S427" s="70">
        <v>10.413496126652223</v>
      </c>
      <c r="T427" s="70">
        <v>13.940279899398641</v>
      </c>
      <c r="U427" s="70">
        <v>6.5930284505439465</v>
      </c>
      <c r="V427" s="70">
        <v>9.6085401802574388</v>
      </c>
      <c r="X427" s="193">
        <f>((0-('Appendix K'!$I$30))/(1+$Y$16)^0)</f>
        <v>-33594902.4440751</v>
      </c>
      <c r="Y427" s="193">
        <f>(((B427*'Appendix K'!$C$5*1000)-('Appendix K'!$E$31+'Appendix K'!$F$31+'Appendix K'!$H$31+'Appendix K'!$G$31))/((1+$Y$16)^1))</f>
        <v>34971064.972647354</v>
      </c>
      <c r="Z427" s="193">
        <f>+(((C427*'Appendix K'!$C$6*1000)-('Appendix K'!$E$32+'Appendix K'!$F$32+'Appendix K'!$H$32+'Appendix K'!$G$32))/((1+$Y$16)^2))</f>
        <v>12731919.672755491</v>
      </c>
      <c r="AA427" s="193">
        <f>(((D427*'Appendix K'!$C$7*1000)-('Appendix K'!$E$33+'Appendix K'!$F$33+'Appendix K'!$H$33+'Appendix K'!$G$33))/((1+$Y$16)^3))</f>
        <v>4756681.4340483006</v>
      </c>
      <c r="AB427" s="193">
        <f>(((E427*'Appendix K'!$C$8*1000)-('Appendix K'!$E$34+'Appendix K'!$F$34+'Appendix K'!$H$34+'Appendix K'!$G$34))/((1+$Y$16)^4))</f>
        <v>10857049.97306033</v>
      </c>
      <c r="AC427" s="193">
        <f>(((F427*'Appendix K'!$C$9*1000)-('Appendix K'!$E$35+'Appendix K'!$F$35+'Appendix K'!$H$35+'Appendix K'!$G$35))/((1+$Y$16)^AC$34))</f>
        <v>11465772.495161654</v>
      </c>
      <c r="AD427" s="193">
        <f>(((G427*'Appendix K'!$C$10*1000)-('Appendix K'!$E$36+'Appendix K'!$F$36+'Appendix K'!$H$36+'Appendix K'!$G$36))/((1+$Y$16)^AD$34))</f>
        <v>4557540.6458004899</v>
      </c>
      <c r="AE427" s="193">
        <f>(((H427*'Appendix K'!$C$11*1000)-('Appendix K'!$E$37+'Appendix K'!$F$37+'Appendix K'!$H$37+'Appendix K'!$G$37))/((1+$Y$16)^AE$34))</f>
        <v>2606919.6673641778</v>
      </c>
      <c r="AF427" s="193">
        <f>(((I427*'Appendix K'!$C$12*1000)-('Appendix K'!$E$38+'Appendix K'!$F$38+'Appendix K'!$H$38+'Appendix K'!$G$38))/((1+$Y$16)^AF$34))</f>
        <v>1852209.7186631702</v>
      </c>
      <c r="AG427" s="193">
        <f>(((J427*'Appendix K'!$C$13*1000)-('Appendix K'!$E$39+'Appendix K'!$F$39+'Appendix K'!$H$39+'Appendix K'!$G$39))/((1+$Y$16)^AG$34))</f>
        <v>967497.70827635832</v>
      </c>
      <c r="AH427" s="193">
        <f>(((K427*'Appendix K'!$C$14*1000)-('Appendix K'!$E$40+'Appendix K'!$F$40+'Appendix K'!$H$40+'Appendix K'!$G$40))/((1+$Y$16)^AH$34))</f>
        <v>529775.90505699581</v>
      </c>
      <c r="AI427" s="193">
        <f>(((L427*'Appendix K'!$C$15*1000)-('Appendix K'!$E$41+'Appendix K'!$F$41+'Appendix K'!$H$41+'Appendix K'!$G$41))/((1+$Y$16)^AI$34))</f>
        <v>-3119.3528600545364</v>
      </c>
      <c r="AJ427" s="193">
        <f>(((M427*'Appendix K'!$C$16*1000)-('Appendix K'!$E$42+'Appendix K'!$F$42+'Appendix K'!$H$42+'Appendix K'!$G$42))/((1+$Y$16)^AJ$34))</f>
        <v>-161165.86341318407</v>
      </c>
      <c r="AK427" s="193">
        <f>(((N427*'Appendix K'!$C$17*1000)-('Appendix K'!$E$43+'Appendix K'!$F$43+'Appendix K'!$H$43))/((1+$Y$16)^AK$34))</f>
        <v>-133549.88535151287</v>
      </c>
      <c r="AL427" s="193">
        <f>(((O427*'Appendix K'!$C$18*1000)-('Appendix K'!$E$44+'Appendix K'!$F$44+'Appendix K'!$H$44+'Appendix K'!$G$44))/((1+$Y$16)^AL$34))</f>
        <v>-478782.95541576837</v>
      </c>
      <c r="AM427" s="193">
        <f>(((P427*'Appendix K'!$C$19*1000)-('Appendix K'!$E$45+'Appendix K'!$F$45+'Appendix K'!$H$45+'Appendix K'!$G$45))/((1+$Y$16)^AM$34))</f>
        <v>-598836.63769550144</v>
      </c>
      <c r="AN427" s="193">
        <f>(((Q427*'Appendix K'!$C$20*1000)-('Appendix K'!$E$46+'Appendix K'!$F$46+'Appendix K'!$H$46+'Appendix K'!$G$46))/((1+$Y$16)^AN$34))</f>
        <v>-679183.69159498333</v>
      </c>
      <c r="AO427" s="193">
        <f>(((R427*'Appendix K'!$C$21*1000)-('Appendix K'!$E$47+'Appendix K'!$F$47+'Appendix K'!$H$47+'Appendix K'!$G$47))/((1+$Y$16)^AO$34))</f>
        <v>-725232.6983956222</v>
      </c>
      <c r="AP427" s="193">
        <f>(((S427*'Appendix K'!$C$22*1000)-('Appendix K'!$E$48+'Appendix K'!$F$48+'Appendix K'!$H$48+'Appendix K'!$G$48))/((1+$Y$16)^AP$34))</f>
        <v>-714575.50900468044</v>
      </c>
      <c r="AQ427" s="193">
        <f>(((T427*'Appendix K'!$C$23*1000)-('Appendix K'!$E$49+'Appendix K'!$F$49+'Appendix K'!$H$49+'Appendix K'!$G$49))/((1+$Y$16)^AQ$34))</f>
        <v>-638926.94478872139</v>
      </c>
      <c r="AR427" s="193">
        <f>(((U427*'Appendix K'!$C$24*1000)-('Appendix K'!$E$50+'Appendix K'!$F$50+'Appendix K'!$H$50+'Appendix K'!$G$50))/((1+$Y$16)^AR$34))</f>
        <v>-608059.13296842354</v>
      </c>
      <c r="AS427" s="209">
        <f t="shared" si="28"/>
        <v>51701529.748759232</v>
      </c>
      <c r="AU427" s="199">
        <f t="shared" si="27"/>
        <v>5.7539406871470905E-9</v>
      </c>
    </row>
    <row r="428" spans="1:47" x14ac:dyDescent="0.35">
      <c r="A428">
        <v>394</v>
      </c>
      <c r="B428" s="70">
        <v>56</v>
      </c>
      <c r="C428" s="70">
        <v>74.336411465486322</v>
      </c>
      <c r="D428" s="70">
        <v>140.45748176914941</v>
      </c>
      <c r="E428" s="70">
        <v>90.281903567823491</v>
      </c>
      <c r="F428" s="70">
        <v>124.78952532402431</v>
      </c>
      <c r="G428" s="70">
        <v>85.017547707731651</v>
      </c>
      <c r="H428" s="70">
        <v>64.829109838804641</v>
      </c>
      <c r="I428" s="70">
        <v>78.458055341339417</v>
      </c>
      <c r="J428" s="70">
        <v>93.364807557566039</v>
      </c>
      <c r="K428" s="70">
        <v>127.45973087207072</v>
      </c>
      <c r="L428" s="70">
        <v>125.99488851304649</v>
      </c>
      <c r="M428" s="70">
        <v>188.17441643237399</v>
      </c>
      <c r="N428" s="70">
        <v>237.42008120678528</v>
      </c>
      <c r="O428" s="70">
        <v>173.22474482999064</v>
      </c>
      <c r="P428" s="70">
        <v>250.55184469914565</v>
      </c>
      <c r="Q428" s="70">
        <v>378.9540470366195</v>
      </c>
      <c r="R428" s="70">
        <v>367.41176944007645</v>
      </c>
      <c r="S428" s="70">
        <v>382.67538869703463</v>
      </c>
      <c r="T428" s="70">
        <v>229.71165392778178</v>
      </c>
      <c r="U428" s="70">
        <v>224.36431070090603</v>
      </c>
      <c r="V428" s="70">
        <v>272.79462398016511</v>
      </c>
      <c r="X428" s="193">
        <f>((0-('Appendix K'!$I$30))/(1+$Y$16)^0)</f>
        <v>-33594902.4440751</v>
      </c>
      <c r="Y428" s="193">
        <f>(((B428*'Appendix K'!$C$5*1000)-('Appendix K'!$E$31+'Appendix K'!$F$31+'Appendix K'!$H$31+'Appendix K'!$G$31))/((1+$Y$16)^1))</f>
        <v>34971064.972647354</v>
      </c>
      <c r="Z428" s="193">
        <f>+(((C428*'Appendix K'!$C$6*1000)-('Appendix K'!$E$32+'Appendix K'!$F$32+'Appendix K'!$H$32+'Appendix K'!$G$32))/((1+$Y$16)^2))</f>
        <v>15291401.251164876</v>
      </c>
      <c r="AA428" s="193">
        <f>(((D428*'Appendix K'!$C$7*1000)-('Appendix K'!$E$33+'Appendix K'!$F$33+'Appendix K'!$H$33+'Appendix K'!$G$33))/((1+$Y$16)^3))</f>
        <v>14925855.749215432</v>
      </c>
      <c r="AB428" s="193">
        <f>(((E428*'Appendix K'!$C$8*1000)-('Appendix K'!$E$34+'Appendix K'!$F$34+'Appendix K'!$H$34+'Appendix K'!$G$34))/((1+$Y$16)^4))</f>
        <v>16495758.921931446</v>
      </c>
      <c r="AC428" s="193">
        <f>(((F428*'Appendix K'!$C$9*1000)-('Appendix K'!$E$35+'Appendix K'!$F$35+'Appendix K'!$H$35+'Appendix K'!$G$35))/((1+$Y$16)^AC$34))</f>
        <v>30184631.357247666</v>
      </c>
      <c r="AD428" s="193">
        <f>(((G428*'Appendix K'!$C$10*1000)-('Appendix K'!$E$36+'Appendix K'!$F$36+'Appendix K'!$H$36+'Appendix K'!$G$36))/((1+$Y$16)^AD$34))</f>
        <v>10835728.662458323</v>
      </c>
      <c r="AE428" s="193">
        <f>(((H428*'Appendix K'!$C$11*1000)-('Appendix K'!$E$37+'Appendix K'!$F$37+'Appendix K'!$H$37+'Appendix K'!$G$37))/((1+$Y$16)^AE$34))</f>
        <v>4245960.7295119399</v>
      </c>
      <c r="AF428" s="193">
        <f>(((I428*'Appendix K'!$C$12*1000)-('Appendix K'!$E$38+'Appendix K'!$F$38+'Appendix K'!$H$38+'Appendix K'!$G$38))/((1+$Y$16)^AF$34))</f>
        <v>3155167.3238305571</v>
      </c>
      <c r="AG428" s="193">
        <f>(((J428*'Appendix K'!$C$13*1000)-('Appendix K'!$E$39+'Appendix K'!$F$39+'Appendix K'!$H$39+'Appendix K'!$G$39))/((1+$Y$16)^AG$34))</f>
        <v>2481604.9116344741</v>
      </c>
      <c r="AH428" s="193">
        <f>(((K428*'Appendix K'!$C$14*1000)-('Appendix K'!$E$40+'Appendix K'!$F$40+'Appendix K'!$H$40+'Appendix K'!$G$40))/((1+$Y$16)^AH$34))</f>
        <v>2663483.6729120677</v>
      </c>
      <c r="AI428" s="193">
        <f>(((L428*'Appendix K'!$C$15*1000)-('Appendix K'!$E$41+'Appendix K'!$F$41+'Appendix K'!$H$41+'Appendix K'!$G$41))/((1+$Y$16)^AI$34))</f>
        <v>1784820.3423076335</v>
      </c>
      <c r="AJ428" s="193">
        <f>(((M428*'Appendix K'!$C$16*1000)-('Appendix K'!$E$42+'Appendix K'!$F$42+'Appendix K'!$H$42+'Appendix K'!$G$42))/((1+$Y$16)^AJ$34))</f>
        <v>2389815.6640827106</v>
      </c>
      <c r="AK428" s="193">
        <f>(((N428*'Appendix K'!$C$17*1000)-('Appendix K'!$E$43+'Appendix K'!$F$43+'Appendix K'!$H$43))/((1+$Y$16)^AK$34))</f>
        <v>2643439.1668460472</v>
      </c>
      <c r="AL428" s="193">
        <f>(((O428*'Appendix K'!$C$18*1000)-('Appendix K'!$E$44+'Appendix K'!$F$44+'Appendix K'!$H$44+'Appendix K'!$G$44))/((1+$Y$16)^AL$34))</f>
        <v>918694.74654913193</v>
      </c>
      <c r="AM428" s="193">
        <f>(((P428*'Appendix K'!$C$19*1000)-('Appendix K'!$E$45+'Appendix K'!$F$45+'Appendix K'!$H$45+'Appendix K'!$G$45))/((1+$Y$16)^AM$34))</f>
        <v>1295531.9064622773</v>
      </c>
      <c r="AN428" s="193">
        <f>(((Q428*'Appendix K'!$C$20*1000)-('Appendix K'!$E$46+'Appendix K'!$F$46+'Appendix K'!$H$46+'Appendix K'!$G$46))/((1+$Y$16)^AN$34))</f>
        <v>1826484.837170773</v>
      </c>
      <c r="AO428" s="193">
        <f>(((R428*'Appendix K'!$C$21*1000)-('Appendix K'!$E$47+'Appendix K'!$F$47+'Appendix K'!$H$47+'Appendix K'!$G$47))/((1+$Y$16)^AO$34))</f>
        <v>1328445.2236769197</v>
      </c>
      <c r="AP428" s="193">
        <f>(((S428*'Appendix K'!$C$22*1000)-('Appendix K'!$E$48+'Appendix K'!$F$48+'Appendix K'!$H$48+'Appendix K'!$G$48))/((1+$Y$16)^AP$34))</f>
        <v>1068454.4780118456</v>
      </c>
      <c r="AQ428" s="193">
        <f>(((T428*'Appendix K'!$C$23*1000)-('Appendix K'!$E$49+'Appendix K'!$F$49+'Appendix K'!$H$49+'Appendix K'!$G$49))/((1+$Y$16)^AQ$34))</f>
        <v>205546.97426995402</v>
      </c>
      <c r="AR428" s="193">
        <f>(((U428*'Appendix K'!$C$24*1000)-('Appendix K'!$E$50+'Appendix K'!$F$50+'Appendix K'!$H$50+'Appendix K'!$G$50))/((1+$Y$16)^AR$34))</f>
        <v>93170.497580500378</v>
      </c>
      <c r="AS428" s="209">
        <f t="shared" si="28"/>
        <v>115210158.94543684</v>
      </c>
      <c r="AU428" s="199">
        <f t="shared" si="27"/>
        <v>6.245986151785676E-9</v>
      </c>
    </row>
    <row r="429" spans="1:47" x14ac:dyDescent="0.35">
      <c r="A429">
        <v>395</v>
      </c>
      <c r="B429" s="70">
        <v>56</v>
      </c>
      <c r="C429" s="70">
        <v>68.63397368669051</v>
      </c>
      <c r="D429" s="70">
        <v>119.90625124856864</v>
      </c>
      <c r="E429" s="70">
        <v>64.808058739791733</v>
      </c>
      <c r="F429" s="70">
        <v>91.580833520900157</v>
      </c>
      <c r="G429" s="70">
        <v>95.890698684863352</v>
      </c>
      <c r="H429" s="70">
        <v>103.00588093445626</v>
      </c>
      <c r="I429" s="70">
        <v>87.238580791303505</v>
      </c>
      <c r="J429" s="70">
        <v>92.703477690404384</v>
      </c>
      <c r="K429" s="70">
        <v>40.135708434681135</v>
      </c>
      <c r="L429" s="70">
        <v>45.469764590521052</v>
      </c>
      <c r="M429" s="70">
        <v>67.264651153890014</v>
      </c>
      <c r="N429" s="70">
        <v>60.278183724012834</v>
      </c>
      <c r="O429" s="70">
        <v>78.484321517349429</v>
      </c>
      <c r="P429" s="70">
        <v>74.334328979169541</v>
      </c>
      <c r="Q429" s="70">
        <v>109.32064936157425</v>
      </c>
      <c r="R429" s="70">
        <v>67.454853802411748</v>
      </c>
      <c r="S429" s="70">
        <v>46.531183206181574</v>
      </c>
      <c r="T429" s="70">
        <v>57.640346801631459</v>
      </c>
      <c r="U429" s="70">
        <v>44.918079933037276</v>
      </c>
      <c r="V429" s="70">
        <v>25.922826602950813</v>
      </c>
      <c r="X429" s="193">
        <f>((0-('Appendix K'!$I$30))/(1+$Y$16)^0)</f>
        <v>-33594902.4440751</v>
      </c>
      <c r="Y429" s="193">
        <f>(((B429*'Appendix K'!$C$5*1000)-('Appendix K'!$E$31+'Appendix K'!$F$31+'Appendix K'!$H$31+'Appendix K'!$G$31))/((1+$Y$16)^1))</f>
        <v>34971064.972647354</v>
      </c>
      <c r="Z429" s="193">
        <f>+(((C429*'Appendix K'!$C$6*1000)-('Appendix K'!$E$32+'Appendix K'!$F$32+'Appendix K'!$H$32+'Appendix K'!$G$32))/((1+$Y$16)^2))</f>
        <v>13850867.938740131</v>
      </c>
      <c r="AA429" s="193">
        <f>(((D429*'Appendix K'!$C$7*1000)-('Appendix K'!$E$33+'Appendix K'!$F$33+'Appendix K'!$H$33+'Appendix K'!$G$33))/((1+$Y$16)^3))</f>
        <v>12308145.384847086</v>
      </c>
      <c r="AB429" s="193">
        <f>(((E429*'Appendix K'!$C$8*1000)-('Appendix K'!$E$34+'Appendix K'!$F$34+'Appendix K'!$H$34+'Appendix K'!$G$34))/((1+$Y$16)^4))</f>
        <v>10912125.326231612</v>
      </c>
      <c r="AC429" s="193">
        <f>(((F429*'Appendix K'!$C$9*1000)-('Appendix K'!$E$35+'Appendix K'!$F$35+'Appendix K'!$H$35+'Appendix K'!$G$35))/((1+$Y$16)^AC$34))</f>
        <v>21357813.222981177</v>
      </c>
      <c r="AD429" s="193">
        <f>(((G429*'Appendix K'!$C$10*1000)-('Appendix K'!$E$36+'Appendix K'!$F$36+'Appendix K'!$H$36+'Appendix K'!$G$36))/((1+$Y$16)^AD$34))</f>
        <v>12543291.257340603</v>
      </c>
      <c r="AE429" s="193">
        <f>(((H429*'Appendix K'!$C$11*1000)-('Appendix K'!$E$37+'Appendix K'!$F$37+'Appendix K'!$H$37+'Appendix K'!$G$37))/((1+$Y$16)^AE$34))</f>
        <v>8053621.3552254168</v>
      </c>
      <c r="AF429" s="193">
        <f>(((I429*'Appendix K'!$C$12*1000)-('Appendix K'!$E$38+'Appendix K'!$F$38+'Appendix K'!$H$38+'Appendix K'!$G$38))/((1+$Y$16)^AF$34))</f>
        <v>3731717.9355532452</v>
      </c>
      <c r="AG429" s="193">
        <f>(((J429*'Appendix K'!$C$13*1000)-('Appendix K'!$E$39+'Appendix K'!$F$39+'Appendix K'!$H$39+'Appendix K'!$G$39))/((1+$Y$16)^AG$34))</f>
        <v>2451171.2170764632</v>
      </c>
      <c r="AH429" s="193">
        <f>(((K429*'Appendix K'!$C$14*1000)-('Appendix K'!$E$40+'Appendix K'!$F$40+'Appendix K'!$H$40+'Appendix K'!$G$40))/((1+$Y$16)^AH$34))</f>
        <v>-279905.82582889847</v>
      </c>
      <c r="AI429" s="193">
        <f>(((L429*'Appendix K'!$C$15*1000)-('Appendix K'!$E$41+'Appendix K'!$F$41+'Appendix K'!$H$41+'Appendix K'!$G$41))/((1+$Y$16)^AI$34))</f>
        <v>-325088.48718265287</v>
      </c>
      <c r="AJ429" s="193">
        <f>(((M429*'Appendix K'!$C$16*1000)-('Appendix K'!$E$42+'Appendix K'!$F$42+'Appendix K'!$H$42+'Appendix K'!$G$42))/((1+$Y$16)^AJ$34))</f>
        <v>-33441.767963562903</v>
      </c>
      <c r="AK429" s="193">
        <f>(((N429*'Appendix K'!$C$17*1000)-('Appendix K'!$E$43+'Appendix K'!$F$43+'Appendix K'!$H$43))/((1+$Y$16)^AK$34))</f>
        <v>-78150.782413909648</v>
      </c>
      <c r="AL429" s="193">
        <f>(((O429*'Appendix K'!$C$18*1000)-('Appendix K'!$E$44+'Appendix K'!$F$44+'Appendix K'!$H$44+'Appendix K'!$G$44))/((1+$Y$16)^AL$34))</f>
        <v>-204291.36854658622</v>
      </c>
      <c r="AM429" s="193">
        <f>(((P429*'Appendix K'!$C$19*1000)-('Appendix K'!$E$45+'Appendix K'!$F$45+'Appendix K'!$H$45+'Appendix K'!$G$45))/((1+$Y$16)^AM$34))</f>
        <v>-337780.98384676134</v>
      </c>
      <c r="AN429" s="193">
        <f>(((Q429*'Appendix K'!$C$20*1000)-('Appendix K'!$E$46+'Appendix K'!$F$46+'Appendix K'!$H$46+'Appendix K'!$G$46))/((1+$Y$16)^AN$34))</f>
        <v>-124640.90943210355</v>
      </c>
      <c r="AO429" s="193">
        <f>(((R429*'Appendix K'!$C$21*1000)-('Appendix K'!$E$47+'Appendix K'!$F$47+'Appendix K'!$H$47+'Appendix K'!$G$47))/((1+$Y$16)^AO$34))</f>
        <v>-444333.28699378786</v>
      </c>
      <c r="AP429" s="193">
        <f>(((S429*'Appendix K'!$C$22*1000)-('Appendix K'!$E$48+'Appendix K'!$F$48+'Appendix K'!$H$48+'Appendix K'!$G$48))/((1+$Y$16)^AP$34))</f>
        <v>-541581.92462294176</v>
      </c>
      <c r="AQ429" s="193">
        <f>(((T429*'Appendix K'!$C$23*1000)-('Appendix K'!$E$49+'Appendix K'!$F$49+'Appendix K'!$H$49+'Appendix K'!$G$49))/((1+$Y$16)^AQ$34))</f>
        <v>-467896.07043742551</v>
      </c>
      <c r="AR429" s="193">
        <f>(((U429*'Appendix K'!$C$24*1000)-('Appendix K'!$E$50+'Appendix K'!$F$50+'Appendix K'!$H$50+'Appendix K'!$G$50))/((1+$Y$16)^AR$34))</f>
        <v>-484651.3933705978</v>
      </c>
      <c r="AS429" s="209">
        <f t="shared" si="28"/>
        <v>86584916.166568011</v>
      </c>
      <c r="AU429" s="199">
        <f t="shared" si="27"/>
        <v>7.0285112286211533E-9</v>
      </c>
    </row>
    <row r="430" spans="1:47" x14ac:dyDescent="0.35">
      <c r="A430">
        <v>396</v>
      </c>
      <c r="B430" s="70">
        <v>56</v>
      </c>
      <c r="C430" s="70">
        <v>82.65392281065688</v>
      </c>
      <c r="D430" s="70">
        <v>100.87515495953606</v>
      </c>
      <c r="E430" s="70">
        <v>161.79499735840932</v>
      </c>
      <c r="F430" s="70">
        <v>194.82173904238931</v>
      </c>
      <c r="G430" s="70">
        <v>235.83628927486046</v>
      </c>
      <c r="H430" s="70">
        <v>221.50934599932322</v>
      </c>
      <c r="I430" s="70">
        <v>218.79414669732526</v>
      </c>
      <c r="J430" s="70">
        <v>209.52717159413129</v>
      </c>
      <c r="K430" s="70">
        <v>269.80759269129811</v>
      </c>
      <c r="L430" s="70">
        <v>327.58554215424431</v>
      </c>
      <c r="M430" s="70">
        <v>332.89730376051659</v>
      </c>
      <c r="N430" s="70">
        <v>361.12445983050293</v>
      </c>
      <c r="O430" s="70">
        <v>348.9223132295071</v>
      </c>
      <c r="P430" s="70">
        <v>357.30526405828721</v>
      </c>
      <c r="Q430" s="70">
        <v>457.67539307684922</v>
      </c>
      <c r="R430" s="70">
        <v>412.72000387303365</v>
      </c>
      <c r="S430" s="70">
        <v>463.83718785282218</v>
      </c>
      <c r="T430" s="70">
        <v>500</v>
      </c>
      <c r="U430" s="70">
        <v>500</v>
      </c>
      <c r="V430" s="70">
        <v>500</v>
      </c>
      <c r="X430" s="193">
        <f>((0-('Appendix K'!$I$30))/(1+$Y$16)^0)</f>
        <v>-33594902.4440751</v>
      </c>
      <c r="Y430" s="193">
        <f>(((B430*'Appendix K'!$C$5*1000)-('Appendix K'!$E$31+'Appendix K'!$F$31+'Appendix K'!$H$31+'Appendix K'!$G$31))/((1+$Y$16)^1))</f>
        <v>34971064.972647354</v>
      </c>
      <c r="Z430" s="193">
        <f>+(((C430*'Appendix K'!$C$6*1000)-('Appendix K'!$E$32+'Appendix K'!$F$32+'Appendix K'!$H$32+'Appendix K'!$G$32))/((1+$Y$16)^2))</f>
        <v>17392546.87238358</v>
      </c>
      <c r="AA430" s="193">
        <f>(((D430*'Appendix K'!$C$7*1000)-('Appendix K'!$E$33+'Appendix K'!$F$33+'Appendix K'!$H$33+'Appendix K'!$G$33))/((1+$Y$16)^3))</f>
        <v>9884061.9241899215</v>
      </c>
      <c r="AB430" s="193">
        <f>(((E430*'Appendix K'!$C$8*1000)-('Appendix K'!$E$34+'Appendix K'!$F$34+'Appendix K'!$H$34+'Appendix K'!$G$34))/((1+$Y$16)^4))</f>
        <v>32170774.441463474</v>
      </c>
      <c r="AC430" s="193">
        <f>(((F430*'Appendix K'!$C$9*1000)-('Appendix K'!$E$35+'Appendix K'!$F$35+'Appendix K'!$H$35+'Appendix K'!$G$35))/((1+$Y$16)^AC$34))</f>
        <v>48799083.793279372</v>
      </c>
      <c r="AD430" s="193">
        <f>(((G430*'Appendix K'!$C$10*1000)-('Appendix K'!$E$36+'Appendix K'!$F$36+'Appendix K'!$H$36+'Appendix K'!$G$36))/((1+$Y$16)^AD$34))</f>
        <v>34520899.800878614</v>
      </c>
      <c r="AE430" s="193">
        <f>(((H430*'Appendix K'!$C$11*1000)-('Appendix K'!$E$37+'Appendix K'!$F$37+'Appendix K'!$H$37+'Appendix K'!$G$37))/((1+$Y$16)^AE$34))</f>
        <v>19872875.969702266</v>
      </c>
      <c r="AF430" s="193">
        <f>(((I430*'Appendix K'!$C$12*1000)-('Appendix K'!$E$38+'Appendix K'!$F$38+'Appendix K'!$H$38+'Appendix K'!$G$38))/((1+$Y$16)^AF$34))</f>
        <v>12369975.683436818</v>
      </c>
      <c r="AG430" s="193">
        <f>(((J430*'Appendix K'!$C$13*1000)-('Appendix K'!$E$39+'Appendix K'!$F$39+'Appendix K'!$H$39+'Appendix K'!$G$39))/((1+$Y$16)^AG$34))</f>
        <v>7827272.9084515534</v>
      </c>
      <c r="AH430" s="193">
        <f>(((K430*'Appendix K'!$C$14*1000)-('Appendix K'!$E$40+'Appendix K'!$F$40+'Appendix K'!$H$40+'Appendix K'!$G$40))/((1+$Y$16)^AH$34))</f>
        <v>7461535.686003333</v>
      </c>
      <c r="AI430" s="193">
        <f>(((L430*'Appendix K'!$C$15*1000)-('Appendix K'!$E$41+'Appendix K'!$F$41+'Appendix K'!$H$41+'Appendix K'!$G$41))/((1+$Y$16)^AI$34))</f>
        <v>7066872.4440778345</v>
      </c>
      <c r="AJ430" s="193">
        <f>(((M430*'Appendix K'!$C$16*1000)-('Appendix K'!$E$42+'Appendix K'!$F$42+'Appendix K'!$H$42+'Appendix K'!$G$42))/((1+$Y$16)^AJ$34))</f>
        <v>5290332.5205778787</v>
      </c>
      <c r="AK430" s="193">
        <f>(((N430*'Appendix K'!$C$17*1000)-('Appendix K'!$E$43+'Appendix K'!$F$43+'Appendix K'!$H$43))/((1+$Y$16)^AK$34))</f>
        <v>4544020.5556984525</v>
      </c>
      <c r="AL430" s="193">
        <f>(((O430*'Appendix K'!$C$18*1000)-('Appendix K'!$E$44+'Appendix K'!$F$44+'Appendix K'!$H$44+'Appendix K'!$G$44))/((1+$Y$16)^AL$34))</f>
        <v>3001289.7241716417</v>
      </c>
      <c r="AM430" s="193">
        <f>(((P430*'Appendix K'!$C$19*1000)-('Appendix K'!$E$45+'Appendix K'!$F$45+'Appendix K'!$H$45+'Appendix K'!$G$45))/((1+$Y$16)^AM$34))</f>
        <v>2285000.7184101618</v>
      </c>
      <c r="AN430" s="193">
        <f>(((Q430*'Appendix K'!$C$20*1000)-('Appendix K'!$E$46+'Appendix K'!$F$46+'Appendix K'!$H$46+'Appendix K'!$G$46))/((1+$Y$16)^AN$34))</f>
        <v>2396129.5710602868</v>
      </c>
      <c r="AO430" s="193">
        <f>(((R430*'Appendix K'!$C$21*1000)-('Appendix K'!$E$47+'Appendix K'!$F$47+'Appendix K'!$H$47+'Appendix K'!$G$47))/((1+$Y$16)^AO$34))</f>
        <v>1596221.8948312597</v>
      </c>
      <c r="AP430" s="193">
        <f>(((S430*'Appendix K'!$C$22*1000)-('Appendix K'!$E$48+'Appendix K'!$F$48+'Appendix K'!$H$48+'Appendix K'!$G$48))/((1+$Y$16)^AP$34))</f>
        <v>1457196.7172342534</v>
      </c>
      <c r="AQ430" s="193">
        <f>(((T430*'Appendix K'!$C$23*1000)-('Appendix K'!$E$49+'Appendix K'!$F$49+'Appendix K'!$H$49+'Appendix K'!$G$49))/((1+$Y$16)^AQ$34))</f>
        <v>1263386.3652054211</v>
      </c>
      <c r="AR430" s="193">
        <f>(((U430*'Appendix K'!$C$24*1000)-('Appendix K'!$E$50+'Appendix K'!$F$50+'Appendix K'!$H$50+'Appendix K'!$G$50))/((1+$Y$16)^AR$34))</f>
        <v>980725.14012097823</v>
      </c>
      <c r="AS430" s="209">
        <f t="shared" si="28"/>
        <v>221556365.25974938</v>
      </c>
      <c r="AU430" s="199">
        <f t="shared" si="27"/>
        <v>4.3390398708435958E-10</v>
      </c>
    </row>
    <row r="431" spans="1:47" x14ac:dyDescent="0.35">
      <c r="A431">
        <v>397</v>
      </c>
      <c r="B431" s="70">
        <v>56</v>
      </c>
      <c r="C431" s="70">
        <v>57.311715469876106</v>
      </c>
      <c r="D431" s="70">
        <v>43.111598535070655</v>
      </c>
      <c r="E431" s="70">
        <v>60.155600773204789</v>
      </c>
      <c r="F431" s="70">
        <v>80.593714875344048</v>
      </c>
      <c r="G431" s="70">
        <v>73.139274695098749</v>
      </c>
      <c r="H431" s="70">
        <v>107.90842751033469</v>
      </c>
      <c r="I431" s="70">
        <v>162.99143985091752</v>
      </c>
      <c r="J431" s="70">
        <v>218.93540230703479</v>
      </c>
      <c r="K431" s="70">
        <v>236.12453943095349</v>
      </c>
      <c r="L431" s="70">
        <v>281.77559182228094</v>
      </c>
      <c r="M431" s="70">
        <v>500</v>
      </c>
      <c r="N431" s="70">
        <v>500</v>
      </c>
      <c r="O431" s="70">
        <v>458.23750125393281</v>
      </c>
      <c r="P431" s="70">
        <v>500</v>
      </c>
      <c r="Q431" s="70">
        <v>500</v>
      </c>
      <c r="R431" s="70">
        <v>500</v>
      </c>
      <c r="S431" s="70">
        <v>500</v>
      </c>
      <c r="T431" s="70">
        <v>500</v>
      </c>
      <c r="U431" s="70">
        <v>387.42554174665344</v>
      </c>
      <c r="V431" s="70">
        <v>500</v>
      </c>
      <c r="X431" s="193">
        <f>((0-('Appendix K'!$I$30))/(1+$Y$16)^0)</f>
        <v>-33594902.4440751</v>
      </c>
      <c r="Y431" s="193">
        <f>(((B431*'Appendix K'!$C$5*1000)-('Appendix K'!$E$31+'Appendix K'!$F$31+'Appendix K'!$H$31+'Appendix K'!$G$31))/((1+$Y$16)^1))</f>
        <v>34971064.972647354</v>
      </c>
      <c r="Z431" s="193">
        <f>+(((C431*'Appendix K'!$C$6*1000)-('Appendix K'!$E$32+'Appendix K'!$F$32+'Appendix K'!$H$32+'Appendix K'!$G$32))/((1+$Y$16)^2))</f>
        <v>10990671.867185598</v>
      </c>
      <c r="AA431" s="193">
        <f>(((D431*'Appendix K'!$C$7*1000)-('Appendix K'!$E$33+'Appendix K'!$F$33+'Appendix K'!$H$33+'Appendix K'!$G$33))/((1+$Y$16)^3))</f>
        <v>2526436.2976527046</v>
      </c>
      <c r="AB431" s="193">
        <f>(((E431*'Appendix K'!$C$8*1000)-('Appendix K'!$E$34+'Appendix K'!$F$34+'Appendix K'!$H$34+'Appendix K'!$G$34))/((1+$Y$16)^4))</f>
        <v>9892349.129109215</v>
      </c>
      <c r="AC431" s="193">
        <f>(((F431*'Appendix K'!$C$9*1000)-('Appendix K'!$E$35+'Appendix K'!$F$35+'Appendix K'!$H$35+'Appendix K'!$G$35))/((1+$Y$16)^AC$34))</f>
        <v>18437454.339864668</v>
      </c>
      <c r="AD431" s="193">
        <f>(((G431*'Appendix K'!$C$10*1000)-('Appendix K'!$E$36+'Appendix K'!$F$36+'Appendix K'!$H$36+'Appendix K'!$G$36))/((1+$Y$16)^AD$34))</f>
        <v>8970317.7313648108</v>
      </c>
      <c r="AE431" s="193">
        <f>(((H431*'Appendix K'!$C$11*1000)-('Appendix K'!$E$37+'Appendix K'!$F$37+'Appendix K'!$H$37+'Appendix K'!$G$37))/((1+$Y$16)^AE$34))</f>
        <v>8542589.725963952</v>
      </c>
      <c r="AF431" s="193">
        <f>(((I431*'Appendix K'!$C$12*1000)-('Appendix K'!$E$38+'Appendix K'!$F$38+'Appendix K'!$H$38+'Appendix K'!$G$38))/((1+$Y$16)^AF$34))</f>
        <v>8705834.5165537167</v>
      </c>
      <c r="AG431" s="193">
        <f>(((J431*'Appendix K'!$C$13*1000)-('Appendix K'!$E$39+'Appendix K'!$F$39+'Appendix K'!$H$39+'Appendix K'!$G$39))/((1+$Y$16)^AG$34))</f>
        <v>8260229.6431544432</v>
      </c>
      <c r="AH431" s="193">
        <f>(((K431*'Appendix K'!$C$14*1000)-('Appendix K'!$E$40+'Appendix K'!$F$40+'Appendix K'!$H$40+'Appendix K'!$G$40))/((1+$Y$16)^AH$34))</f>
        <v>6326196.9500545273</v>
      </c>
      <c r="AI431" s="193">
        <f>(((L431*'Appendix K'!$C$15*1000)-('Appendix K'!$E$41+'Appendix K'!$F$41+'Appendix K'!$H$41+'Appendix K'!$G$41))/((1+$Y$16)^AI$34))</f>
        <v>5866566.0803532135</v>
      </c>
      <c r="AJ431" s="193">
        <f>(((M431*'Appendix K'!$C$16*1000)-('Appendix K'!$E$42+'Appendix K'!$F$42+'Appendix K'!$H$42+'Appendix K'!$G$42))/((1+$Y$16)^AJ$34))</f>
        <v>8639382.5302660316</v>
      </c>
      <c r="AK431" s="193">
        <f>(((N431*'Appendix K'!$C$17*1000)-('Appendix K'!$E$43+'Appendix K'!$F$43+'Appendix K'!$H$43))/((1+$Y$16)^AK$34))</f>
        <v>6677690.1149291173</v>
      </c>
      <c r="AL431" s="193">
        <f>(((O431*'Appendix K'!$C$18*1000)-('Appendix K'!$E$44+'Appendix K'!$F$44+'Appendix K'!$H$44+'Appendix K'!$G$44))/((1+$Y$16)^AL$34))</f>
        <v>4297034.8140516439</v>
      </c>
      <c r="AM431" s="193">
        <f>(((P431*'Appendix K'!$C$19*1000)-('Appendix K'!$E$45+'Appendix K'!$F$45+'Appendix K'!$H$45+'Appendix K'!$G$45))/((1+$Y$16)^AM$34))</f>
        <v>3607599.9540230581</v>
      </c>
      <c r="AN431" s="193">
        <f>(((Q431*'Appendix K'!$C$20*1000)-('Appendix K'!$E$46+'Appendix K'!$F$46+'Appendix K'!$H$46+'Appendix K'!$G$46))/((1+$Y$16)^AN$34))</f>
        <v>2702399.606577659</v>
      </c>
      <c r="AO431" s="193">
        <f>(((R431*'Appendix K'!$C$21*1000)-('Appendix K'!$E$47+'Appendix K'!$F$47+'Appendix K'!$H$47+'Appendix K'!$G$47))/((1+$Y$16)^AO$34))</f>
        <v>2112056.3146391152</v>
      </c>
      <c r="AP431" s="193">
        <f>(((S431*'Appendix K'!$C$22*1000)-('Appendix K'!$E$48+'Appendix K'!$F$48+'Appendix K'!$H$48+'Appendix K'!$G$48))/((1+$Y$16)^AP$34))</f>
        <v>1630406.4380253027</v>
      </c>
      <c r="AQ431" s="193">
        <f>(((T431*'Appendix K'!$C$23*1000)-('Appendix K'!$E$49+'Appendix K'!$F$49+'Appendix K'!$H$49+'Appendix K'!$G$49))/((1+$Y$16)^AQ$34))</f>
        <v>1263386.3652054211</v>
      </c>
      <c r="AR431" s="193">
        <f>(((U431*'Appendix K'!$C$24*1000)-('Appendix K'!$E$50+'Appendix K'!$F$50+'Appendix K'!$H$50+'Appendix K'!$G$50))/((1+$Y$16)^AR$34))</f>
        <v>618232.23033737787</v>
      </c>
      <c r="AS431" s="209">
        <f t="shared" si="28"/>
        <v>121442997.17788383</v>
      </c>
      <c r="AU431" s="199">
        <f t="shared" si="27"/>
        <v>5.8855990712483444E-9</v>
      </c>
    </row>
    <row r="432" spans="1:47" x14ac:dyDescent="0.35">
      <c r="A432">
        <v>398</v>
      </c>
      <c r="B432" s="70">
        <v>56</v>
      </c>
      <c r="C432" s="70">
        <v>52.442858558807451</v>
      </c>
      <c r="D432" s="70">
        <v>55.671140225093772</v>
      </c>
      <c r="E432" s="70">
        <v>75.667114826072307</v>
      </c>
      <c r="F432" s="70">
        <v>84.61366959312636</v>
      </c>
      <c r="G432" s="70">
        <v>71.364136804771164</v>
      </c>
      <c r="H432" s="70">
        <v>114.39208137091646</v>
      </c>
      <c r="I432" s="70">
        <v>91.611989458690772</v>
      </c>
      <c r="J432" s="70">
        <v>112.1537135476535</v>
      </c>
      <c r="K432" s="70">
        <v>68.329413882307989</v>
      </c>
      <c r="L432" s="70">
        <v>45.952552294962345</v>
      </c>
      <c r="M432" s="70">
        <v>46.162418482264549</v>
      </c>
      <c r="N432" s="70">
        <v>63.685479944809003</v>
      </c>
      <c r="O432" s="70">
        <v>71.8237159623812</v>
      </c>
      <c r="P432" s="70">
        <v>94.144120526146622</v>
      </c>
      <c r="Q432" s="70">
        <v>120.0367648228533</v>
      </c>
      <c r="R432" s="70">
        <v>154.49201466477791</v>
      </c>
      <c r="S432" s="70">
        <v>143.9778494707148</v>
      </c>
      <c r="T432" s="70">
        <v>139.23441144644869</v>
      </c>
      <c r="U432" s="70">
        <v>163.36107651211199</v>
      </c>
      <c r="V432" s="70">
        <v>215.56695708673504</v>
      </c>
      <c r="X432" s="193">
        <f>((0-('Appendix K'!$I$30))/(1+$Y$16)^0)</f>
        <v>-33594902.4440751</v>
      </c>
      <c r="Y432" s="193">
        <f>(((B432*'Appendix K'!$C$5*1000)-('Appendix K'!$E$31+'Appendix K'!$F$31+'Appendix K'!$H$31+'Appendix K'!$G$31))/((1+$Y$16)^1))</f>
        <v>34971064.972647354</v>
      </c>
      <c r="Z432" s="193">
        <f>+(((C432*'Appendix K'!$C$6*1000)-('Appendix K'!$E$32+'Appendix K'!$F$32+'Appendix K'!$H$32+'Appendix K'!$G$32))/((1+$Y$16)^2))</f>
        <v>9760715.3387857508</v>
      </c>
      <c r="AA432" s="193">
        <f>(((D432*'Appendix K'!$C$7*1000)-('Appendix K'!$E$33+'Appendix K'!$F$33+'Appendix K'!$H$33+'Appendix K'!$G$33))/((1+$Y$16)^3))</f>
        <v>4126206.3173002065</v>
      </c>
      <c r="AB432" s="193">
        <f>(((E432*'Appendix K'!$C$8*1000)-('Appendix K'!$E$34+'Appendix K'!$F$34+'Appendix K'!$H$34+'Appendix K'!$G$34))/((1+$Y$16)^4))</f>
        <v>13292331.015253616</v>
      </c>
      <c r="AC432" s="193">
        <f>(((F432*'Appendix K'!$C$9*1000)-('Appendix K'!$E$35+'Appendix K'!$F$35+'Appendix K'!$H$35+'Appendix K'!$G$35))/((1+$Y$16)^AC$34))</f>
        <v>19505951.99138952</v>
      </c>
      <c r="AD432" s="193">
        <f>(((G432*'Appendix K'!$C$10*1000)-('Appendix K'!$E$36+'Appendix K'!$F$36+'Appendix K'!$H$36+'Appendix K'!$G$36))/((1+$Y$16)^AD$34))</f>
        <v>8691543.0625814274</v>
      </c>
      <c r="AE432" s="193">
        <f>(((H432*'Appendix K'!$C$11*1000)-('Appendix K'!$E$37+'Appendix K'!$F$37+'Appendix K'!$H$37+'Appendix K'!$G$37))/((1+$Y$16)^AE$34))</f>
        <v>9189253.9882148877</v>
      </c>
      <c r="AF432" s="193">
        <f>(((I432*'Appendix K'!$C$12*1000)-('Appendix K'!$E$38+'Appendix K'!$F$38+'Appendix K'!$H$38+'Appendix K'!$G$38))/((1+$Y$16)^AF$34))</f>
        <v>4018886.5630874601</v>
      </c>
      <c r="AG432" s="193">
        <f>(((J432*'Appendix K'!$C$13*1000)-('Appendix K'!$E$39+'Appendix K'!$F$39+'Appendix K'!$H$39+'Appendix K'!$G$39))/((1+$Y$16)^AG$34))</f>
        <v>3346250.309302167</v>
      </c>
      <c r="AH432" s="193">
        <f>(((K432*'Appendix K'!$C$14*1000)-('Appendix K'!$E$40+'Appendix K'!$F$40+'Appendix K'!$H$40+'Appendix K'!$G$40))/((1+$Y$16)^AH$34))</f>
        <v>670406.06119669368</v>
      </c>
      <c r="AI432" s="193">
        <f>(((L432*'Appendix K'!$C$15*1000)-('Appendix K'!$E$41+'Appendix K'!$F$41+'Appendix K'!$H$41+'Appendix K'!$G$41))/((1+$Y$16)^AI$34))</f>
        <v>-312438.5465088567</v>
      </c>
      <c r="AJ432" s="193">
        <f>(((M432*'Appendix K'!$C$16*1000)-('Appendix K'!$E$42+'Appendix K'!$F$42+'Appendix K'!$H$42+'Appendix K'!$G$42))/((1+$Y$16)^AJ$34))</f>
        <v>-456369.90810598532</v>
      </c>
      <c r="AK432" s="193">
        <f>(((N432*'Appendix K'!$C$17*1000)-('Appendix K'!$E$43+'Appendix K'!$F$43+'Appendix K'!$H$43))/((1+$Y$16)^AK$34))</f>
        <v>-25801.432652811254</v>
      </c>
      <c r="AL432" s="193">
        <f>(((O432*'Appendix K'!$C$18*1000)-('Appendix K'!$E$44+'Appendix K'!$F$44+'Appendix K'!$H$44+'Appendix K'!$G$44))/((1+$Y$16)^AL$34))</f>
        <v>-283241.48608696979</v>
      </c>
      <c r="AM432" s="193">
        <f>(((P432*'Appendix K'!$C$19*1000)-('Appendix K'!$E$45+'Appendix K'!$F$45+'Appendix K'!$H$45+'Appendix K'!$G$45))/((1+$Y$16)^AM$34))</f>
        <v>-154169.33913700204</v>
      </c>
      <c r="AN432" s="193">
        <f>(((Q432*'Appendix K'!$C$20*1000)-('Appendix K'!$E$46+'Appendix K'!$F$46+'Appendix K'!$H$46+'Appendix K'!$G$46))/((1+$Y$16)^AN$34))</f>
        <v>-47096.77372652218</v>
      </c>
      <c r="AO432" s="193">
        <f>(((R432*'Appendix K'!$C$21*1000)-('Appendix K'!$E$47+'Appendix K'!$F$47+'Appendix K'!$H$47+'Appendix K'!$G$47))/((1+$Y$16)^AO$34))</f>
        <v>70065.949571830264</v>
      </c>
      <c r="AP432" s="193">
        <f>(((S432*'Appendix K'!$C$22*1000)-('Appendix K'!$E$48+'Appendix K'!$F$48+'Appendix K'!$H$48+'Appendix K'!$G$48))/((1+$Y$16)^AP$34))</f>
        <v>-74839.742433009509</v>
      </c>
      <c r="AQ432" s="193">
        <f>(((T432*'Appendix K'!$C$23*1000)-('Appendix K'!$E$49+'Appendix K'!$F$49+'Appendix K'!$H$49+'Appendix K'!$G$49))/((1+$Y$16)^AQ$34))</f>
        <v>-148557.79003387256</v>
      </c>
      <c r="AR432" s="193">
        <f>(((U432*'Appendix K'!$C$24*1000)-('Appendix K'!$E$50+'Appendix K'!$F$50+'Appendix K'!$H$50+'Appendix K'!$G$50))/((1+$Y$16)^AR$34))</f>
        <v>-103261.62574840744</v>
      </c>
      <c r="AS432" s="209">
        <f t="shared" si="28"/>
        <v>74047773.125255823</v>
      </c>
      <c r="AU432" s="199">
        <f t="shared" si="27"/>
        <v>6.8315778602081373E-9</v>
      </c>
    </row>
    <row r="433" spans="1:47" x14ac:dyDescent="0.35">
      <c r="A433">
        <v>399</v>
      </c>
      <c r="B433" s="70">
        <v>56</v>
      </c>
      <c r="C433" s="70">
        <v>86.805907351766066</v>
      </c>
      <c r="D433" s="70">
        <v>121.65058851774332</v>
      </c>
      <c r="E433" s="70">
        <v>162.32026292593989</v>
      </c>
      <c r="F433" s="70">
        <v>259.45552416592153</v>
      </c>
      <c r="G433" s="70">
        <v>283.45431482337744</v>
      </c>
      <c r="H433" s="70">
        <v>412.16568584647274</v>
      </c>
      <c r="I433" s="70">
        <v>425.66511447590028</v>
      </c>
      <c r="J433" s="70">
        <v>500</v>
      </c>
      <c r="K433" s="70">
        <v>500</v>
      </c>
      <c r="L433" s="70">
        <v>497.34382615186786</v>
      </c>
      <c r="M433" s="70">
        <v>308.96815278416818</v>
      </c>
      <c r="N433" s="70">
        <v>435.74837868195931</v>
      </c>
      <c r="O433" s="70">
        <v>402.69674176144997</v>
      </c>
      <c r="P433" s="70">
        <v>500</v>
      </c>
      <c r="Q433" s="70">
        <v>253.91147393102409</v>
      </c>
      <c r="R433" s="70">
        <v>216.1984115206738</v>
      </c>
      <c r="S433" s="70">
        <v>230.10013444825259</v>
      </c>
      <c r="T433" s="70">
        <v>186.50840848904446</v>
      </c>
      <c r="U433" s="70">
        <v>196.57355290478336</v>
      </c>
      <c r="V433" s="70">
        <v>51.309616989047157</v>
      </c>
      <c r="X433" s="193">
        <f>((0-('Appendix K'!$I$30))/(1+$Y$16)^0)</f>
        <v>-33594902.4440751</v>
      </c>
      <c r="Y433" s="193">
        <f>(((B433*'Appendix K'!$C$5*1000)-('Appendix K'!$E$31+'Appendix K'!$F$31+'Appendix K'!$H$31+'Appendix K'!$G$31))/((1+$Y$16)^1))</f>
        <v>34971064.972647354</v>
      </c>
      <c r="Z433" s="193">
        <f>+(((C433*'Appendix K'!$C$6*1000)-('Appendix K'!$E$32+'Appendix K'!$F$32+'Appendix K'!$H$32+'Appendix K'!$G$32))/((1+$Y$16)^2))</f>
        <v>18441409.179374568</v>
      </c>
      <c r="AA433" s="193">
        <f>(((D433*'Appendix K'!$C$7*1000)-('Appendix K'!$E$33+'Appendix K'!$F$33+'Appendix K'!$H$33+'Appendix K'!$G$33))/((1+$Y$16)^3))</f>
        <v>12530330.121858319</v>
      </c>
      <c r="AB433" s="193">
        <f>(((E433*'Appendix K'!$C$8*1000)-('Appendix K'!$E$34+'Appendix K'!$F$34+'Appendix K'!$H$34+'Appendix K'!$G$34))/((1+$Y$16)^4))</f>
        <v>32285907.845522709</v>
      </c>
      <c r="AC433" s="193">
        <f>(((F433*'Appendix K'!$C$9*1000)-('Appendix K'!$E$35+'Appendix K'!$F$35+'Appendix K'!$H$35+'Appendix K'!$G$35))/((1+$Y$16)^AC$34))</f>
        <v>65978642.385858625</v>
      </c>
      <c r="AD433" s="193">
        <f>(((G433*'Appendix K'!$C$10*1000)-('Appendix K'!$E$36+'Appendix K'!$F$36+'Appendix K'!$H$36+'Appendix K'!$G$36))/((1+$Y$16)^AD$34))</f>
        <v>41999022.696422718</v>
      </c>
      <c r="AE433" s="193">
        <f>(((H433*'Appendix K'!$C$11*1000)-('Appendix K'!$E$37+'Appendix K'!$F$37+'Appendix K'!$H$37+'Appendix K'!$G$37))/((1+$Y$16)^AE$34))</f>
        <v>38888487.228699654</v>
      </c>
      <c r="AF433" s="193">
        <f>(((I433*'Appendix K'!$C$12*1000)-('Appendix K'!$E$38+'Appendix K'!$F$38+'Appendix K'!$H$38+'Appendix K'!$G$38))/((1+$Y$16)^AF$34))</f>
        <v>25953625.511692785</v>
      </c>
      <c r="AG433" s="193">
        <f>(((J433*'Appendix K'!$C$13*1000)-('Appendix K'!$E$39+'Appendix K'!$F$39+'Appendix K'!$H$39+'Appendix K'!$G$39))/((1+$Y$16)^AG$34))</f>
        <v>21194522.409894329</v>
      </c>
      <c r="AH433" s="193">
        <f>(((K433*'Appendix K'!$C$14*1000)-('Appendix K'!$E$40+'Appendix K'!$F$40+'Appendix K'!$H$40+'Appendix K'!$G$40))/((1+$Y$16)^AH$34))</f>
        <v>15220522.22201786</v>
      </c>
      <c r="AI433" s="193">
        <f>(((L433*'Appendix K'!$C$15*1000)-('Appendix K'!$E$41+'Appendix K'!$F$41+'Appendix K'!$H$41+'Appendix K'!$G$41))/((1+$Y$16)^AI$34))</f>
        <v>11514856.934363265</v>
      </c>
      <c r="AJ433" s="193">
        <f>(((M433*'Appendix K'!$C$16*1000)-('Appendix K'!$E$42+'Appendix K'!$F$42+'Appendix K'!$H$42+'Appendix K'!$G$42))/((1+$Y$16)^AJ$34))</f>
        <v>4810747.6598146735</v>
      </c>
      <c r="AK433" s="193">
        <f>(((N433*'Appendix K'!$C$17*1000)-('Appendix K'!$E$43+'Appendix K'!$F$43+'Appendix K'!$H$43))/((1+$Y$16)^AK$34))</f>
        <v>5690534.7931913976</v>
      </c>
      <c r="AL433" s="193">
        <f>(((O433*'Appendix K'!$C$18*1000)-('Appendix K'!$E$44+'Appendix K'!$F$44+'Appendix K'!$H$44+'Appendix K'!$G$44))/((1+$Y$16)^AL$34))</f>
        <v>3638693.8488006829</v>
      </c>
      <c r="AM433" s="193">
        <f>(((P433*'Appendix K'!$C$19*1000)-('Appendix K'!$E$45+'Appendix K'!$F$45+'Appendix K'!$H$45+'Appendix K'!$G$45))/((1+$Y$16)^AM$34))</f>
        <v>3607599.9540230581</v>
      </c>
      <c r="AN433" s="193">
        <f>(((Q433*'Appendix K'!$C$20*1000)-('Appendix K'!$E$46+'Appendix K'!$F$46+'Appendix K'!$H$46+'Appendix K'!$G$46))/((1+$Y$16)^AN$34))</f>
        <v>921649.65758433996</v>
      </c>
      <c r="AO433" s="193">
        <f>(((R433*'Appendix K'!$C$21*1000)-('Appendix K'!$E$47+'Appendix K'!$F$47+'Appendix K'!$H$47+'Appendix K'!$G$47))/((1+$Y$16)^AO$34))</f>
        <v>434757.5723153826</v>
      </c>
      <c r="AP433" s="193">
        <f>(((S433*'Appendix K'!$C$22*1000)-('Appendix K'!$E$48+'Appendix K'!$F$48+'Appendix K'!$H$48+'Appendix K'!$G$48))/((1+$Y$16)^AP$34))</f>
        <v>337661.83167398814</v>
      </c>
      <c r="AQ433" s="193">
        <f>(((T433*'Appendix K'!$C$23*1000)-('Appendix K'!$E$49+'Appendix K'!$F$49+'Appendix K'!$H$49+'Appendix K'!$G$49))/((1+$Y$16)^AQ$34))</f>
        <v>36460.531937222891</v>
      </c>
      <c r="AR433" s="193">
        <f>(((U433*'Appendix K'!$C$24*1000)-('Appendix K'!$E$50+'Appendix K'!$F$50+'Appendix K'!$H$50+'Appendix K'!$G$50))/((1+$Y$16)^AR$34))</f>
        <v>3683.4788116732066</v>
      </c>
      <c r="AS433" s="209">
        <f t="shared" si="28"/>
        <v>304865278.39242953</v>
      </c>
      <c r="AU433" s="199">
        <f t="shared" si="27"/>
        <v>4.6218020183391749E-12</v>
      </c>
    </row>
    <row r="434" spans="1:47" x14ac:dyDescent="0.35">
      <c r="A434">
        <v>400</v>
      </c>
      <c r="B434" s="70">
        <v>56</v>
      </c>
      <c r="C434" s="70">
        <v>39.198527460073741</v>
      </c>
      <c r="D434" s="70">
        <v>50.500808908167471</v>
      </c>
      <c r="E434" s="70">
        <v>44.606429530027526</v>
      </c>
      <c r="F434" s="70">
        <v>47.34866038569254</v>
      </c>
      <c r="G434" s="70">
        <v>48.158179981572886</v>
      </c>
      <c r="H434" s="70">
        <v>57.899811525232344</v>
      </c>
      <c r="I434" s="70">
        <v>71.490644107993887</v>
      </c>
      <c r="J434" s="70">
        <v>81.99370631932824</v>
      </c>
      <c r="K434" s="70">
        <v>131.96891891472492</v>
      </c>
      <c r="L434" s="70">
        <v>134.14129390168716</v>
      </c>
      <c r="M434" s="70">
        <v>163.5974352143877</v>
      </c>
      <c r="N434" s="70">
        <v>253.0532094364319</v>
      </c>
      <c r="O434" s="70">
        <v>250.84557004860019</v>
      </c>
      <c r="P434" s="70">
        <v>300.7893677760257</v>
      </c>
      <c r="Q434" s="70">
        <v>390.66704495735524</v>
      </c>
      <c r="R434" s="70">
        <v>426.02411990923105</v>
      </c>
      <c r="S434" s="70">
        <v>384.49289295747815</v>
      </c>
      <c r="T434" s="70">
        <v>484.46806149945002</v>
      </c>
      <c r="U434" s="70">
        <v>500</v>
      </c>
      <c r="V434" s="70">
        <v>500</v>
      </c>
      <c r="X434" s="193">
        <f>((0-('Appendix K'!$I$30))/(1+$Y$16)^0)</f>
        <v>-33594902.4440751</v>
      </c>
      <c r="Y434" s="193">
        <f>(((B434*'Appendix K'!$C$5*1000)-('Appendix K'!$E$31+'Appendix K'!$F$31+'Appendix K'!$H$31+'Appendix K'!$G$31))/((1+$Y$16)^1))</f>
        <v>34971064.972647354</v>
      </c>
      <c r="Z434" s="193">
        <f>+(((C434*'Appendix K'!$C$6*1000)-('Appendix K'!$E$32+'Appendix K'!$F$32+'Appendix K'!$H$32+'Appendix K'!$G$32))/((1+$Y$16)^2))</f>
        <v>6414970.7838073997</v>
      </c>
      <c r="AA434" s="193">
        <f>(((D434*'Appendix K'!$C$7*1000)-('Appendix K'!$E$33+'Appendix K'!$F$33+'Appendix K'!$H$33+'Appendix K'!$G$33))/((1+$Y$16)^3))</f>
        <v>3467636.02575575</v>
      </c>
      <c r="AB434" s="193">
        <f>(((E434*'Appendix K'!$C$8*1000)-('Appendix K'!$E$34+'Appendix K'!$F$34+'Appendix K'!$H$34+'Appendix K'!$G$34))/((1+$Y$16)^4))</f>
        <v>6484113.1315673152</v>
      </c>
      <c r="AC434" s="193">
        <f>(((F434*'Appendix K'!$C$9*1000)-('Appendix K'!$E$35+'Appendix K'!$F$35+'Appendix K'!$H$35+'Appendix K'!$G$35))/((1+$Y$16)^AC$34))</f>
        <v>9600971.0606188681</v>
      </c>
      <c r="AD434" s="193">
        <f>(((G434*'Appendix K'!$C$10*1000)-('Appendix K'!$E$36+'Appendix K'!$F$36+'Appendix K'!$H$36+'Appendix K'!$G$36))/((1+$Y$16)^AD$34))</f>
        <v>5047187.9043493029</v>
      </c>
      <c r="AE434" s="193">
        <f>(((H434*'Appendix K'!$C$11*1000)-('Appendix K'!$E$37+'Appendix K'!$F$37+'Appendix K'!$H$37+'Appendix K'!$G$37))/((1+$Y$16)^AE$34))</f>
        <v>3554848.9462155979</v>
      </c>
      <c r="AF434" s="193">
        <f>(((I434*'Appendix K'!$C$12*1000)-('Appendix K'!$E$38+'Appendix K'!$F$38+'Appendix K'!$H$38+'Appendix K'!$G$38))/((1+$Y$16)^AF$34))</f>
        <v>2697670.1920700301</v>
      </c>
      <c r="AG434" s="193">
        <f>(((J434*'Appendix K'!$C$13*1000)-('Appendix K'!$E$39+'Appendix K'!$F$39+'Appendix K'!$H$39+'Appendix K'!$G$39))/((1+$Y$16)^AG$34))</f>
        <v>1958318.9705986956</v>
      </c>
      <c r="AH434" s="193">
        <f>(((K434*'Appendix K'!$C$14*1000)-('Appendix K'!$E$40+'Appendix K'!$F$40+'Appendix K'!$H$40+'Appendix K'!$G$40))/((1+$Y$16)^AH$34))</f>
        <v>2815472.7403203258</v>
      </c>
      <c r="AI434" s="193">
        <f>(((L434*'Appendix K'!$C$15*1000)-('Appendix K'!$E$41+'Appendix K'!$F$41+'Appendix K'!$H$41+'Appendix K'!$G$41))/((1+$Y$16)^AI$34))</f>
        <v>1998271.3973427955</v>
      </c>
      <c r="AJ434" s="193">
        <f>(((M434*'Appendix K'!$C$16*1000)-('Appendix K'!$E$42+'Appendix K'!$F$42+'Appendix K'!$H$42+'Appendix K'!$G$42))/((1+$Y$16)^AJ$34))</f>
        <v>1897247.075792307</v>
      </c>
      <c r="AK434" s="193">
        <f>(((N434*'Appendix K'!$C$17*1000)-('Appendix K'!$E$43+'Appendix K'!$F$43+'Appendix K'!$H$43))/((1+$Y$16)^AK$34))</f>
        <v>2883624.9459863892</v>
      </c>
      <c r="AL434" s="193">
        <f>(((O434*'Appendix K'!$C$18*1000)-('Appendix K'!$E$44+'Appendix K'!$F$44+'Appendix K'!$H$44+'Appendix K'!$G$44))/((1+$Y$16)^AL$34))</f>
        <v>1838757.2279581565</v>
      </c>
      <c r="AM434" s="193">
        <f>(((P434*'Appendix K'!$C$19*1000)-('Appendix K'!$E$45+'Appendix K'!$F$45+'Appendix K'!$H$45+'Appendix K'!$G$45))/((1+$Y$16)^AM$34))</f>
        <v>1761170.0337699836</v>
      </c>
      <c r="AN434" s="193">
        <f>(((Q434*'Appendix K'!$C$20*1000)-('Appendix K'!$E$46+'Appendix K'!$F$46+'Appendix K'!$H$46+'Appendix K'!$G$46))/((1+$Y$16)^AN$34))</f>
        <v>1911242.6305677018</v>
      </c>
      <c r="AO434" s="193">
        <f>(((R434*'Appendix K'!$C$21*1000)-('Appendix K'!$E$47+'Appendix K'!$F$47+'Appendix K'!$H$47+'Appendix K'!$G$47))/((1+$Y$16)^AO$34))</f>
        <v>1674850.6904444615</v>
      </c>
      <c r="AP434" s="193">
        <f>(((S434*'Appendix K'!$C$22*1000)-('Appendix K'!$E$48+'Appendix K'!$F$48+'Appendix K'!$H$48+'Appendix K'!$G$48))/((1+$Y$16)^AP$34))</f>
        <v>1077159.8133216863</v>
      </c>
      <c r="AQ434" s="193">
        <f>(((T434*'Appendix K'!$C$23*1000)-('Appendix K'!$E$49+'Appendix K'!$F$49+'Appendix K'!$H$49+'Appendix K'!$G$49))/((1+$Y$16)^AQ$34))</f>
        <v>1202598.3341925004</v>
      </c>
      <c r="AR434" s="193">
        <f>(((U434*'Appendix K'!$C$24*1000)-('Appendix K'!$E$50+'Appendix K'!$F$50+'Appendix K'!$H$50+'Appendix K'!$G$50))/((1+$Y$16)^AR$34))</f>
        <v>980725.14012097823</v>
      </c>
      <c r="AS434" s="209">
        <f t="shared" si="28"/>
        <v>60642999.573372506</v>
      </c>
      <c r="AU434" s="199">
        <f t="shared" si="27"/>
        <v>6.2788296433449091E-9</v>
      </c>
    </row>
    <row r="435" spans="1:47" x14ac:dyDescent="0.35">
      <c r="A435">
        <v>401</v>
      </c>
      <c r="B435" s="70">
        <v>56</v>
      </c>
      <c r="C435" s="70">
        <v>55.366595023121974</v>
      </c>
      <c r="D435" s="70">
        <v>57.759867424780708</v>
      </c>
      <c r="E435" s="70">
        <v>68.57567933347957</v>
      </c>
      <c r="F435" s="70">
        <v>102.30124542250265</v>
      </c>
      <c r="G435" s="70">
        <v>121.02912903885488</v>
      </c>
      <c r="H435" s="70">
        <v>141.55714823702536</v>
      </c>
      <c r="I435" s="70">
        <v>124.96570183868617</v>
      </c>
      <c r="J435" s="70">
        <v>160.9660280227296</v>
      </c>
      <c r="K435" s="70">
        <v>198.64176489411545</v>
      </c>
      <c r="L435" s="70">
        <v>227.02842129419355</v>
      </c>
      <c r="M435" s="70">
        <v>120.41378833216415</v>
      </c>
      <c r="N435" s="70">
        <v>119.96285241631685</v>
      </c>
      <c r="O435" s="70">
        <v>115.42539585657512</v>
      </c>
      <c r="P435" s="70">
        <v>119.71909967748888</v>
      </c>
      <c r="Q435" s="70">
        <v>150.41876526002341</v>
      </c>
      <c r="R435" s="70">
        <v>243.59043479499883</v>
      </c>
      <c r="S435" s="70">
        <v>219.84771308537833</v>
      </c>
      <c r="T435" s="70">
        <v>214.91014438412262</v>
      </c>
      <c r="U435" s="70">
        <v>206.15007747786038</v>
      </c>
      <c r="V435" s="70">
        <v>242.63775881150116</v>
      </c>
      <c r="X435" s="193">
        <f>((0-('Appendix K'!$I$30))/(1+$Y$16)^0)</f>
        <v>-33594902.4440751</v>
      </c>
      <c r="Y435" s="193">
        <f>(((B435*'Appendix K'!$C$5*1000)-('Appendix K'!$E$31+'Appendix K'!$F$31+'Appendix K'!$H$31+'Appendix K'!$G$31))/((1+$Y$16)^1))</f>
        <v>34971064.972647354</v>
      </c>
      <c r="Z435" s="193">
        <f>+(((C435*'Appendix K'!$C$6*1000)-('Appendix K'!$E$32+'Appendix K'!$F$32+'Appendix K'!$H$32+'Appendix K'!$G$32))/((1+$Y$16)^2))</f>
        <v>10499301.174699144</v>
      </c>
      <c r="AA435" s="193">
        <f>(((D435*'Appendix K'!$C$7*1000)-('Appendix K'!$E$33+'Appendix K'!$F$33+'Appendix K'!$H$33+'Appendix K'!$G$33))/((1+$Y$16)^3))</f>
        <v>4392257.6777519817</v>
      </c>
      <c r="AB435" s="193">
        <f>(((E435*'Appendix K'!$C$8*1000)-('Appendix K'!$E$34+'Appendix K'!$F$34+'Appendix K'!$H$34+'Appendix K'!$G$34))/((1+$Y$16)^4))</f>
        <v>11737953.271121051</v>
      </c>
      <c r="AC435" s="193">
        <f>(((F435*'Appendix K'!$C$9*1000)-('Appendix K'!$E$35+'Appendix K'!$F$35+'Appendix K'!$H$35+'Appendix K'!$G$35))/((1+$Y$16)^AC$34))</f>
        <v>24207281.872359559</v>
      </c>
      <c r="AD435" s="193">
        <f>(((G435*'Appendix K'!$C$10*1000)-('Appendix K'!$E$36+'Appendix K'!$F$36+'Appendix K'!$H$36+'Appendix K'!$G$36))/((1+$Y$16)^AD$34))</f>
        <v>16491129.695049183</v>
      </c>
      <c r="AE435" s="193">
        <f>(((H435*'Appendix K'!$C$11*1000)-('Appendix K'!$E$37+'Appendix K'!$F$37+'Appendix K'!$H$37+'Appendix K'!$G$37))/((1+$Y$16)^AE$34))</f>
        <v>11898633.344625102</v>
      </c>
      <c r="AF435" s="193">
        <f>(((I435*'Appendix K'!$C$12*1000)-('Appendix K'!$E$38+'Appendix K'!$F$38+'Appendix K'!$H$38+'Appendix K'!$G$38))/((1+$Y$16)^AF$34))</f>
        <v>6208972.2687199833</v>
      </c>
      <c r="AG435" s="193">
        <f>(((J435*'Appendix K'!$C$13*1000)-('Appendix K'!$E$39+'Appendix K'!$F$39+'Appendix K'!$H$39+'Appendix K'!$G$39))/((1+$Y$16)^AG$34))</f>
        <v>5592540.9173156982</v>
      </c>
      <c r="AH435" s="193">
        <f>(((K435*'Appendix K'!$C$14*1000)-('Appendix K'!$E$40+'Appendix K'!$F$40+'Appendix K'!$H$40+'Appendix K'!$G$40))/((1+$Y$16)^AH$34))</f>
        <v>5062782.8072336651</v>
      </c>
      <c r="AI435" s="193">
        <f>(((L435*'Appendix K'!$C$15*1000)-('Appendix K'!$E$41+'Appendix K'!$F$41+'Appendix K'!$H$41+'Appendix K'!$G$41))/((1+$Y$16)^AI$34))</f>
        <v>4432087.8348064264</v>
      </c>
      <c r="AJ435" s="193">
        <f>(((M435*'Appendix K'!$C$16*1000)-('Appendix K'!$E$42+'Appendix K'!$F$42+'Appendix K'!$H$42+'Appendix K'!$G$42))/((1+$Y$16)^AJ$34))</f>
        <v>1031766.1693561099</v>
      </c>
      <c r="AK435" s="193">
        <f>(((N435*'Appendix K'!$C$17*1000)-('Appendix K'!$E$43+'Appendix K'!$F$43+'Appendix K'!$H$43))/((1+$Y$16)^AK$34))</f>
        <v>838838.34746533015</v>
      </c>
      <c r="AL435" s="193">
        <f>(((O435*'Appendix K'!$C$18*1000)-('Appendix K'!$E$44+'Appendix K'!$F$44+'Appendix K'!$H$44+'Appendix K'!$G$44))/((1+$Y$16)^AL$34))</f>
        <v>233582.05558591851</v>
      </c>
      <c r="AM435" s="193">
        <f>(((P435*'Appendix K'!$C$19*1000)-('Appendix K'!$E$45+'Appendix K'!$F$45+'Appendix K'!$H$45+'Appendix K'!$G$45))/((1+$Y$16)^AM$34))</f>
        <v>82878.283209752786</v>
      </c>
      <c r="AN435" s="193">
        <f>(((Q435*'Appendix K'!$C$20*1000)-('Appendix K'!$E$46+'Appendix K'!$F$46+'Appendix K'!$H$46+'Appendix K'!$G$46))/((1+$Y$16)^AN$34))</f>
        <v>172753.97101580395</v>
      </c>
      <c r="AO435" s="193">
        <f>(((R435*'Appendix K'!$C$21*1000)-('Appendix K'!$E$47+'Appendix K'!$F$47+'Appendix K'!$H$47+'Appendix K'!$G$47))/((1+$Y$16)^AO$34))</f>
        <v>596647.45613847696</v>
      </c>
      <c r="AP435" s="193">
        <f>(((S435*'Appendix K'!$C$22*1000)-('Appendix K'!$E$48+'Appendix K'!$F$48+'Appendix K'!$H$48+'Appendix K'!$G$48))/((1+$Y$16)^AP$34))</f>
        <v>288555.61077312747</v>
      </c>
      <c r="AQ435" s="193">
        <f>(((T435*'Appendix K'!$C$23*1000)-('Appendix K'!$E$49+'Appendix K'!$F$49+'Appendix K'!$H$49+'Appendix K'!$G$49))/((1+$Y$16)^AQ$34))</f>
        <v>147617.6551996957</v>
      </c>
      <c r="AR435" s="193">
        <f>(((U435*'Appendix K'!$C$24*1000)-('Appendix K'!$E$50+'Appendix K'!$F$50+'Appendix K'!$H$50+'Appendix K'!$G$50))/((1+$Y$16)^AR$34))</f>
        <v>34520.156260268843</v>
      </c>
      <c r="AS435" s="209">
        <f t="shared" si="28"/>
        <v>105326263.09725854</v>
      </c>
      <c r="AU435" s="199">
        <f t="shared" si="27"/>
        <v>6.6956130640482606E-9</v>
      </c>
    </row>
    <row r="436" spans="1:47" x14ac:dyDescent="0.35">
      <c r="A436">
        <v>402</v>
      </c>
      <c r="B436" s="70">
        <v>56</v>
      </c>
      <c r="C436" s="70">
        <v>70.541234272217395</v>
      </c>
      <c r="D436" s="70">
        <v>85.04034517914171</v>
      </c>
      <c r="E436" s="70">
        <v>101.81916134353796</v>
      </c>
      <c r="F436" s="70">
        <v>150.28465350827767</v>
      </c>
      <c r="G436" s="70">
        <v>218.21486163799827</v>
      </c>
      <c r="H436" s="70">
        <v>275.50778841913291</v>
      </c>
      <c r="I436" s="70">
        <v>396.94430359187066</v>
      </c>
      <c r="J436" s="70">
        <v>484.87016809165488</v>
      </c>
      <c r="K436" s="70">
        <v>500</v>
      </c>
      <c r="L436" s="70">
        <v>500</v>
      </c>
      <c r="M436" s="70">
        <v>500</v>
      </c>
      <c r="N436" s="70">
        <v>500</v>
      </c>
      <c r="O436" s="70">
        <v>418.92012430606508</v>
      </c>
      <c r="P436" s="70">
        <v>447.19754259789522</v>
      </c>
      <c r="Q436" s="70">
        <v>386.17668684255676</v>
      </c>
      <c r="R436" s="70">
        <v>371.92787020890262</v>
      </c>
      <c r="S436" s="70">
        <v>473.48411503299633</v>
      </c>
      <c r="T436" s="70">
        <v>448.9282570899644</v>
      </c>
      <c r="U436" s="70">
        <v>416.09801538436608</v>
      </c>
      <c r="V436" s="70">
        <v>500</v>
      </c>
      <c r="X436" s="193">
        <f>((0-('Appendix K'!$I$30))/(1+$Y$16)^0)</f>
        <v>-33594902.4440751</v>
      </c>
      <c r="Y436" s="193">
        <f>(((B436*'Appendix K'!$C$5*1000)-('Appendix K'!$E$31+'Appendix K'!$F$31+'Appendix K'!$H$31+'Appendix K'!$G$31))/((1+$Y$16)^1))</f>
        <v>34971064.972647354</v>
      </c>
      <c r="Z436" s="193">
        <f>+(((C436*'Appendix K'!$C$6*1000)-('Appendix K'!$E$32+'Appendix K'!$F$32+'Appendix K'!$H$32+'Appendix K'!$G$32))/((1+$Y$16)^2))</f>
        <v>14332674.582758682</v>
      </c>
      <c r="AA436" s="193">
        <f>(((D436*'Appendix K'!$C$7*1000)-('Appendix K'!$E$33+'Appendix K'!$F$33+'Appendix K'!$H$33+'Appendix K'!$G$33))/((1+$Y$16)^3))</f>
        <v>7867105.0495916307</v>
      </c>
      <c r="AB436" s="193">
        <f>(((E436*'Appendix K'!$C$8*1000)-('Appendix K'!$E$34+'Appendix K'!$F$34+'Appendix K'!$H$34+'Appendix K'!$G$34))/((1+$Y$16)^4))</f>
        <v>19024620.21293845</v>
      </c>
      <c r="AC436" s="193">
        <f>(((F436*'Appendix K'!$C$9*1000)-('Appendix K'!$E$35+'Appendix K'!$F$35+'Appendix K'!$H$35+'Appendix K'!$G$35))/((1+$Y$16)^AC$34))</f>
        <v>36961196.394086763</v>
      </c>
      <c r="AD436" s="193">
        <f>(((G436*'Appendix K'!$C$10*1000)-('Appendix K'!$E$36+'Appendix K'!$F$36+'Appendix K'!$H$36+'Appendix K'!$G$36))/((1+$Y$16)^AD$34))</f>
        <v>31753561.173426922</v>
      </c>
      <c r="AE436" s="193">
        <f>(((H436*'Appendix K'!$C$11*1000)-('Appendix K'!$E$37+'Appendix K'!$F$37+'Appendix K'!$H$37+'Appendix K'!$G$37))/((1+$Y$16)^AE$34))</f>
        <v>25258552.57751745</v>
      </c>
      <c r="AF436" s="193">
        <f>(((I436*'Appendix K'!$C$12*1000)-('Appendix K'!$E$38+'Appendix K'!$F$38+'Appendix K'!$H$38+'Appendix K'!$G$38))/((1+$Y$16)^AF$34))</f>
        <v>24067747.362518169</v>
      </c>
      <c r="AG436" s="193">
        <f>(((J436*'Appendix K'!$C$13*1000)-('Appendix K'!$E$39+'Appendix K'!$F$39+'Appendix K'!$H$39+'Appendix K'!$G$39))/((1+$Y$16)^AG$34))</f>
        <v>20498263.695632938</v>
      </c>
      <c r="AH436" s="193">
        <f>(((K436*'Appendix K'!$C$14*1000)-('Appendix K'!$E$40+'Appendix K'!$F$40+'Appendix K'!$H$40+'Appendix K'!$G$40))/((1+$Y$16)^AH$34))</f>
        <v>15220522.22201786</v>
      </c>
      <c r="AI436" s="193">
        <f>(((L436*'Appendix K'!$C$15*1000)-('Appendix K'!$E$41+'Appendix K'!$F$41+'Appendix K'!$H$41+'Appendix K'!$G$41))/((1+$Y$16)^AI$34))</f>
        <v>11584453.656253781</v>
      </c>
      <c r="AJ436" s="193">
        <f>(((M436*'Appendix K'!$C$16*1000)-('Appendix K'!$E$42+'Appendix K'!$F$42+'Appendix K'!$H$42+'Appendix K'!$G$42))/((1+$Y$16)^AJ$34))</f>
        <v>8639382.5302660316</v>
      </c>
      <c r="AK436" s="193">
        <f>(((N436*'Appendix K'!$C$17*1000)-('Appendix K'!$E$43+'Appendix K'!$F$43+'Appendix K'!$H$43))/((1+$Y$16)^AK$34))</f>
        <v>6677690.1149291173</v>
      </c>
      <c r="AL436" s="193">
        <f>(((O436*'Appendix K'!$C$18*1000)-('Appendix K'!$E$44+'Appendix K'!$F$44+'Appendix K'!$H$44+'Appendix K'!$G$44))/((1+$Y$16)^AL$34))</f>
        <v>3830994.3758668108</v>
      </c>
      <c r="AM436" s="193">
        <f>(((P436*'Appendix K'!$C$19*1000)-('Appendix K'!$E$45+'Appendix K'!$F$45+'Appendix K'!$H$45+'Appendix K'!$G$45))/((1+$Y$16)^AM$34))</f>
        <v>3118188.1383900498</v>
      </c>
      <c r="AN436" s="193">
        <f>(((Q436*'Appendix K'!$C$20*1000)-('Appendix K'!$E$46+'Appendix K'!$F$46+'Appendix K'!$H$46+'Appendix K'!$G$46))/((1+$Y$16)^AN$34))</f>
        <v>1878749.4253312745</v>
      </c>
      <c r="AO436" s="193">
        <f>(((R436*'Appendix K'!$C$21*1000)-('Appendix K'!$E$47+'Appendix K'!$F$47+'Appendix K'!$H$47+'Appendix K'!$G$47))/((1+$Y$16)^AO$34))</f>
        <v>1355135.8781596767</v>
      </c>
      <c r="AP436" s="193">
        <f>(((S436*'Appendix K'!$C$22*1000)-('Appendix K'!$E$48+'Appendix K'!$F$48+'Appendix K'!$H$48+'Appendix K'!$G$48))/((1+$Y$16)^AP$34))</f>
        <v>1503402.7909369573</v>
      </c>
      <c r="AQ436" s="193">
        <f>(((T436*'Appendix K'!$C$23*1000)-('Appendix K'!$E$49+'Appendix K'!$F$49+'Appendix K'!$H$49+'Appendix K'!$G$49))/((1+$Y$16)^AQ$34))</f>
        <v>1063504.6381570422</v>
      </c>
      <c r="AR436" s="193">
        <f>(((U436*'Appendix K'!$C$24*1000)-('Appendix K'!$E$50+'Appendix K'!$F$50+'Appendix K'!$H$50+'Appendix K'!$G$50))/((1+$Y$16)^AR$34))</f>
        <v>710558.3988207964</v>
      </c>
      <c r="AS436" s="209">
        <f t="shared" si="28"/>
        <v>236722465.74617267</v>
      </c>
      <c r="AU436" s="199">
        <f t="shared" si="27"/>
        <v>2.2282826802580548E-10</v>
      </c>
    </row>
    <row r="437" spans="1:47" x14ac:dyDescent="0.35">
      <c r="A437">
        <v>403</v>
      </c>
      <c r="B437" s="70">
        <v>56</v>
      </c>
      <c r="C437" s="70">
        <v>70.257610675115643</v>
      </c>
      <c r="D437" s="70">
        <v>112.84763450628884</v>
      </c>
      <c r="E437" s="70">
        <v>98.882695875731628</v>
      </c>
      <c r="F437" s="70">
        <v>43.844986797430941</v>
      </c>
      <c r="G437" s="70">
        <v>53.328675823209331</v>
      </c>
      <c r="H437" s="70">
        <v>86.239766972419545</v>
      </c>
      <c r="I437" s="70">
        <v>147.57769357275328</v>
      </c>
      <c r="J437" s="70">
        <v>154.35772309944764</v>
      </c>
      <c r="K437" s="70">
        <v>170.68762742542054</v>
      </c>
      <c r="L437" s="70">
        <v>130.91207260219031</v>
      </c>
      <c r="M437" s="70">
        <v>207.38412738038269</v>
      </c>
      <c r="N437" s="70">
        <v>290.99100977653808</v>
      </c>
      <c r="O437" s="70">
        <v>377.56043525682446</v>
      </c>
      <c r="P437" s="70">
        <v>499.16108567935976</v>
      </c>
      <c r="Q437" s="70">
        <v>500</v>
      </c>
      <c r="R437" s="70">
        <v>500</v>
      </c>
      <c r="S437" s="70">
        <v>500</v>
      </c>
      <c r="T437" s="70">
        <v>447.1257472019189</v>
      </c>
      <c r="U437" s="70">
        <v>453.48405108872282</v>
      </c>
      <c r="V437" s="70">
        <v>462.23373393985975</v>
      </c>
      <c r="X437" s="193">
        <f>((0-('Appendix K'!$I$30))/(1+$Y$16)^0)</f>
        <v>-33594902.4440751</v>
      </c>
      <c r="Y437" s="193">
        <f>(((B437*'Appendix K'!$C$5*1000)-('Appendix K'!$E$31+'Appendix K'!$F$31+'Appendix K'!$H$31+'Appendix K'!$G$31))/((1+$Y$16)^1))</f>
        <v>34971064.972647354</v>
      </c>
      <c r="Z437" s="193">
        <f>+(((C437*'Appendix K'!$C$6*1000)-('Appendix K'!$E$32+'Appendix K'!$F$32+'Appendix K'!$H$32+'Appendix K'!$G$32))/((1+$Y$16)^2))</f>
        <v>14261026.411281204</v>
      </c>
      <c r="AA437" s="193">
        <f>(((D437*'Appendix K'!$C$7*1000)-('Appendix K'!$E$33+'Appendix K'!$F$33+'Appendix K'!$H$33+'Appendix K'!$G$33))/((1+$Y$16)^3))</f>
        <v>11409054.978271879</v>
      </c>
      <c r="AB437" s="193">
        <f>(((E437*'Appendix K'!$C$8*1000)-('Appendix K'!$E$34+'Appendix K'!$F$34+'Appendix K'!$H$34+'Appendix K'!$G$34))/((1+$Y$16)^4))</f>
        <v>18380973.863149378</v>
      </c>
      <c r="AC437" s="193">
        <f>(((F437*'Appendix K'!$C$9*1000)-('Appendix K'!$E$35+'Appendix K'!$F$35+'Appendix K'!$H$35+'Appendix K'!$G$35))/((1+$Y$16)^AC$34))</f>
        <v>8669700.1226137597</v>
      </c>
      <c r="AD437" s="193">
        <f>(((G437*'Appendix K'!$C$10*1000)-('Appendix K'!$E$36+'Appendix K'!$F$36+'Appendix K'!$H$36+'Appendix K'!$G$36))/((1+$Y$16)^AD$34))</f>
        <v>5859183.002618582</v>
      </c>
      <c r="AE437" s="193">
        <f>(((H437*'Appendix K'!$C$11*1000)-('Appendix K'!$E$37+'Appendix K'!$F$37+'Appendix K'!$H$37+'Appendix K'!$G$37))/((1+$Y$16)^AE$34))</f>
        <v>6381408.9038496222</v>
      </c>
      <c r="AF437" s="193">
        <f>(((I437*'Appendix K'!$C$12*1000)-('Appendix K'!$E$38+'Appendix K'!$F$38+'Appendix K'!$H$38+'Appendix K'!$G$38))/((1+$Y$16)^AF$34))</f>
        <v>7693730.5261655077</v>
      </c>
      <c r="AG437" s="193">
        <f>(((J437*'Appendix K'!$C$13*1000)-('Appendix K'!$E$39+'Appendix K'!$F$39+'Appendix K'!$H$39+'Appendix K'!$G$39))/((1+$Y$16)^AG$34))</f>
        <v>5288433.7787034241</v>
      </c>
      <c r="AH437" s="193">
        <f>(((K437*'Appendix K'!$C$14*1000)-('Appendix K'!$E$40+'Appendix K'!$F$40+'Appendix K'!$H$40+'Appendix K'!$G$40))/((1+$Y$16)^AH$34))</f>
        <v>4120545.9246998606</v>
      </c>
      <c r="AI437" s="193">
        <f>(((L437*'Appendix K'!$C$15*1000)-('Appendix K'!$E$41+'Appendix K'!$F$41+'Appendix K'!$H$41+'Appendix K'!$G$41))/((1+$Y$16)^AI$34))</f>
        <v>1913659.7606225365</v>
      </c>
      <c r="AJ437" s="193">
        <f>(((M437*'Appendix K'!$C$16*1000)-('Appendix K'!$E$42+'Appendix K'!$F$42+'Appendix K'!$H$42+'Appendix K'!$G$42))/((1+$Y$16)^AJ$34))</f>
        <v>2774814.1355875302</v>
      </c>
      <c r="AK437" s="193">
        <f>(((N437*'Appendix K'!$C$17*1000)-('Appendix K'!$E$43+'Appendix K'!$F$43+'Appendix K'!$H$43))/((1+$Y$16)^AK$34))</f>
        <v>3466497.4203692805</v>
      </c>
      <c r="AL437" s="193">
        <f>(((O437*'Appendix K'!$C$18*1000)-('Appendix K'!$E$44+'Appendix K'!$F$44+'Appendix K'!$H$44+'Appendix K'!$G$44))/((1+$Y$16)^AL$34))</f>
        <v>3340745.8113897271</v>
      </c>
      <c r="AM437" s="193">
        <f>(((P437*'Appendix K'!$C$19*1000)-('Appendix K'!$E$45+'Appendix K'!$F$45+'Appendix K'!$H$45+'Appendix K'!$G$45))/((1+$Y$16)^AM$34))</f>
        <v>3599824.2821883466</v>
      </c>
      <c r="AN437" s="193">
        <f>(((Q437*'Appendix K'!$C$20*1000)-('Appendix K'!$E$46+'Appendix K'!$F$46+'Appendix K'!$H$46+'Appendix K'!$G$46))/((1+$Y$16)^AN$34))</f>
        <v>2702399.606577659</v>
      </c>
      <c r="AO437" s="193">
        <f>(((R437*'Appendix K'!$C$21*1000)-('Appendix K'!$E$47+'Appendix K'!$F$47+'Appendix K'!$H$47+'Appendix K'!$G$47))/((1+$Y$16)^AO$34))</f>
        <v>2112056.3146391152</v>
      </c>
      <c r="AP437" s="193">
        <f>(((S437*'Appendix K'!$C$22*1000)-('Appendix K'!$E$48+'Appendix K'!$F$48+'Appendix K'!$H$48+'Appendix K'!$G$48))/((1+$Y$16)^AP$34))</f>
        <v>1630406.4380253027</v>
      </c>
      <c r="AQ437" s="193">
        <f>(((T437*'Appendix K'!$C$23*1000)-('Appendix K'!$E$49+'Appendix K'!$F$49+'Appendix K'!$H$49+'Appendix K'!$G$49))/((1+$Y$16)^AQ$34))</f>
        <v>1056450.075909598</v>
      </c>
      <c r="AR437" s="193">
        <f>(((U437*'Appendix K'!$C$24*1000)-('Appendix K'!$E$50+'Appendix K'!$F$50+'Appendix K'!$H$50+'Appendix K'!$G$50))/((1+$Y$16)^AR$34))</f>
        <v>830942.48130287218</v>
      </c>
      <c r="AS437" s="209">
        <f t="shared" si="28"/>
        <v>106868016.36653736</v>
      </c>
      <c r="AU437" s="199">
        <f t="shared" si="27"/>
        <v>6.6366418099917182E-9</v>
      </c>
    </row>
    <row r="438" spans="1:47" x14ac:dyDescent="0.35">
      <c r="A438">
        <v>404</v>
      </c>
      <c r="B438" s="70">
        <v>56</v>
      </c>
      <c r="C438" s="70">
        <v>58.091021915077626</v>
      </c>
      <c r="D438" s="70">
        <v>41.008592150972838</v>
      </c>
      <c r="E438" s="70">
        <v>33.192699542785114</v>
      </c>
      <c r="F438" s="70">
        <v>35.142032518659782</v>
      </c>
      <c r="G438" s="70">
        <v>32.882245517791375</v>
      </c>
      <c r="H438" s="70">
        <v>18.430959045720751</v>
      </c>
      <c r="I438" s="70">
        <v>10.783701135025055</v>
      </c>
      <c r="J438" s="70">
        <v>8.9560026365617347</v>
      </c>
      <c r="K438" s="70">
        <v>8.4057332732422214</v>
      </c>
      <c r="L438" s="70">
        <v>9.7179944352446892</v>
      </c>
      <c r="M438" s="70">
        <v>11.111666307264372</v>
      </c>
      <c r="N438" s="70">
        <v>10.887528056239672</v>
      </c>
      <c r="O438" s="70">
        <v>7.2626803486451088</v>
      </c>
      <c r="P438" s="70">
        <v>8.7624216336678824</v>
      </c>
      <c r="Q438" s="70">
        <v>8.6835976954195822</v>
      </c>
      <c r="R438" s="70">
        <v>7.6420397660593844</v>
      </c>
      <c r="S438" s="70">
        <v>6.9843949181259672</v>
      </c>
      <c r="T438" s="70">
        <v>6.6177812807747989</v>
      </c>
      <c r="U438" s="70">
        <v>7.4547879949988554</v>
      </c>
      <c r="V438" s="70">
        <v>10.210579666805373</v>
      </c>
      <c r="X438" s="193">
        <f>((0-('Appendix K'!$I$30))/(1+$Y$16)^0)</f>
        <v>-33594902.4440751</v>
      </c>
      <c r="Y438" s="193">
        <f>(((B438*'Appendix K'!$C$5*1000)-('Appendix K'!$E$31+'Appendix K'!$F$31+'Appendix K'!$H$31+'Appendix K'!$G$31))/((1+$Y$16)^1))</f>
        <v>34971064.972647354</v>
      </c>
      <c r="Z438" s="193">
        <f>+(((C438*'Appendix K'!$C$6*1000)-('Appendix K'!$E$32+'Appendix K'!$F$32+'Appendix K'!$H$32+'Appendix K'!$G$32))/((1+$Y$16)^2))</f>
        <v>11187538.003818339</v>
      </c>
      <c r="AA438" s="193">
        <f>(((D438*'Appendix K'!$C$7*1000)-('Appendix K'!$E$33+'Appendix K'!$F$33+'Appendix K'!$H$33+'Appendix K'!$G$33))/((1+$Y$16)^3))</f>
        <v>2258566.12790921</v>
      </c>
      <c r="AB438" s="193">
        <f>(((E438*'Appendix K'!$C$8*1000)-('Appendix K'!$E$34+'Appendix K'!$F$34+'Appendix K'!$H$34+'Appendix K'!$G$34))/((1+$Y$16)^4))</f>
        <v>3982328.0010053199</v>
      </c>
      <c r="AC438" s="193">
        <f>(((F438*'Appendix K'!$C$9*1000)-('Appendix K'!$E$35+'Appendix K'!$F$35+'Appendix K'!$H$35+'Appendix K'!$G$35))/((1+$Y$16)^AC$34))</f>
        <v>6356468.5414069807</v>
      </c>
      <c r="AD438" s="193">
        <f>(((G438*'Appendix K'!$C$10*1000)-('Appendix K'!$E$36+'Appendix K'!$F$36+'Appendix K'!$H$36+'Appendix K'!$G$36))/((1+$Y$16)^AD$34))</f>
        <v>2648194.7930527464</v>
      </c>
      <c r="AE438" s="193">
        <f>(((H438*'Appendix K'!$C$11*1000)-('Appendix K'!$E$37+'Appendix K'!$F$37+'Appendix K'!$H$37+'Appendix K'!$G$37))/((1+$Y$16)^AE$34))</f>
        <v>-381680.81298783619</v>
      </c>
      <c r="AF438" s="193">
        <f>(((I438*'Appendix K'!$C$12*1000)-('Appendix K'!$E$38+'Appendix K'!$F$38+'Appendix K'!$H$38+'Appendix K'!$G$38))/((1+$Y$16)^AF$34))</f>
        <v>-1288495.0216556077</v>
      </c>
      <c r="AG438" s="193">
        <f>(((J438*'Appendix K'!$C$13*1000)-('Appendix K'!$E$39+'Appendix K'!$F$39+'Appendix K'!$H$39+'Appendix K'!$G$39))/((1+$Y$16)^AG$34))</f>
        <v>-1402798.1896467151</v>
      </c>
      <c r="AH438" s="193">
        <f>(((K438*'Appendix K'!$C$14*1000)-('Appendix K'!$E$40+'Appendix K'!$F$40+'Appendix K'!$H$40+'Appendix K'!$G$40))/((1+$Y$16)^AH$34))</f>
        <v>-1349413.0825800779</v>
      </c>
      <c r="AI438" s="193">
        <f>(((L438*'Appendix K'!$C$15*1000)-('Appendix K'!$E$41+'Appendix K'!$F$41+'Appendix K'!$H$41+'Appendix K'!$G$41))/((1+$Y$16)^AI$34))</f>
        <v>-1261851.7213889139</v>
      </c>
      <c r="AJ438" s="193">
        <f>(((M438*'Appendix K'!$C$16*1000)-('Appendix K'!$E$42+'Appendix K'!$F$42+'Appendix K'!$H$42+'Appendix K'!$G$42))/((1+$Y$16)^AJ$34))</f>
        <v>-1158852.4206743552</v>
      </c>
      <c r="AK438" s="193">
        <f>(((N438*'Appendix K'!$C$17*1000)-('Appendix K'!$E$43+'Appendix K'!$F$43+'Appendix K'!$H$43))/((1+$Y$16)^AK$34))</f>
        <v>-836983.75170534221</v>
      </c>
      <c r="AL438" s="193">
        <f>(((O438*'Appendix K'!$C$18*1000)-('Appendix K'!$E$44+'Appendix K'!$F$44+'Appendix K'!$H$44+'Appendix K'!$G$44))/((1+$Y$16)^AL$34))</f>
        <v>-1048502.4384385725</v>
      </c>
      <c r="AM438" s="193">
        <f>(((P438*'Appendix K'!$C$19*1000)-('Appendix K'!$E$45+'Appendix K'!$F$45+'Appendix K'!$H$45+'Appendix K'!$G$45))/((1+$Y$16)^AM$34))</f>
        <v>-945549.40613996552</v>
      </c>
      <c r="AN438" s="193">
        <f>(((Q438*'Appendix K'!$C$20*1000)-('Appendix K'!$E$46+'Appendix K'!$F$46+'Appendix K'!$H$46+'Appendix K'!$G$46))/((1+$Y$16)^AN$34))</f>
        <v>-852872.44254759909</v>
      </c>
      <c r="AO438" s="193">
        <f>(((R438*'Appendix K'!$C$21*1000)-('Appendix K'!$E$47+'Appendix K'!$F$47+'Appendix K'!$H$47+'Appendix K'!$G$47))/((1+$Y$16)^AO$34))</f>
        <v>-797833.62607073167</v>
      </c>
      <c r="AP438" s="193">
        <f>(((S438*'Appendix K'!$C$22*1000)-('Appendix K'!$E$48+'Appendix K'!$F$48+'Appendix K'!$H$48+'Appendix K'!$G$48))/((1+$Y$16)^AP$34))</f>
        <v>-730999.94138775312</v>
      </c>
      <c r="AQ438" s="193">
        <f>(((T438*'Appendix K'!$C$23*1000)-('Appendix K'!$E$49+'Appendix K'!$F$49+'Appendix K'!$H$49+'Appendix K'!$G$49))/((1+$Y$16)^AQ$34))</f>
        <v>-667585.32977429219</v>
      </c>
      <c r="AR438" s="193">
        <f>(((U438*'Appendix K'!$C$24*1000)-('Appendix K'!$E$50+'Appendix K'!$F$50+'Appendix K'!$H$50+'Appendix K'!$G$50))/((1+$Y$16)^AR$34))</f>
        <v>-605284.24308975996</v>
      </c>
      <c r="AS438" s="209">
        <f t="shared" si="28"/>
        <v>27809257.995764859</v>
      </c>
      <c r="AU438" s="199">
        <f t="shared" si="27"/>
        <v>4.0342899353750577E-9</v>
      </c>
    </row>
    <row r="439" spans="1:47" x14ac:dyDescent="0.35">
      <c r="A439">
        <v>405</v>
      </c>
      <c r="B439" s="70">
        <v>56</v>
      </c>
      <c r="C439" s="70">
        <v>70.305151363105381</v>
      </c>
      <c r="D439" s="70">
        <v>82.761164412327446</v>
      </c>
      <c r="E439" s="70">
        <v>78.494227689584392</v>
      </c>
      <c r="F439" s="70">
        <v>65.938775683402142</v>
      </c>
      <c r="G439" s="70">
        <v>96.464651609224887</v>
      </c>
      <c r="H439" s="70">
        <v>117.7095456811239</v>
      </c>
      <c r="I439" s="70">
        <v>111.94300567126075</v>
      </c>
      <c r="J439" s="70">
        <v>55.641926272501628</v>
      </c>
      <c r="K439" s="70">
        <v>30.985144015412668</v>
      </c>
      <c r="L439" s="70">
        <v>39.676809753008776</v>
      </c>
      <c r="M439" s="70">
        <v>36.78313660162452</v>
      </c>
      <c r="N439" s="70">
        <v>53.984205854941195</v>
      </c>
      <c r="O439" s="70">
        <v>24.433216668230653</v>
      </c>
      <c r="P439" s="70">
        <v>30.073082529040192</v>
      </c>
      <c r="Q439" s="70">
        <v>31.195956219527211</v>
      </c>
      <c r="R439" s="70">
        <v>50.345567184546169</v>
      </c>
      <c r="S439" s="70">
        <v>59.84774196165607</v>
      </c>
      <c r="T439" s="70">
        <v>66.764002193834273</v>
      </c>
      <c r="U439" s="70">
        <v>84.459579522756627</v>
      </c>
      <c r="V439" s="70">
        <v>134.49558491228342</v>
      </c>
      <c r="X439" s="193">
        <f>((0-('Appendix K'!$I$30))/(1+$Y$16)^0)</f>
        <v>-33594902.4440751</v>
      </c>
      <c r="Y439" s="193">
        <f>(((B439*'Appendix K'!$C$5*1000)-('Appendix K'!$E$31+'Appendix K'!$F$31+'Appendix K'!$H$31+'Appendix K'!$G$31))/((1+$Y$16)^1))</f>
        <v>34971064.972647354</v>
      </c>
      <c r="Z439" s="193">
        <f>+(((C439*'Appendix K'!$C$6*1000)-('Appendix K'!$E$32+'Appendix K'!$F$32+'Appendix K'!$H$32+'Appendix K'!$G$32))/((1+$Y$16)^2))</f>
        <v>14273036.002161697</v>
      </c>
      <c r="AA439" s="193">
        <f>(((D439*'Appendix K'!$C$7*1000)-('Appendix K'!$E$33+'Appendix K'!$F$33+'Appendix K'!$H$33+'Appendix K'!$G$33))/((1+$Y$16)^3))</f>
        <v>7576794.6903367992</v>
      </c>
      <c r="AB439" s="193">
        <f>(((E439*'Appendix K'!$C$8*1000)-('Appendix K'!$E$34+'Appendix K'!$F$34+'Appendix K'!$H$34+'Appendix K'!$G$34))/((1+$Y$16)^4))</f>
        <v>13912008.275208132</v>
      </c>
      <c r="AC439" s="193">
        <f>(((F439*'Appendix K'!$C$9*1000)-('Appendix K'!$E$35+'Appendix K'!$F$35+'Appendix K'!$H$35+'Appendix K'!$G$35))/((1+$Y$16)^AC$34))</f>
        <v>14542194.515030608</v>
      </c>
      <c r="AD439" s="193">
        <f>(((G439*'Appendix K'!$C$10*1000)-('Appendix K'!$E$36+'Appendix K'!$F$36+'Appendix K'!$H$36+'Appendix K'!$G$36))/((1+$Y$16)^AD$34))</f>
        <v>12633427.092566684</v>
      </c>
      <c r="AE439" s="193">
        <f>(((H439*'Appendix K'!$C$11*1000)-('Appendix K'!$E$37+'Appendix K'!$F$37+'Appendix K'!$H$37+'Appendix K'!$G$37))/((1+$Y$16)^AE$34))</f>
        <v>9520130.0122646373</v>
      </c>
      <c r="AF439" s="193">
        <f>(((I439*'Appendix K'!$C$12*1000)-('Appendix K'!$E$38+'Appendix K'!$F$38+'Appendix K'!$H$38+'Appendix K'!$G$38))/((1+$Y$16)^AF$34))</f>
        <v>5353870.4317748444</v>
      </c>
      <c r="AG439" s="193">
        <f>(((J439*'Appendix K'!$C$13*1000)-('Appendix K'!$E$39+'Appendix K'!$F$39+'Appendix K'!$H$39+'Appendix K'!$G$39))/((1+$Y$16)^AG$34))</f>
        <v>745638.18174059433</v>
      </c>
      <c r="AH439" s="193">
        <f>(((K439*'Appendix K'!$C$14*1000)-('Appendix K'!$E$40+'Appendix K'!$F$40+'Appendix K'!$H$40+'Appendix K'!$G$40))/((1+$Y$16)^AH$34))</f>
        <v>-588339.57026089274</v>
      </c>
      <c r="AI439" s="193">
        <f>(((L439*'Appendix K'!$C$15*1000)-('Appendix K'!$E$41+'Appendix K'!$F$41+'Appendix K'!$H$41+'Appendix K'!$G$41))/((1+$Y$16)^AI$34))</f>
        <v>-476874.73680413986</v>
      </c>
      <c r="AJ439" s="193">
        <f>(((M439*'Appendix K'!$C$16*1000)-('Appendix K'!$E$42+'Appendix K'!$F$42+'Appendix K'!$H$42+'Appendix K'!$G$42))/((1+$Y$16)^AJ$34))</f>
        <v>-644348.22790644935</v>
      </c>
      <c r="AK439" s="193">
        <f>(((N439*'Appendix K'!$C$17*1000)-('Appendix K'!$E$43+'Appendix K'!$F$43+'Appendix K'!$H$43))/((1+$Y$16)^AK$34))</f>
        <v>-174850.81302635066</v>
      </c>
      <c r="AL439" s="193">
        <f>(((O439*'Appendix K'!$C$18*1000)-('Appendix K'!$E$44+'Appendix K'!$F$44+'Appendix K'!$H$44+'Appendix K'!$G$44))/((1+$Y$16)^AL$34))</f>
        <v>-844975.0189757077</v>
      </c>
      <c r="AM439" s="193">
        <f>(((P439*'Appendix K'!$C$19*1000)-('Appendix K'!$E$45+'Appendix K'!$F$45+'Appendix K'!$H$45+'Appendix K'!$G$45))/((1+$Y$16)^AM$34))</f>
        <v>-748026.60598468792</v>
      </c>
      <c r="AN439" s="193">
        <f>(((Q439*'Appendix K'!$C$20*1000)-('Appendix K'!$E$46+'Appendix K'!$F$46+'Appendix K'!$H$46+'Appendix K'!$G$46))/((1+$Y$16)^AN$34))</f>
        <v>-689968.1335417924</v>
      </c>
      <c r="AO439" s="193">
        <f>(((R439*'Appendix K'!$C$21*1000)-('Appendix K'!$E$47+'Appendix K'!$F$47+'Appendix K'!$H$47+'Appendix K'!$G$47))/((1+$Y$16)^AO$34))</f>
        <v>-545451.06114004727</v>
      </c>
      <c r="AP439" s="193">
        <f>(((S439*'Appendix K'!$C$22*1000)-('Appendix K'!$E$48+'Appendix K'!$F$48+'Appendix K'!$H$48+'Appendix K'!$G$48))/((1+$Y$16)^AP$34))</f>
        <v>-477799.3455871644</v>
      </c>
      <c r="AQ439" s="193">
        <f>(((T439*'Appendix K'!$C$23*1000)-('Appendix K'!$E$49+'Appendix K'!$F$49+'Appendix K'!$H$49+'Appendix K'!$G$49))/((1+$Y$16)^AQ$34))</f>
        <v>-432188.41894802626</v>
      </c>
      <c r="AR439" s="193">
        <f>(((U439*'Appendix K'!$C$24*1000)-('Appendix K'!$E$50+'Appendix K'!$F$50+'Appendix K'!$H$50+'Appendix K'!$G$50))/((1+$Y$16)^AR$34))</f>
        <v>-357326.65678401681</v>
      </c>
      <c r="AS439" s="209">
        <f t="shared" si="28"/>
        <v>79933261.729656249</v>
      </c>
      <c r="AU439" s="199">
        <f t="shared" si="27"/>
        <v>6.9655357037900657E-9</v>
      </c>
    </row>
    <row r="440" spans="1:47" x14ac:dyDescent="0.35">
      <c r="A440">
        <v>406</v>
      </c>
      <c r="B440" s="70">
        <v>56</v>
      </c>
      <c r="C440" s="70">
        <v>77.813744629178842</v>
      </c>
      <c r="D440" s="70">
        <v>58.837085244116423</v>
      </c>
      <c r="E440" s="70">
        <v>45.721527090251854</v>
      </c>
      <c r="F440" s="70">
        <v>55.453516534692845</v>
      </c>
      <c r="G440" s="70">
        <v>73.82121775919677</v>
      </c>
      <c r="H440" s="70">
        <v>98.863917247849272</v>
      </c>
      <c r="I440" s="70">
        <v>74.342889048322746</v>
      </c>
      <c r="J440" s="70">
        <v>79.591711850737155</v>
      </c>
      <c r="K440" s="70">
        <v>122.90503498340445</v>
      </c>
      <c r="L440" s="70">
        <v>136.32881631813319</v>
      </c>
      <c r="M440" s="70">
        <v>151.14071327480775</v>
      </c>
      <c r="N440" s="70">
        <v>228.35254189412501</v>
      </c>
      <c r="O440" s="70">
        <v>267.08182510207666</v>
      </c>
      <c r="P440" s="70">
        <v>275.50137513436641</v>
      </c>
      <c r="Q440" s="70">
        <v>290.99187674261083</v>
      </c>
      <c r="R440" s="70">
        <v>361.79216093008381</v>
      </c>
      <c r="S440" s="70">
        <v>240.51845025864247</v>
      </c>
      <c r="T440" s="70">
        <v>262.09752568720648</v>
      </c>
      <c r="U440" s="70">
        <v>264.92188945402148</v>
      </c>
      <c r="V440" s="70">
        <v>260.27146197684817</v>
      </c>
      <c r="X440" s="193">
        <f>((0-('Appendix K'!$I$30))/(1+$Y$16)^0)</f>
        <v>-33594902.4440751</v>
      </c>
      <c r="Y440" s="193">
        <f>(((B440*'Appendix K'!$C$5*1000)-('Appendix K'!$E$31+'Appendix K'!$F$31+'Appendix K'!$H$31+'Appendix K'!$G$31))/((1+$Y$16)^1))</f>
        <v>34971064.972647354</v>
      </c>
      <c r="Z440" s="193">
        <f>+(((C440*'Appendix K'!$C$6*1000)-('Appendix K'!$E$32+'Appendix K'!$F$32+'Appendix K'!$H$32+'Appendix K'!$G$32))/((1+$Y$16)^2))</f>
        <v>16169835.081574196</v>
      </c>
      <c r="AA440" s="193">
        <f>(((D440*'Appendix K'!$C$7*1000)-('Appendix K'!$E$33+'Appendix K'!$F$33+'Appendix K'!$H$33+'Appendix K'!$G$33))/((1+$Y$16)^3))</f>
        <v>4529468.1599921314</v>
      </c>
      <c r="AB440" s="193">
        <f>(((E440*'Appendix K'!$C$8*1000)-('Appendix K'!$E$34+'Appendix K'!$F$34+'Appendix K'!$H$34+'Appendix K'!$G$34))/((1+$Y$16)^4))</f>
        <v>6728532.3090328202</v>
      </c>
      <c r="AC440" s="193">
        <f>(((F440*'Appendix K'!$C$9*1000)-('Appendix K'!$E$35+'Appendix K'!$F$35+'Appendix K'!$H$35+'Appendix K'!$G$35))/((1+$Y$16)^AC$34))</f>
        <v>11755229.098115152</v>
      </c>
      <c r="AD440" s="193">
        <f>(((G440*'Appendix K'!$C$10*1000)-('Appendix K'!$E$36+'Appendix K'!$F$36+'Appendix K'!$H$36+'Appendix K'!$G$36))/((1+$Y$16)^AD$34))</f>
        <v>9077412.7648599111</v>
      </c>
      <c r="AE440" s="193">
        <f>(((H440*'Appendix K'!$C$11*1000)-('Appendix K'!$E$37+'Appendix K'!$F$37+'Appendix K'!$H$37+'Appendix K'!$G$37))/((1+$Y$16)^AE$34))</f>
        <v>7640511.7183964197</v>
      </c>
      <c r="AF440" s="193">
        <f>(((I440*'Appendix K'!$C$12*1000)-('Appendix K'!$E$38+'Appendix K'!$F$38+'Appendix K'!$H$38+'Appendix K'!$G$38))/((1+$Y$16)^AF$34))</f>
        <v>2884955.5173618398</v>
      </c>
      <c r="AG440" s="193">
        <f>(((J440*'Appendix K'!$C$13*1000)-('Appendix K'!$E$39+'Appendix K'!$F$39+'Appendix K'!$H$39+'Appendix K'!$G$39))/((1+$Y$16)^AG$34))</f>
        <v>1847781.7491348037</v>
      </c>
      <c r="AH440" s="193">
        <f>(((K440*'Appendix K'!$C$14*1000)-('Appendix K'!$E$40+'Appendix K'!$F$40+'Appendix K'!$H$40+'Appendix K'!$G$40))/((1+$Y$16)^AH$34))</f>
        <v>2509960.6940745884</v>
      </c>
      <c r="AI440" s="193">
        <f>(((L440*'Appendix K'!$C$15*1000)-('Appendix K'!$E$41+'Appendix K'!$F$41+'Appendix K'!$H$41+'Appendix K'!$G$41))/((1+$Y$16)^AI$34))</f>
        <v>2055588.5753406591</v>
      </c>
      <c r="AJ440" s="193">
        <f>(((M440*'Appendix K'!$C$16*1000)-('Appendix K'!$E$42+'Appendix K'!$F$42+'Appendix K'!$H$42+'Appendix K'!$G$42))/((1+$Y$16)^AJ$34))</f>
        <v>1647591.1116979606</v>
      </c>
      <c r="AK440" s="193">
        <f>(((N440*'Appendix K'!$C$17*1000)-('Appendix K'!$E$43+'Appendix K'!$F$43+'Appendix K'!$H$43))/((1+$Y$16)^AK$34))</f>
        <v>2504126.422608023</v>
      </c>
      <c r="AL440" s="193">
        <f>(((O440*'Appendix K'!$C$18*1000)-('Appendix K'!$E$44+'Appendix K'!$F$44+'Appendix K'!$H$44+'Appendix K'!$G$44))/((1+$Y$16)^AL$34))</f>
        <v>2031210.3366595816</v>
      </c>
      <c r="AM440" s="193">
        <f>(((P440*'Appendix K'!$C$19*1000)-('Appendix K'!$E$45+'Appendix K'!$F$45+'Appendix K'!$H$45+'Appendix K'!$G$45))/((1+$Y$16)^AM$34))</f>
        <v>1526782.4124094807</v>
      </c>
      <c r="AN440" s="193">
        <f>(((Q440*'Appendix K'!$C$20*1000)-('Appendix K'!$E$46+'Appendix K'!$F$46+'Appendix K'!$H$46+'Appendix K'!$G$46))/((1+$Y$16)^AN$34))</f>
        <v>1189971.4947303641</v>
      </c>
      <c r="AO440" s="193">
        <f>(((R440*'Appendix K'!$C$21*1000)-('Appendix K'!$E$47+'Appendix K'!$F$47+'Appendix K'!$H$47+'Appendix K'!$G$47))/((1+$Y$16)^AO$34))</f>
        <v>1295232.7165282883</v>
      </c>
      <c r="AP440" s="193">
        <f>(((S440*'Appendix K'!$C$22*1000)-('Appendix K'!$E$48+'Appendix K'!$F$48+'Appendix K'!$H$48+'Appendix K'!$G$48))/((1+$Y$16)^AP$34))</f>
        <v>387562.64041879243</v>
      </c>
      <c r="AQ440" s="193">
        <f>(((T440*'Appendix K'!$C$23*1000)-('Appendix K'!$E$49+'Appendix K'!$F$49+'Appendix K'!$H$49+'Appendix K'!$G$49))/((1+$Y$16)^AQ$34))</f>
        <v>332296.98534053977</v>
      </c>
      <c r="AR440" s="193">
        <f>(((U440*'Appendix K'!$C$24*1000)-('Appendix K'!$E$50+'Appendix K'!$F$50+'Appendix K'!$H$50+'Appendix K'!$G$50))/((1+$Y$16)^AR$34))</f>
        <v>223767.03754259512</v>
      </c>
      <c r="AS440" s="209">
        <f t="shared" si="28"/>
        <v>77713979.354390383</v>
      </c>
      <c r="AU440" s="199">
        <f t="shared" si="27"/>
        <v>6.9234572690372594E-9</v>
      </c>
    </row>
    <row r="441" spans="1:47" x14ac:dyDescent="0.35">
      <c r="A441">
        <v>407</v>
      </c>
      <c r="B441" s="70">
        <v>56</v>
      </c>
      <c r="C441" s="70">
        <v>64.696107852835894</v>
      </c>
      <c r="D441" s="70">
        <v>71.197508049586006</v>
      </c>
      <c r="E441" s="70">
        <v>66.01980409901752</v>
      </c>
      <c r="F441" s="70">
        <v>67.975245325006554</v>
      </c>
      <c r="G441" s="70">
        <v>74.644721172774794</v>
      </c>
      <c r="H441" s="70">
        <v>56.902608118548393</v>
      </c>
      <c r="I441" s="70">
        <v>44.557945535263485</v>
      </c>
      <c r="J441" s="70">
        <v>37.711221553890738</v>
      </c>
      <c r="K441" s="70">
        <v>48.069055847317003</v>
      </c>
      <c r="L441" s="70">
        <v>65.543954887411658</v>
      </c>
      <c r="M441" s="70">
        <v>64.614873774062943</v>
      </c>
      <c r="N441" s="70">
        <v>67.619753258520248</v>
      </c>
      <c r="O441" s="70">
        <v>78.589454350690644</v>
      </c>
      <c r="P441" s="70">
        <v>76.918667737513601</v>
      </c>
      <c r="Q441" s="70">
        <v>77.681141473663715</v>
      </c>
      <c r="R441" s="70">
        <v>74.90345880480416</v>
      </c>
      <c r="S441" s="70">
        <v>104.39343747228924</v>
      </c>
      <c r="T441" s="70">
        <v>143.74111754045197</v>
      </c>
      <c r="U441" s="70">
        <v>169.09536785615515</v>
      </c>
      <c r="V441" s="70">
        <v>289.99868013257662</v>
      </c>
      <c r="X441" s="193">
        <f>((0-('Appendix K'!$I$30))/(1+$Y$16)^0)</f>
        <v>-33594902.4440751</v>
      </c>
      <c r="Y441" s="193">
        <f>(((B441*'Appendix K'!$C$5*1000)-('Appendix K'!$E$31+'Appendix K'!$F$31+'Appendix K'!$H$31+'Appendix K'!$G$31))/((1+$Y$16)^1))</f>
        <v>34971064.972647354</v>
      </c>
      <c r="Z441" s="193">
        <f>+(((C441*'Appendix K'!$C$6*1000)-('Appendix K'!$E$32+'Appendix K'!$F$32+'Appendix K'!$H$32+'Appendix K'!$G$32))/((1+$Y$16)^2))</f>
        <v>12856095.679300465</v>
      </c>
      <c r="AA441" s="193">
        <f>(((D441*'Appendix K'!$C$7*1000)-('Appendix K'!$E$33+'Appendix K'!$F$33+'Appendix K'!$H$33+'Appendix K'!$G$33))/((1+$Y$16)^3))</f>
        <v>6103875.4371354673</v>
      </c>
      <c r="AB441" s="193">
        <f>(((E441*'Appendix K'!$C$8*1000)-('Appendix K'!$E$34+'Appendix K'!$F$34+'Appendix K'!$H$34+'Appendix K'!$G$34))/((1+$Y$16)^4))</f>
        <v>11177728.81651279</v>
      </c>
      <c r="AC441" s="193">
        <f>(((F441*'Appendix K'!$C$9*1000)-('Appendix K'!$E$35+'Appendix K'!$F$35+'Appendix K'!$H$35+'Appendix K'!$G$35))/((1+$Y$16)^AC$34))</f>
        <v>15083484.947937874</v>
      </c>
      <c r="AD441" s="193">
        <f>(((G441*'Appendix K'!$C$10*1000)-('Appendix K'!$E$36+'Appendix K'!$F$36+'Appendix K'!$H$36+'Appendix K'!$G$36))/((1+$Y$16)^AD$34))</f>
        <v>9206738.995015379</v>
      </c>
      <c r="AE441" s="193">
        <f>(((H441*'Appendix K'!$C$11*1000)-('Appendix K'!$E$37+'Appendix K'!$F$37+'Appendix K'!$H$37+'Appendix K'!$G$37))/((1+$Y$16)^AE$34))</f>
        <v>3455390.2429652778</v>
      </c>
      <c r="AF441" s="193">
        <f>(((I441*'Appendix K'!$C$12*1000)-('Appendix K'!$E$38+'Appendix K'!$F$38+'Appendix K'!$H$38+'Appendix K'!$G$38))/((1+$Y$16)^AF$34))</f>
        <v>929203.83707370295</v>
      </c>
      <c r="AG441" s="193">
        <f>(((J441*'Appendix K'!$C$13*1000)-('Appendix K'!$E$39+'Appendix K'!$F$39+'Appendix K'!$H$39+'Appendix K'!$G$39))/((1+$Y$16)^AG$34))</f>
        <v>-79513.709490573645</v>
      </c>
      <c r="AH441" s="193">
        <f>(((K441*'Appendix K'!$C$14*1000)-('Appendix K'!$E$40+'Appendix K'!$F$40+'Appendix K'!$H$40+'Appendix K'!$G$40))/((1+$Y$16)^AH$34))</f>
        <v>-12500.238999013305</v>
      </c>
      <c r="AI441" s="193">
        <f>(((L441*'Appendix K'!$C$15*1000)-('Appendix K'!$E$41+'Appendix K'!$F$41+'Appendix K'!$H$41+'Appendix K'!$G$41))/((1+$Y$16)^AI$34))</f>
        <v>200892.83751580902</v>
      </c>
      <c r="AJ441" s="193">
        <f>(((M441*'Appendix K'!$C$16*1000)-('Appendix K'!$E$42+'Appendix K'!$F$42+'Appendix K'!$H$42+'Appendix K'!$G$42))/((1+$Y$16)^AJ$34))</f>
        <v>-86548.253731232035</v>
      </c>
      <c r="AK441" s="193">
        <f>(((N441*'Appendix K'!$C$17*1000)-('Appendix K'!$E$43+'Appendix K'!$F$43+'Appendix K'!$H$43))/((1+$Y$16)^AK$34))</f>
        <v>34644.339128985863</v>
      </c>
      <c r="AL441" s="193">
        <f>(((O441*'Appendix K'!$C$18*1000)-('Appendix K'!$E$44+'Appendix K'!$F$44+'Appendix K'!$H$44+'Appendix K'!$G$44))/((1+$Y$16)^AL$34))</f>
        <v>-203045.19813743301</v>
      </c>
      <c r="AM441" s="193">
        <f>(((P441*'Appendix K'!$C$19*1000)-('Appendix K'!$E$45+'Appendix K'!$F$45+'Appendix K'!$H$45+'Appendix K'!$G$45))/((1+$Y$16)^AM$34))</f>
        <v>-313827.44103529549</v>
      </c>
      <c r="AN441" s="193">
        <f>(((Q441*'Appendix K'!$C$20*1000)-('Appendix K'!$E$46+'Appendix K'!$F$46+'Appendix K'!$H$46+'Appendix K'!$G$46))/((1+$Y$16)^AN$34))</f>
        <v>-353591.25082989124</v>
      </c>
      <c r="AO441" s="193">
        <f>(((R441*'Appendix K'!$C$21*1000)-('Appendix K'!$E$47+'Appendix K'!$F$47+'Appendix K'!$H$47+'Appendix K'!$G$47))/((1+$Y$16)^AO$34))</f>
        <v>-400311.20850746823</v>
      </c>
      <c r="AP441" s="193">
        <f>(((S441*'Appendix K'!$C$22*1000)-('Appendix K'!$E$48+'Appendix K'!$F$48+'Appendix K'!$H$48+'Appendix K'!$G$48))/((1+$Y$16)^AP$34))</f>
        <v>-264437.96621108573</v>
      </c>
      <c r="AQ441" s="193">
        <f>(((T441*'Appendix K'!$C$23*1000)-('Appendix K'!$E$49+'Appendix K'!$F$49+'Appendix K'!$H$49+'Appendix K'!$G$49))/((1+$Y$16)^AQ$34))</f>
        <v>-130919.69612829297</v>
      </c>
      <c r="AR441" s="193">
        <f>(((U441*'Appendix K'!$C$24*1000)-('Appendix K'!$E$50+'Appendix K'!$F$50+'Appendix K'!$H$50+'Appendix K'!$G$50))/((1+$Y$16)^AR$34))</f>
        <v>-84797.046952290315</v>
      </c>
      <c r="AS441" s="209">
        <f t="shared" si="28"/>
        <v>60424217.661158018</v>
      </c>
      <c r="AU441" s="199">
        <f t="shared" si="27"/>
        <v>6.2672886171736643E-9</v>
      </c>
    </row>
    <row r="442" spans="1:47" x14ac:dyDescent="0.35">
      <c r="A442">
        <v>408</v>
      </c>
      <c r="B442" s="70">
        <v>56</v>
      </c>
      <c r="C442" s="70">
        <v>29.655848939911117</v>
      </c>
      <c r="D442" s="70">
        <v>29.202931137496002</v>
      </c>
      <c r="E442" s="70">
        <v>40.174871964193308</v>
      </c>
      <c r="F442" s="70">
        <v>37.922576042386616</v>
      </c>
      <c r="G442" s="70">
        <v>42.680966793547668</v>
      </c>
      <c r="H442" s="70">
        <v>34.413782179701698</v>
      </c>
      <c r="I442" s="70">
        <v>45.004380881105362</v>
      </c>
      <c r="J442" s="70">
        <v>78.754221377905793</v>
      </c>
      <c r="K442" s="70">
        <v>91.593119255598552</v>
      </c>
      <c r="L442" s="70">
        <v>138.38085536979338</v>
      </c>
      <c r="M442" s="70">
        <v>140.48005236519106</v>
      </c>
      <c r="N442" s="70">
        <v>93.327389193170617</v>
      </c>
      <c r="O442" s="70">
        <v>104.19267448695577</v>
      </c>
      <c r="P442" s="70">
        <v>130.44064171148335</v>
      </c>
      <c r="Q442" s="70">
        <v>104.10439650378837</v>
      </c>
      <c r="R442" s="70">
        <v>87.034322293293442</v>
      </c>
      <c r="S442" s="70">
        <v>101.06492590217351</v>
      </c>
      <c r="T442" s="70">
        <v>81.776452786255049</v>
      </c>
      <c r="U442" s="70">
        <v>107.68260908062133</v>
      </c>
      <c r="V442" s="70">
        <v>161.54478434560525</v>
      </c>
      <c r="X442" s="193">
        <f>((0-('Appendix K'!$I$30))/(1+$Y$16)^0)</f>
        <v>-33594902.4440751</v>
      </c>
      <c r="Y442" s="193">
        <f>(((B442*'Appendix K'!$C$5*1000)-('Appendix K'!$E$31+'Appendix K'!$F$31+'Appendix K'!$H$31+'Appendix K'!$G$31))/((1+$Y$16)^1))</f>
        <v>34971064.972647354</v>
      </c>
      <c r="Z442" s="193">
        <f>+(((C442*'Appendix K'!$C$6*1000)-('Appendix K'!$E$32+'Appendix K'!$F$32+'Appendix K'!$H$32+'Appendix K'!$G$32))/((1+$Y$16)^2))</f>
        <v>4004326.9799994789</v>
      </c>
      <c r="AA442" s="193">
        <f>(((D442*'Appendix K'!$C$7*1000)-('Appendix K'!$E$33+'Appendix K'!$F$33+'Appendix K'!$H$33+'Appendix K'!$G$33))/((1+$Y$16)^3))</f>
        <v>754821.56321030273</v>
      </c>
      <c r="AB442" s="193">
        <f>(((E442*'Appendix K'!$C$8*1000)-('Appendix K'!$E$34+'Appendix K'!$F$34+'Appendix K'!$H$34+'Appendix K'!$G$34))/((1+$Y$16)^4))</f>
        <v>5512756.2801413815</v>
      </c>
      <c r="AC442" s="193">
        <f>(((F442*'Appendix K'!$C$9*1000)-('Appendix K'!$E$35+'Appendix K'!$F$35+'Appendix K'!$H$35+'Appendix K'!$G$35))/((1+$Y$16)^AC$34))</f>
        <v>7095532.6437767185</v>
      </c>
      <c r="AD442" s="193">
        <f>(((G442*'Appendix K'!$C$10*1000)-('Appendix K'!$E$36+'Appendix K'!$F$36+'Appendix K'!$H$36+'Appendix K'!$G$36))/((1+$Y$16)^AD$34))</f>
        <v>4187024.7020045333</v>
      </c>
      <c r="AE442" s="193">
        <f>(((H442*'Appendix K'!$C$11*1000)-('Appendix K'!$E$37+'Appendix K'!$F$37+'Appendix K'!$H$37+'Appendix K'!$G$37))/((1+$Y$16)^AE$34))</f>
        <v>1212408.0685083114</v>
      </c>
      <c r="AF442" s="193">
        <f>(((I442*'Appendix K'!$C$12*1000)-('Appendix K'!$E$38+'Appendix K'!$F$38+'Appendix K'!$H$38+'Appendix K'!$G$38))/((1+$Y$16)^AF$34))</f>
        <v>958517.86539769324</v>
      </c>
      <c r="AG442" s="193">
        <f>(((J442*'Appendix K'!$C$13*1000)-('Appendix K'!$E$39+'Appendix K'!$F$39+'Appendix K'!$H$39+'Appendix K'!$G$39))/((1+$Y$16)^AG$34))</f>
        <v>1809241.3315444333</v>
      </c>
      <c r="AH442" s="193">
        <f>(((K442*'Appendix K'!$C$14*1000)-('Appendix K'!$E$40+'Appendix K'!$F$40+'Appendix K'!$H$40+'Appendix K'!$G$40))/((1+$Y$16)^AH$34))</f>
        <v>1454544.7688088224</v>
      </c>
      <c r="AI442" s="193">
        <f>(((L442*'Appendix K'!$C$15*1000)-('Appendix K'!$E$41+'Appendix K'!$F$41+'Appendix K'!$H$41+'Appendix K'!$G$41))/((1+$Y$16)^AI$34))</f>
        <v>2109355.8358259988</v>
      </c>
      <c r="AJ442" s="193">
        <f>(((M442*'Appendix K'!$C$16*1000)-('Appendix K'!$E$42+'Appendix K'!$F$42+'Appendix K'!$H$42+'Appendix K'!$G$42))/((1+$Y$16)^AJ$34))</f>
        <v>1433931.5638504142</v>
      </c>
      <c r="AK442" s="193">
        <f>(((N442*'Appendix K'!$C$17*1000)-('Appendix K'!$E$43+'Appendix K'!$F$43+'Appendix K'!$H$43))/((1+$Y$16)^AK$34))</f>
        <v>429613.82163542078</v>
      </c>
      <c r="AL442" s="193">
        <f>(((O442*'Appendix K'!$C$18*1000)-('Appendix K'!$E$44+'Appendix K'!$F$44+'Appendix K'!$H$44+'Appendix K'!$G$44))/((1+$Y$16)^AL$34))</f>
        <v>100437.30393967615</v>
      </c>
      <c r="AM442" s="193">
        <f>(((P442*'Appendix K'!$C$19*1000)-('Appendix K'!$E$45+'Appendix K'!$F$45+'Appendix K'!$H$45+'Appendix K'!$G$45))/((1+$Y$16)^AM$34))</f>
        <v>182253.38072242451</v>
      </c>
      <c r="AN442" s="193">
        <f>(((Q442*'Appendix K'!$C$20*1000)-('Appendix K'!$E$46+'Appendix K'!$F$46+'Appendix K'!$H$46+'Appendix K'!$G$46))/((1+$Y$16)^AN$34))</f>
        <v>-162386.84646874105</v>
      </c>
      <c r="AO442" s="193">
        <f>(((R442*'Appendix K'!$C$21*1000)-('Appendix K'!$E$47+'Appendix K'!$F$47+'Appendix K'!$H$47+'Appendix K'!$G$47))/((1+$Y$16)^AO$34))</f>
        <v>-328616.4650722103</v>
      </c>
      <c r="AP442" s="193">
        <f>(((S442*'Appendix K'!$C$22*1000)-('Appendix K'!$E$48+'Appendix K'!$F$48+'Appendix K'!$H$48+'Appendix K'!$G$48))/((1+$Y$16)^AP$34))</f>
        <v>-280380.6024574904</v>
      </c>
      <c r="AQ442" s="193">
        <f>(((T442*'Appendix K'!$C$23*1000)-('Appendix K'!$E$49+'Appendix K'!$F$49+'Appendix K'!$H$49+'Appendix K'!$G$49))/((1+$Y$16)^AQ$34))</f>
        <v>-373433.53061520844</v>
      </c>
      <c r="AR442" s="193">
        <f>(((U442*'Appendix K'!$C$24*1000)-('Appendix K'!$E$50+'Appendix K'!$F$50+'Appendix K'!$H$50+'Appendix K'!$G$50))/((1+$Y$16)^AR$34))</f>
        <v>-282547.85092491173</v>
      </c>
      <c r="AS442" s="209">
        <f t="shared" si="28"/>
        <v>32620928.637937881</v>
      </c>
      <c r="AU442" s="199">
        <f t="shared" si="27"/>
        <v>4.3955291236637751E-9</v>
      </c>
    </row>
    <row r="443" spans="1:47" x14ac:dyDescent="0.35">
      <c r="A443">
        <v>409</v>
      </c>
      <c r="B443" s="70">
        <v>56</v>
      </c>
      <c r="C443" s="70">
        <v>29.195478855443525</v>
      </c>
      <c r="D443" s="70">
        <v>35.214099189708968</v>
      </c>
      <c r="E443" s="70">
        <v>52.961918630825593</v>
      </c>
      <c r="F443" s="70">
        <v>66.950257864003746</v>
      </c>
      <c r="G443" s="70">
        <v>82.288133267541284</v>
      </c>
      <c r="H443" s="70">
        <v>136.89323399276958</v>
      </c>
      <c r="I443" s="70">
        <v>161.94908605697475</v>
      </c>
      <c r="J443" s="70">
        <v>166.58409502946392</v>
      </c>
      <c r="K443" s="70">
        <v>102.11353316145663</v>
      </c>
      <c r="L443" s="70">
        <v>105.19780806908949</v>
      </c>
      <c r="M443" s="70">
        <v>100.11124426306441</v>
      </c>
      <c r="N443" s="70">
        <v>200.54442899241764</v>
      </c>
      <c r="O443" s="70">
        <v>163.84677042126938</v>
      </c>
      <c r="P443" s="70">
        <v>217.25588507142137</v>
      </c>
      <c r="Q443" s="70">
        <v>213.79771648978186</v>
      </c>
      <c r="R443" s="70">
        <v>214.14972277958432</v>
      </c>
      <c r="S443" s="70">
        <v>251.49069179290785</v>
      </c>
      <c r="T443" s="70">
        <v>217.13301402788539</v>
      </c>
      <c r="U443" s="70">
        <v>273.18973213063515</v>
      </c>
      <c r="V443" s="70">
        <v>399.5831662823544</v>
      </c>
      <c r="X443" s="193">
        <f>((0-('Appendix K'!$I$30))/(1+$Y$16)^0)</f>
        <v>-33594902.4440751</v>
      </c>
      <c r="Y443" s="193">
        <f>(((B443*'Appendix K'!$C$5*1000)-('Appendix K'!$E$31+'Appendix K'!$F$31+'Appendix K'!$H$31+'Appendix K'!$G$31))/((1+$Y$16)^1))</f>
        <v>34971064.972647354</v>
      </c>
      <c r="Z443" s="193">
        <f>+(((C443*'Appendix K'!$C$6*1000)-('Appendix K'!$E$32+'Appendix K'!$F$32+'Appendix K'!$H$32+'Appendix K'!$G$32))/((1+$Y$16)^2))</f>
        <v>3888029.6228962862</v>
      </c>
      <c r="AA443" s="193">
        <f>(((D443*'Appendix K'!$C$7*1000)-('Appendix K'!$E$33+'Appendix K'!$F$33+'Appendix K'!$H$33+'Appendix K'!$G$33))/((1+$Y$16)^3))</f>
        <v>1520493.3265862057</v>
      </c>
      <c r="AB443" s="193">
        <f>(((E443*'Appendix K'!$C$8*1000)-('Appendix K'!$E$34+'Appendix K'!$F$34+'Appendix K'!$H$34+'Appendix K'!$G$34))/((1+$Y$16)^4))</f>
        <v>8315559.8553214483</v>
      </c>
      <c r="AC443" s="193">
        <f>(((F443*'Appendix K'!$C$9*1000)-('Appendix K'!$E$35+'Appendix K'!$F$35+'Appendix K'!$H$35+'Appendix K'!$G$35))/((1+$Y$16)^AC$34))</f>
        <v>14811044.890322467</v>
      </c>
      <c r="AD443" s="193">
        <f>(((G443*'Appendix K'!$C$10*1000)-('Appendix K'!$E$36+'Appendix K'!$F$36+'Appendix K'!$H$36+'Appendix K'!$G$36))/((1+$Y$16)^AD$34))</f>
        <v>10407090.633445131</v>
      </c>
      <c r="AE443" s="193">
        <f>(((H443*'Appendix K'!$C$11*1000)-('Appendix K'!$E$37+'Appendix K'!$F$37+'Appendix K'!$H$37+'Appendix K'!$G$37))/((1+$Y$16)^AE$34))</f>
        <v>11433465.596806334</v>
      </c>
      <c r="AF443" s="193">
        <f>(((I443*'Appendix K'!$C$12*1000)-('Appendix K'!$E$38+'Appendix K'!$F$38+'Appendix K'!$H$38+'Appendix K'!$G$38))/((1+$Y$16)^AF$34))</f>
        <v>8637391.0366100837</v>
      </c>
      <c r="AG443" s="193">
        <f>(((J443*'Appendix K'!$C$13*1000)-('Appendix K'!$E$39+'Appendix K'!$F$39+'Appendix K'!$H$39+'Appendix K'!$G$39))/((1+$Y$16)^AG$34))</f>
        <v>5851078.3640262354</v>
      </c>
      <c r="AH443" s="193">
        <f>(((K443*'Appendix K'!$C$14*1000)-('Appendix K'!$E$40+'Appendix K'!$F$40+'Appendix K'!$H$40+'Appendix K'!$G$40))/((1+$Y$16)^AH$34))</f>
        <v>1809151.3816124545</v>
      </c>
      <c r="AI443" s="193">
        <f>(((L443*'Appendix K'!$C$15*1000)-('Appendix K'!$E$41+'Appendix K'!$F$41+'Appendix K'!$H$41+'Appendix K'!$G$41))/((1+$Y$16)^AI$34))</f>
        <v>1239897.9439448286</v>
      </c>
      <c r="AJ443" s="193">
        <f>(((M443*'Appendix K'!$C$16*1000)-('Appendix K'!$E$42+'Appendix K'!$F$42+'Appendix K'!$H$42+'Appendix K'!$G$42))/((1+$Y$16)^AJ$34))</f>
        <v>624865.28180928878</v>
      </c>
      <c r="AK443" s="193">
        <f>(((N443*'Appendix K'!$C$17*1000)-('Appendix K'!$E$43+'Appendix K'!$F$43+'Appendix K'!$H$43))/((1+$Y$16)^AK$34))</f>
        <v>2076885.4273571214</v>
      </c>
      <c r="AL443" s="193">
        <f>(((O443*'Appendix K'!$C$18*1000)-('Appendix K'!$E$44+'Appendix K'!$F$44+'Appendix K'!$H$44+'Appendix K'!$G$44))/((1+$Y$16)^AL$34))</f>
        <v>807534.85639365111</v>
      </c>
      <c r="AM443" s="193">
        <f>(((P443*'Appendix K'!$C$19*1000)-('Appendix K'!$E$45+'Appendix K'!$F$45+'Appendix K'!$H$45+'Appendix K'!$G$45))/((1+$Y$16)^AM$34))</f>
        <v>986920.58690656419</v>
      </c>
      <c r="AN443" s="193">
        <f>(((Q443*'Appendix K'!$C$20*1000)-('Appendix K'!$E$46+'Appendix K'!$F$46+'Appendix K'!$H$46+'Appendix K'!$G$46))/((1+$Y$16)^AN$34))</f>
        <v>631377.80843115924</v>
      </c>
      <c r="AO443" s="193">
        <f>(((R443*'Appendix K'!$C$21*1000)-('Appendix K'!$E$47+'Appendix K'!$F$47+'Appendix K'!$H$47+'Appendix K'!$G$47))/((1+$Y$16)^AO$34))</f>
        <v>422649.59551632917</v>
      </c>
      <c r="AP443" s="193">
        <f>(((S443*'Appendix K'!$C$22*1000)-('Appendix K'!$E$48+'Appendix K'!$F$48+'Appendix K'!$H$48+'Appendix K'!$G$48))/((1+$Y$16)^AP$34))</f>
        <v>440116.59791709983</v>
      </c>
      <c r="AQ443" s="193">
        <f>(((T443*'Appendix K'!$C$23*1000)-('Appendix K'!$E$49+'Appendix K'!$F$49+'Appendix K'!$H$49+'Appendix K'!$G$49))/((1+$Y$16)^AQ$34))</f>
        <v>156317.39791616009</v>
      </c>
      <c r="AR443" s="193">
        <f>(((U443*'Appendix K'!$C$24*1000)-('Appendix K'!$E$50+'Appendix K'!$F$50+'Appendix K'!$H$50+'Appendix K'!$G$50))/((1+$Y$16)^AR$34))</f>
        <v>250389.72261680587</v>
      </c>
      <c r="AS443" s="209">
        <f t="shared" si="28"/>
        <v>75686422.455007881</v>
      </c>
      <c r="AU443" s="199">
        <f t="shared" si="27"/>
        <v>6.8760383841030896E-9</v>
      </c>
    </row>
    <row r="444" spans="1:47" x14ac:dyDescent="0.35">
      <c r="A444">
        <v>410</v>
      </c>
      <c r="B444" s="70">
        <v>56</v>
      </c>
      <c r="C444" s="70">
        <v>43.307642607419353</v>
      </c>
      <c r="D444" s="70">
        <v>25.906686353047895</v>
      </c>
      <c r="E444" s="70">
        <v>12.609365778282845</v>
      </c>
      <c r="F444" s="70">
        <v>11.15401627393879</v>
      </c>
      <c r="G444" s="70">
        <v>14.875577382542414</v>
      </c>
      <c r="H444" s="70">
        <v>13.020412441240012</v>
      </c>
      <c r="I444" s="70">
        <v>5.6530049624449283</v>
      </c>
      <c r="J444" s="70">
        <v>7.9655201284658705</v>
      </c>
      <c r="K444" s="70">
        <v>9.3617587163136839</v>
      </c>
      <c r="L444" s="70">
        <v>5.1064183438674311</v>
      </c>
      <c r="M444" s="70">
        <v>3.9680032309008304</v>
      </c>
      <c r="N444" s="70">
        <v>1.0502599927096239</v>
      </c>
      <c r="O444" s="70">
        <v>1.1873250320666573</v>
      </c>
      <c r="P444" s="70">
        <v>1.6024963567908528</v>
      </c>
      <c r="Q444" s="70">
        <v>1.7723785307245772</v>
      </c>
      <c r="R444" s="70">
        <v>1.9262126292576094</v>
      </c>
      <c r="S444" s="70">
        <v>1.6034700652108906</v>
      </c>
      <c r="T444" s="70">
        <v>1.5572820695350924</v>
      </c>
      <c r="U444" s="70">
        <v>1.9694867323177849</v>
      </c>
      <c r="V444" s="70">
        <v>1.6782586342246661</v>
      </c>
      <c r="X444" s="193">
        <f>((0-('Appendix K'!$I$30))/(1+$Y$16)^0)</f>
        <v>-33594902.4440751</v>
      </c>
      <c r="Y444" s="193">
        <f>(((B444*'Appendix K'!$C$5*1000)-('Appendix K'!$E$31+'Appendix K'!$F$31+'Appendix K'!$H$31+'Appendix K'!$G$31))/((1+$Y$16)^1))</f>
        <v>34971064.972647354</v>
      </c>
      <c r="Z444" s="193">
        <f>+(((C444*'Appendix K'!$C$6*1000)-('Appendix K'!$E$32+'Appendix K'!$F$32+'Appendix K'!$H$32+'Appendix K'!$G$32))/((1+$Y$16)^2))</f>
        <v>7453003.5487331487</v>
      </c>
      <c r="AA444" s="193">
        <f>(((D444*'Appendix K'!$C$7*1000)-('Appendix K'!$E$33+'Appendix K'!$F$33+'Appendix K'!$H$33+'Appendix K'!$G$33))/((1+$Y$16)^3))</f>
        <v>334962.80452897231</v>
      </c>
      <c r="AB444" s="193">
        <f>(((E444*'Appendix K'!$C$8*1000)-('Appendix K'!$E$34+'Appendix K'!$F$34+'Appendix K'!$H$34+'Appendix K'!$G$34))/((1+$Y$16)^4))</f>
        <v>-529350.33788867318</v>
      </c>
      <c r="AC444" s="193">
        <f>(((F444*'Appendix K'!$C$9*1000)-('Appendix K'!$E$35+'Appendix K'!$F$35+'Appendix K'!$H$35+'Appendix K'!$G$35))/((1+$Y$16)^AC$34))</f>
        <v>-19508.508494842645</v>
      </c>
      <c r="AD444" s="193">
        <f>(((G444*'Appendix K'!$C$10*1000)-('Appendix K'!$E$36+'Appendix K'!$F$36+'Appendix K'!$H$36+'Appendix K'!$G$36))/((1+$Y$16)^AD$34))</f>
        <v>-179643.5245497227</v>
      </c>
      <c r="AE444" s="193">
        <f>(((H444*'Appendix K'!$C$11*1000)-('Appendix K'!$E$37+'Appendix K'!$F$37+'Appendix K'!$H$37+'Appendix K'!$G$37))/((1+$Y$16)^AE$34))</f>
        <v>-921315.90202803025</v>
      </c>
      <c r="AF444" s="193">
        <f>(((I444*'Appendix K'!$C$12*1000)-('Appendix K'!$E$38+'Appendix K'!$F$38+'Appendix K'!$H$38+'Appendix K'!$G$38))/((1+$Y$16)^AF$34))</f>
        <v>-1625388.9847471241</v>
      </c>
      <c r="AG444" s="193">
        <f>(((J444*'Appendix K'!$C$13*1000)-('Appendix K'!$E$39+'Appendix K'!$F$39+'Appendix K'!$H$39+'Appendix K'!$G$39))/((1+$Y$16)^AG$34))</f>
        <v>-1448379.1373904136</v>
      </c>
      <c r="AH444" s="193">
        <f>(((K444*'Appendix K'!$C$14*1000)-('Appendix K'!$E$40+'Appendix K'!$F$40+'Appendix K'!$H$40+'Appendix K'!$G$40))/((1+$Y$16)^AH$34))</f>
        <v>-1317188.7854036249</v>
      </c>
      <c r="AI444" s="193">
        <f>(((L444*'Appendix K'!$C$15*1000)-('Appendix K'!$E$41+'Appendix K'!$F$41+'Appendix K'!$H$41+'Appendix K'!$G$41))/((1+$Y$16)^AI$34))</f>
        <v>-1382683.6386725754</v>
      </c>
      <c r="AJ444" s="193">
        <f>(((M444*'Appendix K'!$C$16*1000)-('Appendix K'!$E$42+'Appendix K'!$F$42+'Appendix K'!$H$42+'Appendix K'!$G$42))/((1+$Y$16)^AJ$34))</f>
        <v>-1302024.7657861109</v>
      </c>
      <c r="AK444" s="193">
        <f>(((N444*'Appendix K'!$C$17*1000)-('Appendix K'!$E$43+'Appendix K'!$F$43+'Appendix K'!$H$43))/((1+$Y$16)^AK$34))</f>
        <v>-988122.52954576293</v>
      </c>
      <c r="AL444" s="193">
        <f>(((O444*'Appendix K'!$C$18*1000)-('Appendix K'!$E$44+'Appendix K'!$F$44+'Appendix K'!$H$44+'Appendix K'!$G$44))/((1+$Y$16)^AL$34))</f>
        <v>-1120515.4126921953</v>
      </c>
      <c r="AM444" s="193">
        <f>(((P444*'Appendix K'!$C$19*1000)-('Appendix K'!$E$45+'Appendix K'!$F$45+'Appendix K'!$H$45+'Appendix K'!$G$45))/((1+$Y$16)^AM$34))</f>
        <v>-1011912.833184052</v>
      </c>
      <c r="AN444" s="193">
        <f>(((Q444*'Appendix K'!$C$20*1000)-('Appendix K'!$E$46+'Appendix K'!$F$46+'Appendix K'!$H$46+'Appendix K'!$G$46))/((1+$Y$16)^AN$34))</f>
        <v>-902883.52340377332</v>
      </c>
      <c r="AO444" s="193">
        <f>(((R444*'Appendix K'!$C$21*1000)-('Appendix K'!$E$47+'Appendix K'!$F$47+'Appendix K'!$H$47+'Appendix K'!$G$47))/((1+$Y$16)^AO$34))</f>
        <v>-831614.79593404231</v>
      </c>
      <c r="AP444" s="193">
        <f>(((S444*'Appendix K'!$C$22*1000)-('Appendix K'!$E$48+'Appendix K'!$F$48+'Appendix K'!$H$48+'Appendix K'!$G$48))/((1+$Y$16)^AP$34))</f>
        <v>-756773.06123191258</v>
      </c>
      <c r="AQ444" s="193">
        <f>(((T444*'Appendix K'!$C$23*1000)-('Appendix K'!$E$49+'Appendix K'!$F$49+'Appendix K'!$H$49+'Appendix K'!$G$49))/((1+$Y$16)^AQ$34))</f>
        <v>-687390.8281660612</v>
      </c>
      <c r="AR444" s="193">
        <f>(((U444*'Appendix K'!$C$24*1000)-('Appendix K'!$E$50+'Appendix K'!$F$50+'Appendix K'!$H$50+'Appendix K'!$G$50))/((1+$Y$16)^AR$34))</f>
        <v>-622947.06684747327</v>
      </c>
      <c r="AS444" s="209">
        <f t="shared" si="28"/>
        <v>9164128.8818343729</v>
      </c>
      <c r="AU444" s="199">
        <f t="shared" si="27"/>
        <v>2.7037066971532473E-9</v>
      </c>
    </row>
    <row r="445" spans="1:47" x14ac:dyDescent="0.35">
      <c r="A445">
        <v>411</v>
      </c>
      <c r="B445" s="70">
        <v>56</v>
      </c>
      <c r="C445" s="70">
        <v>29.779828699984837</v>
      </c>
      <c r="D445" s="70">
        <v>16.969874672726828</v>
      </c>
      <c r="E445" s="70">
        <v>20.117814089251681</v>
      </c>
      <c r="F445" s="70">
        <v>12.130210988903777</v>
      </c>
      <c r="G445" s="70">
        <v>12.323955221902517</v>
      </c>
      <c r="H445" s="70">
        <v>12.309425610583732</v>
      </c>
      <c r="I445" s="70">
        <v>18.125251960614623</v>
      </c>
      <c r="J445" s="70">
        <v>23.073431799493669</v>
      </c>
      <c r="K445" s="70">
        <v>25.58553205501163</v>
      </c>
      <c r="L445" s="70">
        <v>23.646873599966639</v>
      </c>
      <c r="M445" s="70">
        <v>13.152261502853708</v>
      </c>
      <c r="N445" s="70">
        <v>18.068483233157284</v>
      </c>
      <c r="O445" s="70">
        <v>8.0819100360425438</v>
      </c>
      <c r="P445" s="70">
        <v>8.0458973021675693</v>
      </c>
      <c r="Q445" s="70">
        <v>10.411424709791063</v>
      </c>
      <c r="R445" s="70">
        <v>10.918511055398827</v>
      </c>
      <c r="S445" s="70">
        <v>15.674771018079751</v>
      </c>
      <c r="T445" s="70">
        <v>14.282595710746321</v>
      </c>
      <c r="U445" s="70">
        <v>17.040484615183907</v>
      </c>
      <c r="V445" s="70">
        <v>21.367211409539891</v>
      </c>
      <c r="X445" s="193">
        <f>((0-('Appendix K'!$I$30))/(1+$Y$16)^0)</f>
        <v>-33594902.4440751</v>
      </c>
      <c r="Y445" s="193">
        <f>(((B445*'Appendix K'!$C$5*1000)-('Appendix K'!$E$31+'Appendix K'!$F$31+'Appendix K'!$H$31+'Appendix K'!$G$31))/((1+$Y$16)^1))</f>
        <v>34971064.972647354</v>
      </c>
      <c r="Z445" s="193">
        <f>+(((C445*'Appendix K'!$C$6*1000)-('Appendix K'!$E$32+'Appendix K'!$F$32+'Appendix K'!$H$32+'Appendix K'!$G$32))/((1+$Y$16)^2))</f>
        <v>4035646.3878353206</v>
      </c>
      <c r="AA445" s="193">
        <f>(((D445*'Appendix K'!$C$7*1000)-('Appendix K'!$E$33+'Appendix K'!$F$33+'Appendix K'!$H$33+'Appendix K'!$G$33))/((1+$Y$16)^3))</f>
        <v>-803362.44254355424</v>
      </c>
      <c r="AB445" s="193">
        <f>(((E445*'Appendix K'!$C$8*1000)-('Appendix K'!$E$34+'Appendix K'!$F$34+'Appendix K'!$H$34+'Appendix K'!$G$34))/((1+$Y$16)^4))</f>
        <v>1116432.7986470058</v>
      </c>
      <c r="AC445" s="193">
        <f>(((F445*'Appendix K'!$C$9*1000)-('Appendix K'!$E$35+'Appendix K'!$F$35+'Appendix K'!$H$35+'Appendix K'!$G$35))/((1+$Y$16)^AC$34))</f>
        <v>239962.51384206847</v>
      </c>
      <c r="AD445" s="193">
        <f>(((G445*'Appendix K'!$C$10*1000)-('Appendix K'!$E$36+'Appendix K'!$F$36+'Appendix K'!$H$36+'Appendix K'!$G$36))/((1+$Y$16)^AD$34))</f>
        <v>-580360.35143321787</v>
      </c>
      <c r="AE445" s="193">
        <f>(((H445*'Appendix K'!$C$11*1000)-('Appendix K'!$E$37+'Appendix K'!$F$37+'Appendix K'!$H$37+'Appendix K'!$G$37))/((1+$Y$16)^AE$34))</f>
        <v>-992228.04265165399</v>
      </c>
      <c r="AF445" s="193">
        <f>(((I445*'Appendix K'!$C$12*1000)-('Appendix K'!$E$38+'Appendix K'!$F$38+'Appendix K'!$H$38+'Appendix K'!$G$38))/((1+$Y$16)^AF$34))</f>
        <v>-806430.97621693963</v>
      </c>
      <c r="AG445" s="193">
        <f>(((J445*'Appendix K'!$C$13*1000)-('Appendix K'!$E$39+'Appendix K'!$F$39+'Appendix K'!$H$39+'Appendix K'!$G$39))/((1+$Y$16)^AG$34))</f>
        <v>-753129.16905186872</v>
      </c>
      <c r="AH445" s="193">
        <f>(((K445*'Appendix K'!$C$14*1000)-('Appendix K'!$E$40+'Appendix K'!$F$40+'Appendix K'!$H$40+'Appendix K'!$G$40))/((1+$Y$16)^AH$34))</f>
        <v>-770341.73527700559</v>
      </c>
      <c r="AI445" s="193">
        <f>(((L445*'Appendix K'!$C$15*1000)-('Appendix K'!$E$41+'Appendix K'!$F$41+'Appendix K'!$H$41+'Appendix K'!$G$41))/((1+$Y$16)^AI$34))</f>
        <v>-896889.04014143837</v>
      </c>
      <c r="AJ445" s="193">
        <f>(((M445*'Appendix K'!$C$16*1000)-('Appendix K'!$E$42+'Appendix K'!$F$42+'Appendix K'!$H$42+'Appendix K'!$G$42))/((1+$Y$16)^AJ$34))</f>
        <v>-1117955.0832085141</v>
      </c>
      <c r="AK445" s="193">
        <f>(((N445*'Appendix K'!$C$17*1000)-('Appendix K'!$E$43+'Appendix K'!$F$43+'Appendix K'!$H$43))/((1+$Y$16)^AK$34))</f>
        <v>-726656.29268348147</v>
      </c>
      <c r="AL445" s="193">
        <f>(((O445*'Appendix K'!$C$18*1000)-('Appendix K'!$E$44+'Appendix K'!$F$44+'Appendix K'!$H$44+'Appendix K'!$G$44))/((1+$Y$16)^AL$34))</f>
        <v>-1038791.8678937734</v>
      </c>
      <c r="AM445" s="193">
        <f>(((P445*'Appendix K'!$C$19*1000)-('Appendix K'!$E$45+'Appendix K'!$F$45+'Appendix K'!$H$45+'Appendix K'!$G$45))/((1+$Y$16)^AM$34))</f>
        <v>-952190.6779912794</v>
      </c>
      <c r="AN445" s="193">
        <f>(((Q445*'Appendix K'!$C$20*1000)-('Appendix K'!$E$46+'Appendix K'!$F$46+'Appendix K'!$H$46+'Appendix K'!$G$46))/((1+$Y$16)^AN$34))</f>
        <v>-840369.51152167679</v>
      </c>
      <c r="AO445" s="193">
        <f>(((R445*'Appendix K'!$C$21*1000)-('Appendix K'!$E$47+'Appendix K'!$F$47+'Appendix K'!$H$47+'Appendix K'!$G$47))/((1+$Y$16)^AO$34))</f>
        <v>-778469.31876605563</v>
      </c>
      <c r="AP445" s="193">
        <f>(((S445*'Appendix K'!$C$22*1000)-('Appendix K'!$E$48+'Appendix K'!$F$48+'Appendix K'!$H$48+'Appendix K'!$G$48))/((1+$Y$16)^AP$34))</f>
        <v>-689375.47889528971</v>
      </c>
      <c r="AQ445" s="193">
        <f>(((T445*'Appendix K'!$C$23*1000)-('Appendix K'!$E$49+'Appendix K'!$F$49+'Appendix K'!$H$49+'Appendix K'!$G$49))/((1+$Y$16)^AQ$34))</f>
        <v>-637587.20833820174</v>
      </c>
      <c r="AR445" s="193">
        <f>(((U445*'Appendix K'!$C$24*1000)-('Appendix K'!$E$50+'Appendix K'!$F$50+'Appendix K'!$H$50+'Appendix K'!$G$50))/((1+$Y$16)^AR$34))</f>
        <v>-574418.03139248618</v>
      </c>
      <c r="AS445" s="209">
        <f t="shared" si="28"/>
        <v>6768204.2288966551</v>
      </c>
      <c r="AU445" s="199">
        <f t="shared" si="27"/>
        <v>2.548156619699871E-9</v>
      </c>
    </row>
    <row r="446" spans="1:47" x14ac:dyDescent="0.35">
      <c r="A446">
        <v>412</v>
      </c>
      <c r="B446" s="70">
        <v>56</v>
      </c>
      <c r="C446" s="70">
        <v>47.226394619110124</v>
      </c>
      <c r="D446" s="70">
        <v>33.592833804164364</v>
      </c>
      <c r="E446" s="70">
        <v>39.076051361095217</v>
      </c>
      <c r="F446" s="70">
        <v>69.481930078453502</v>
      </c>
      <c r="G446" s="70">
        <v>74.028942771281976</v>
      </c>
      <c r="H446" s="70">
        <v>120.92166896042578</v>
      </c>
      <c r="I446" s="70">
        <v>126.80683891385544</v>
      </c>
      <c r="J446" s="70">
        <v>117.10339402122749</v>
      </c>
      <c r="K446" s="70">
        <v>116.07599524300262</v>
      </c>
      <c r="L446" s="70">
        <v>118.13714778040038</v>
      </c>
      <c r="M446" s="70">
        <v>187.30707927550344</v>
      </c>
      <c r="N446" s="70">
        <v>65.816813774948599</v>
      </c>
      <c r="O446" s="70">
        <v>86.984825088244378</v>
      </c>
      <c r="P446" s="70">
        <v>78.721484149276279</v>
      </c>
      <c r="Q446" s="70">
        <v>70.551035201813988</v>
      </c>
      <c r="R446" s="70">
        <v>80.075210594539811</v>
      </c>
      <c r="S446" s="70">
        <v>100.46098087469403</v>
      </c>
      <c r="T446" s="70">
        <v>104.30589842646215</v>
      </c>
      <c r="U446" s="70">
        <v>115.02671572120686</v>
      </c>
      <c r="V446" s="70">
        <v>156.17130966666917</v>
      </c>
      <c r="X446" s="193">
        <f>((0-('Appendix K'!$I$30))/(1+$Y$16)^0)</f>
        <v>-33594902.4440751</v>
      </c>
      <c r="Y446" s="193">
        <f>(((B446*'Appendix K'!$C$5*1000)-('Appendix K'!$E$31+'Appendix K'!$F$31+'Appendix K'!$H$31+'Appendix K'!$G$31))/((1+$Y$16)^1))</f>
        <v>34971064.972647354</v>
      </c>
      <c r="Z446" s="193">
        <f>+(((C446*'Appendix K'!$C$6*1000)-('Appendix K'!$E$32+'Appendix K'!$F$32+'Appendix K'!$H$32+'Appendix K'!$G$32))/((1+$Y$16)^2))</f>
        <v>8442947.3297881559</v>
      </c>
      <c r="AA446" s="193">
        <f>(((D446*'Appendix K'!$C$7*1000)-('Appendix K'!$E$33+'Appendix K'!$F$33+'Appendix K'!$H$33+'Appendix K'!$G$33))/((1+$Y$16)^3))</f>
        <v>1313984.855043266</v>
      </c>
      <c r="AB446" s="193">
        <f>(((E446*'Appendix K'!$C$8*1000)-('Appendix K'!$E$34+'Appendix K'!$F$34+'Appendix K'!$H$34+'Appendix K'!$G$34))/((1+$Y$16)^4))</f>
        <v>5271904.8626767434</v>
      </c>
      <c r="AC446" s="193">
        <f>(((F446*'Appendix K'!$C$9*1000)-('Appendix K'!$E$35+'Appendix K'!$F$35+'Appendix K'!$H$35+'Appendix K'!$G$35))/((1+$Y$16)^AC$34))</f>
        <v>15483959.389484445</v>
      </c>
      <c r="AD446" s="193">
        <f>(((G446*'Appendix K'!$C$10*1000)-('Appendix K'!$E$36+'Appendix K'!$F$36+'Appendix K'!$H$36+'Appendix K'!$G$36))/((1+$Y$16)^AD$34))</f>
        <v>9110034.7215865478</v>
      </c>
      <c r="AE446" s="193">
        <f>(((H446*'Appendix K'!$C$11*1000)-('Appendix K'!$E$37+'Appendix K'!$F$37+'Appendix K'!$H$37+'Appendix K'!$G$37))/((1+$Y$16)^AE$34))</f>
        <v>9840499.5716726743</v>
      </c>
      <c r="AF446" s="193">
        <f>(((I446*'Appendix K'!$C$12*1000)-('Appendix K'!$E$38+'Appendix K'!$F$38+'Appendix K'!$H$38+'Appendix K'!$G$38))/((1+$Y$16)^AF$34))</f>
        <v>6329865.7975871526</v>
      </c>
      <c r="AG446" s="193">
        <f>(((J446*'Appendix K'!$C$13*1000)-('Appendix K'!$E$39+'Appendix K'!$F$39+'Appendix K'!$H$39+'Appendix K'!$G$39))/((1+$Y$16)^AG$34))</f>
        <v>3574029.3212179895</v>
      </c>
      <c r="AH446" s="193">
        <f>(((K446*'Appendix K'!$C$14*1000)-('Appendix K'!$E$40+'Appendix K'!$F$40+'Appendix K'!$H$40+'Appendix K'!$G$40))/((1+$Y$16)^AH$34))</f>
        <v>2279777.4833458862</v>
      </c>
      <c r="AI446" s="193">
        <f>(((L446*'Appendix K'!$C$15*1000)-('Appendix K'!$E$41+'Appendix K'!$F$41+'Appendix K'!$H$41+'Appendix K'!$G$41))/((1+$Y$16)^AI$34))</f>
        <v>1578932.8410650834</v>
      </c>
      <c r="AJ446" s="193">
        <f>(((M446*'Appendix K'!$C$16*1000)-('Appendix K'!$E$42+'Appendix K'!$F$42+'Appendix K'!$H$42+'Appendix K'!$G$42))/((1+$Y$16)^AJ$34))</f>
        <v>2372432.6081596799</v>
      </c>
      <c r="AK446" s="193">
        <f>(((N446*'Appendix K'!$C$17*1000)-('Appendix K'!$E$43+'Appendix K'!$F$43+'Appendix K'!$H$43))/((1+$Y$16)^AK$34))</f>
        <v>6944.161772075051</v>
      </c>
      <c r="AL446" s="193">
        <f>(((O446*'Appendix K'!$C$18*1000)-('Appendix K'!$E$44+'Appendix K'!$F$44+'Appendix K'!$H$44+'Appendix K'!$G$44))/((1+$Y$16)^AL$34))</f>
        <v>-103532.3984295202</v>
      </c>
      <c r="AM446" s="193">
        <f>(((P446*'Appendix K'!$C$19*1000)-('Appendix K'!$E$45+'Appendix K'!$F$45+'Appendix K'!$H$45+'Appendix K'!$G$45))/((1+$Y$16)^AM$34))</f>
        <v>-297117.61924395995</v>
      </c>
      <c r="AN446" s="193">
        <f>(((Q446*'Appendix K'!$C$20*1000)-('Appendix K'!$E$46+'Appendix K'!$F$46+'Appendix K'!$H$46+'Appendix K'!$G$46))/((1+$Y$16)^AN$34))</f>
        <v>-405186.24626805534</v>
      </c>
      <c r="AO446" s="193">
        <f>(((R446*'Appendix K'!$C$21*1000)-('Appendix K'!$E$47+'Appendix K'!$F$47+'Appendix K'!$H$47+'Appendix K'!$G$47))/((1+$Y$16)^AO$34))</f>
        <v>-369745.58405478479</v>
      </c>
      <c r="AP446" s="193">
        <f>(((S446*'Appendix K'!$C$22*1000)-('Appendix K'!$E$48+'Appendix K'!$F$48+'Appendix K'!$H$48+'Appendix K'!$G$48))/((1+$Y$16)^AP$34))</f>
        <v>-283273.32963692339</v>
      </c>
      <c r="AQ446" s="193">
        <f>(((T446*'Appendix K'!$C$23*1000)-('Appendix K'!$E$49+'Appendix K'!$F$49+'Appendix K'!$H$49+'Appendix K'!$G$49))/((1+$Y$16)^AQ$34))</f>
        <v>-285259.04806544073</v>
      </c>
      <c r="AR446" s="193">
        <f>(((U446*'Appendix K'!$C$24*1000)-('Appendix K'!$E$50+'Appendix K'!$F$50+'Appendix K'!$H$50+'Appendix K'!$G$50))/((1+$Y$16)^AR$34))</f>
        <v>-258899.62176874111</v>
      </c>
      <c r="AS446" s="209">
        <f t="shared" si="28"/>
        <v>66981475.471971937</v>
      </c>
      <c r="AU446" s="199">
        <f t="shared" si="27"/>
        <v>6.5799852827855074E-9</v>
      </c>
    </row>
    <row r="447" spans="1:47" x14ac:dyDescent="0.35">
      <c r="A447">
        <v>413</v>
      </c>
      <c r="B447" s="70">
        <v>56</v>
      </c>
      <c r="C447" s="70">
        <v>91.323894565064293</v>
      </c>
      <c r="D447" s="70">
        <v>113.38531129201547</v>
      </c>
      <c r="E447" s="70">
        <v>120.29415473634015</v>
      </c>
      <c r="F447" s="70">
        <v>192.60263302599196</v>
      </c>
      <c r="G447" s="70">
        <v>170.00747409822935</v>
      </c>
      <c r="H447" s="70">
        <v>214.80549077058706</v>
      </c>
      <c r="I447" s="70">
        <v>323.9164639810765</v>
      </c>
      <c r="J447" s="70">
        <v>500</v>
      </c>
      <c r="K447" s="70">
        <v>500</v>
      </c>
      <c r="L447" s="70">
        <v>185.32155198095074</v>
      </c>
      <c r="M447" s="70">
        <v>274.747971001677</v>
      </c>
      <c r="N447" s="70">
        <v>347.73905061931953</v>
      </c>
      <c r="O447" s="70">
        <v>500</v>
      </c>
      <c r="P447" s="70">
        <v>486.02557462537618</v>
      </c>
      <c r="Q447" s="70">
        <v>500</v>
      </c>
      <c r="R447" s="70">
        <v>500</v>
      </c>
      <c r="S447" s="70">
        <v>500</v>
      </c>
      <c r="T447" s="70">
        <v>350.22379498641482</v>
      </c>
      <c r="U447" s="70">
        <v>410.83169932228498</v>
      </c>
      <c r="V447" s="70">
        <v>464.72596891397001</v>
      </c>
      <c r="X447" s="193">
        <f>((0-('Appendix K'!$I$30))/(1+$Y$16)^0)</f>
        <v>-33594902.4440751</v>
      </c>
      <c r="Y447" s="193">
        <f>(((B447*'Appendix K'!$C$5*1000)-('Appendix K'!$E$31+'Appendix K'!$F$31+'Appendix K'!$H$31+'Appendix K'!$G$31))/((1+$Y$16)^1))</f>
        <v>34971064.972647354</v>
      </c>
      <c r="Z447" s="193">
        <f>+(((C447*'Appendix K'!$C$6*1000)-('Appendix K'!$E$32+'Appendix K'!$F$32+'Appendix K'!$H$32+'Appendix K'!$G$32))/((1+$Y$16)^2))</f>
        <v>19582730.021149632</v>
      </c>
      <c r="AA447" s="193">
        <f>(((D447*'Appendix K'!$C$7*1000)-('Appendix K'!$E$33+'Appendix K'!$F$33+'Appendix K'!$H$33+'Appendix K'!$G$33))/((1+$Y$16)^3))</f>
        <v>11477541.490223914</v>
      </c>
      <c r="AB447" s="193">
        <f>(((E447*'Appendix K'!$C$8*1000)-('Appendix K'!$E$34+'Appendix K'!$F$34+'Appendix K'!$H$34+'Appendix K'!$G$34))/((1+$Y$16)^4))</f>
        <v>23074169.642354261</v>
      </c>
      <c r="AC447" s="193">
        <f>(((F447*'Appendix K'!$C$9*1000)-('Appendix K'!$E$35+'Appendix K'!$F$35+'Appendix K'!$H$35+'Appendix K'!$G$35))/((1+$Y$16)^AC$34))</f>
        <v>48209248.89874272</v>
      </c>
      <c r="AD447" s="193">
        <f>(((G447*'Appendix K'!$C$10*1000)-('Appendix K'!$E$36+'Appendix K'!$F$36+'Appendix K'!$H$36+'Appendix K'!$G$36))/((1+$Y$16)^AD$34))</f>
        <v>24182882.541903093</v>
      </c>
      <c r="AE447" s="193">
        <f>(((H447*'Appendix K'!$C$11*1000)-('Appendix K'!$E$37+'Appendix K'!$F$37+'Appendix K'!$H$37+'Appendix K'!$G$37))/((1+$Y$16)^AE$34))</f>
        <v>19204249.345125061</v>
      </c>
      <c r="AF447" s="193">
        <f>(((I447*'Appendix K'!$C$12*1000)-('Appendix K'!$E$38+'Appendix K'!$F$38+'Appendix K'!$H$38+'Appendix K'!$G$38))/((1+$Y$16)^AF$34))</f>
        <v>19272562.172255792</v>
      </c>
      <c r="AG447" s="193">
        <f>(((J447*'Appendix K'!$C$13*1000)-('Appendix K'!$E$39+'Appendix K'!$F$39+'Appendix K'!$H$39+'Appendix K'!$G$39))/((1+$Y$16)^AG$34))</f>
        <v>21194522.409894329</v>
      </c>
      <c r="AH447" s="193">
        <f>(((K447*'Appendix K'!$C$14*1000)-('Appendix K'!$E$40+'Appendix K'!$F$40+'Appendix K'!$H$40+'Appendix K'!$G$40))/((1+$Y$16)^AH$34))</f>
        <v>15220522.22201786</v>
      </c>
      <c r="AI447" s="193">
        <f>(((L447*'Appendix K'!$C$15*1000)-('Appendix K'!$E$41+'Appendix K'!$F$41+'Appendix K'!$H$41+'Appendix K'!$G$41))/((1+$Y$16)^AI$34))</f>
        <v>3339289.8665714129</v>
      </c>
      <c r="AJ447" s="193">
        <f>(((M447*'Appendix K'!$C$16*1000)-('Appendix K'!$E$42+'Appendix K'!$F$42+'Appendix K'!$H$42+'Appendix K'!$G$42))/((1+$Y$16)^AJ$34))</f>
        <v>4124911.3285687901</v>
      </c>
      <c r="AK447" s="193">
        <f>(((N447*'Appendix K'!$C$17*1000)-('Appendix K'!$E$43+'Appendix K'!$F$43+'Appendix K'!$H$43))/((1+$Y$16)^AK$34))</f>
        <v>4338368.5010825694</v>
      </c>
      <c r="AL447" s="193">
        <f>(((O447*'Appendix K'!$C$18*1000)-('Appendix K'!$E$44+'Appendix K'!$F$44+'Appendix K'!$H$44+'Appendix K'!$G$44))/((1+$Y$16)^AL$34))</f>
        <v>4792058.0003928225</v>
      </c>
      <c r="AM447" s="193">
        <f>(((P447*'Appendix K'!$C$19*1000)-('Appendix K'!$E$45+'Appendix K'!$F$45+'Appendix K'!$H$45+'Appendix K'!$G$45))/((1+$Y$16)^AM$34))</f>
        <v>3478074.7532745413</v>
      </c>
      <c r="AN447" s="193">
        <f>(((Q447*'Appendix K'!$C$20*1000)-('Appendix K'!$E$46+'Appendix K'!$F$46+'Appendix K'!$H$46+'Appendix K'!$G$46))/((1+$Y$16)^AN$34))</f>
        <v>2702399.606577659</v>
      </c>
      <c r="AO447" s="193">
        <f>(((R447*'Appendix K'!$C$21*1000)-('Appendix K'!$E$47+'Appendix K'!$F$47+'Appendix K'!$H$47+'Appendix K'!$G$47))/((1+$Y$16)^AO$34))</f>
        <v>2112056.3146391152</v>
      </c>
      <c r="AP447" s="193">
        <f>(((S447*'Appendix K'!$C$22*1000)-('Appendix K'!$E$48+'Appendix K'!$F$48+'Appendix K'!$H$48+'Appendix K'!$G$48))/((1+$Y$16)^AP$34))</f>
        <v>1630406.4380253027</v>
      </c>
      <c r="AQ447" s="193">
        <f>(((T447*'Appendix K'!$C$23*1000)-('Appendix K'!$E$49+'Appendix K'!$F$49+'Appendix K'!$H$49+'Appendix K'!$G$49))/((1+$Y$16)^AQ$34))</f>
        <v>677200.64247410023</v>
      </c>
      <c r="AR447" s="193">
        <f>(((U447*'Appendix K'!$C$24*1000)-('Appendix K'!$E$50+'Appendix K'!$F$50+'Appendix K'!$H$50+'Appendix K'!$G$50))/((1+$Y$16)^AR$34))</f>
        <v>693600.71354473033</v>
      </c>
      <c r="AS447" s="209">
        <f t="shared" si="28"/>
        <v>230682957.43738991</v>
      </c>
      <c r="AU447" s="199">
        <f t="shared" si="27"/>
        <v>2.9305018818294481E-10</v>
      </c>
    </row>
    <row r="448" spans="1:47" x14ac:dyDescent="0.35">
      <c r="A448">
        <v>414</v>
      </c>
      <c r="B448" s="70">
        <v>56</v>
      </c>
      <c r="C448" s="70">
        <v>32.517596445485182</v>
      </c>
      <c r="D448" s="70">
        <v>33.658520891642112</v>
      </c>
      <c r="E448" s="70">
        <v>19.082427907723996</v>
      </c>
      <c r="F448" s="70">
        <v>28.357962496825081</v>
      </c>
      <c r="G448" s="70">
        <v>31.932929657053712</v>
      </c>
      <c r="H448" s="70">
        <v>30.96514728361997</v>
      </c>
      <c r="I448" s="70">
        <v>34.281931005622134</v>
      </c>
      <c r="J448" s="70">
        <v>55.380797173172397</v>
      </c>
      <c r="K448" s="70">
        <v>49.313733166840414</v>
      </c>
      <c r="L448" s="70">
        <v>53.440226204301595</v>
      </c>
      <c r="M448" s="70">
        <v>81.506161638376511</v>
      </c>
      <c r="N448" s="70">
        <v>68.352413715616933</v>
      </c>
      <c r="O448" s="70">
        <v>78.510047415966241</v>
      </c>
      <c r="P448" s="70">
        <v>94.479441015454483</v>
      </c>
      <c r="Q448" s="70">
        <v>146.94428120841036</v>
      </c>
      <c r="R448" s="70">
        <v>119.39678140924825</v>
      </c>
      <c r="S448" s="70">
        <v>79.527315286967095</v>
      </c>
      <c r="T448" s="70">
        <v>43.747325382344322</v>
      </c>
      <c r="U448" s="70">
        <v>55.833281687261533</v>
      </c>
      <c r="V448" s="70">
        <v>60.493922665990681</v>
      </c>
      <c r="X448" s="193">
        <f>((0-('Appendix K'!$I$30))/(1+$Y$16)^0)</f>
        <v>-33594902.4440751</v>
      </c>
      <c r="Y448" s="193">
        <f>(((B448*'Appendix K'!$C$5*1000)-('Appendix K'!$E$31+'Appendix K'!$F$31+'Appendix K'!$H$31+'Appendix K'!$G$31))/((1+$Y$16)^1))</f>
        <v>34971064.972647354</v>
      </c>
      <c r="Z448" s="193">
        <f>+(((C448*'Appendix K'!$C$6*1000)-('Appendix K'!$E$32+'Appendix K'!$F$32+'Appendix K'!$H$32+'Appendix K'!$G$32))/((1+$Y$16)^2))</f>
        <v>4727253.3447301779</v>
      </c>
      <c r="AA448" s="193">
        <f>(((D448*'Appendix K'!$C$7*1000)-('Appendix K'!$E$33+'Appendix K'!$F$33+'Appendix K'!$H$33+'Appendix K'!$G$33))/((1+$Y$16)^3))</f>
        <v>1322351.7394263435</v>
      </c>
      <c r="AB448" s="193">
        <f>(((E448*'Appendix K'!$C$8*1000)-('Appendix K'!$E$34+'Appendix K'!$F$34+'Appendix K'!$H$34+'Appendix K'!$G$34))/((1+$Y$16)^4))</f>
        <v>889485.62570436369</v>
      </c>
      <c r="AC448" s="193">
        <f>(((F448*'Appendix K'!$C$9*1000)-('Appendix K'!$E$35+'Appendix K'!$F$35+'Appendix K'!$H$35+'Appendix K'!$G$35))/((1+$Y$16)^AC$34))</f>
        <v>4553273.3825049149</v>
      </c>
      <c r="AD448" s="193">
        <f>(((G448*'Appendix K'!$C$10*1000)-('Appendix K'!$E$36+'Appendix K'!$F$36+'Appendix K'!$H$36+'Appendix K'!$G$36))/((1+$Y$16)^AD$34))</f>
        <v>2499110.4790453883</v>
      </c>
      <c r="AE448" s="193">
        <f>(((H448*'Appendix K'!$C$11*1000)-('Appendix K'!$E$37+'Appendix K'!$F$37+'Appendix K'!$H$37+'Appendix K'!$G$37))/((1+$Y$16)^AE$34))</f>
        <v>868449.40125036857</v>
      </c>
      <c r="AF448" s="193">
        <f>(((I448*'Appendix K'!$C$12*1000)-('Appendix K'!$E$38+'Appendix K'!$F$38+'Appendix K'!$H$38+'Appendix K'!$G$38))/((1+$Y$16)^AF$34))</f>
        <v>254455.78276902827</v>
      </c>
      <c r="AG448" s="193">
        <f>(((J448*'Appendix K'!$C$13*1000)-('Appendix K'!$E$39+'Appendix K'!$F$39+'Appendix K'!$H$39+'Appendix K'!$G$39))/((1+$Y$16)^AG$34))</f>
        <v>733621.29932864022</v>
      </c>
      <c r="AH448" s="193">
        <f>(((K448*'Appendix K'!$C$14*1000)-('Appendix K'!$E$40+'Appendix K'!$F$40+'Appendix K'!$H$40+'Appendix K'!$G$40))/((1+$Y$16)^AH$34))</f>
        <v>29453.510374282021</v>
      </c>
      <c r="AI448" s="193">
        <f>(((L448*'Appendix K'!$C$15*1000)-('Appendix K'!$E$41+'Appendix K'!$F$41+'Appendix K'!$H$41+'Appendix K'!$G$41))/((1+$Y$16)^AI$34))</f>
        <v>-116247.48806529872</v>
      </c>
      <c r="AJ448" s="193">
        <f>(((M448*'Appendix K'!$C$16*1000)-('Appendix K'!$E$42+'Appendix K'!$F$42+'Appendix K'!$H$42+'Appendix K'!$G$42))/((1+$Y$16)^AJ$34))</f>
        <v>251984.69073156532</v>
      </c>
      <c r="AK448" s="193">
        <f>(((N448*'Appendix K'!$C$17*1000)-('Appendix K'!$E$43+'Appendix K'!$F$43+'Appendix K'!$H$43))/((1+$Y$16)^AK$34))</f>
        <v>45900.859266738567</v>
      </c>
      <c r="AL448" s="193">
        <f>(((O448*'Appendix K'!$C$18*1000)-('Appendix K'!$E$44+'Appendix K'!$F$44+'Appendix K'!$H$44+'Appendix K'!$G$44))/((1+$Y$16)^AL$34))</f>
        <v>-203986.4319003807</v>
      </c>
      <c r="AM448" s="193">
        <f>(((P448*'Appendix K'!$C$19*1000)-('Appendix K'!$E$45+'Appendix K'!$F$45+'Appendix K'!$H$45+'Appendix K'!$G$45))/((1+$Y$16)^AM$34))</f>
        <v>-151061.34345715377</v>
      </c>
      <c r="AN448" s="193">
        <f>(((Q448*'Appendix K'!$C$20*1000)-('Appendix K'!$E$46+'Appendix K'!$F$46+'Appendix K'!$H$46+'Appendix K'!$G$46))/((1+$Y$16)^AN$34))</f>
        <v>147611.85083441102</v>
      </c>
      <c r="AO448" s="193">
        <f>(((R448*'Appendix K'!$C$21*1000)-('Appendix K'!$E$47+'Appendix K'!$F$47+'Appendix K'!$H$47+'Appendix K'!$G$47))/((1+$Y$16)^AO$34))</f>
        <v>-137350.75629113204</v>
      </c>
      <c r="AP448" s="193">
        <f>(((S448*'Appendix K'!$C$22*1000)-('Appendix K'!$E$48+'Appendix K'!$F$48+'Appendix K'!$H$48+'Appendix K'!$G$48))/((1+$Y$16)^AP$34))</f>
        <v>-383539.7125948192</v>
      </c>
      <c r="AQ448" s="193">
        <f>(((T448*'Appendix K'!$C$23*1000)-('Appendix K'!$E$49+'Appendix K'!$F$49+'Appendix K'!$H$49+'Appendix K'!$G$49))/((1+$Y$16)^AQ$34))</f>
        <v>-522269.79956781626</v>
      </c>
      <c r="AR448" s="193">
        <f>(((U448*'Appendix K'!$C$24*1000)-('Appendix K'!$E$50+'Appendix K'!$F$50+'Appendix K'!$H$50+'Appendix K'!$G$50))/((1+$Y$16)^AR$34))</f>
        <v>-449504.13789050147</v>
      </c>
      <c r="AS448" s="209">
        <f t="shared" si="28"/>
        <v>17699114.494538486</v>
      </c>
      <c r="AU448" s="199">
        <f t="shared" si="27"/>
        <v>3.2910881057692885E-9</v>
      </c>
    </row>
    <row r="449" spans="1:47" x14ac:dyDescent="0.35">
      <c r="A449">
        <v>415</v>
      </c>
      <c r="B449" s="70">
        <v>56</v>
      </c>
      <c r="C449" s="70">
        <v>55.800106952924374</v>
      </c>
      <c r="D449" s="70">
        <v>71.698483100732787</v>
      </c>
      <c r="E449" s="70">
        <v>83.814150287843475</v>
      </c>
      <c r="F449" s="70">
        <v>100.53141506664571</v>
      </c>
      <c r="G449" s="70">
        <v>111.17353063720185</v>
      </c>
      <c r="H449" s="70">
        <v>134.26127822204737</v>
      </c>
      <c r="I449" s="70">
        <v>111.33714895709264</v>
      </c>
      <c r="J449" s="70">
        <v>125.77051853366127</v>
      </c>
      <c r="K449" s="70">
        <v>107.30045356126288</v>
      </c>
      <c r="L449" s="70">
        <v>138.35164585901163</v>
      </c>
      <c r="M449" s="70">
        <v>125.1382647594605</v>
      </c>
      <c r="N449" s="70">
        <v>123.36821358557533</v>
      </c>
      <c r="O449" s="70">
        <v>101.38346371269984</v>
      </c>
      <c r="P449" s="70">
        <v>130.67029245296226</v>
      </c>
      <c r="Q449" s="70">
        <v>98.939153490514656</v>
      </c>
      <c r="R449" s="70">
        <v>60.615432697812565</v>
      </c>
      <c r="S449" s="70">
        <v>67.841769936078506</v>
      </c>
      <c r="T449" s="70">
        <v>73.759669050416392</v>
      </c>
      <c r="U449" s="70">
        <v>105.73885481465879</v>
      </c>
      <c r="V449" s="70">
        <v>130.42277264393024</v>
      </c>
      <c r="X449" s="193">
        <f>((0-('Appendix K'!$I$30))/(1+$Y$16)^0)</f>
        <v>-33594902.4440751</v>
      </c>
      <c r="Y449" s="193">
        <f>(((B449*'Appendix K'!$C$5*1000)-('Appendix K'!$E$31+'Appendix K'!$F$31+'Appendix K'!$H$31+'Appendix K'!$G$31))/((1+$Y$16)^1))</f>
        <v>34971064.972647354</v>
      </c>
      <c r="Z449" s="193">
        <f>+(((C449*'Appendix K'!$C$6*1000)-('Appendix K'!$E$32+'Appendix K'!$F$32+'Appendix K'!$H$32+'Appendix K'!$G$32))/((1+$Y$16)^2))</f>
        <v>10608813.702575555</v>
      </c>
      <c r="AA449" s="193">
        <f>(((D449*'Appendix K'!$C$7*1000)-('Appendix K'!$E$33+'Appendix K'!$F$33+'Appendix K'!$H$33+'Appendix K'!$G$33))/((1+$Y$16)^3))</f>
        <v>6167687.0703300638</v>
      </c>
      <c r="AB449" s="193">
        <f>(((E449*'Appendix K'!$C$8*1000)-('Appendix K'!$E$34+'Appendix K'!$F$34+'Appendix K'!$H$34+'Appendix K'!$G$34))/((1+$Y$16)^4))</f>
        <v>15078086.609542452</v>
      </c>
      <c r="AC449" s="193">
        <f>(((F449*'Appendix K'!$C$9*1000)-('Appendix K'!$E$35+'Appendix K'!$F$35+'Appendix K'!$H$35+'Appendix K'!$G$35))/((1+$Y$16)^AC$34))</f>
        <v>23736863.742905155</v>
      </c>
      <c r="AD449" s="193">
        <f>(((G449*'Appendix K'!$C$10*1000)-('Appendix K'!$E$36+'Appendix K'!$F$36+'Appendix K'!$H$36+'Appendix K'!$G$36))/((1+$Y$16)^AD$34))</f>
        <v>14943367.577495685</v>
      </c>
      <c r="AE449" s="193">
        <f>(((H449*'Appendix K'!$C$11*1000)-('Appendix K'!$E$37+'Appendix K'!$F$37+'Appendix K'!$H$37+'Appendix K'!$G$37))/((1+$Y$16)^AE$34))</f>
        <v>11170960.569032002</v>
      </c>
      <c r="AF449" s="193">
        <f>(((I449*'Appendix K'!$C$12*1000)-('Appendix K'!$E$38+'Appendix K'!$F$38+'Appendix K'!$H$38+'Appendix K'!$G$38))/((1+$Y$16)^AF$34))</f>
        <v>5314088.4094846696</v>
      </c>
      <c r="AG449" s="193">
        <f>(((J449*'Appendix K'!$C$13*1000)-('Appendix K'!$E$39+'Appendix K'!$F$39+'Appendix K'!$H$39+'Appendix K'!$G$39))/((1+$Y$16)^AG$34))</f>
        <v>3972881.1396603379</v>
      </c>
      <c r="AH449" s="193">
        <f>(((K449*'Appendix K'!$C$14*1000)-('Appendix K'!$E$40+'Appendix K'!$F$40+'Appendix K'!$H$40+'Appendix K'!$G$40))/((1+$Y$16)^AH$34))</f>
        <v>1983984.4528505711</v>
      </c>
      <c r="AI449" s="193">
        <f>(((L449*'Appendix K'!$C$15*1000)-('Appendix K'!$E$41+'Appendix K'!$F$41+'Appendix K'!$H$41+'Appendix K'!$G$41))/((1+$Y$16)^AI$34))</f>
        <v>2108590.4920214633</v>
      </c>
      <c r="AJ449" s="193">
        <f>(((M449*'Appendix K'!$C$16*1000)-('Appendix K'!$E$42+'Appendix K'!$F$42+'Appendix K'!$H$42+'Appendix K'!$G$42))/((1+$Y$16)^AJ$34))</f>
        <v>1126453.4974524337</v>
      </c>
      <c r="AK449" s="193">
        <f>(((N449*'Appendix K'!$C$17*1000)-('Appendix K'!$E$43+'Appendix K'!$F$43+'Appendix K'!$H$43))/((1+$Y$16)^AK$34))</f>
        <v>891157.96729301848</v>
      </c>
      <c r="AL449" s="193">
        <f>(((O449*'Appendix K'!$C$18*1000)-('Appendix K'!$E$44+'Appendix K'!$F$44+'Appendix K'!$H$44+'Appendix K'!$G$44))/((1+$Y$16)^AL$34))</f>
        <v>67138.902016177759</v>
      </c>
      <c r="AM449" s="193">
        <f>(((P449*'Appendix K'!$C$19*1000)-('Appendix K'!$E$45+'Appendix K'!$F$45+'Appendix K'!$H$45+'Appendix K'!$G$45))/((1+$Y$16)^AM$34))</f>
        <v>184381.95185108884</v>
      </c>
      <c r="AN449" s="193">
        <f>(((Q449*'Appendix K'!$C$20*1000)-('Appendix K'!$E$46+'Appendix K'!$F$46+'Appendix K'!$H$46+'Appendix K'!$G$46))/((1+$Y$16)^AN$34))</f>
        <v>-199763.66520691797</v>
      </c>
      <c r="AO449" s="193">
        <f>(((R449*'Appendix K'!$C$21*1000)-('Appendix K'!$E$47+'Appendix K'!$F$47+'Appendix K'!$H$47+'Appendix K'!$G$47))/((1+$Y$16)^AO$34))</f>
        <v>-484755.02134148777</v>
      </c>
      <c r="AP449" s="193">
        <f>(((S449*'Appendix K'!$C$22*1000)-('Appendix K'!$E$48+'Appendix K'!$F$48+'Appendix K'!$H$48+'Appendix K'!$G$48))/((1+$Y$16)^AP$34))</f>
        <v>-439510.19518010441</v>
      </c>
      <c r="AQ449" s="193">
        <f>(((T449*'Appendix K'!$C$23*1000)-('Appendix K'!$E$49+'Appendix K'!$F$49+'Appendix K'!$H$49+'Appendix K'!$G$49))/((1+$Y$16)^AQ$34))</f>
        <v>-404809.1698080097</v>
      </c>
      <c r="AR449" s="193">
        <f>(((U449*'Appendix K'!$C$24*1000)-('Appendix K'!$E$50+'Appendix K'!$F$50+'Appendix K'!$H$50+'Appendix K'!$G$50))/((1+$Y$16)^AR$34))</f>
        <v>-288806.79412308702</v>
      </c>
      <c r="AS449" s="209">
        <f t="shared" si="28"/>
        <v>98730618.613082916</v>
      </c>
      <c r="AU449" s="199">
        <f t="shared" si="27"/>
        <v>6.8961658369491679E-9</v>
      </c>
    </row>
    <row r="450" spans="1:47" x14ac:dyDescent="0.35">
      <c r="A450">
        <v>416</v>
      </c>
      <c r="B450" s="70">
        <v>56</v>
      </c>
      <c r="C450" s="70">
        <v>69.303368736295283</v>
      </c>
      <c r="D450" s="70">
        <v>66.868017052088476</v>
      </c>
      <c r="E450" s="70">
        <v>53.397877579954354</v>
      </c>
      <c r="F450" s="70">
        <v>87.93214984726076</v>
      </c>
      <c r="G450" s="70">
        <v>63.431208945166929</v>
      </c>
      <c r="H450" s="70">
        <v>99.04052951706953</v>
      </c>
      <c r="I450" s="70">
        <v>110.39658629778037</v>
      </c>
      <c r="J450" s="70">
        <v>117.92173540978125</v>
      </c>
      <c r="K450" s="70">
        <v>168.14768929477475</v>
      </c>
      <c r="L450" s="70">
        <v>114.71125210792326</v>
      </c>
      <c r="M450" s="70">
        <v>104.30846279083985</v>
      </c>
      <c r="N450" s="70">
        <v>80.288011025759175</v>
      </c>
      <c r="O450" s="70">
        <v>99.722244418695141</v>
      </c>
      <c r="P450" s="70">
        <v>108.53389877387141</v>
      </c>
      <c r="Q450" s="70">
        <v>138.4511364117248</v>
      </c>
      <c r="R450" s="70">
        <v>173.78219218496298</v>
      </c>
      <c r="S450" s="70">
        <v>320.46481055949465</v>
      </c>
      <c r="T450" s="70">
        <v>221.82872066758563</v>
      </c>
      <c r="U450" s="70">
        <v>228.52412408446432</v>
      </c>
      <c r="V450" s="70">
        <v>141.7497523993419</v>
      </c>
      <c r="X450" s="193">
        <f>((0-('Appendix K'!$I$30))/(1+$Y$16)^0)</f>
        <v>-33594902.4440751</v>
      </c>
      <c r="Y450" s="193">
        <f>(((B450*'Appendix K'!$C$5*1000)-('Appendix K'!$E$31+'Appendix K'!$F$31+'Appendix K'!$H$31+'Appendix K'!$G$31))/((1+$Y$16)^1))</f>
        <v>34971064.972647354</v>
      </c>
      <c r="Z450" s="193">
        <f>+(((C450*'Appendix K'!$C$6*1000)-('Appendix K'!$E$32+'Appendix K'!$F$32+'Appendix K'!$H$32+'Appendix K'!$G$32))/((1+$Y$16)^2))</f>
        <v>14019968.57701689</v>
      </c>
      <c r="AA450" s="193">
        <f>(((D450*'Appendix K'!$C$7*1000)-('Appendix K'!$E$33+'Appendix K'!$F$33+'Appendix K'!$H$33+'Appendix K'!$G$33))/((1+$Y$16)^3))</f>
        <v>5552407.0739521002</v>
      </c>
      <c r="AB450" s="193">
        <f>(((E450*'Appendix K'!$C$8*1000)-('Appendix K'!$E$34+'Appendix K'!$F$34+'Appendix K'!$H$34+'Appendix K'!$G$34))/((1+$Y$16)^4))</f>
        <v>8411118.066150412</v>
      </c>
      <c r="AC450" s="193">
        <f>(((F450*'Appendix K'!$C$9*1000)-('Appendix K'!$E$35+'Appendix K'!$F$35+'Appendix K'!$H$35+'Appendix K'!$G$35))/((1+$Y$16)^AC$34))</f>
        <v>20387998.83198934</v>
      </c>
      <c r="AD450" s="193">
        <f>(((G450*'Appendix K'!$C$10*1000)-('Appendix K'!$E$36+'Appendix K'!$F$36+'Appendix K'!$H$36+'Appendix K'!$G$36))/((1+$Y$16)^AD$34))</f>
        <v>7445724.7244152892</v>
      </c>
      <c r="AE450" s="193">
        <f>(((H450*'Appendix K'!$C$11*1000)-('Appendix K'!$E$37+'Appendix K'!$F$37+'Appendix K'!$H$37+'Appendix K'!$G$37))/((1+$Y$16)^AE$34))</f>
        <v>7658126.6073518796</v>
      </c>
      <c r="AF450" s="193">
        <f>(((I450*'Appendix K'!$C$12*1000)-('Appendix K'!$E$38+'Appendix K'!$F$38+'Appendix K'!$H$38+'Appendix K'!$G$38))/((1+$Y$16)^AF$34))</f>
        <v>5252328.7824919345</v>
      </c>
      <c r="AG450" s="193">
        <f>(((J450*'Appendix K'!$C$13*1000)-('Appendix K'!$E$39+'Appendix K'!$F$39+'Appendix K'!$H$39+'Appendix K'!$G$39))/((1+$Y$16)^AG$34))</f>
        <v>3611688.5183903687</v>
      </c>
      <c r="AH450" s="193">
        <f>(((K450*'Appendix K'!$C$14*1000)-('Appendix K'!$E$40+'Appendix K'!$F$40+'Appendix K'!$H$40+'Appendix K'!$G$40))/((1+$Y$16)^AH$34))</f>
        <v>4034933.4321402702</v>
      </c>
      <c r="AI450" s="193">
        <f>(((L450*'Appendix K'!$C$15*1000)-('Appendix K'!$E$41+'Appendix K'!$F$41+'Appendix K'!$H$41+'Appendix K'!$G$41))/((1+$Y$16)^AI$34))</f>
        <v>1489167.9679898599</v>
      </c>
      <c r="AJ450" s="193">
        <f>(((M450*'Appendix K'!$C$16*1000)-('Appendix K'!$E$42+'Appendix K'!$F$42+'Appendix K'!$H$42+'Appendix K'!$G$42))/((1+$Y$16)^AJ$34))</f>
        <v>708985.3772203424</v>
      </c>
      <c r="AK450" s="193">
        <f>(((N450*'Appendix K'!$C$17*1000)-('Appendix K'!$E$43+'Appendix K'!$F$43+'Appendix K'!$H$43))/((1+$Y$16)^AK$34))</f>
        <v>229278.15249493389</v>
      </c>
      <c r="AL450" s="193">
        <f>(((O450*'Appendix K'!$C$18*1000)-('Appendix K'!$E$44+'Appendix K'!$F$44+'Appendix K'!$H$44+'Appendix K'!$G$44))/((1+$Y$16)^AL$34))</f>
        <v>47447.980907031109</v>
      </c>
      <c r="AM450" s="193">
        <f>(((P450*'Appendix K'!$C$19*1000)-('Appendix K'!$E$45+'Appendix K'!$F$45+'Appendix K'!$H$45+'Appendix K'!$G$45))/((1+$Y$16)^AM$34))</f>
        <v>-20794.344008562657</v>
      </c>
      <c r="AN450" s="193">
        <f>(((Q450*'Appendix K'!$C$20*1000)-('Appendix K'!$E$46+'Appendix K'!$F$46+'Appendix K'!$H$46+'Appendix K'!$G$46))/((1+$Y$16)^AN$34))</f>
        <v>86153.612999902674</v>
      </c>
      <c r="AO450" s="193">
        <f>(((R450*'Appendix K'!$C$21*1000)-('Appendix K'!$E$47+'Appendix K'!$F$47+'Appendix K'!$H$47+'Appendix K'!$G$47))/((1+$Y$16)^AO$34))</f>
        <v>184073.02989571268</v>
      </c>
      <c r="AP450" s="193">
        <f>(((S450*'Appendix K'!$C$22*1000)-('Appendix K'!$E$48+'Appendix K'!$F$48+'Appendix K'!$H$48+'Appendix K'!$G$48))/((1+$Y$16)^AP$34))</f>
        <v>770483.26864908077</v>
      </c>
      <c r="AQ450" s="193">
        <f>(((T450*'Appendix K'!$C$23*1000)-('Appendix K'!$E$49+'Appendix K'!$F$49+'Appendix K'!$H$49+'Appendix K'!$G$49))/((1+$Y$16)^AQ$34))</f>
        <v>174695.19157221707</v>
      </c>
      <c r="AR450" s="193">
        <f>(((U450*'Appendix K'!$C$24*1000)-('Appendix K'!$E$50+'Appendix K'!$F$50+'Appendix K'!$H$50+'Appendix K'!$G$50))/((1+$Y$16)^AR$34))</f>
        <v>106565.21322878091</v>
      </c>
      <c r="AS450" s="209">
        <f t="shared" si="28"/>
        <v>81547306.937428623</v>
      </c>
      <c r="AU450" s="199">
        <f t="shared" si="27"/>
        <v>6.9895822134439515E-9</v>
      </c>
    </row>
    <row r="451" spans="1:47" x14ac:dyDescent="0.35">
      <c r="A451">
        <v>417</v>
      </c>
      <c r="B451" s="70">
        <v>56</v>
      </c>
      <c r="C451" s="70">
        <v>58.333381638964731</v>
      </c>
      <c r="D451" s="70">
        <v>29.902135563851353</v>
      </c>
      <c r="E451" s="70">
        <v>29.244439053440836</v>
      </c>
      <c r="F451" s="70">
        <v>39.89414988744204</v>
      </c>
      <c r="G451" s="70">
        <v>60.854968210950062</v>
      </c>
      <c r="H451" s="70">
        <v>61.729671795776206</v>
      </c>
      <c r="I451" s="70">
        <v>74.869441668894012</v>
      </c>
      <c r="J451" s="70">
        <v>103.75441681465338</v>
      </c>
      <c r="K451" s="70">
        <v>164.59577489275591</v>
      </c>
      <c r="L451" s="70">
        <v>216.89519373936579</v>
      </c>
      <c r="M451" s="70">
        <v>261.23076056715325</v>
      </c>
      <c r="N451" s="70">
        <v>233.32759840625681</v>
      </c>
      <c r="O451" s="70">
        <v>147.81030202310956</v>
      </c>
      <c r="P451" s="70">
        <v>177.89260945367201</v>
      </c>
      <c r="Q451" s="70">
        <v>123.65789801266158</v>
      </c>
      <c r="R451" s="70">
        <v>168.75129444216736</v>
      </c>
      <c r="S451" s="70">
        <v>163.43311886438403</v>
      </c>
      <c r="T451" s="70">
        <v>224.50824116227565</v>
      </c>
      <c r="U451" s="70">
        <v>230.11780842895547</v>
      </c>
      <c r="V451" s="70">
        <v>306.92239985585906</v>
      </c>
      <c r="X451" s="193">
        <f>((0-('Appendix K'!$I$30))/(1+$Y$16)^0)</f>
        <v>-33594902.4440751</v>
      </c>
      <c r="Y451" s="193">
        <f>(((B451*'Appendix K'!$C$5*1000)-('Appendix K'!$E$31+'Appendix K'!$F$31+'Appendix K'!$H$31+'Appendix K'!$G$31))/((1+$Y$16)^1))</f>
        <v>34971064.972647354</v>
      </c>
      <c r="Z451" s="193">
        <f>+(((C451*'Appendix K'!$C$6*1000)-('Appendix K'!$E$32+'Appendix K'!$F$32+'Appendix K'!$H$32+'Appendix K'!$G$32))/((1+$Y$16)^2))</f>
        <v>11248762.21518065</v>
      </c>
      <c r="AA451" s="193">
        <f>(((D451*'Appendix K'!$C$7*1000)-('Appendix K'!$E$33+'Appendix K'!$F$33+'Appendix K'!$H$33+'Appendix K'!$G$33))/((1+$Y$16)^3))</f>
        <v>843882.63776978862</v>
      </c>
      <c r="AB451" s="193">
        <f>(((E451*'Appendix K'!$C$8*1000)-('Appendix K'!$E$34+'Appendix K'!$F$34+'Appendix K'!$H$34+'Appendix K'!$G$34))/((1+$Y$16)^4))</f>
        <v>3116905.4445870724</v>
      </c>
      <c r="AC451" s="193">
        <f>(((F451*'Appendix K'!$C$9*1000)-('Appendix K'!$E$35+'Appendix K'!$F$35+'Appendix K'!$H$35+'Appendix K'!$G$35))/((1+$Y$16)^AC$34))</f>
        <v>7619573.8758659512</v>
      </c>
      <c r="AD451" s="193">
        <f>(((G451*'Appendix K'!$C$10*1000)-('Appendix K'!$E$36+'Appendix K'!$F$36+'Appendix K'!$H$36+'Appendix K'!$G$36))/((1+$Y$16)^AD$34))</f>
        <v>7041141.6994565697</v>
      </c>
      <c r="AE451" s="193">
        <f>(((H451*'Appendix K'!$C$11*1000)-('Appendix K'!$E$37+'Appendix K'!$F$37+'Appendix K'!$H$37+'Appendix K'!$G$37))/((1+$Y$16)^AE$34))</f>
        <v>3936830.1283746944</v>
      </c>
      <c r="AF451" s="193">
        <f>(((I451*'Appendix K'!$C$12*1000)-('Appendix K'!$E$38+'Appendix K'!$F$38+'Appendix K'!$H$38+'Appendix K'!$G$38))/((1+$Y$16)^AF$34))</f>
        <v>2919530.2403923152</v>
      </c>
      <c r="AG451" s="193">
        <f>(((J451*'Appendix K'!$C$13*1000)-('Appendix K'!$E$39+'Appendix K'!$F$39+'Appendix K'!$H$39+'Appendix K'!$G$39))/((1+$Y$16)^AG$34))</f>
        <v>2959723.6393797519</v>
      </c>
      <c r="AH451" s="193">
        <f>(((K451*'Appendix K'!$C$14*1000)-('Appendix K'!$E$40+'Appendix K'!$F$40+'Appendix K'!$H$40+'Appendix K'!$G$40))/((1+$Y$16)^AH$34))</f>
        <v>3915210.7343130484</v>
      </c>
      <c r="AI451" s="193">
        <f>(((L451*'Appendix K'!$C$15*1000)-('Appendix K'!$E$41+'Appendix K'!$F$41+'Appendix K'!$H$41+'Appendix K'!$G$41))/((1+$Y$16)^AI$34))</f>
        <v>4166578.3236414939</v>
      </c>
      <c r="AJ451" s="193">
        <f>(((M451*'Appendix K'!$C$16*1000)-('Appendix K'!$E$42+'Appendix K'!$F$42+'Appendix K'!$H$42+'Appendix K'!$G$42))/((1+$Y$16)^AJ$34))</f>
        <v>3854001.195127137</v>
      </c>
      <c r="AK451" s="193">
        <f>(((N451*'Appendix K'!$C$17*1000)-('Appendix K'!$E$43+'Appendix K'!$F$43+'Appendix K'!$H$43))/((1+$Y$16)^AK$34))</f>
        <v>2580562.6807311759</v>
      </c>
      <c r="AL451" s="193">
        <f>(((O451*'Appendix K'!$C$18*1000)-('Appendix K'!$E$44+'Appendix K'!$F$44+'Appendix K'!$H$44+'Appendix K'!$G$44))/((1+$Y$16)^AL$34))</f>
        <v>617449.87770534225</v>
      </c>
      <c r="AM451" s="193">
        <f>(((P451*'Appendix K'!$C$19*1000)-('Appendix K'!$E$45+'Appendix K'!$F$45+'Appendix K'!$H$45+'Appendix K'!$G$45))/((1+$Y$16)^AM$34))</f>
        <v>622072.94274034211</v>
      </c>
      <c r="AN451" s="193">
        <f>(((Q451*'Appendix K'!$C$20*1000)-('Appendix K'!$E$46+'Appendix K'!$F$46+'Appendix K'!$H$46+'Appendix K'!$G$46))/((1+$Y$16)^AN$34))</f>
        <v>-20893.468574287319</v>
      </c>
      <c r="AO451" s="193">
        <f>(((R451*'Appendix K'!$C$21*1000)-('Appendix K'!$E$47+'Appendix K'!$F$47+'Appendix K'!$H$47+'Appendix K'!$G$47))/((1+$Y$16)^AO$34))</f>
        <v>154339.86842200556</v>
      </c>
      <c r="AP451" s="193">
        <f>(((S451*'Appendix K'!$C$22*1000)-('Appendix K'!$E$48+'Appendix K'!$F$48+'Appendix K'!$H$48+'Appendix K'!$G$48))/((1+$Y$16)^AP$34))</f>
        <v>18345.537679535078</v>
      </c>
      <c r="AQ451" s="193">
        <f>(((T451*'Appendix K'!$C$23*1000)-('Appendix K'!$E$49+'Appendix K'!$F$49+'Appendix K'!$H$49+'Appendix K'!$G$49))/((1+$Y$16)^AQ$34))</f>
        <v>185182.14881359454</v>
      </c>
      <c r="AR451" s="193">
        <f>(((U451*'Appendix K'!$C$24*1000)-('Appendix K'!$E$50+'Appendix K'!$F$50+'Appendix K'!$H$50+'Appendix K'!$G$50))/((1+$Y$16)^AR$34))</f>
        <v>111696.92147125883</v>
      </c>
      <c r="AS451" s="209">
        <f t="shared" si="28"/>
        <v>57287952.640223958</v>
      </c>
      <c r="AU451" s="199">
        <f t="shared" si="27"/>
        <v>6.0941960651240945E-9</v>
      </c>
    </row>
    <row r="452" spans="1:47" x14ac:dyDescent="0.35">
      <c r="A452">
        <v>418</v>
      </c>
      <c r="B452" s="70">
        <v>56</v>
      </c>
      <c r="C452" s="70">
        <v>67.967369816626785</v>
      </c>
      <c r="D452" s="70">
        <v>81.224537287789047</v>
      </c>
      <c r="E452" s="70">
        <v>76.042487010770785</v>
      </c>
      <c r="F452" s="70">
        <v>78.430526055494568</v>
      </c>
      <c r="G452" s="70">
        <v>54.894294195668991</v>
      </c>
      <c r="H452" s="70">
        <v>46.477623693083437</v>
      </c>
      <c r="I452" s="70">
        <v>47.882722368758422</v>
      </c>
      <c r="J452" s="70">
        <v>64.45609861233595</v>
      </c>
      <c r="K452" s="70">
        <v>35.550579327640875</v>
      </c>
      <c r="L452" s="70">
        <v>26.124027802508181</v>
      </c>
      <c r="M452" s="70">
        <v>19.450624058938164</v>
      </c>
      <c r="N452" s="70">
        <v>39.870273385886009</v>
      </c>
      <c r="O452" s="70">
        <v>63.911894436733519</v>
      </c>
      <c r="P452" s="70">
        <v>89.381206829698243</v>
      </c>
      <c r="Q452" s="70">
        <v>106.81585992948084</v>
      </c>
      <c r="R452" s="70">
        <v>44.950864980623642</v>
      </c>
      <c r="S452" s="70">
        <v>33.103177598481693</v>
      </c>
      <c r="T452" s="70">
        <v>18.835761549099281</v>
      </c>
      <c r="U452" s="70">
        <v>13.826481410253106</v>
      </c>
      <c r="V452" s="70">
        <v>15.698232770672391</v>
      </c>
      <c r="X452" s="193">
        <f>((0-('Appendix K'!$I$30))/(1+$Y$16)^0)</f>
        <v>-33594902.4440751</v>
      </c>
      <c r="Y452" s="193">
        <f>(((B452*'Appendix K'!$C$5*1000)-('Appendix K'!$E$31+'Appendix K'!$F$31+'Appendix K'!$H$31+'Appendix K'!$G$31))/((1+$Y$16)^1))</f>
        <v>34971064.972647354</v>
      </c>
      <c r="Z452" s="193">
        <f>+(((C452*'Appendix K'!$C$6*1000)-('Appendix K'!$E$32+'Appendix K'!$F$32+'Appendix K'!$H$32+'Appendix K'!$G$32))/((1+$Y$16)^2))</f>
        <v>13682472.400153328</v>
      </c>
      <c r="AA452" s="193">
        <f>(((D452*'Appendix K'!$C$7*1000)-('Appendix K'!$E$33+'Appendix K'!$F$33+'Appendix K'!$H$33+'Appendix K'!$G$33))/((1+$Y$16)^3))</f>
        <v>7381067.0064861653</v>
      </c>
      <c r="AB452" s="193">
        <f>(((E452*'Appendix K'!$C$8*1000)-('Appendix K'!$E$34+'Appendix K'!$F$34+'Appendix K'!$H$34+'Appendix K'!$G$34))/((1+$Y$16)^4))</f>
        <v>13374609.161937907</v>
      </c>
      <c r="AC452" s="193">
        <f>(((F452*'Appendix K'!$C$9*1000)-('Appendix K'!$E$35+'Appendix K'!$F$35+'Appendix K'!$H$35+'Appendix K'!$G$35))/((1+$Y$16)^AC$34))</f>
        <v>17862482.148364682</v>
      </c>
      <c r="AD452" s="193">
        <f>(((G452*'Appendix K'!$C$10*1000)-('Appendix K'!$E$36+'Appendix K'!$F$36+'Appendix K'!$H$36+'Appendix K'!$G$36))/((1+$Y$16)^AD$34))</f>
        <v>6105053.898396193</v>
      </c>
      <c r="AE452" s="193">
        <f>(((H452*'Appendix K'!$C$11*1000)-('Appendix K'!$E$37+'Appendix K'!$F$37+'Appendix K'!$H$37+'Appendix K'!$G$37))/((1+$Y$16)^AE$34))</f>
        <v>2415627.0157121369</v>
      </c>
      <c r="AF452" s="193">
        <f>(((I452*'Appendix K'!$C$12*1000)-('Appendix K'!$E$38+'Appendix K'!$F$38+'Appendix K'!$H$38+'Appendix K'!$G$38))/((1+$Y$16)^AF$34))</f>
        <v>1147516.7533241499</v>
      </c>
      <c r="AG452" s="193">
        <f>(((J452*'Appendix K'!$C$13*1000)-('Appendix K'!$E$39+'Appendix K'!$F$39+'Appendix K'!$H$39+'Appendix K'!$G$39))/((1+$Y$16)^AG$34))</f>
        <v>1151256.9842354455</v>
      </c>
      <c r="AH452" s="193">
        <f>(((K452*'Appendix K'!$C$14*1000)-('Appendix K'!$E$40+'Appendix K'!$F$40+'Appendix K'!$H$40+'Appendix K'!$G$40))/((1+$Y$16)^AH$34))</f>
        <v>-434454.60275577696</v>
      </c>
      <c r="AI452" s="193">
        <f>(((L452*'Appendix K'!$C$15*1000)-('Appendix K'!$E$41+'Appendix K'!$F$41+'Appendix K'!$H$41+'Appendix K'!$G$41))/((1+$Y$16)^AI$34))</f>
        <v>-831982.96773377666</v>
      </c>
      <c r="AJ452" s="193">
        <f>(((M452*'Appendix K'!$C$16*1000)-('Appendix K'!$E$42+'Appendix K'!$F$42+'Appendix K'!$H$42+'Appendix K'!$G$42))/((1+$Y$16)^AJ$34))</f>
        <v>-991724.13868058193</v>
      </c>
      <c r="AK452" s="193">
        <f>(((N452*'Appendix K'!$C$17*1000)-('Appendix K'!$E$43+'Appendix K'!$F$43+'Appendix K'!$H$43))/((1+$Y$16)^AK$34))</f>
        <v>-391695.82427531318</v>
      </c>
      <c r="AL452" s="193">
        <f>(((O452*'Appendix K'!$C$18*1000)-('Appendix K'!$E$44+'Appendix K'!$F$44+'Appendix K'!$H$44+'Appendix K'!$G$44))/((1+$Y$16)^AL$34))</f>
        <v>-377022.6347007766</v>
      </c>
      <c r="AM452" s="193">
        <f>(((P452*'Appendix K'!$C$19*1000)-('Appendix K'!$E$45+'Appendix K'!$F$45+'Appendix K'!$H$45+'Appendix K'!$G$45))/((1+$Y$16)^AM$34))</f>
        <v>-198315.50873912367</v>
      </c>
      <c r="AN452" s="193">
        <f>(((Q452*'Appendix K'!$C$20*1000)-('Appendix K'!$E$46+'Appendix K'!$F$46+'Appendix K'!$H$46+'Appendix K'!$G$46))/((1+$Y$16)^AN$34))</f>
        <v>-142766.10902872824</v>
      </c>
      <c r="AO452" s="193">
        <f>(((R452*'Appendix K'!$C$21*1000)-('Appendix K'!$E$47+'Appendix K'!$F$47+'Appendix K'!$H$47+'Appendix K'!$G$47))/((1+$Y$16)^AO$34))</f>
        <v>-577334.34717214608</v>
      </c>
      <c r="AP452" s="193">
        <f>(((S452*'Appendix K'!$C$22*1000)-('Appendix K'!$E$48+'Appendix K'!$F$48+'Appendix K'!$H$48+'Appendix K'!$G$48))/((1+$Y$16)^AP$34))</f>
        <v>-605898.30280239298</v>
      </c>
      <c r="AQ452" s="193">
        <f>(((T452*'Appendix K'!$C$23*1000)-('Appendix K'!$E$49+'Appendix K'!$F$49+'Appendix K'!$H$49+'Appendix K'!$G$49))/((1+$Y$16)^AQ$34))</f>
        <v>-619767.28288723703</v>
      </c>
      <c r="AR452" s="193">
        <f>(((U452*'Appendix K'!$C$24*1000)-('Appendix K'!$E$50+'Appendix K'!$F$50+'Appendix K'!$H$50+'Appendix K'!$G$50))/((1+$Y$16)^AR$34))</f>
        <v>-584767.21176506463</v>
      </c>
      <c r="AS452" s="209">
        <f t="shared" si="28"/>
        <v>64496247.897182263</v>
      </c>
      <c r="AU452" s="199">
        <f t="shared" si="27"/>
        <v>6.4698335010660324E-9</v>
      </c>
    </row>
    <row r="453" spans="1:47" x14ac:dyDescent="0.35">
      <c r="A453">
        <v>419</v>
      </c>
      <c r="B453" s="70">
        <v>56</v>
      </c>
      <c r="C453" s="70">
        <v>69.91624000027295</v>
      </c>
      <c r="D453" s="70">
        <v>83.913807091590542</v>
      </c>
      <c r="E453" s="70">
        <v>72.58235247862099</v>
      </c>
      <c r="F453" s="70">
        <v>59.262595470972826</v>
      </c>
      <c r="G453" s="70">
        <v>54.373736929282011</v>
      </c>
      <c r="H453" s="70">
        <v>36.566937175127109</v>
      </c>
      <c r="I453" s="70">
        <v>31.672217776033364</v>
      </c>
      <c r="J453" s="70">
        <v>26.328939896953319</v>
      </c>
      <c r="K453" s="70">
        <v>31.904487098234213</v>
      </c>
      <c r="L453" s="70">
        <v>47.459370837198875</v>
      </c>
      <c r="M453" s="70">
        <v>41.938780079716238</v>
      </c>
      <c r="N453" s="70">
        <v>33.101477276813405</v>
      </c>
      <c r="O453" s="70">
        <v>30.352568351861343</v>
      </c>
      <c r="P453" s="70">
        <v>25.573587131072472</v>
      </c>
      <c r="Q453" s="70">
        <v>16.623740227870798</v>
      </c>
      <c r="R453" s="70">
        <v>20.322864831186038</v>
      </c>
      <c r="S453" s="70">
        <v>21.536243278302234</v>
      </c>
      <c r="T453" s="70">
        <v>26.596274879081676</v>
      </c>
      <c r="U453" s="70">
        <v>28.05772013755972</v>
      </c>
      <c r="V453" s="70">
        <v>38.351272005373588</v>
      </c>
      <c r="X453" s="193">
        <f>((0-('Appendix K'!$I$30))/(1+$Y$16)^0)</f>
        <v>-33594902.4440751</v>
      </c>
      <c r="Y453" s="193">
        <f>(((B453*'Appendix K'!$C$5*1000)-('Appendix K'!$E$31+'Appendix K'!$F$31+'Appendix K'!$H$31+'Appendix K'!$G$31))/((1+$Y$16)^1))</f>
        <v>34971064.972647354</v>
      </c>
      <c r="Z453" s="193">
        <f>+(((C453*'Appendix K'!$C$6*1000)-('Appendix K'!$E$32+'Appendix K'!$F$32+'Appendix K'!$H$32+'Appendix K'!$G$32))/((1+$Y$16)^2))</f>
        <v>14174790.340310927</v>
      </c>
      <c r="AA453" s="193">
        <f>(((D453*'Appendix K'!$C$7*1000)-('Appendix K'!$E$33+'Appendix K'!$F$33+'Appendix K'!$H$33+'Appendix K'!$G$33))/((1+$Y$16)^3))</f>
        <v>7723612.4044828536</v>
      </c>
      <c r="AB453" s="193">
        <f>(((E453*'Appendix K'!$C$8*1000)-('Appendix K'!$E$34+'Appendix K'!$F$34+'Appendix K'!$H$34+'Appendix K'!$G$34))/((1+$Y$16)^4))</f>
        <v>12616179.346973635</v>
      </c>
      <c r="AC453" s="193">
        <f>(((F453*'Appendix K'!$C$9*1000)-('Appendix K'!$E$35+'Appendix K'!$F$35+'Appendix K'!$H$35+'Appendix K'!$G$35))/((1+$Y$16)^AC$34))</f>
        <v>12767676.298051089</v>
      </c>
      <c r="AD453" s="193">
        <f>(((G453*'Appendix K'!$C$10*1000)-('Appendix K'!$E$36+'Appendix K'!$F$36+'Appendix K'!$H$36+'Appendix K'!$G$36))/((1+$Y$16)^AD$34))</f>
        <v>6023303.528292249</v>
      </c>
      <c r="AE453" s="193">
        <f>(((H453*'Appendix K'!$C$11*1000)-('Appendix K'!$E$37+'Appendix K'!$F$37+'Appendix K'!$H$37+'Appendix K'!$G$37))/((1+$Y$16)^AE$34))</f>
        <v>1427158.6422694705</v>
      </c>
      <c r="AF453" s="193">
        <f>(((I453*'Appendix K'!$C$12*1000)-('Appendix K'!$E$38+'Appendix K'!$F$38+'Appendix K'!$H$38+'Appendix K'!$G$38))/((1+$Y$16)^AF$34))</f>
        <v>83095.678238341701</v>
      </c>
      <c r="AG453" s="193">
        <f>(((J453*'Appendix K'!$C$13*1000)-('Appendix K'!$E$39+'Appendix K'!$F$39+'Appendix K'!$H$39+'Appendix K'!$G$39))/((1+$Y$16)^AG$34))</f>
        <v>-603314.1614605037</v>
      </c>
      <c r="AH453" s="193">
        <f>(((K453*'Appendix K'!$C$14*1000)-('Appendix K'!$E$40+'Appendix K'!$F$40+'Appendix K'!$H$40+'Appendix K'!$G$40))/((1+$Y$16)^AH$34))</f>
        <v>-557351.70804168191</v>
      </c>
      <c r="AI453" s="193">
        <f>(((L453*'Appendix K'!$C$15*1000)-('Appendix K'!$E$41+'Appendix K'!$F$41+'Appendix K'!$H$41+'Appendix K'!$G$41))/((1+$Y$16)^AI$34))</f>
        <v>-272957.08293776866</v>
      </c>
      <c r="AJ453" s="193">
        <f>(((M453*'Appendix K'!$C$16*1000)-('Appendix K'!$E$42+'Appendix K'!$F$42+'Appendix K'!$H$42+'Appendix K'!$G$42))/((1+$Y$16)^AJ$34))</f>
        <v>-541019.50713281066</v>
      </c>
      <c r="AK453" s="193">
        <f>(((N453*'Appendix K'!$C$17*1000)-('Appendix K'!$E$43+'Appendix K'!$F$43+'Appendix K'!$H$43))/((1+$Y$16)^AK$34))</f>
        <v>-495690.9136405125</v>
      </c>
      <c r="AL453" s="193">
        <f>(((O453*'Appendix K'!$C$18*1000)-('Appendix K'!$E$44+'Appendix K'!$F$44+'Appendix K'!$H$44+'Appendix K'!$G$44))/((1+$Y$16)^AL$34))</f>
        <v>-774811.20168781537</v>
      </c>
      <c r="AM453" s="193">
        <f>(((P453*'Appendix K'!$C$19*1000)-('Appendix K'!$E$45+'Appendix K'!$F$45+'Appendix K'!$H$45+'Appendix K'!$G$45))/((1+$Y$16)^AM$34))</f>
        <v>-789731.22202901542</v>
      </c>
      <c r="AN453" s="193">
        <f>(((Q453*'Appendix K'!$C$20*1000)-('Appendix K'!$E$46+'Appendix K'!$F$46+'Appendix K'!$H$46+'Appendix K'!$G$46))/((1+$Y$16)^AN$34))</f>
        <v>-795415.8490382412</v>
      </c>
      <c r="AO453" s="193">
        <f>(((R453*'Appendix K'!$C$21*1000)-('Appendix K'!$E$47+'Appendix K'!$F$47+'Appendix K'!$H$47+'Appendix K'!$G$47))/((1+$Y$16)^AO$34))</f>
        <v>-722888.54895776964</v>
      </c>
      <c r="AP453" s="193">
        <f>(((S453*'Appendix K'!$C$22*1000)-('Appendix K'!$E$48+'Appendix K'!$F$48+'Appendix K'!$H$48+'Appendix K'!$G$48))/((1+$Y$16)^AP$34))</f>
        <v>-661300.67183975352</v>
      </c>
      <c r="AQ453" s="193">
        <f>(((T453*'Appendix K'!$C$23*1000)-('Appendix K'!$E$49+'Appendix K'!$F$49+'Appendix K'!$H$49+'Appendix K'!$G$49))/((1+$Y$16)^AQ$34))</f>
        <v>-589394.62045605073</v>
      </c>
      <c r="AR453" s="193">
        <f>(((U453*'Appendix K'!$C$24*1000)-('Appendix K'!$E$50+'Appendix K'!$F$50+'Appendix K'!$H$50+'Appendix K'!$G$50))/((1+$Y$16)^AR$34))</f>
        <v>-538942.2243200721</v>
      </c>
      <c r="AS453" s="209">
        <f t="shared" si="28"/>
        <v>56191978.767190836</v>
      </c>
      <c r="AU453" s="199">
        <f t="shared" si="27"/>
        <v>6.0304984400759826E-9</v>
      </c>
    </row>
    <row r="454" spans="1:47" x14ac:dyDescent="0.35">
      <c r="A454">
        <v>420</v>
      </c>
      <c r="B454" s="70">
        <v>56</v>
      </c>
      <c r="C454" s="70">
        <v>56.925382746866944</v>
      </c>
      <c r="D454" s="70">
        <v>57.768049857324129</v>
      </c>
      <c r="E454" s="70">
        <v>67.184647664543178</v>
      </c>
      <c r="F454" s="70">
        <v>100.79724971429893</v>
      </c>
      <c r="G454" s="70">
        <v>98.890274143003282</v>
      </c>
      <c r="H454" s="70">
        <v>96.944642790071129</v>
      </c>
      <c r="I454" s="70">
        <v>87.242425754294274</v>
      </c>
      <c r="J454" s="70">
        <v>79.448671420129074</v>
      </c>
      <c r="K454" s="70">
        <v>80.062897321631624</v>
      </c>
      <c r="L454" s="70">
        <v>66.961644335139439</v>
      </c>
      <c r="M454" s="70">
        <v>77.751012132106297</v>
      </c>
      <c r="N454" s="70">
        <v>95.118762631653325</v>
      </c>
      <c r="O454" s="70">
        <v>139.88578845289422</v>
      </c>
      <c r="P454" s="70">
        <v>201.13389493915503</v>
      </c>
      <c r="Q454" s="70">
        <v>282.87912757385817</v>
      </c>
      <c r="R454" s="70">
        <v>397.34322084260293</v>
      </c>
      <c r="S454" s="70">
        <v>500</v>
      </c>
      <c r="T454" s="70">
        <v>500</v>
      </c>
      <c r="U454" s="70">
        <v>483.46636949346174</v>
      </c>
      <c r="V454" s="70">
        <v>419.87531385534646</v>
      </c>
      <c r="X454" s="193">
        <f>((0-('Appendix K'!$I$30))/(1+$Y$16)^0)</f>
        <v>-33594902.4440751</v>
      </c>
      <c r="Y454" s="193">
        <f>(((B454*'Appendix K'!$C$5*1000)-('Appendix K'!$E$31+'Appendix K'!$F$31+'Appendix K'!$H$31+'Appendix K'!$G$31))/((1+$Y$16)^1))</f>
        <v>34971064.972647354</v>
      </c>
      <c r="Z454" s="193">
        <f>+(((C454*'Appendix K'!$C$6*1000)-('Appendix K'!$E$32+'Appendix K'!$F$32+'Appendix K'!$H$32+'Appendix K'!$G$32))/((1+$Y$16)^2))</f>
        <v>10893077.613856984</v>
      </c>
      <c r="AA454" s="193">
        <f>(((D454*'Appendix K'!$C$7*1000)-('Appendix K'!$E$33+'Appendix K'!$F$33+'Appendix K'!$H$33+'Appendix K'!$G$33))/((1+$Y$16)^3))</f>
        <v>4393299.9140527826</v>
      </c>
      <c r="AB454" s="193">
        <f>(((E454*'Appendix K'!$C$8*1000)-('Appendix K'!$E$34+'Appendix K'!$F$34+'Appendix K'!$H$34+'Appendix K'!$G$34))/((1+$Y$16)^4))</f>
        <v>11433051.862959504</v>
      </c>
      <c r="AC454" s="193">
        <f>(((F454*'Appendix K'!$C$9*1000)-('Appendix K'!$E$35+'Appendix K'!$F$35+'Appendix K'!$H$35+'Appendix K'!$G$35))/((1+$Y$16)^AC$34))</f>
        <v>23807522.174816079</v>
      </c>
      <c r="AD454" s="193">
        <f>(((G454*'Appendix K'!$C$10*1000)-('Appendix K'!$E$36+'Appendix K'!$F$36+'Appendix K'!$H$36+'Appendix K'!$G$36))/((1+$Y$16)^AD$34))</f>
        <v>13014356.440158267</v>
      </c>
      <c r="AE454" s="193">
        <f>(((H454*'Appendix K'!$C$11*1000)-('Appendix K'!$E$37+'Appendix K'!$F$37+'Appendix K'!$H$37+'Appendix K'!$G$37))/((1+$Y$16)^AE$34))</f>
        <v>7449087.8348911991</v>
      </c>
      <c r="AF454" s="193">
        <f>(((I454*'Appendix K'!$C$12*1000)-('Appendix K'!$E$38+'Appendix K'!$F$38+'Appendix K'!$H$38+'Appendix K'!$G$38))/((1+$Y$16)^AF$34))</f>
        <v>3731970.4051550943</v>
      </c>
      <c r="AG454" s="193">
        <f>(((J454*'Appendix K'!$C$13*1000)-('Appendix K'!$E$39+'Appendix K'!$F$39+'Appendix K'!$H$39+'Appendix K'!$G$39))/((1+$Y$16)^AG$34))</f>
        <v>1841199.1812050408</v>
      </c>
      <c r="AH454" s="193">
        <f>(((K454*'Appendix K'!$C$14*1000)-('Appendix K'!$E$40+'Appendix K'!$F$40+'Appendix K'!$H$40+'Appendix K'!$G$40))/((1+$Y$16)^AH$34))</f>
        <v>1065901.0346871591</v>
      </c>
      <c r="AI454" s="193">
        <f>(((L454*'Appendix K'!$C$15*1000)-('Appendix K'!$E$41+'Appendix K'!$F$41+'Appendix K'!$H$41+'Appendix K'!$G$41))/((1+$Y$16)^AI$34))</f>
        <v>238038.95213854362</v>
      </c>
      <c r="AJ454" s="193">
        <f>(((M454*'Appendix K'!$C$16*1000)-('Appendix K'!$E$42+'Appendix K'!$F$42+'Appendix K'!$H$42+'Appendix K'!$G$42))/((1+$Y$16)^AJ$34))</f>
        <v>176724.48384459128</v>
      </c>
      <c r="AK454" s="193">
        <f>(((N454*'Appendix K'!$C$17*1000)-('Appendix K'!$E$43+'Appendix K'!$F$43+'Appendix K'!$H$43))/((1+$Y$16)^AK$34))</f>
        <v>457136.29946153716</v>
      </c>
      <c r="AL454" s="193">
        <f>(((O454*'Appendix K'!$C$18*1000)-('Appendix K'!$E$44+'Appendix K'!$F$44+'Appendix K'!$H$44+'Appendix K'!$G$44))/((1+$Y$16)^AL$34))</f>
        <v>523518.28655261412</v>
      </c>
      <c r="AM454" s="193">
        <f>(((P454*'Appendix K'!$C$19*1000)-('Appendix K'!$E$45+'Appendix K'!$F$45+'Appendix K'!$H$45+'Appendix K'!$G$45))/((1+$Y$16)^AM$34))</f>
        <v>837490.18441292213</v>
      </c>
      <c r="AN454" s="193">
        <f>(((Q454*'Appendix K'!$C$20*1000)-('Appendix K'!$E$46+'Appendix K'!$F$46+'Appendix K'!$H$46+'Appendix K'!$G$46))/((1+$Y$16)^AN$34))</f>
        <v>1131265.8821639225</v>
      </c>
      <c r="AO454" s="193">
        <f>(((R454*'Appendix K'!$C$21*1000)-('Appendix K'!$E$47+'Appendix K'!$F$47+'Appendix K'!$H$47+'Appendix K'!$G$47))/((1+$Y$16)^AO$34))</f>
        <v>1505343.4082938062</v>
      </c>
      <c r="AP454" s="193">
        <f>(((S454*'Appendix K'!$C$22*1000)-('Appendix K'!$E$48+'Appendix K'!$F$48+'Appendix K'!$H$48+'Appendix K'!$G$48))/((1+$Y$16)^AP$34))</f>
        <v>1630406.4380253027</v>
      </c>
      <c r="AQ454" s="193">
        <f>(((T454*'Appendix K'!$C$23*1000)-('Appendix K'!$E$49+'Appendix K'!$F$49+'Appendix K'!$H$49+'Appendix K'!$G$49))/((1+$Y$16)^AQ$34))</f>
        <v>1263386.3652054211</v>
      </c>
      <c r="AR454" s="193">
        <f>(((U454*'Appendix K'!$C$24*1000)-('Appendix K'!$E$50+'Appendix K'!$F$50+'Appendix K'!$H$50+'Appendix K'!$G$50))/((1+$Y$16)^AR$34))</f>
        <v>927486.38663647044</v>
      </c>
      <c r="AS454" s="209">
        <f t="shared" si="28"/>
        <v>87696425.677089483</v>
      </c>
      <c r="AU454" s="199">
        <f t="shared" si="27"/>
        <v>7.0296668043156788E-9</v>
      </c>
    </row>
    <row r="455" spans="1:47" x14ac:dyDescent="0.35">
      <c r="A455">
        <v>421</v>
      </c>
      <c r="B455" s="70">
        <v>56</v>
      </c>
      <c r="C455" s="70">
        <v>56.231107268540619</v>
      </c>
      <c r="D455" s="70">
        <v>58.815586532139321</v>
      </c>
      <c r="E455" s="70">
        <v>76.907574288184634</v>
      </c>
      <c r="F455" s="70">
        <v>87.248170262454977</v>
      </c>
      <c r="G455" s="70">
        <v>106.35050539788621</v>
      </c>
      <c r="H455" s="70">
        <v>118.90538792686645</v>
      </c>
      <c r="I455" s="70">
        <v>109.11942302112699</v>
      </c>
      <c r="J455" s="70">
        <v>142.40726315733457</v>
      </c>
      <c r="K455" s="70">
        <v>115.89444206404843</v>
      </c>
      <c r="L455" s="70">
        <v>158.8858044535346</v>
      </c>
      <c r="M455" s="70">
        <v>87.135498958046668</v>
      </c>
      <c r="N455" s="70">
        <v>54.638548158253343</v>
      </c>
      <c r="O455" s="70">
        <v>61.953710971959048</v>
      </c>
      <c r="P455" s="70">
        <v>73.577483726704656</v>
      </c>
      <c r="Q455" s="70">
        <v>91.637708286490636</v>
      </c>
      <c r="R455" s="70">
        <v>102.73591710920694</v>
      </c>
      <c r="S455" s="70">
        <v>114.42092057334432</v>
      </c>
      <c r="T455" s="70">
        <v>156.95232615446037</v>
      </c>
      <c r="U455" s="70">
        <v>121.03371781932515</v>
      </c>
      <c r="V455" s="70">
        <v>141.29095692636031</v>
      </c>
      <c r="X455" s="193">
        <f>((0-('Appendix K'!$I$30))/(1+$Y$16)^0)</f>
        <v>-33594902.4440751</v>
      </c>
      <c r="Y455" s="193">
        <f>(((B455*'Appendix K'!$C$5*1000)-('Appendix K'!$E$31+'Appendix K'!$F$31+'Appendix K'!$H$31+'Appendix K'!$G$31))/((1+$Y$16)^1))</f>
        <v>34971064.972647354</v>
      </c>
      <c r="Z455" s="193">
        <f>+(((C455*'Appendix K'!$C$6*1000)-('Appendix K'!$E$32+'Appendix K'!$F$32+'Appendix K'!$H$32+'Appendix K'!$G$32))/((1+$Y$16)^2))</f>
        <v>10717691.753752097</v>
      </c>
      <c r="AA455" s="193">
        <f>(((D455*'Appendix K'!$C$7*1000)-('Appendix K'!$E$33+'Appendix K'!$F$33+'Appendix K'!$H$33+'Appendix K'!$G$33))/((1+$Y$16)^3))</f>
        <v>4526729.7642981773</v>
      </c>
      <c r="AB455" s="193">
        <f>(((E455*'Appendix K'!$C$8*1000)-('Appendix K'!$E$34+'Appendix K'!$F$34+'Appendix K'!$H$34+'Appendix K'!$G$34))/((1+$Y$16)^4))</f>
        <v>13564228.374035219</v>
      </c>
      <c r="AC455" s="193">
        <f>(((F455*'Appendix K'!$C$9*1000)-('Appendix K'!$E$35+'Appendix K'!$F$35+'Appendix K'!$H$35+'Appendix K'!$G$35))/((1+$Y$16)^AC$34))</f>
        <v>20206198.132388651</v>
      </c>
      <c r="AD455" s="193">
        <f>(((G455*'Appendix K'!$C$10*1000)-('Appendix K'!$E$36+'Appendix K'!$F$36+'Appendix K'!$H$36+'Appendix K'!$G$36))/((1+$Y$16)^AD$34))</f>
        <v>14185940.635650624</v>
      </c>
      <c r="AE455" s="193">
        <f>(((H455*'Appendix K'!$C$11*1000)-('Appendix K'!$E$37+'Appendix K'!$F$37+'Appendix K'!$H$37+'Appendix K'!$G$37))/((1+$Y$16)^AE$34))</f>
        <v>9639400.4823174942</v>
      </c>
      <c r="AF455" s="193">
        <f>(((I455*'Appendix K'!$C$12*1000)-('Appendix K'!$E$38+'Appendix K'!$F$38+'Appendix K'!$H$38+'Appendix K'!$G$38))/((1+$Y$16)^AF$34))</f>
        <v>5168467.1420217426</v>
      </c>
      <c r="AG455" s="193">
        <f>(((J455*'Appendix K'!$C$13*1000)-('Appendix K'!$E$39+'Appendix K'!$F$39+'Appendix K'!$H$39+'Appendix K'!$G$39))/((1+$Y$16)^AG$34))</f>
        <v>4738486.3685449213</v>
      </c>
      <c r="AH455" s="193">
        <f>(((K455*'Appendix K'!$C$14*1000)-('Appendix K'!$E$40+'Appendix K'!$F$40+'Appendix K'!$H$40+'Appendix K'!$G$40))/((1+$Y$16)^AH$34))</f>
        <v>2273657.9562618025</v>
      </c>
      <c r="AI455" s="193">
        <f>(((L455*'Appendix K'!$C$15*1000)-('Appendix K'!$E$41+'Appendix K'!$F$41+'Appendix K'!$H$41+'Appendix K'!$G$41))/((1+$Y$16)^AI$34))</f>
        <v>2646623.8462628275</v>
      </c>
      <c r="AJ455" s="193">
        <f>(((M455*'Appendix K'!$C$16*1000)-('Appendix K'!$E$42+'Appendix K'!$F$42+'Appendix K'!$H$42+'Appendix K'!$G$42))/((1+$Y$16)^AJ$34))</f>
        <v>364807.12046639214</v>
      </c>
      <c r="AK455" s="193">
        <f>(((N455*'Appendix K'!$C$17*1000)-('Appendix K'!$E$43+'Appendix K'!$F$43+'Appendix K'!$H$43))/((1+$Y$16)^AK$34))</f>
        <v>-164797.5649728057</v>
      </c>
      <c r="AL455" s="193">
        <f>(((O455*'Appendix K'!$C$18*1000)-('Appendix K'!$E$44+'Appendix K'!$F$44+'Appendix K'!$H$44+'Appendix K'!$G$44))/((1+$Y$16)^AL$34))</f>
        <v>-400233.55950839608</v>
      </c>
      <c r="AM455" s="193">
        <f>(((P455*'Appendix K'!$C$19*1000)-('Appendix K'!$E$45+'Appendix K'!$F$45+'Appendix K'!$H$45+'Appendix K'!$G$45))/((1+$Y$16)^AM$34))</f>
        <v>-344795.97950011323</v>
      </c>
      <c r="AN455" s="193">
        <f>(((Q455*'Appendix K'!$C$20*1000)-('Appendix K'!$E$46+'Appendix K'!$F$46+'Appendix K'!$H$46+'Appendix K'!$G$46))/((1+$Y$16)^AN$34))</f>
        <v>-252598.50632014789</v>
      </c>
      <c r="AO455" s="193">
        <f>(((R455*'Appendix K'!$C$21*1000)-('Appendix K'!$E$47+'Appendix K'!$F$47+'Appendix K'!$H$47+'Appendix K'!$G$47))/((1+$Y$16)^AO$34))</f>
        <v>-235818.30499733452</v>
      </c>
      <c r="AP455" s="193">
        <f>(((S455*'Appendix K'!$C$22*1000)-('Appendix K'!$E$48+'Appendix K'!$F$48+'Appendix K'!$H$48+'Appendix K'!$G$48))/((1+$Y$16)^AP$34))</f>
        <v>-216409.13645354542</v>
      </c>
      <c r="AQ455" s="193">
        <f>(((T455*'Appendix K'!$C$23*1000)-('Appendix K'!$E$49+'Appendix K'!$F$49+'Appendix K'!$H$49+'Appendix K'!$G$49))/((1+$Y$16)^AQ$34))</f>
        <v>-79214.407769208585</v>
      </c>
      <c r="AR455" s="193">
        <f>(((U455*'Appendix K'!$C$24*1000)-('Appendix K'!$E$50+'Appendix K'!$F$50+'Appendix K'!$H$50+'Appendix K'!$G$50))/((1+$Y$16)^AR$34))</f>
        <v>-239556.90670345793</v>
      </c>
      <c r="AS455" s="209">
        <f t="shared" si="28"/>
        <v>89408394.104572207</v>
      </c>
      <c r="AU455" s="199">
        <f t="shared" si="27"/>
        <v>7.0261725059860545E-9</v>
      </c>
    </row>
    <row r="456" spans="1:47" x14ac:dyDescent="0.35">
      <c r="A456">
        <v>422</v>
      </c>
      <c r="B456" s="70">
        <v>56</v>
      </c>
      <c r="C456" s="70">
        <v>44.506077553668348</v>
      </c>
      <c r="D456" s="70">
        <v>37.511149105167561</v>
      </c>
      <c r="E456" s="70">
        <v>44.367256594228294</v>
      </c>
      <c r="F456" s="70">
        <v>52.364539999250148</v>
      </c>
      <c r="G456" s="70">
        <v>69.461685698564366</v>
      </c>
      <c r="H456" s="70">
        <v>77.278709171303262</v>
      </c>
      <c r="I456" s="70">
        <v>93.399542209686942</v>
      </c>
      <c r="J456" s="70">
        <v>112.5167345967395</v>
      </c>
      <c r="K456" s="70">
        <v>171.7745676645703</v>
      </c>
      <c r="L456" s="70">
        <v>63.618054984843852</v>
      </c>
      <c r="M456" s="70">
        <v>107.29975033854853</v>
      </c>
      <c r="N456" s="70">
        <v>143.18497513948637</v>
      </c>
      <c r="O456" s="70">
        <v>209.81620417320653</v>
      </c>
      <c r="P456" s="70">
        <v>282.45414356810335</v>
      </c>
      <c r="Q456" s="70">
        <v>243.55040706625417</v>
      </c>
      <c r="R456" s="70">
        <v>112.04752441203408</v>
      </c>
      <c r="S456" s="70">
        <v>35.531193661956522</v>
      </c>
      <c r="T456" s="70">
        <v>41.921839667690492</v>
      </c>
      <c r="U456" s="70">
        <v>42.194488752819076</v>
      </c>
      <c r="V456" s="70">
        <v>40.6645926636903</v>
      </c>
      <c r="X456" s="193">
        <f>((0-('Appendix K'!$I$30))/(1+$Y$16)^0)</f>
        <v>-33594902.4440751</v>
      </c>
      <c r="Y456" s="193">
        <f>(((B456*'Appendix K'!$C$5*1000)-('Appendix K'!$E$31+'Appendix K'!$F$31+'Appendix K'!$H$31+'Appendix K'!$G$31))/((1+$Y$16)^1))</f>
        <v>34971064.972647354</v>
      </c>
      <c r="Z456" s="193">
        <f>+(((C456*'Appendix K'!$C$6*1000)-('Appendix K'!$E$32+'Appendix K'!$F$32+'Appendix K'!$H$32+'Appendix K'!$G$32))/((1+$Y$16)^2))</f>
        <v>7755748.7131372392</v>
      </c>
      <c r="AA456" s="193">
        <f>(((D456*'Appendix K'!$C$7*1000)-('Appendix K'!$E$33+'Appendix K'!$F$33+'Appendix K'!$H$33+'Appendix K'!$G$33))/((1+$Y$16)^3))</f>
        <v>1813079.7663687647</v>
      </c>
      <c r="AB456" s="193">
        <f>(((E456*'Appendix K'!$C$8*1000)-('Appendix K'!$E$34+'Appendix K'!$F$34+'Appendix K'!$H$34+'Appendix K'!$G$34))/((1+$Y$16)^4))</f>
        <v>6431688.6134576183</v>
      </c>
      <c r="AC456" s="193">
        <f>(((F456*'Appendix K'!$C$9*1000)-('Appendix K'!$E$35+'Appendix K'!$F$35+'Appendix K'!$H$35+'Appendix K'!$G$35))/((1+$Y$16)^AC$34))</f>
        <v>10934183.985558076</v>
      </c>
      <c r="AD456" s="193">
        <f>(((G456*'Appendix K'!$C$10*1000)-('Appendix K'!$E$36+'Appendix K'!$F$36+'Appendix K'!$H$36+'Appendix K'!$G$36))/((1+$Y$16)^AD$34))</f>
        <v>8392774.6232961193</v>
      </c>
      <c r="AE456" s="193">
        <f>(((H456*'Appendix K'!$C$11*1000)-('Appendix K'!$E$37+'Appendix K'!$F$37+'Appendix K'!$H$37+'Appendix K'!$G$37))/((1+$Y$16)^AE$34))</f>
        <v>5487654.246899615</v>
      </c>
      <c r="AF456" s="193">
        <f>(((I456*'Appendix K'!$C$12*1000)-('Appendix K'!$E$38+'Appendix K'!$F$38+'Appendix K'!$H$38+'Appendix K'!$G$38))/((1+$Y$16)^AF$34))</f>
        <v>4136261.615178179</v>
      </c>
      <c r="AG456" s="193">
        <f>(((J456*'Appendix K'!$C$13*1000)-('Appendix K'!$E$39+'Appendix K'!$F$39+'Appendix K'!$H$39+'Appendix K'!$G$39))/((1+$Y$16)^AG$34))</f>
        <v>3362956.1504785675</v>
      </c>
      <c r="AH456" s="193">
        <f>(((K456*'Appendix K'!$C$14*1000)-('Appendix K'!$E$40+'Appendix K'!$F$40+'Appendix K'!$H$40+'Appendix K'!$G$40))/((1+$Y$16)^AH$34))</f>
        <v>4157182.9049531044</v>
      </c>
      <c r="AI456" s="193">
        <f>(((L456*'Appendix K'!$C$15*1000)-('Appendix K'!$E$41+'Appendix K'!$F$41+'Appendix K'!$H$41+'Appendix K'!$G$41))/((1+$Y$16)^AI$34))</f>
        <v>150430.65861805505</v>
      </c>
      <c r="AJ456" s="193">
        <f>(((M456*'Appendix K'!$C$16*1000)-('Appendix K'!$E$42+'Appendix K'!$F$42+'Appendix K'!$H$42+'Appendix K'!$G$42))/((1+$Y$16)^AJ$34))</f>
        <v>768936.36434431176</v>
      </c>
      <c r="AK456" s="193">
        <f>(((N456*'Appendix K'!$C$17*1000)-('Appendix K'!$E$43+'Appendix K'!$F$43+'Appendix K'!$H$43))/((1+$Y$16)^AK$34))</f>
        <v>1195620.6598485762</v>
      </c>
      <c r="AL456" s="193">
        <f>(((O456*'Appendix K'!$C$18*1000)-('Appendix K'!$E$44+'Appendix K'!$F$44+'Appendix K'!$H$44+'Appendix K'!$G$44))/((1+$Y$16)^AL$34))</f>
        <v>1352424.0812589766</v>
      </c>
      <c r="AM456" s="193">
        <f>(((P456*'Appendix K'!$C$19*1000)-('Appendix K'!$E$45+'Appendix K'!$F$45+'Appendix K'!$H$45+'Appendix K'!$G$45))/((1+$Y$16)^AM$34))</f>
        <v>1591225.7582355675</v>
      </c>
      <c r="AN456" s="193">
        <f>(((Q456*'Appendix K'!$C$20*1000)-('Appendix K'!$E$46+'Appendix K'!$F$46+'Appendix K'!$H$46+'Appendix K'!$G$46))/((1+$Y$16)^AN$34))</f>
        <v>846674.73052990308</v>
      </c>
      <c r="AO456" s="193">
        <f>(((R456*'Appendix K'!$C$21*1000)-('Appendix K'!$E$47+'Appendix K'!$F$47+'Appendix K'!$H$47+'Appendix K'!$G$47))/((1+$Y$16)^AO$34))</f>
        <v>-180785.67709087662</v>
      </c>
      <c r="AP456" s="193">
        <f>(((S456*'Appendix K'!$C$22*1000)-('Appendix K'!$E$48+'Appendix K'!$F$48+'Appendix K'!$H$48+'Appendix K'!$G$48))/((1+$Y$16)^AP$34))</f>
        <v>-594268.78730124643</v>
      </c>
      <c r="AQ456" s="193">
        <f>(((T456*'Appendix K'!$C$23*1000)-('Appendix K'!$E$49+'Appendix K'!$F$49+'Appendix K'!$H$49+'Appendix K'!$G$49))/((1+$Y$16)^AQ$34))</f>
        <v>-529414.28331864299</v>
      </c>
      <c r="AR456" s="193">
        <f>(((U456*'Appendix K'!$C$24*1000)-('Appendix K'!$E$50+'Appendix K'!$F$50+'Appendix K'!$H$50+'Appendix K'!$G$50))/((1+$Y$16)^AR$34))</f>
        <v>-493421.43328281655</v>
      </c>
      <c r="AS456" s="209">
        <f t="shared" si="28"/>
        <v>59753005.400734954</v>
      </c>
      <c r="AU456" s="199">
        <f t="shared" si="27"/>
        <v>6.2314355870140241E-9</v>
      </c>
    </row>
    <row r="457" spans="1:47" x14ac:dyDescent="0.35">
      <c r="A457">
        <v>423</v>
      </c>
      <c r="B457" s="70">
        <v>56</v>
      </c>
      <c r="C457" s="70">
        <v>29.061552970200736</v>
      </c>
      <c r="D457" s="70">
        <v>39.114122730118588</v>
      </c>
      <c r="E457" s="70">
        <v>37.899114072347437</v>
      </c>
      <c r="F457" s="70">
        <v>56.413769352065259</v>
      </c>
      <c r="G457" s="70">
        <v>50.625910002575502</v>
      </c>
      <c r="H457" s="70">
        <v>60.433389500116242</v>
      </c>
      <c r="I457" s="70">
        <v>53.665090606733649</v>
      </c>
      <c r="J457" s="70">
        <v>60.24343764130797</v>
      </c>
      <c r="K457" s="70">
        <v>75.053279830235937</v>
      </c>
      <c r="L457" s="70">
        <v>90.5732948263596</v>
      </c>
      <c r="M457" s="70">
        <v>74.971399613005872</v>
      </c>
      <c r="N457" s="70">
        <v>62.827449536225657</v>
      </c>
      <c r="O457" s="70">
        <v>79.033362521046556</v>
      </c>
      <c r="P457" s="70">
        <v>77.498047540598208</v>
      </c>
      <c r="Q457" s="70">
        <v>108.47307720723342</v>
      </c>
      <c r="R457" s="70">
        <v>175.7588581417973</v>
      </c>
      <c r="S457" s="70">
        <v>199.35166655082242</v>
      </c>
      <c r="T457" s="70">
        <v>220.23409341970552</v>
      </c>
      <c r="U457" s="70">
        <v>285.74449734924985</v>
      </c>
      <c r="V457" s="70">
        <v>338.23394367880871</v>
      </c>
      <c r="X457" s="193">
        <f>((0-('Appendix K'!$I$30))/(1+$Y$16)^0)</f>
        <v>-33594902.4440751</v>
      </c>
      <c r="Y457" s="193">
        <f>(((B457*'Appendix K'!$C$5*1000)-('Appendix K'!$E$31+'Appendix K'!$F$31+'Appendix K'!$H$31+'Appendix K'!$G$31))/((1+$Y$16)^1))</f>
        <v>34971064.972647354</v>
      </c>
      <c r="Z457" s="193">
        <f>+(((C457*'Appendix K'!$C$6*1000)-('Appendix K'!$E$32+'Appendix K'!$F$32+'Appendix K'!$H$32+'Appendix K'!$G$32))/((1+$Y$16)^2))</f>
        <v>3854197.6537329224</v>
      </c>
      <c r="AA457" s="193">
        <f>(((D457*'Appendix K'!$C$7*1000)-('Appendix K'!$E$33+'Appendix K'!$F$33+'Appendix K'!$H$33+'Appendix K'!$G$33))/((1+$Y$16)^3))</f>
        <v>2017258.3272408862</v>
      </c>
      <c r="AB457" s="193">
        <f>(((E457*'Appendix K'!$C$8*1000)-('Appendix K'!$E$34+'Appendix K'!$F$34+'Appendix K'!$H$34+'Appendix K'!$G$34))/((1+$Y$16)^4))</f>
        <v>5013930.982807124</v>
      </c>
      <c r="AC457" s="193">
        <f>(((F457*'Appendix K'!$C$9*1000)-('Appendix K'!$E$35+'Appendix K'!$F$35+'Appendix K'!$H$35+'Appendix K'!$G$35))/((1+$Y$16)^AC$34))</f>
        <v>12010462.789105229</v>
      </c>
      <c r="AD457" s="193">
        <f>(((G457*'Appendix K'!$C$10*1000)-('Appendix K'!$E$36+'Appendix K'!$F$36+'Appendix K'!$H$36+'Appendix K'!$G$36))/((1+$Y$16)^AD$34))</f>
        <v>5434729.9781230008</v>
      </c>
      <c r="AE457" s="193">
        <f>(((H457*'Appendix K'!$C$11*1000)-('Appendix K'!$E$37+'Appendix K'!$F$37+'Appendix K'!$H$37+'Appendix K'!$G$37))/((1+$Y$16)^AE$34))</f>
        <v>3807542.0059028561</v>
      </c>
      <c r="AF457" s="193">
        <f>(((I457*'Appendix K'!$C$12*1000)-('Appendix K'!$E$38+'Appendix K'!$F$38+'Appendix K'!$H$38+'Appendix K'!$G$38))/((1+$Y$16)^AF$34))</f>
        <v>1527201.0858630517</v>
      </c>
      <c r="AG457" s="193">
        <f>(((J457*'Appendix K'!$C$13*1000)-('Appendix K'!$E$39+'Appendix K'!$F$39+'Appendix K'!$H$39+'Appendix K'!$G$39))/((1+$Y$16)^AG$34))</f>
        <v>957394.82310401404</v>
      </c>
      <c r="AH457" s="193">
        <f>(((K457*'Appendix K'!$C$14*1000)-('Appendix K'!$E$40+'Appendix K'!$F$40+'Appendix K'!$H$40+'Appendix K'!$G$40))/((1+$Y$16)^AH$34))</f>
        <v>897044.2286753275</v>
      </c>
      <c r="AI457" s="193">
        <f>(((L457*'Appendix K'!$C$15*1000)-('Appendix K'!$E$41+'Appendix K'!$F$41+'Appendix K'!$H$41+'Appendix K'!$G$41))/((1+$Y$16)^AI$34))</f>
        <v>856708.34901144018</v>
      </c>
      <c r="AJ457" s="193">
        <f>(((M457*'Appendix K'!$C$16*1000)-('Appendix K'!$E$42+'Appendix K'!$F$42+'Appendix K'!$H$42+'Appendix K'!$G$42))/((1+$Y$16)^AJ$34))</f>
        <v>121015.85948654184</v>
      </c>
      <c r="AK457" s="193">
        <f>(((N457*'Appendix K'!$C$17*1000)-('Appendix K'!$E$43+'Appendix K'!$F$43+'Appendix K'!$H$43))/((1+$Y$16)^AK$34))</f>
        <v>-38984.123870099189</v>
      </c>
      <c r="AL457" s="193">
        <f>(((O457*'Appendix K'!$C$18*1000)-('Appendix K'!$E$44+'Appendix K'!$F$44+'Appendix K'!$H$44+'Appendix K'!$G$44))/((1+$Y$16)^AL$34))</f>
        <v>-197783.42397328149</v>
      </c>
      <c r="AM457" s="193">
        <f>(((P457*'Appendix K'!$C$19*1000)-('Appendix K'!$E$45+'Appendix K'!$F$45+'Appendix K'!$H$45+'Appendix K'!$G$45))/((1+$Y$16)^AM$34))</f>
        <v>-308457.32503464469</v>
      </c>
      <c r="AN457" s="193">
        <f>(((Q457*'Appendix K'!$C$20*1000)-('Appendix K'!$E$46+'Appendix K'!$F$46+'Appendix K'!$H$46+'Appendix K'!$G$46))/((1+$Y$16)^AN$34))</f>
        <v>-130774.1253715885</v>
      </c>
      <c r="AO457" s="193">
        <f>(((R457*'Appendix K'!$C$21*1000)-('Appendix K'!$E$47+'Appendix K'!$F$47+'Appendix K'!$H$47+'Appendix K'!$G$47))/((1+$Y$16)^AO$34))</f>
        <v>195755.34408273801</v>
      </c>
      <c r="AP457" s="193">
        <f>(((S457*'Appendix K'!$C$22*1000)-('Appendix K'!$E$48+'Appendix K'!$F$48+'Appendix K'!$H$48+'Appendix K'!$G$48))/((1+$Y$16)^AP$34))</f>
        <v>190385.30025849459</v>
      </c>
      <c r="AQ457" s="193">
        <f>(((T457*'Appendix K'!$C$23*1000)-('Appendix K'!$E$49+'Appendix K'!$F$49+'Appendix K'!$H$49+'Appendix K'!$G$49))/((1+$Y$16)^AQ$34))</f>
        <v>168454.22875905925</v>
      </c>
      <c r="AR457" s="193">
        <f>(((U457*'Appendix K'!$C$24*1000)-('Appendix K'!$E$50+'Appendix K'!$F$50+'Appendix K'!$H$50+'Appendix K'!$G$50))/((1+$Y$16)^AR$34))</f>
        <v>290816.41839093622</v>
      </c>
      <c r="AS457" s="209">
        <f t="shared" si="28"/>
        <v>38719059.903115846</v>
      </c>
      <c r="AU457" s="199">
        <f t="shared" si="27"/>
        <v>4.8498388491577807E-9</v>
      </c>
    </row>
    <row r="458" spans="1:47" x14ac:dyDescent="0.35">
      <c r="A458">
        <v>424</v>
      </c>
      <c r="B458" s="70">
        <v>56</v>
      </c>
      <c r="C458" s="70">
        <v>70.725080216640094</v>
      </c>
      <c r="D458" s="70">
        <v>92.369515185548693</v>
      </c>
      <c r="E458" s="70">
        <v>80.135398158453256</v>
      </c>
      <c r="F458" s="70">
        <v>69.551364289024917</v>
      </c>
      <c r="G458" s="70">
        <v>46.020515046678838</v>
      </c>
      <c r="H458" s="70">
        <v>48.096808464169719</v>
      </c>
      <c r="I458" s="70">
        <v>53.333652635427711</v>
      </c>
      <c r="J458" s="70">
        <v>71.592237366662857</v>
      </c>
      <c r="K458" s="70">
        <v>49.367275016192501</v>
      </c>
      <c r="L458" s="70">
        <v>45.430516825957135</v>
      </c>
      <c r="M458" s="70">
        <v>35.858300968929861</v>
      </c>
      <c r="N458" s="70">
        <v>35.499852847456602</v>
      </c>
      <c r="O458" s="70">
        <v>28.857045707325753</v>
      </c>
      <c r="P458" s="70">
        <v>34.338321348839798</v>
      </c>
      <c r="Q458" s="70">
        <v>36.414117344960161</v>
      </c>
      <c r="R458" s="70">
        <v>23.870497950128041</v>
      </c>
      <c r="S458" s="70">
        <v>29.093176554806877</v>
      </c>
      <c r="T458" s="70">
        <v>31.656603811935994</v>
      </c>
      <c r="U458" s="70">
        <v>40.841992237601886</v>
      </c>
      <c r="V458" s="70">
        <v>39.370720124244777</v>
      </c>
      <c r="X458" s="193">
        <f>((0-('Appendix K'!$I$30))/(1+$Y$16)^0)</f>
        <v>-33594902.4440751</v>
      </c>
      <c r="Y458" s="193">
        <f>(((B458*'Appendix K'!$C$5*1000)-('Appendix K'!$E$31+'Appendix K'!$F$31+'Appendix K'!$H$31+'Appendix K'!$G$31))/((1+$Y$16)^1))</f>
        <v>34971064.972647354</v>
      </c>
      <c r="Z458" s="193">
        <f>+(((C458*'Appendix K'!$C$6*1000)-('Appendix K'!$E$32+'Appendix K'!$F$32+'Appendix K'!$H$32+'Appendix K'!$G$32))/((1+$Y$16)^2))</f>
        <v>14379117.212659854</v>
      </c>
      <c r="AA458" s="193">
        <f>(((D458*'Appendix K'!$C$7*1000)-('Appendix K'!$E$33+'Appendix K'!$F$33+'Appendix K'!$H$33+'Appendix K'!$G$33))/((1+$Y$16)^3))</f>
        <v>8800657.1436512042</v>
      </c>
      <c r="AB458" s="193">
        <f>(((E458*'Appendix K'!$C$8*1000)-('Appendix K'!$E$34+'Appendix K'!$F$34+'Appendix K'!$H$34+'Appendix K'!$G$34))/((1+$Y$16)^4))</f>
        <v>14271737.818514559</v>
      </c>
      <c r="AC458" s="193">
        <f>(((F458*'Appendix K'!$C$9*1000)-('Appendix K'!$E$35+'Appendix K'!$F$35+'Appendix K'!$H$35+'Appendix K'!$G$35))/((1+$Y$16)^AC$34))</f>
        <v>15502414.893623048</v>
      </c>
      <c r="AD458" s="193">
        <f>(((G458*'Appendix K'!$C$10*1000)-('Appendix K'!$E$36+'Appendix K'!$F$36+'Appendix K'!$H$36+'Appendix K'!$G$36))/((1+$Y$16)^AD$34))</f>
        <v>4711480.5559556689</v>
      </c>
      <c r="AE458" s="193">
        <f>(((H458*'Appendix K'!$C$11*1000)-('Appendix K'!$E$37+'Appendix K'!$F$37+'Appendix K'!$H$37+'Appendix K'!$G$37))/((1+$Y$16)^AE$34))</f>
        <v>2577120.6654284257</v>
      </c>
      <c r="AF458" s="193">
        <f>(((I458*'Appendix K'!$C$12*1000)-('Appendix K'!$E$38+'Appendix K'!$F$38+'Appendix K'!$H$38+'Appendix K'!$G$38))/((1+$Y$16)^AF$34))</f>
        <v>1505438.0642542085</v>
      </c>
      <c r="AG458" s="193">
        <f>(((J458*'Appendix K'!$C$13*1000)-('Appendix K'!$E$39+'Appendix K'!$F$39+'Appendix K'!$H$39+'Appendix K'!$G$39))/((1+$Y$16)^AG$34))</f>
        <v>1479654.472322409</v>
      </c>
      <c r="AH458" s="193">
        <f>(((K458*'Appendix K'!$C$14*1000)-('Appendix K'!$E$40+'Appendix K'!$F$40+'Appendix K'!$H$40+'Appendix K'!$G$40))/((1+$Y$16)^AH$34))</f>
        <v>31258.220152042126</v>
      </c>
      <c r="AI458" s="193">
        <f>(((L458*'Appendix K'!$C$15*1000)-('Appendix K'!$E$41+'Appendix K'!$F$41+'Appendix K'!$H$41+'Appendix K'!$G$41))/((1+$Y$16)^AI$34))</f>
        <v>-326116.85200790712</v>
      </c>
      <c r="AJ458" s="193">
        <f>(((M458*'Appendix K'!$C$16*1000)-('Appendix K'!$E$42+'Appendix K'!$F$42+'Appendix K'!$H$42+'Appendix K'!$G$42))/((1+$Y$16)^AJ$34))</f>
        <v>-662883.66063338192</v>
      </c>
      <c r="AK458" s="193">
        <f>(((N458*'Appendix K'!$C$17*1000)-('Appendix K'!$E$43+'Appendix K'!$F$43+'Appendix K'!$H$43))/((1+$Y$16)^AK$34))</f>
        <v>-458842.51729628828</v>
      </c>
      <c r="AL458" s="193">
        <f>(((O458*'Appendix K'!$C$18*1000)-('Appendix K'!$E$44+'Appendix K'!$F$44+'Appendix K'!$H$44+'Appendix K'!$G$44))/((1+$Y$16)^AL$34))</f>
        <v>-792538.07165421359</v>
      </c>
      <c r="AM458" s="193">
        <f>(((P458*'Appendix K'!$C$19*1000)-('Appendix K'!$E$45+'Appendix K'!$F$45+'Appendix K'!$H$45+'Appendix K'!$G$45))/((1+$Y$16)^AM$34))</f>
        <v>-708493.25133397605</v>
      </c>
      <c r="AN458" s="193">
        <f>(((Q458*'Appendix K'!$C$20*1000)-('Appendix K'!$E$46+'Appendix K'!$F$46+'Appendix K'!$H$46+'Appendix K'!$G$46))/((1+$Y$16)^AN$34))</f>
        <v>-652208.38786657492</v>
      </c>
      <c r="AO458" s="193">
        <f>(((R458*'Appendix K'!$C$21*1000)-('Appendix K'!$E$47+'Appendix K'!$F$47+'Appendix K'!$H$47+'Appendix K'!$G$47))/((1+$Y$16)^AO$34))</f>
        <v>-701921.64528217271</v>
      </c>
      <c r="AP458" s="193">
        <f>(((S458*'Appendix K'!$C$22*1000)-('Appendix K'!$E$48+'Appendix K'!$F$48+'Appendix K'!$H$48+'Appendix K'!$G$48))/((1+$Y$16)^AP$34))</f>
        <v>-625105.08236145834</v>
      </c>
      <c r="AQ458" s="193">
        <f>(((T458*'Appendix K'!$C$23*1000)-('Appendix K'!$E$49+'Appendix K'!$F$49+'Appendix K'!$H$49+'Appendix K'!$G$49))/((1+$Y$16)^AQ$34))</f>
        <v>-569589.78849028971</v>
      </c>
      <c r="AR458" s="193">
        <f>(((U458*'Appendix K'!$C$24*1000)-('Appendix K'!$E$50+'Appendix K'!$F$50+'Appendix K'!$H$50+'Appendix K'!$G$50))/((1+$Y$16)^AR$34))</f>
        <v>-497776.50995722442</v>
      </c>
      <c r="AS458" s="209">
        <f t="shared" si="28"/>
        <v>64635041.575133659</v>
      </c>
      <c r="AU458" s="199">
        <f t="shared" si="27"/>
        <v>6.4762637202618587E-9</v>
      </c>
    </row>
    <row r="459" spans="1:47" x14ac:dyDescent="0.35">
      <c r="A459">
        <v>425</v>
      </c>
      <c r="B459" s="70">
        <v>56</v>
      </c>
      <c r="C459" s="70">
        <v>64.311562130675995</v>
      </c>
      <c r="D459" s="70">
        <v>42.544003022198197</v>
      </c>
      <c r="E459" s="70">
        <v>31.619945336497089</v>
      </c>
      <c r="F459" s="70">
        <v>47.311355301745017</v>
      </c>
      <c r="G459" s="70">
        <v>55.52366722800523</v>
      </c>
      <c r="H459" s="70">
        <v>72.460888618425017</v>
      </c>
      <c r="I459" s="70">
        <v>47.478945139965305</v>
      </c>
      <c r="J459" s="70">
        <v>55.120453291918381</v>
      </c>
      <c r="K459" s="70">
        <v>51.157289383190999</v>
      </c>
      <c r="L459" s="70">
        <v>48.655715347908675</v>
      </c>
      <c r="M459" s="70">
        <v>47.990038576872259</v>
      </c>
      <c r="N459" s="70">
        <v>60.364798723647219</v>
      </c>
      <c r="O459" s="70">
        <v>74.150738363116545</v>
      </c>
      <c r="P459" s="70">
        <v>99.353421456370896</v>
      </c>
      <c r="Q459" s="70">
        <v>119.11057780572523</v>
      </c>
      <c r="R459" s="70">
        <v>140.05277881102211</v>
      </c>
      <c r="S459" s="70">
        <v>205.77016996507496</v>
      </c>
      <c r="T459" s="70">
        <v>247.07587739994273</v>
      </c>
      <c r="U459" s="70">
        <v>328.33338244524361</v>
      </c>
      <c r="V459" s="70">
        <v>145.02650024802065</v>
      </c>
      <c r="X459" s="193">
        <f>((0-('Appendix K'!$I$30))/(1+$Y$16)^0)</f>
        <v>-33594902.4440751</v>
      </c>
      <c r="Y459" s="193">
        <f>(((B459*'Appendix K'!$C$5*1000)-('Appendix K'!$E$31+'Appendix K'!$F$31+'Appendix K'!$H$31+'Appendix K'!$G$31))/((1+$Y$16)^1))</f>
        <v>34971064.972647354</v>
      </c>
      <c r="Z459" s="193">
        <f>+(((C459*'Appendix K'!$C$6*1000)-('Appendix K'!$E$32+'Appendix K'!$F$32+'Appendix K'!$H$32+'Appendix K'!$G$32))/((1+$Y$16)^2))</f>
        <v>12758952.852949671</v>
      </c>
      <c r="AA459" s="193">
        <f>(((D459*'Appendix K'!$C$7*1000)-('Appendix K'!$E$33+'Appendix K'!$F$33+'Appendix K'!$H$33+'Appendix K'!$G$33))/((1+$Y$16)^3))</f>
        <v>2454138.8916493375</v>
      </c>
      <c r="AB459" s="193">
        <f>(((E459*'Appendix K'!$C$8*1000)-('Appendix K'!$E$34+'Appendix K'!$F$34+'Appendix K'!$H$34+'Appendix K'!$G$34))/((1+$Y$16)^4))</f>
        <v>3637594.6761660106</v>
      </c>
      <c r="AC459" s="193">
        <f>(((F459*'Appendix K'!$C$9*1000)-('Appendix K'!$E$35+'Appendix K'!$F$35+'Appendix K'!$H$35+'Appendix K'!$G$35))/((1+$Y$16)^AC$34))</f>
        <v>9591055.4278851077</v>
      </c>
      <c r="AD459" s="193">
        <f>(((G459*'Appendix K'!$C$10*1000)-('Appendix K'!$E$36+'Appendix K'!$F$36+'Appendix K'!$H$36+'Appendix K'!$G$36))/((1+$Y$16)^AD$34))</f>
        <v>6203893.126372084</v>
      </c>
      <c r="AE459" s="193">
        <f>(((H459*'Appendix K'!$C$11*1000)-('Appendix K'!$E$37+'Appendix K'!$F$37+'Appendix K'!$H$37+'Appendix K'!$G$37))/((1+$Y$16)^AE$34))</f>
        <v>5007136.248795866</v>
      </c>
      <c r="AF459" s="193">
        <f>(((I459*'Appendix K'!$C$12*1000)-('Appendix K'!$E$38+'Appendix K'!$F$38+'Appendix K'!$H$38+'Appendix K'!$G$38))/((1+$Y$16)^AF$34))</f>
        <v>1121003.7604984962</v>
      </c>
      <c r="AG459" s="193">
        <f>(((J459*'Appendix K'!$C$13*1000)-('Appendix K'!$E$39+'Appendix K'!$F$39+'Appendix K'!$H$39+'Appendix K'!$G$39))/((1+$Y$16)^AG$34))</f>
        <v>721640.55181433668</v>
      </c>
      <c r="AH459" s="193">
        <f>(((K459*'Appendix K'!$C$14*1000)-('Appendix K'!$E$40+'Appendix K'!$F$40+'Appendix K'!$H$40+'Appendix K'!$G$40))/((1+$Y$16)^AH$34))</f>
        <v>91593.38730717916</v>
      </c>
      <c r="AI459" s="193">
        <f>(((L459*'Appendix K'!$C$15*1000)-('Appendix K'!$E$41+'Appendix K'!$F$41+'Appendix K'!$H$41+'Appendix K'!$G$41))/((1+$Y$16)^AI$34))</f>
        <v>-241610.61958196681</v>
      </c>
      <c r="AJ459" s="193">
        <f>(((M459*'Appendix K'!$C$16*1000)-('Appendix K'!$E$42+'Appendix K'!$F$42+'Appendix K'!$H$42+'Appendix K'!$G$42))/((1+$Y$16)^AJ$34))</f>
        <v>-419740.98928363313</v>
      </c>
      <c r="AK459" s="193">
        <f>(((N459*'Appendix K'!$C$17*1000)-('Appendix K'!$E$43+'Appendix K'!$F$43+'Appendix K'!$H$43))/((1+$Y$16)^AK$34))</f>
        <v>-76820.038440801858</v>
      </c>
      <c r="AL459" s="193">
        <f>(((O459*'Appendix K'!$C$18*1000)-('Appendix K'!$E$44+'Appendix K'!$F$44+'Appendix K'!$H$44+'Appendix K'!$G$44))/((1+$Y$16)^AL$34))</f>
        <v>-255658.60483976506</v>
      </c>
      <c r="AM459" s="193">
        <f>(((P459*'Appendix K'!$C$19*1000)-('Appendix K'!$E$45+'Appendix K'!$F$45+'Appendix K'!$H$45+'Appendix K'!$G$45))/((1+$Y$16)^AM$34))</f>
        <v>-105885.72598951707</v>
      </c>
      <c r="AN459" s="193">
        <f>(((Q459*'Appendix K'!$C$20*1000)-('Appendix K'!$E$46+'Appendix K'!$F$46+'Appendix K'!$H$46+'Appendix K'!$G$46))/((1+$Y$16)^AN$34))</f>
        <v>-53798.86386398266</v>
      </c>
      <c r="AO459" s="193">
        <f>(((R459*'Appendix K'!$C$21*1000)-('Appendix K'!$E$47+'Appendix K'!$F$47+'Appendix K'!$H$47+'Appendix K'!$G$47))/((1+$Y$16)^AO$34))</f>
        <v>-15271.529571224517</v>
      </c>
      <c r="AP459" s="193">
        <f>(((S459*'Appendix K'!$C$22*1000)-('Appendix K'!$E$48+'Appendix K'!$F$48+'Appendix K'!$H$48+'Appendix K'!$G$48))/((1+$Y$16)^AP$34))</f>
        <v>221128.13020640946</v>
      </c>
      <c r="AQ459" s="193">
        <f>(((T459*'Appendix K'!$C$23*1000)-('Appendix K'!$E$49+'Appendix K'!$F$49+'Appendix K'!$H$49+'Appendix K'!$G$49))/((1+$Y$16)^AQ$34))</f>
        <v>273506.09958477697</v>
      </c>
      <c r="AR459" s="193">
        <f>(((U459*'Appendix K'!$C$24*1000)-('Appendix K'!$E$50+'Appendix K'!$F$50+'Appendix K'!$H$50+'Appendix K'!$G$50))/((1+$Y$16)^AR$34))</f>
        <v>427953.82169198425</v>
      </c>
      <c r="AS459" s="209">
        <f t="shared" si="28"/>
        <v>43885759.50349351</v>
      </c>
      <c r="AU459" s="199">
        <f t="shared" si="27"/>
        <v>5.2238999100306978E-9</v>
      </c>
    </row>
    <row r="460" spans="1:47" x14ac:dyDescent="0.35">
      <c r="A460">
        <v>426</v>
      </c>
      <c r="B460" s="70">
        <v>56</v>
      </c>
      <c r="C460" s="70">
        <v>63.595252649818555</v>
      </c>
      <c r="D460" s="70">
        <v>72.042126844696767</v>
      </c>
      <c r="E460" s="70">
        <v>78.206345708602242</v>
      </c>
      <c r="F460" s="70">
        <v>133.93143980598634</v>
      </c>
      <c r="G460" s="70">
        <v>177.30517194806376</v>
      </c>
      <c r="H460" s="70">
        <v>223.02535287784343</v>
      </c>
      <c r="I460" s="70">
        <v>322.68498795252771</v>
      </c>
      <c r="J460" s="70">
        <v>402.63319978140646</v>
      </c>
      <c r="K460" s="70">
        <v>465.2498977238634</v>
      </c>
      <c r="L460" s="70">
        <v>343.41099529418773</v>
      </c>
      <c r="M460" s="70">
        <v>298.45698255193435</v>
      </c>
      <c r="N460" s="70">
        <v>363.77775611579398</v>
      </c>
      <c r="O460" s="70">
        <v>447.02380449306554</v>
      </c>
      <c r="P460" s="70">
        <v>500</v>
      </c>
      <c r="Q460" s="70">
        <v>500</v>
      </c>
      <c r="R460" s="70">
        <v>500</v>
      </c>
      <c r="S460" s="70">
        <v>500</v>
      </c>
      <c r="T460" s="70">
        <v>500</v>
      </c>
      <c r="U460" s="70">
        <v>389.49959972677016</v>
      </c>
      <c r="V460" s="70">
        <v>500</v>
      </c>
      <c r="X460" s="193">
        <f>((0-('Appendix K'!$I$30))/(1+$Y$16)^0)</f>
        <v>-33594902.4440751</v>
      </c>
      <c r="Y460" s="193">
        <f>(((B460*'Appendix K'!$C$5*1000)-('Appendix K'!$E$31+'Appendix K'!$F$31+'Appendix K'!$H$31+'Appendix K'!$G$31))/((1+$Y$16)^1))</f>
        <v>34971064.972647354</v>
      </c>
      <c r="Z460" s="193">
        <f>+(((C460*'Appendix K'!$C$6*1000)-('Appendix K'!$E$32+'Appendix K'!$F$32+'Appendix K'!$H$32+'Appendix K'!$G$32))/((1+$Y$16)^2))</f>
        <v>12578000.826955147</v>
      </c>
      <c r="AA460" s="193">
        <f>(((D460*'Appendix K'!$C$7*1000)-('Appendix K'!$E$33+'Appendix K'!$F$33+'Appendix K'!$H$33+'Appendix K'!$G$33))/((1+$Y$16)^3))</f>
        <v>6211458.6483542593</v>
      </c>
      <c r="AB460" s="193">
        <f>(((E460*'Appendix K'!$C$8*1000)-('Appendix K'!$E$34+'Appendix K'!$F$34+'Appendix K'!$H$34+'Appendix K'!$G$34))/((1+$Y$16)^4))</f>
        <v>13848907.180282734</v>
      </c>
      <c r="AC460" s="193">
        <f>(((F460*'Appendix K'!$C$9*1000)-('Appendix K'!$E$35+'Appendix K'!$F$35+'Appendix K'!$H$35+'Appendix K'!$G$35))/((1+$Y$16)^AC$34))</f>
        <v>32614537.871171366</v>
      </c>
      <c r="AD460" s="193">
        <f>(((G460*'Appendix K'!$C$10*1000)-('Appendix K'!$E$36+'Appendix K'!$F$36+'Appendix K'!$H$36+'Appendix K'!$G$36))/((1+$Y$16)^AD$34))</f>
        <v>25328941.849213228</v>
      </c>
      <c r="AE460" s="193">
        <f>(((H460*'Appendix K'!$C$11*1000)-('Appendix K'!$E$37+'Appendix K'!$F$37+'Appendix K'!$H$37+'Appendix K'!$G$37))/((1+$Y$16)^AE$34))</f>
        <v>20024078.90106567</v>
      </c>
      <c r="AF460" s="193">
        <f>(((I460*'Appendix K'!$C$12*1000)-('Appendix K'!$E$38+'Appendix K'!$F$38+'Appendix K'!$H$38+'Appendix K'!$G$38))/((1+$Y$16)^AF$34))</f>
        <v>19191700.467380878</v>
      </c>
      <c r="AG460" s="193">
        <f>(((J460*'Appendix K'!$C$13*1000)-('Appendix K'!$E$39+'Appendix K'!$F$39+'Appendix K'!$H$39+'Appendix K'!$G$39))/((1+$Y$16)^AG$34))</f>
        <v>16713806.196877357</v>
      </c>
      <c r="AH460" s="193">
        <f>(((K460*'Appendix K'!$C$14*1000)-('Appendix K'!$E$40+'Appendix K'!$F$40+'Appendix K'!$H$40+'Appendix K'!$G$40))/((1+$Y$16)^AH$34))</f>
        <v>14049216.969868133</v>
      </c>
      <c r="AI460" s="193">
        <f>(((L460*'Appendix K'!$C$15*1000)-('Appendix K'!$E$41+'Appendix K'!$F$41+'Appendix K'!$H$41+'Appendix K'!$G$41))/((1+$Y$16)^AI$34))</f>
        <v>7481528.9100868367</v>
      </c>
      <c r="AJ460" s="193">
        <f>(((M460*'Appendix K'!$C$16*1000)-('Appendix K'!$E$42+'Appendix K'!$F$42+'Appendix K'!$H$42+'Appendix K'!$G$42))/((1+$Y$16)^AJ$34))</f>
        <v>4600084.1842376776</v>
      </c>
      <c r="AK460" s="193">
        <f>(((N460*'Appendix K'!$C$17*1000)-('Appendix K'!$E$43+'Appendix K'!$F$43+'Appendix K'!$H$43))/((1+$Y$16)^AK$34))</f>
        <v>4584785.5277636256</v>
      </c>
      <c r="AL460" s="193">
        <f>(((O460*'Appendix K'!$C$18*1000)-('Appendix K'!$E$44+'Appendix K'!$F$44+'Appendix K'!$H$44+'Appendix K'!$G$44))/((1+$Y$16)^AL$34))</f>
        <v>4164115.5666909725</v>
      </c>
      <c r="AM460" s="193">
        <f>(((P460*'Appendix K'!$C$19*1000)-('Appendix K'!$E$45+'Appendix K'!$F$45+'Appendix K'!$H$45+'Appendix K'!$G$45))/((1+$Y$16)^AM$34))</f>
        <v>3607599.9540230581</v>
      </c>
      <c r="AN460" s="193">
        <f>(((Q460*'Appendix K'!$C$20*1000)-('Appendix K'!$E$46+'Appendix K'!$F$46+'Appendix K'!$H$46+'Appendix K'!$G$46))/((1+$Y$16)^AN$34))</f>
        <v>2702399.606577659</v>
      </c>
      <c r="AO460" s="193">
        <f>(((R460*'Appendix K'!$C$21*1000)-('Appendix K'!$E$47+'Appendix K'!$F$47+'Appendix K'!$H$47+'Appendix K'!$G$47))/((1+$Y$16)^AO$34))</f>
        <v>2112056.3146391152</v>
      </c>
      <c r="AP460" s="193">
        <f>(((S460*'Appendix K'!$C$22*1000)-('Appendix K'!$E$48+'Appendix K'!$F$48+'Appendix K'!$H$48+'Appendix K'!$G$48))/((1+$Y$16)^AP$34))</f>
        <v>1630406.4380253027</v>
      </c>
      <c r="AQ460" s="193">
        <f>(((T460*'Appendix K'!$C$23*1000)-('Appendix K'!$E$49+'Appendix K'!$F$49+'Appendix K'!$H$49+'Appendix K'!$G$49))/((1+$Y$16)^AQ$34))</f>
        <v>1263386.3652054211</v>
      </c>
      <c r="AR460" s="193">
        <f>(((U460*'Appendix K'!$C$24*1000)-('Appendix K'!$E$50+'Appendix K'!$F$50+'Appendix K'!$H$50+'Appendix K'!$G$50))/((1+$Y$16)^AR$34))</f>
        <v>624910.75514609099</v>
      </c>
      <c r="AS460" s="209">
        <f t="shared" si="28"/>
        <v>194708085.0621368</v>
      </c>
      <c r="AU460" s="199">
        <f t="shared" si="27"/>
        <v>1.1849533351927914E-9</v>
      </c>
    </row>
    <row r="461" spans="1:47" x14ac:dyDescent="0.35">
      <c r="A461">
        <v>427</v>
      </c>
      <c r="B461" s="70">
        <v>56</v>
      </c>
      <c r="C461" s="70">
        <v>64.401256073115007</v>
      </c>
      <c r="D461" s="70">
        <v>39.799067054258408</v>
      </c>
      <c r="E461" s="70">
        <v>60.487396983171699</v>
      </c>
      <c r="F461" s="70">
        <v>85.76716515992598</v>
      </c>
      <c r="G461" s="70">
        <v>65.959591503704871</v>
      </c>
      <c r="H461" s="70">
        <v>62.114089149667052</v>
      </c>
      <c r="I461" s="70">
        <v>44.179097761281355</v>
      </c>
      <c r="J461" s="70">
        <v>49.465472792130726</v>
      </c>
      <c r="K461" s="70">
        <v>55.297250995601239</v>
      </c>
      <c r="L461" s="70">
        <v>51.005731375803933</v>
      </c>
      <c r="M461" s="70">
        <v>69.765885571446461</v>
      </c>
      <c r="N461" s="70">
        <v>78.962355096617358</v>
      </c>
      <c r="O461" s="70">
        <v>60.814482994468975</v>
      </c>
      <c r="P461" s="70">
        <v>75.037474634574778</v>
      </c>
      <c r="Q461" s="70">
        <v>84.818412873442213</v>
      </c>
      <c r="R461" s="70">
        <v>95.727276150866459</v>
      </c>
      <c r="S461" s="70">
        <v>75.036924208503677</v>
      </c>
      <c r="T461" s="70">
        <v>119.68510535740596</v>
      </c>
      <c r="U461" s="70">
        <v>144.62743776620761</v>
      </c>
      <c r="V461" s="70">
        <v>231.46890870337509</v>
      </c>
      <c r="X461" s="193">
        <f>((0-('Appendix K'!$I$30))/(1+$Y$16)^0)</f>
        <v>-33594902.4440751</v>
      </c>
      <c r="Y461" s="193">
        <f>(((B461*'Appendix K'!$C$5*1000)-('Appendix K'!$E$31+'Appendix K'!$F$31+'Appendix K'!$H$31+'Appendix K'!$G$31))/((1+$Y$16)^1))</f>
        <v>34971064.972647354</v>
      </c>
      <c r="Z461" s="193">
        <f>+(((C461*'Appendix K'!$C$6*1000)-('Appendix K'!$E$32+'Appendix K'!$F$32+'Appendix K'!$H$32+'Appendix K'!$G$32))/((1+$Y$16)^2))</f>
        <v>12781611.076856393</v>
      </c>
      <c r="AA461" s="193">
        <f>(((D461*'Appendix K'!$C$7*1000)-('Appendix K'!$E$33+'Appendix K'!$F$33+'Appendix K'!$H$33+'Appendix K'!$G$33))/((1+$Y$16)^3))</f>
        <v>2104503.0231008506</v>
      </c>
      <c r="AB461" s="193">
        <f>(((E461*'Appendix K'!$C$8*1000)-('Appendix K'!$E$34+'Appendix K'!$F$34+'Appendix K'!$H$34+'Appendix K'!$G$34))/((1+$Y$16)^4))</f>
        <v>9965075.8210320007</v>
      </c>
      <c r="AC461" s="193">
        <f>(((F461*'Appendix K'!$C$9*1000)-('Appendix K'!$E$35+'Appendix K'!$F$35+'Appendix K'!$H$35+'Appendix K'!$G$35))/((1+$Y$16)^AC$34))</f>
        <v>19812549.30173178</v>
      </c>
      <c r="AD461" s="193">
        <f>(((G461*'Appendix K'!$C$10*1000)-('Appendix K'!$E$36+'Appendix K'!$F$36+'Appendix K'!$H$36+'Appendix K'!$G$36))/((1+$Y$16)^AD$34))</f>
        <v>7842791.9123530257</v>
      </c>
      <c r="AE461" s="193">
        <f>(((H461*'Appendix K'!$C$11*1000)-('Appendix K'!$E$37+'Appendix K'!$F$37+'Appendix K'!$H$37+'Appendix K'!$G$37))/((1+$Y$16)^AE$34))</f>
        <v>3975171.0037353616</v>
      </c>
      <c r="AF461" s="193">
        <f>(((I461*'Appendix K'!$C$12*1000)-('Appendix K'!$E$38+'Appendix K'!$F$38+'Appendix K'!$H$38+'Appendix K'!$G$38))/((1+$Y$16)^AF$34))</f>
        <v>904327.77275569935</v>
      </c>
      <c r="AG461" s="193">
        <f>(((J461*'Appendix K'!$C$13*1000)-('Appendix K'!$E$39+'Appendix K'!$F$39+'Appendix K'!$H$39+'Appendix K'!$G$39))/((1+$Y$16)^AG$34))</f>
        <v>461404.38555635727</v>
      </c>
      <c r="AH461" s="193">
        <f>(((K461*'Appendix K'!$C$14*1000)-('Appendix K'!$E$40+'Appendix K'!$F$40+'Appendix K'!$H$40+'Appendix K'!$G$40))/((1+$Y$16)^AH$34))</f>
        <v>231137.1141653402</v>
      </c>
      <c r="AI461" s="193">
        <f>(((L461*'Appendix K'!$C$15*1000)-('Appendix K'!$E$41+'Appendix K'!$F$41+'Appendix K'!$H$41+'Appendix K'!$G$41))/((1+$Y$16)^AI$34))</f>
        <v>-180035.80509959019</v>
      </c>
      <c r="AJ461" s="193">
        <f>(((M461*'Appendix K'!$C$16*1000)-('Appendix K'!$E$42+'Appendix K'!$F$42+'Appendix K'!$H$42+'Appendix K'!$G$42))/((1+$Y$16)^AJ$34))</f>
        <v>16687.639513768529</v>
      </c>
      <c r="AK461" s="193">
        <f>(((N461*'Appendix K'!$C$17*1000)-('Appendix K'!$E$43+'Appendix K'!$F$43+'Appendix K'!$H$43))/((1+$Y$16)^AK$34))</f>
        <v>208910.91072887971</v>
      </c>
      <c r="AL461" s="193">
        <f>(((O461*'Appendix K'!$C$18*1000)-('Appendix K'!$E$44+'Appendix K'!$F$44+'Appendix K'!$H$44+'Appendix K'!$G$44))/((1+$Y$16)^AL$34))</f>
        <v>-413737.16394584032</v>
      </c>
      <c r="AM461" s="193">
        <f>(((P461*'Appendix K'!$C$19*1000)-('Appendix K'!$E$45+'Appendix K'!$F$45+'Appendix K'!$H$45+'Appendix K'!$G$45))/((1+$Y$16)^AM$34))</f>
        <v>-331263.71535590844</v>
      </c>
      <c r="AN461" s="193">
        <f>(((Q461*'Appendix K'!$C$20*1000)-('Appendix K'!$E$46+'Appendix K'!$F$46+'Appendix K'!$H$46+'Appendix K'!$G$46))/((1+$Y$16)^AN$34))</f>
        <v>-301944.40697198355</v>
      </c>
      <c r="AO461" s="193">
        <f>(((R461*'Appendix K'!$C$21*1000)-('Appendix K'!$E$47+'Appendix K'!$F$47+'Appendix K'!$H$47+'Appendix K'!$G$47))/((1+$Y$16)^AO$34))</f>
        <v>-277240.14737606188</v>
      </c>
      <c r="AP461" s="193">
        <f>(((S461*'Appendix K'!$C$22*1000)-('Appendix K'!$E$48+'Appendix K'!$F$48+'Appendix K'!$H$48+'Appendix K'!$G$48))/((1+$Y$16)^AP$34))</f>
        <v>-405047.42559506395</v>
      </c>
      <c r="AQ461" s="193">
        <f>(((T461*'Appendix K'!$C$23*1000)-('Appendix K'!$E$49+'Appendix K'!$F$49+'Appendix K'!$H$49+'Appendix K'!$G$49))/((1+$Y$16)^AQ$34))</f>
        <v>-225068.76931567441</v>
      </c>
      <c r="AR461" s="193">
        <f>(((U461*'Appendix K'!$C$24*1000)-('Appendix K'!$E$50+'Appendix K'!$F$50+'Appendix K'!$H$50+'Appendix K'!$G$50))/((1+$Y$16)^AR$34))</f>
        <v>-163584.46740539413</v>
      </c>
      <c r="AS461" s="209">
        <f t="shared" si="28"/>
        <v>59680332.490101717</v>
      </c>
      <c r="AU461" s="199">
        <f t="shared" si="27"/>
        <v>6.2275137999004407E-9</v>
      </c>
    </row>
    <row r="462" spans="1:47" x14ac:dyDescent="0.35">
      <c r="A462">
        <v>428</v>
      </c>
      <c r="B462" s="70">
        <v>56</v>
      </c>
      <c r="C462" s="70">
        <v>46.174376932778785</v>
      </c>
      <c r="D462" s="70">
        <v>62.828391256241744</v>
      </c>
      <c r="E462" s="70">
        <v>80.080459204068049</v>
      </c>
      <c r="F462" s="70">
        <v>104.46280311943562</v>
      </c>
      <c r="G462" s="70">
        <v>65.460602292262564</v>
      </c>
      <c r="H462" s="70">
        <v>81.37147099429788</v>
      </c>
      <c r="I462" s="70">
        <v>81.60411516365167</v>
      </c>
      <c r="J462" s="70">
        <v>81.435242356907281</v>
      </c>
      <c r="K462" s="70">
        <v>83.619718618991925</v>
      </c>
      <c r="L462" s="70">
        <v>107.2592503239147</v>
      </c>
      <c r="M462" s="70">
        <v>29.926528976742034</v>
      </c>
      <c r="N462" s="70">
        <v>35.058288170871009</v>
      </c>
      <c r="O462" s="70">
        <v>21.976375812487738</v>
      </c>
      <c r="P462" s="70">
        <v>26.512765071930165</v>
      </c>
      <c r="Q462" s="70">
        <v>42.139456588851061</v>
      </c>
      <c r="R462" s="70">
        <v>31.880239759019972</v>
      </c>
      <c r="S462" s="70">
        <v>56.192920988436271</v>
      </c>
      <c r="T462" s="70">
        <v>33.849040160026789</v>
      </c>
      <c r="U462" s="70">
        <v>31.369755961769936</v>
      </c>
      <c r="V462" s="70">
        <v>39.52892554570807</v>
      </c>
      <c r="X462" s="193">
        <f>((0-('Appendix K'!$I$30))/(1+$Y$16)^0)</f>
        <v>-33594902.4440751</v>
      </c>
      <c r="Y462" s="193">
        <f>(((B462*'Appendix K'!$C$5*1000)-('Appendix K'!$E$31+'Appendix K'!$F$31+'Appendix K'!$H$31+'Appendix K'!$G$31))/((1+$Y$16)^1))</f>
        <v>34971064.972647354</v>
      </c>
      <c r="Z462" s="193">
        <f>+(((C462*'Appendix K'!$C$6*1000)-('Appendix K'!$E$32+'Appendix K'!$F$32+'Appendix K'!$H$32+'Appendix K'!$G$32))/((1+$Y$16)^2))</f>
        <v>8177189.6694318298</v>
      </c>
      <c r="AA462" s="193">
        <f>(((D462*'Appendix K'!$C$7*1000)-('Appendix K'!$E$33+'Appendix K'!$F$33+'Appendix K'!$H$33+'Appendix K'!$G$33))/((1+$Y$16)^3))</f>
        <v>5037860.2538301637</v>
      </c>
      <c r="AB462" s="193">
        <f>(((E462*'Appendix K'!$C$8*1000)-('Appendix K'!$E$34+'Appendix K'!$F$34+'Appendix K'!$H$34+'Appendix K'!$G$34))/((1+$Y$16)^4))</f>
        <v>14259695.702631043</v>
      </c>
      <c r="AC462" s="193">
        <f>(((F462*'Appendix K'!$C$9*1000)-('Appendix K'!$E$35+'Appendix K'!$F$35+'Appendix K'!$H$35+'Appendix K'!$G$35))/((1+$Y$16)^AC$34))</f>
        <v>24781820.513949659</v>
      </c>
      <c r="AD462" s="193">
        <f>(((G462*'Appendix K'!$C$10*1000)-('Appendix K'!$E$36+'Appendix K'!$F$36+'Appendix K'!$H$36+'Appendix K'!$G$36))/((1+$Y$16)^AD$34))</f>
        <v>7764428.674824114</v>
      </c>
      <c r="AE462" s="193">
        <f>(((H462*'Appendix K'!$C$11*1000)-('Appendix K'!$E$37+'Appendix K'!$F$37+'Appendix K'!$H$37+'Appendix K'!$G$37))/((1+$Y$16)^AE$34))</f>
        <v>5895856.6065175822</v>
      </c>
      <c r="AF462" s="193">
        <f>(((I462*'Appendix K'!$C$12*1000)-('Appendix K'!$E$38+'Appendix K'!$F$38+'Appendix K'!$H$38+'Appendix K'!$G$38))/((1+$Y$16)^AF$34))</f>
        <v>3361745.2473735861</v>
      </c>
      <c r="AG462" s="193">
        <f>(((J462*'Appendix K'!$C$13*1000)-('Appendix K'!$E$39+'Appendix K'!$F$39+'Appendix K'!$H$39+'Appendix K'!$G$39))/((1+$Y$16)^AG$34))</f>
        <v>1932619.0551738534</v>
      </c>
      <c r="AH462" s="193">
        <f>(((K462*'Appendix K'!$C$14*1000)-('Appendix K'!$E$40+'Appendix K'!$F$40+'Appendix K'!$H$40+'Appendix K'!$G$40))/((1+$Y$16)^AH$34))</f>
        <v>1185789.1269134965</v>
      </c>
      <c r="AI462" s="193">
        <f>(((L462*'Appendix K'!$C$15*1000)-('Appendix K'!$E$41+'Appendix K'!$F$41+'Appendix K'!$H$41+'Appendix K'!$G$41))/((1+$Y$16)^AI$34))</f>
        <v>1293911.585937168</v>
      </c>
      <c r="AJ462" s="193">
        <f>(((M462*'Appendix K'!$C$16*1000)-('Appendix K'!$E$42+'Appendix K'!$F$42+'Appendix K'!$H$42+'Appendix K'!$G$42))/((1+$Y$16)^AJ$34))</f>
        <v>-781767.4458443271</v>
      </c>
      <c r="AK462" s="193">
        <f>(((N462*'Appendix K'!$C$17*1000)-('Appendix K'!$E$43+'Appendix K'!$F$43+'Appendix K'!$H$43))/((1+$Y$16)^AK$34))</f>
        <v>-465626.67171046603</v>
      </c>
      <c r="AL462" s="193">
        <f>(((O462*'Appendix K'!$C$18*1000)-('Appendix K'!$E$44+'Appendix K'!$F$44+'Appendix K'!$H$44+'Appendix K'!$G$44))/((1+$Y$16)^AL$34))</f>
        <v>-874096.67656947358</v>
      </c>
      <c r="AM462" s="193">
        <f>(((P462*'Appendix K'!$C$19*1000)-('Appendix K'!$E$45+'Appendix K'!$F$45+'Appendix K'!$H$45+'Appendix K'!$G$45))/((1+$Y$16)^AM$34))</f>
        <v>-781026.23358998669</v>
      </c>
      <c r="AN462" s="193">
        <f>(((Q462*'Appendix K'!$C$20*1000)-('Appendix K'!$E$46+'Appendix K'!$F$46+'Appendix K'!$H$46+'Appendix K'!$G$46))/((1+$Y$16)^AN$34))</f>
        <v>-610778.5913238849</v>
      </c>
      <c r="AO462" s="193">
        <f>(((R462*'Appendix K'!$C$21*1000)-('Appendix K'!$E$47+'Appendix K'!$F$47+'Appendix K'!$H$47+'Appendix K'!$G$47))/((1+$Y$16)^AO$34))</f>
        <v>-654583.18627502408</v>
      </c>
      <c r="AP462" s="193">
        <f>(((S462*'Appendix K'!$C$22*1000)-('Appendix K'!$E$48+'Appendix K'!$F$48+'Appendix K'!$H$48+'Appendix K'!$G$48))/((1+$Y$16)^AP$34))</f>
        <v>-495304.91229299037</v>
      </c>
      <c r="AQ462" s="193">
        <f>(((T462*'Appendix K'!$C$23*1000)-('Appendix K'!$E$49+'Appendix K'!$F$49+'Appendix K'!$H$49+'Appendix K'!$G$49))/((1+$Y$16)^AQ$34))</f>
        <v>-561009.1539019621</v>
      </c>
      <c r="AR462" s="193">
        <f>(((U462*'Appendix K'!$C$24*1000)-('Appendix K'!$E$50+'Appendix K'!$F$50+'Appendix K'!$H$50+'Appendix K'!$G$50))/((1+$Y$16)^AR$34))</f>
        <v>-528277.37616665196</v>
      </c>
      <c r="AS462" s="209">
        <f t="shared" si="28"/>
        <v>75067078.965154767</v>
      </c>
      <c r="AU462" s="199">
        <f t="shared" si="27"/>
        <v>6.8598724639095513E-9</v>
      </c>
    </row>
    <row r="463" spans="1:47" x14ac:dyDescent="0.35">
      <c r="A463">
        <v>429</v>
      </c>
      <c r="B463" s="70">
        <v>56</v>
      </c>
      <c r="C463" s="70">
        <v>73.575548136264231</v>
      </c>
      <c r="D463" s="70">
        <v>77.261839739424133</v>
      </c>
      <c r="E463" s="70">
        <v>111.22479742738722</v>
      </c>
      <c r="F463" s="70">
        <v>80.101980427294805</v>
      </c>
      <c r="G463" s="70">
        <v>138.55338006781002</v>
      </c>
      <c r="H463" s="70">
        <v>74.417658311534055</v>
      </c>
      <c r="I463" s="70">
        <v>85.82815796366954</v>
      </c>
      <c r="J463" s="70">
        <v>152.13922246863916</v>
      </c>
      <c r="K463" s="70">
        <v>138.04009349385538</v>
      </c>
      <c r="L463" s="70">
        <v>115.06738549495665</v>
      </c>
      <c r="M463" s="70">
        <v>104.61216076087007</v>
      </c>
      <c r="N463" s="70">
        <v>69.22579384038238</v>
      </c>
      <c r="O463" s="70">
        <v>78.753784969730759</v>
      </c>
      <c r="P463" s="70">
        <v>79.108554657853873</v>
      </c>
      <c r="Q463" s="70">
        <v>74.797604443985378</v>
      </c>
      <c r="R463" s="70">
        <v>87.291306236754792</v>
      </c>
      <c r="S463" s="70">
        <v>97.083273308474318</v>
      </c>
      <c r="T463" s="70">
        <v>153.74028742910636</v>
      </c>
      <c r="U463" s="70">
        <v>187.18307688961977</v>
      </c>
      <c r="V463" s="70">
        <v>193.80839222095545</v>
      </c>
      <c r="X463" s="193">
        <f>((0-('Appendix K'!$I$30))/(1+$Y$16)^0)</f>
        <v>-33594902.4440751</v>
      </c>
      <c r="Y463" s="193">
        <f>(((B463*'Appendix K'!$C$5*1000)-('Appendix K'!$E$31+'Appendix K'!$F$31+'Appendix K'!$H$31+'Appendix K'!$G$31))/((1+$Y$16)^1))</f>
        <v>34971064.972647354</v>
      </c>
      <c r="Z463" s="193">
        <f>+(((C463*'Appendix K'!$C$6*1000)-('Appendix K'!$E$32+'Appendix K'!$F$32+'Appendix K'!$H$32+'Appendix K'!$G$32))/((1+$Y$16)^2))</f>
        <v>15099194.161063446</v>
      </c>
      <c r="AA463" s="193">
        <f>(((D463*'Appendix K'!$C$7*1000)-('Appendix K'!$E$33+'Appendix K'!$F$33+'Appendix K'!$H$33+'Appendix K'!$G$33))/((1+$Y$16)^3))</f>
        <v>6876318.912067987</v>
      </c>
      <c r="AB463" s="193">
        <f>(((E463*'Appendix K'!$C$8*1000)-('Appendix K'!$E$34+'Appendix K'!$F$34+'Appendix K'!$H$34+'Appendix K'!$G$34))/((1+$Y$16)^4))</f>
        <v>21086249.542207047</v>
      </c>
      <c r="AC463" s="193">
        <f>(((F463*'Appendix K'!$C$9*1000)-('Appendix K'!$E$35+'Appendix K'!$F$35+'Appendix K'!$H$35+'Appendix K'!$G$35))/((1+$Y$16)^AC$34))</f>
        <v>18306752.095734823</v>
      </c>
      <c r="AD463" s="193">
        <f>(((G463*'Appendix K'!$C$10*1000)-('Appendix K'!$E$36+'Appendix K'!$F$36+'Appendix K'!$H$36+'Appendix K'!$G$36))/((1+$Y$16)^AD$34))</f>
        <v>19243207.32400021</v>
      </c>
      <c r="AE463" s="193">
        <f>(((H463*'Appendix K'!$C$11*1000)-('Appendix K'!$E$37+'Appendix K'!$F$37+'Appendix K'!$H$37+'Appendix K'!$G$37))/((1+$Y$16)^AE$34))</f>
        <v>5202299.8181656525</v>
      </c>
      <c r="AF463" s="193">
        <f>(((I463*'Appendix K'!$C$12*1000)-('Appendix K'!$E$38+'Appendix K'!$F$38+'Appendix K'!$H$38+'Appendix K'!$G$38))/((1+$Y$16)^AF$34))</f>
        <v>3639106.1495395359</v>
      </c>
      <c r="AG463" s="193">
        <f>(((J463*'Appendix K'!$C$13*1000)-('Appendix K'!$E$39+'Appendix K'!$F$39+'Appendix K'!$H$39+'Appendix K'!$G$39))/((1+$Y$16)^AG$34))</f>
        <v>5186340.7477859566</v>
      </c>
      <c r="AH463" s="193">
        <f>(((K463*'Appendix K'!$C$14*1000)-('Appendix K'!$E$40+'Appendix K'!$F$40+'Appendix K'!$H$40+'Appendix K'!$G$40))/((1+$Y$16)^AH$34))</f>
        <v>3020110.9487130763</v>
      </c>
      <c r="AI463" s="193">
        <f>(((L463*'Appendix K'!$C$15*1000)-('Appendix K'!$E$41+'Appendix K'!$F$41+'Appendix K'!$H$41+'Appendix K'!$G$41))/((1+$Y$16)^AI$34))</f>
        <v>1498499.3287028347</v>
      </c>
      <c r="AJ463" s="193">
        <f>(((M463*'Appendix K'!$C$16*1000)-('Appendix K'!$E$42+'Appendix K'!$F$42+'Appendix K'!$H$42+'Appendix K'!$G$42))/((1+$Y$16)^AJ$34))</f>
        <v>715072.05153716088</v>
      </c>
      <c r="AK463" s="193">
        <f>(((N463*'Appendix K'!$C$17*1000)-('Appendix K'!$E$43+'Appendix K'!$F$43+'Appendix K'!$H$43))/((1+$Y$16)^AK$34))</f>
        <v>59319.381949528659</v>
      </c>
      <c r="AL463" s="193">
        <f>(((O463*'Appendix K'!$C$18*1000)-('Appendix K'!$E$44+'Appendix K'!$F$44+'Appendix K'!$H$44+'Appendix K'!$G$44))/((1+$Y$16)^AL$34))</f>
        <v>-201097.33895531646</v>
      </c>
      <c r="AM463" s="193">
        <f>(((P463*'Appendix K'!$C$19*1000)-('Appendix K'!$E$45+'Appendix K'!$F$45+'Appendix K'!$H$45+'Appendix K'!$G$45))/((1+$Y$16)^AM$34))</f>
        <v>-293529.9665152558</v>
      </c>
      <c r="AN463" s="193">
        <f>(((Q463*'Appendix K'!$C$20*1000)-('Appendix K'!$E$46+'Appendix K'!$F$46+'Appendix K'!$H$46+'Appendix K'!$G$46))/((1+$Y$16)^AN$34))</f>
        <v>-374457.15018954204</v>
      </c>
      <c r="AO463" s="193">
        <f>(((R463*'Appendix K'!$C$21*1000)-('Appendix K'!$E$47+'Appendix K'!$F$47+'Appendix K'!$H$47+'Appendix K'!$G$47))/((1+$Y$16)^AO$34))</f>
        <v>-327097.66157475731</v>
      </c>
      <c r="AP463" s="193">
        <f>(((S463*'Appendix K'!$C$22*1000)-('Appendix K'!$E$48+'Appendix K'!$F$48+'Appendix K'!$H$48+'Appendix K'!$G$48))/((1+$Y$16)^AP$34))</f>
        <v>-299451.60089740076</v>
      </c>
      <c r="AQ463" s="193">
        <f>(((T463*'Appendix K'!$C$23*1000)-('Appendix K'!$E$49+'Appendix K'!$F$49+'Appendix K'!$H$49+'Appendix K'!$G$49))/((1+$Y$16)^AQ$34))</f>
        <v>-91785.505037241601</v>
      </c>
      <c r="AR463" s="193">
        <f>(((U463*'Appendix K'!$C$24*1000)-('Appendix K'!$E$50+'Appendix K'!$F$50+'Appendix K'!$H$50+'Appendix K'!$G$50))/((1+$Y$16)^AR$34))</f>
        <v>-26554.117067572934</v>
      </c>
      <c r="AS463" s="209">
        <f t="shared" si="28"/>
        <v>101308632.9900395</v>
      </c>
      <c r="AU463" s="199">
        <f t="shared" si="27"/>
        <v>6.8280415802705058E-9</v>
      </c>
    </row>
    <row r="464" spans="1:47" x14ac:dyDescent="0.35">
      <c r="A464">
        <v>430</v>
      </c>
      <c r="B464" s="70">
        <v>56</v>
      </c>
      <c r="C464" s="70">
        <v>49.413334701945665</v>
      </c>
      <c r="D464" s="70">
        <v>62.733541603344129</v>
      </c>
      <c r="E464" s="70">
        <v>79.717410004372141</v>
      </c>
      <c r="F464" s="70">
        <v>101.76352806511576</v>
      </c>
      <c r="G464" s="70">
        <v>82.283311351964016</v>
      </c>
      <c r="H464" s="70">
        <v>66.276045915081113</v>
      </c>
      <c r="I464" s="70">
        <v>53.268231963764634</v>
      </c>
      <c r="J464" s="70">
        <v>46.684116318999799</v>
      </c>
      <c r="K464" s="70">
        <v>74.301935203978616</v>
      </c>
      <c r="L464" s="70">
        <v>141.27491584249645</v>
      </c>
      <c r="M464" s="70">
        <v>122.64023710324616</v>
      </c>
      <c r="N464" s="70">
        <v>171.69336096682406</v>
      </c>
      <c r="O464" s="70">
        <v>64.262172387975838</v>
      </c>
      <c r="P464" s="70">
        <v>76.90310670713383</v>
      </c>
      <c r="Q464" s="70">
        <v>73.806389232104507</v>
      </c>
      <c r="R464" s="70">
        <v>42.869638877514035</v>
      </c>
      <c r="S464" s="70">
        <v>74.192796243349449</v>
      </c>
      <c r="T464" s="70">
        <v>56.965334904932007</v>
      </c>
      <c r="U464" s="70">
        <v>42.727829678163175</v>
      </c>
      <c r="V464" s="70">
        <v>34.847179404019023</v>
      </c>
      <c r="X464" s="193">
        <f>((0-('Appendix K'!$I$30))/(1+$Y$16)^0)</f>
        <v>-33594902.4440751</v>
      </c>
      <c r="Y464" s="193">
        <f>(((B464*'Appendix K'!$C$5*1000)-('Appendix K'!$E$31+'Appendix K'!$F$31+'Appendix K'!$H$31+'Appendix K'!$G$31))/((1+$Y$16)^1))</f>
        <v>34971064.972647354</v>
      </c>
      <c r="Z464" s="193">
        <f>+(((C464*'Appendix K'!$C$6*1000)-('Appendix K'!$E$32+'Appendix K'!$F$32+'Appendix K'!$H$32+'Appendix K'!$G$32))/((1+$Y$16)^2))</f>
        <v>8995405.7982200179</v>
      </c>
      <c r="AA464" s="193">
        <f>(((D464*'Appendix K'!$C$7*1000)-('Appendix K'!$E$33+'Appendix K'!$F$33+'Appendix K'!$H$33+'Appendix K'!$G$33))/((1+$Y$16)^3))</f>
        <v>5025778.7913990859</v>
      </c>
      <c r="AB464" s="193">
        <f>(((E464*'Appendix K'!$C$8*1000)-('Appendix K'!$E$34+'Appendix K'!$F$34+'Appendix K'!$H$34+'Appendix K'!$G$34))/((1+$Y$16)^4))</f>
        <v>14180118.641453246</v>
      </c>
      <c r="AC464" s="193">
        <f>(((F464*'Appendix K'!$C$9*1000)-('Appendix K'!$E$35+'Appendix K'!$F$35+'Appendix K'!$H$35+'Appendix K'!$G$35))/((1+$Y$16)^AC$34))</f>
        <v>24064357.443133898</v>
      </c>
      <c r="AD464" s="193">
        <f>(((G464*'Appendix K'!$C$10*1000)-('Appendix K'!$E$36+'Appendix K'!$F$36+'Appendix K'!$H$36+'Appendix K'!$G$36))/((1+$Y$16)^AD$34))</f>
        <v>10406333.380768996</v>
      </c>
      <c r="AE464" s="193">
        <f>(((H464*'Appendix K'!$C$11*1000)-('Appendix K'!$E$37+'Appendix K'!$F$37+'Appendix K'!$H$37+'Appendix K'!$G$37))/((1+$Y$16)^AE$34))</f>
        <v>4390274.7028377205</v>
      </c>
      <c r="AF464" s="193">
        <f>(((I464*'Appendix K'!$C$12*1000)-('Appendix K'!$E$38+'Appendix K'!$F$38+'Appendix K'!$H$38+'Appendix K'!$G$38))/((1+$Y$16)^AF$34))</f>
        <v>1501142.3841742869</v>
      </c>
      <c r="AG464" s="193">
        <f>(((J464*'Appendix K'!$C$13*1000)-('Appendix K'!$E$39+'Appendix K'!$F$39+'Appendix K'!$H$39+'Appendix K'!$G$39))/((1+$Y$16)^AG$34))</f>
        <v>333409.32958904037</v>
      </c>
      <c r="AH464" s="193">
        <f>(((K464*'Appendix K'!$C$14*1000)-('Appendix K'!$E$40+'Appendix K'!$F$40+'Appendix K'!$H$40+'Appendix K'!$G$40))/((1+$Y$16)^AH$34))</f>
        <v>871719.0109272917</v>
      </c>
      <c r="AI464" s="193">
        <f>(((L464*'Appendix K'!$C$15*1000)-('Appendix K'!$E$41+'Appendix K'!$F$41+'Appendix K'!$H$41+'Appendix K'!$G$41))/((1+$Y$16)^AI$34))</f>
        <v>2185185.6321304408</v>
      </c>
      <c r="AJ464" s="193">
        <f>(((M464*'Appendix K'!$C$16*1000)-('Appendix K'!$E$42+'Appendix K'!$F$42+'Appendix K'!$H$42+'Appendix K'!$G$42))/((1+$Y$16)^AJ$34))</f>
        <v>1076388.359459351</v>
      </c>
      <c r="AK464" s="193">
        <f>(((N464*'Appendix K'!$C$17*1000)-('Appendix K'!$E$43+'Appendix K'!$F$43+'Appendix K'!$H$43))/((1+$Y$16)^AK$34))</f>
        <v>1633620.5765247135</v>
      </c>
      <c r="AL464" s="193">
        <f>(((O464*'Appendix K'!$C$18*1000)-('Appendix K'!$E$44+'Appendix K'!$F$44+'Appendix K'!$H$44+'Appendix K'!$G$44))/((1+$Y$16)^AL$34))</f>
        <v>-372870.68707466952</v>
      </c>
      <c r="AM464" s="193">
        <f>(((P464*'Appendix K'!$C$19*1000)-('Appendix K'!$E$45+'Appendix K'!$F$45+'Appendix K'!$H$45+'Appendix K'!$G$45))/((1+$Y$16)^AM$34))</f>
        <v>-313971.67205229698</v>
      </c>
      <c r="AN464" s="193">
        <f>(((Q464*'Appendix K'!$C$20*1000)-('Appendix K'!$E$46+'Appendix K'!$F$46+'Appendix K'!$H$46+'Appendix K'!$G$46))/((1+$Y$16)^AN$34))</f>
        <v>-381629.79844825639</v>
      </c>
      <c r="AO464" s="193">
        <f>(((R464*'Appendix K'!$C$21*1000)-('Appendix K'!$E$47+'Appendix K'!$F$47+'Appendix K'!$H$47+'Appendix K'!$G$47))/((1+$Y$16)^AO$34))</f>
        <v>-589634.62337546737</v>
      </c>
      <c r="AP464" s="193">
        <f>(((S464*'Appendix K'!$C$22*1000)-('Appendix K'!$E$48+'Appendix K'!$F$48+'Appendix K'!$H$48+'Appendix K'!$G$48))/((1+$Y$16)^AP$34))</f>
        <v>-409090.5616366202</v>
      </c>
      <c r="AQ464" s="193">
        <f>(((T464*'Appendix K'!$C$23*1000)-('Appendix K'!$E$49+'Appendix K'!$F$49+'Appendix K'!$H$49+'Appendix K'!$G$49))/((1+$Y$16)^AQ$34))</f>
        <v>-470537.89419362973</v>
      </c>
      <c r="AR464" s="193">
        <f>(((U464*'Appendix K'!$C$24*1000)-('Appendix K'!$E$50+'Appendix K'!$F$50+'Appendix K'!$H$50+'Appendix K'!$G$50))/((1+$Y$16)^AR$34))</f>
        <v>-491704.06055960455</v>
      </c>
      <c r="AS464" s="209">
        <f t="shared" si="28"/>
        <v>76039896.579190344</v>
      </c>
      <c r="AU464" s="199">
        <f t="shared" si="27"/>
        <v>6.8849141784544672E-9</v>
      </c>
    </row>
    <row r="465" spans="1:47" x14ac:dyDescent="0.35">
      <c r="A465">
        <v>431</v>
      </c>
      <c r="B465" s="70">
        <v>56</v>
      </c>
      <c r="C465" s="70">
        <v>60.142460445654898</v>
      </c>
      <c r="D465" s="70">
        <v>28.880274766699202</v>
      </c>
      <c r="E465" s="70">
        <v>28.105485672173167</v>
      </c>
      <c r="F465" s="70">
        <v>24.902482506295545</v>
      </c>
      <c r="G465" s="70">
        <v>21.413824877089237</v>
      </c>
      <c r="H465" s="70">
        <v>15.720726246199147</v>
      </c>
      <c r="I465" s="70">
        <v>11.669008043997213</v>
      </c>
      <c r="J465" s="70">
        <v>10.174701807818606</v>
      </c>
      <c r="K465" s="70">
        <v>11.391031237853749</v>
      </c>
      <c r="L465" s="70">
        <v>12.744256200686705</v>
      </c>
      <c r="M465" s="70">
        <v>8.1768599383091569</v>
      </c>
      <c r="N465" s="70">
        <v>3.6370062065959772</v>
      </c>
      <c r="O465" s="70">
        <v>5.2192035446180016</v>
      </c>
      <c r="P465" s="70">
        <v>5.0557223977078554</v>
      </c>
      <c r="Q465" s="70">
        <v>6.798025147136082</v>
      </c>
      <c r="R465" s="70">
        <v>10.181564889578215</v>
      </c>
      <c r="S465" s="70">
        <v>12.625597132550801</v>
      </c>
      <c r="T465" s="70">
        <v>9.5422060614996944</v>
      </c>
      <c r="U465" s="70">
        <v>7.6851887931319887</v>
      </c>
      <c r="V465" s="70">
        <v>6.9422393338298569</v>
      </c>
      <c r="X465" s="193">
        <f>((0-('Appendix K'!$I$30))/(1+$Y$16)^0)</f>
        <v>-33594902.4440751</v>
      </c>
      <c r="Y465" s="193">
        <f>(((B465*'Appendix K'!$C$5*1000)-('Appendix K'!$E$31+'Appendix K'!$F$31+'Appendix K'!$H$31+'Appendix K'!$G$31))/((1+$Y$16)^1))</f>
        <v>34971064.972647354</v>
      </c>
      <c r="Z465" s="193">
        <f>+(((C465*'Appendix K'!$C$6*1000)-('Appendix K'!$E$32+'Appendix K'!$F$32+'Appendix K'!$H$32+'Appendix K'!$G$32))/((1+$Y$16)^2))</f>
        <v>11705766.462649899</v>
      </c>
      <c r="AA465" s="193">
        <f>(((D465*'Appendix K'!$C$7*1000)-('Appendix K'!$E$33+'Appendix K'!$F$33+'Appendix K'!$H$33+'Appendix K'!$G$33))/((1+$Y$16)^3))</f>
        <v>713723.24916441494</v>
      </c>
      <c r="AB465" s="193">
        <f>(((E465*'Appendix K'!$C$8*1000)-('Appendix K'!$E$34+'Appendix K'!$F$34+'Appendix K'!$H$34+'Appendix K'!$G$34))/((1+$Y$16)^4))</f>
        <v>2867257.2895278889</v>
      </c>
      <c r="AC465" s="193">
        <f>(((F465*'Appendix K'!$C$9*1000)-('Appendix K'!$E$35+'Appendix K'!$F$35+'Appendix K'!$H$35+'Appendix K'!$G$35))/((1+$Y$16)^AC$34))</f>
        <v>3634812.2270994582</v>
      </c>
      <c r="AD465" s="193">
        <f>(((G465*'Appendix K'!$C$10*1000)-('Appendix K'!$E$36+'Appendix K'!$F$36+'Appendix K'!$H$36+'Appendix K'!$G$36))/((1+$Y$16)^AD$34))</f>
        <v>847148.69798557681</v>
      </c>
      <c r="AE465" s="193">
        <f>(((H465*'Appendix K'!$C$11*1000)-('Appendix K'!$E$37+'Appendix K'!$F$37+'Appendix K'!$H$37+'Appendix K'!$G$37))/((1+$Y$16)^AE$34))</f>
        <v>-651993.00600698474</v>
      </c>
      <c r="AF465" s="193">
        <f>(((I465*'Appendix K'!$C$12*1000)-('Appendix K'!$E$38+'Appendix K'!$F$38+'Appendix K'!$H$38+'Appendix K'!$G$38))/((1+$Y$16)^AF$34))</f>
        <v>-1230363.6213380666</v>
      </c>
      <c r="AG465" s="193">
        <f>(((J465*'Appendix K'!$C$13*1000)-('Appendix K'!$E$39+'Appendix K'!$F$39+'Appendix K'!$H$39+'Appendix K'!$G$39))/((1+$Y$16)^AG$34))</f>
        <v>-1346714.9546715326</v>
      </c>
      <c r="AH465" s="193">
        <f>(((K465*'Appendix K'!$C$14*1000)-('Appendix K'!$E$40+'Appendix K'!$F$40+'Appendix K'!$H$40+'Appendix K'!$G$40))/((1+$Y$16)^AH$34))</f>
        <v>-1248789.0568608041</v>
      </c>
      <c r="AI465" s="193">
        <f>(((L465*'Appendix K'!$C$15*1000)-('Appendix K'!$E$41+'Appendix K'!$F$41+'Appendix K'!$H$41+'Appendix K'!$G$41))/((1+$Y$16)^AI$34))</f>
        <v>-1182558.0039970821</v>
      </c>
      <c r="AJ465" s="193">
        <f>(((M465*'Appendix K'!$C$16*1000)-('Appendix K'!$E$42+'Appendix K'!$F$42+'Appendix K'!$H$42+'Appendix K'!$G$42))/((1+$Y$16)^AJ$34))</f>
        <v>-1217671.4195269898</v>
      </c>
      <c r="AK465" s="193">
        <f>(((N465*'Appendix K'!$C$17*1000)-('Appendix K'!$E$43+'Appendix K'!$F$43+'Appendix K'!$H$43))/((1+$Y$16)^AK$34))</f>
        <v>-948380.02595378237</v>
      </c>
      <c r="AL465" s="193">
        <f>(((O465*'Appendix K'!$C$18*1000)-('Appendix K'!$E$44+'Appendix K'!$F$44+'Appendix K'!$H$44+'Appendix K'!$G$44))/((1+$Y$16)^AL$34))</f>
        <v>-1072724.3702940999</v>
      </c>
      <c r="AM465" s="193">
        <f>(((P465*'Appendix K'!$C$19*1000)-('Appendix K'!$E$45+'Appendix K'!$F$45+'Appendix K'!$H$45+'Appendix K'!$G$45))/((1+$Y$16)^AM$34))</f>
        <v>-979905.80719270092</v>
      </c>
      <c r="AN465" s="193">
        <f>(((Q465*'Appendix K'!$C$20*1000)-('Appendix K'!$E$46+'Appendix K'!$F$46+'Appendix K'!$H$46+'Appendix K'!$G$46))/((1+$Y$16)^AN$34))</f>
        <v>-866516.85447047732</v>
      </c>
      <c r="AO465" s="193">
        <f>(((R465*'Appendix K'!$C$21*1000)-('Appendix K'!$E$47+'Appendix K'!$F$47+'Appendix K'!$H$47+'Appendix K'!$G$47))/((1+$Y$16)^AO$34))</f>
        <v>-782824.7520238976</v>
      </c>
      <c r="AP465" s="193">
        <f>(((S465*'Appendix K'!$C$22*1000)-('Appendix K'!$E$48+'Appendix K'!$F$48+'Appendix K'!$H$48+'Appendix K'!$G$48))/((1+$Y$16)^AP$34))</f>
        <v>-703980.16603096772</v>
      </c>
      <c r="AQ465" s="193">
        <f>(((T465*'Appendix K'!$C$23*1000)-('Appendix K'!$E$49+'Appendix K'!$F$49+'Appendix K'!$H$49+'Appendix K'!$G$49))/((1+$Y$16)^AQ$34))</f>
        <v>-656139.87985447946</v>
      </c>
      <c r="AR465" s="193">
        <f>(((U465*'Appendix K'!$C$24*1000)-('Appendix K'!$E$50+'Appendix K'!$F$50+'Appendix K'!$H$50+'Appendix K'!$G$50))/((1+$Y$16)^AR$34))</f>
        <v>-604542.34606420388</v>
      </c>
      <c r="AS465" s="209">
        <f t="shared" si="28"/>
        <v>21144870.454999484</v>
      </c>
      <c r="AU465" s="199">
        <f t="shared" si="27"/>
        <v>3.5401839550544752E-9</v>
      </c>
    </row>
    <row r="466" spans="1:47" x14ac:dyDescent="0.35">
      <c r="A466">
        <v>432</v>
      </c>
      <c r="B466" s="70">
        <v>56</v>
      </c>
      <c r="C466" s="70">
        <v>66.917623868898318</v>
      </c>
      <c r="D466" s="70">
        <v>76.712908438246231</v>
      </c>
      <c r="E466" s="70">
        <v>109.73882141236983</v>
      </c>
      <c r="F466" s="70">
        <v>153.59645239368476</v>
      </c>
      <c r="G466" s="70">
        <v>235.2587122672839</v>
      </c>
      <c r="H466" s="70">
        <v>312.06376247842036</v>
      </c>
      <c r="I466" s="70">
        <v>375.73918070666161</v>
      </c>
      <c r="J466" s="70">
        <v>401.62557381611248</v>
      </c>
      <c r="K466" s="70">
        <v>500</v>
      </c>
      <c r="L466" s="70">
        <v>434.83477444009918</v>
      </c>
      <c r="M466" s="70">
        <v>485.17447662337526</v>
      </c>
      <c r="N466" s="70">
        <v>406.07026536056151</v>
      </c>
      <c r="O466" s="70">
        <v>181.7852832252029</v>
      </c>
      <c r="P466" s="70">
        <v>224.74246473529575</v>
      </c>
      <c r="Q466" s="70">
        <v>297.14353362300653</v>
      </c>
      <c r="R466" s="70">
        <v>218.84016943068093</v>
      </c>
      <c r="S466" s="70">
        <v>248.83205158825095</v>
      </c>
      <c r="T466" s="70">
        <v>310.03317277643737</v>
      </c>
      <c r="U466" s="70">
        <v>365.65703456940776</v>
      </c>
      <c r="V466" s="70">
        <v>500</v>
      </c>
      <c r="X466" s="193">
        <f>((0-('Appendix K'!$I$30))/(1+$Y$16)^0)</f>
        <v>-33594902.4440751</v>
      </c>
      <c r="Y466" s="193">
        <f>(((B466*'Appendix K'!$C$5*1000)-('Appendix K'!$E$31+'Appendix K'!$F$31+'Appendix K'!$H$31+'Appendix K'!$G$31))/((1+$Y$16)^1))</f>
        <v>34971064.972647354</v>
      </c>
      <c r="Z466" s="193">
        <f>+(((C466*'Appendix K'!$C$6*1000)-('Appendix K'!$E$32+'Appendix K'!$F$32+'Appendix K'!$H$32+'Appendix K'!$G$32))/((1+$Y$16)^2))</f>
        <v>13417288.619821917</v>
      </c>
      <c r="AA466" s="193">
        <f>(((D466*'Appendix K'!$C$7*1000)-('Appendix K'!$E$33+'Appendix K'!$F$33+'Appendix K'!$H$33+'Appendix K'!$G$33))/((1+$Y$16)^3))</f>
        <v>6806398.8576468863</v>
      </c>
      <c r="AB466" s="193">
        <f>(((E466*'Appendix K'!$C$8*1000)-('Appendix K'!$E$34+'Appendix K'!$F$34+'Appendix K'!$H$34+'Appendix K'!$G$34))/((1+$Y$16)^4))</f>
        <v>20760537.202516381</v>
      </c>
      <c r="AC466" s="193">
        <f>(((F466*'Appendix K'!$C$9*1000)-('Appendix K'!$E$35+'Appendix K'!$F$35+'Appendix K'!$H$35+'Appendix K'!$G$35))/((1+$Y$16)^AC$34))</f>
        <v>37841467.337370485</v>
      </c>
      <c r="AD466" s="193">
        <f>(((G466*'Appendix K'!$C$10*1000)-('Appendix K'!$E$36+'Appendix K'!$F$36+'Appendix K'!$H$36+'Appendix K'!$G$36))/((1+$Y$16)^AD$34))</f>
        <v>34430194.82530383</v>
      </c>
      <c r="AE466" s="193">
        <f>(((H466*'Appendix K'!$C$11*1000)-('Appendix K'!$E$37+'Appendix K'!$F$37+'Appendix K'!$H$37+'Appendix K'!$G$37))/((1+$Y$16)^AE$34))</f>
        <v>28904558.749998767</v>
      </c>
      <c r="AF466" s="193">
        <f>(((I466*'Appendix K'!$C$12*1000)-('Appendix K'!$E$38+'Appendix K'!$F$38+'Appendix K'!$H$38+'Appendix K'!$G$38))/((1+$Y$16)^AF$34))</f>
        <v>22675367.528214283</v>
      </c>
      <c r="AG466" s="193">
        <f>(((J466*'Appendix K'!$C$13*1000)-('Appendix K'!$E$39+'Appendix K'!$F$39+'Appendix K'!$H$39+'Appendix K'!$G$39))/((1+$Y$16)^AG$34))</f>
        <v>16667436.32553298</v>
      </c>
      <c r="AH466" s="193">
        <f>(((K466*'Appendix K'!$C$14*1000)-('Appendix K'!$E$40+'Appendix K'!$F$40+'Appendix K'!$H$40+'Appendix K'!$G$40))/((1+$Y$16)^AH$34))</f>
        <v>15220522.22201786</v>
      </c>
      <c r="AI466" s="193">
        <f>(((L466*'Appendix K'!$C$15*1000)-('Appendix K'!$E$41+'Appendix K'!$F$41+'Appendix K'!$H$41+'Appendix K'!$G$41))/((1+$Y$16)^AI$34))</f>
        <v>9877002.887015041</v>
      </c>
      <c r="AJ466" s="193">
        <f>(((M466*'Appendix K'!$C$16*1000)-('Appendix K'!$E$42+'Appendix K'!$F$42+'Appendix K'!$H$42+'Appendix K'!$G$42))/((1+$Y$16)^AJ$34))</f>
        <v>8342251.3628732627</v>
      </c>
      <c r="AK466" s="193">
        <f>(((N466*'Appendix K'!$C$17*1000)-('Appendix K'!$E$43+'Appendix K'!$F$43+'Appendix K'!$H$43))/((1+$Y$16)^AK$34))</f>
        <v>5234563.3032373078</v>
      </c>
      <c r="AL466" s="193">
        <f>(((O466*'Appendix K'!$C$18*1000)-('Appendix K'!$E$44+'Appendix K'!$F$44+'Appendix K'!$H$44+'Appendix K'!$G$44))/((1+$Y$16)^AL$34))</f>
        <v>1020165.3271042055</v>
      </c>
      <c r="AM466" s="193">
        <f>(((P466*'Appendix K'!$C$19*1000)-('Appendix K'!$E$45+'Appendix K'!$F$45+'Appendix K'!$H$45+'Appendix K'!$G$45))/((1+$Y$16)^AM$34))</f>
        <v>1056311.6858524983</v>
      </c>
      <c r="AN466" s="193">
        <f>(((Q466*'Appendix K'!$C$20*1000)-('Appendix K'!$E$46+'Appendix K'!$F$46+'Appendix K'!$H$46+'Appendix K'!$G$46))/((1+$Y$16)^AN$34))</f>
        <v>1234486.2181552122</v>
      </c>
      <c r="AO466" s="193">
        <f>(((R466*'Appendix K'!$C$21*1000)-('Appendix K'!$E$47+'Appendix K'!$F$47+'Appendix K'!$H$47+'Appendix K'!$G$47))/((1+$Y$16)^AO$34))</f>
        <v>450370.65342504479</v>
      </c>
      <c r="AP466" s="193">
        <f>(((S466*'Appendix K'!$C$22*1000)-('Appendix K'!$E$48+'Appendix K'!$F$48+'Appendix K'!$H$48+'Appendix K'!$G$48))/((1+$Y$16)^AP$34))</f>
        <v>427382.45750627399</v>
      </c>
      <c r="AQ466" s="193">
        <f>(((T466*'Appendix K'!$C$23*1000)-('Appendix K'!$E$49+'Appendix K'!$F$49+'Appendix K'!$H$49+'Appendix K'!$G$49))/((1+$Y$16)^AQ$34))</f>
        <v>519904.8362074091</v>
      </c>
      <c r="AR466" s="193">
        <f>(((U466*'Appendix K'!$C$24*1000)-('Appendix K'!$E$50+'Appendix K'!$F$50+'Appendix K'!$H$50+'Appendix K'!$G$50))/((1+$Y$16)^AR$34))</f>
        <v>548137.02729792299</v>
      </c>
      <c r="AS466" s="209">
        <f t="shared" si="28"/>
        <v>226810509.95566979</v>
      </c>
      <c r="AU466" s="199">
        <f t="shared" si="27"/>
        <v>3.4724586331017775E-10</v>
      </c>
    </row>
    <row r="467" spans="1:47" x14ac:dyDescent="0.35">
      <c r="A467">
        <v>433</v>
      </c>
      <c r="B467" s="70">
        <v>56</v>
      </c>
      <c r="C467" s="70">
        <v>67.776602541920056</v>
      </c>
      <c r="D467" s="70">
        <v>84.989848545477926</v>
      </c>
      <c r="E467" s="70">
        <v>71.959919397749985</v>
      </c>
      <c r="F467" s="70">
        <v>76.187341276891928</v>
      </c>
      <c r="G467" s="70">
        <v>90.485817873585475</v>
      </c>
      <c r="H467" s="70">
        <v>126.2109633984859</v>
      </c>
      <c r="I467" s="70">
        <v>100.52208679397538</v>
      </c>
      <c r="J467" s="70">
        <v>118.15162386848084</v>
      </c>
      <c r="K467" s="70">
        <v>91.182824443624696</v>
      </c>
      <c r="L467" s="70">
        <v>105.83760985215734</v>
      </c>
      <c r="M467" s="70">
        <v>99.993375463247176</v>
      </c>
      <c r="N467" s="70">
        <v>93.311779913308953</v>
      </c>
      <c r="O467" s="70">
        <v>149.78001968983929</v>
      </c>
      <c r="P467" s="70">
        <v>166.47949518623511</v>
      </c>
      <c r="Q467" s="70">
        <v>197.77884273175164</v>
      </c>
      <c r="R467" s="70">
        <v>268.44687786960196</v>
      </c>
      <c r="S467" s="70">
        <v>245.28890315369904</v>
      </c>
      <c r="T467" s="70">
        <v>328.96704916824478</v>
      </c>
      <c r="U467" s="70">
        <v>333.88692565645755</v>
      </c>
      <c r="V467" s="70">
        <v>498.49481436026201</v>
      </c>
      <c r="X467" s="193">
        <f>((0-('Appendix K'!$I$30))/(1+$Y$16)^0)</f>
        <v>-33594902.4440751</v>
      </c>
      <c r="Y467" s="193">
        <f>(((B467*'Appendix K'!$C$5*1000)-('Appendix K'!$E$31+'Appendix K'!$F$31+'Appendix K'!$H$31+'Appendix K'!$G$31))/((1+$Y$16)^1))</f>
        <v>34971064.972647354</v>
      </c>
      <c r="Z467" s="193">
        <f>+(((C467*'Appendix K'!$C$6*1000)-('Appendix K'!$E$32+'Appendix K'!$F$32+'Appendix K'!$H$32+'Appendix K'!$G$32))/((1+$Y$16)^2))</f>
        <v>13634281.323846037</v>
      </c>
      <c r="AA467" s="193">
        <f>(((D467*'Appendix K'!$C$7*1000)-('Appendix K'!$E$33+'Appendix K'!$F$33+'Appendix K'!$H$33+'Appendix K'!$G$33))/((1+$Y$16)^3))</f>
        <v>7860673.0473241759</v>
      </c>
      <c r="AB467" s="193">
        <f>(((E467*'Appendix K'!$C$8*1000)-('Appendix K'!$E$34+'Appendix K'!$F$34+'Appendix K'!$H$34+'Appendix K'!$G$34))/((1+$Y$16)^4))</f>
        <v>12479747.713473149</v>
      </c>
      <c r="AC467" s="193">
        <f>(((F467*'Appendix K'!$C$9*1000)-('Appendix K'!$E$35+'Appendix K'!$F$35+'Appendix K'!$H$35+'Appendix K'!$G$35))/((1+$Y$16)^AC$34))</f>
        <v>17266247.1566443</v>
      </c>
      <c r="AD467" s="193">
        <f>(((G467*'Appendix K'!$C$10*1000)-('Appendix K'!$E$36+'Appendix K'!$F$36+'Appendix K'!$H$36+'Appendix K'!$G$36))/((1+$Y$16)^AD$34))</f>
        <v>11694487.4172628</v>
      </c>
      <c r="AE467" s="193">
        <f>(((H467*'Appendix K'!$C$11*1000)-('Appendix K'!$E$37+'Appendix K'!$F$37+'Appendix K'!$H$37+'Appendix K'!$G$37))/((1+$Y$16)^AE$34))</f>
        <v>10368041.25714279</v>
      </c>
      <c r="AF467" s="193">
        <f>(((I467*'Appendix K'!$C$12*1000)-('Appendix K'!$E$38+'Appendix K'!$F$38+'Appendix K'!$H$38+'Appendix K'!$G$38))/((1+$Y$16)^AF$34))</f>
        <v>4603945.1792763164</v>
      </c>
      <c r="AG467" s="193">
        <f>(((J467*'Appendix K'!$C$13*1000)-('Appendix K'!$E$39+'Appendix K'!$F$39+'Appendix K'!$H$39+'Appendix K'!$G$39))/((1+$Y$16)^AG$34))</f>
        <v>3622267.7398679992</v>
      </c>
      <c r="AH467" s="193">
        <f>(((K467*'Appendix K'!$C$14*1000)-('Appendix K'!$E$40+'Appendix K'!$F$40+'Appendix K'!$H$40+'Appendix K'!$G$40))/((1+$Y$16)^AH$34))</f>
        <v>1440715.1557511142</v>
      </c>
      <c r="AI467" s="193">
        <f>(((L467*'Appendix K'!$C$15*1000)-('Appendix K'!$E$41+'Appendix K'!$F$41+'Appendix K'!$H$41+'Appendix K'!$G$41))/((1+$Y$16)^AI$34))</f>
        <v>1256661.9470964076</v>
      </c>
      <c r="AJ467" s="193">
        <f>(((M467*'Appendix K'!$C$16*1000)-('Appendix K'!$E$42+'Appendix K'!$F$42+'Appendix K'!$H$42+'Appendix K'!$G$42))/((1+$Y$16)^AJ$34))</f>
        <v>622502.97100250144</v>
      </c>
      <c r="AK467" s="193">
        <f>(((N467*'Appendix K'!$C$17*1000)-('Appendix K'!$E$43+'Appendix K'!$F$43+'Appendix K'!$H$43))/((1+$Y$16)^AK$34))</f>
        <v>429374.00226016052</v>
      </c>
      <c r="AL467" s="193">
        <f>(((O467*'Appendix K'!$C$18*1000)-('Appendix K'!$E$44+'Appendix K'!$F$44+'Appendix K'!$H$44+'Appendix K'!$G$44))/((1+$Y$16)^AL$34))</f>
        <v>640797.52080270101</v>
      </c>
      <c r="AM467" s="193">
        <f>(((P467*'Appendix K'!$C$19*1000)-('Appendix K'!$E$45+'Appendix K'!$F$45+'Appendix K'!$H$45+'Appendix K'!$G$45))/((1+$Y$16)^AM$34))</f>
        <v>516287.84768090968</v>
      </c>
      <c r="AN467" s="193">
        <f>(((Q467*'Appendix K'!$C$20*1000)-('Appendix K'!$E$46+'Appendix K'!$F$46+'Appendix K'!$H$46+'Appendix K'!$G$46))/((1+$Y$16)^AN$34))</f>
        <v>515461.76357034617</v>
      </c>
      <c r="AO467" s="193">
        <f>(((R467*'Appendix K'!$C$21*1000)-('Appendix K'!$E$47+'Appendix K'!$F$47+'Appendix K'!$H$47+'Appendix K'!$G$47))/((1+$Y$16)^AO$34))</f>
        <v>743551.78085021244</v>
      </c>
      <c r="AP467" s="193">
        <f>(((S467*'Appendix K'!$C$22*1000)-('Appendix K'!$E$48+'Appendix K'!$F$48+'Appendix K'!$H$48+'Appendix K'!$G$48))/((1+$Y$16)^AP$34))</f>
        <v>410411.77091884072</v>
      </c>
      <c r="AQ467" s="193">
        <f>(((T467*'Appendix K'!$C$23*1000)-('Appendix K'!$E$49+'Appendix K'!$F$49+'Appendix K'!$H$49+'Appendix K'!$G$49))/((1+$Y$16)^AQ$34))</f>
        <v>594007.18120827503</v>
      </c>
      <c r="AR467" s="193">
        <f>(((U467*'Appendix K'!$C$24*1000)-('Appendix K'!$E$50+'Appendix K'!$F$50+'Appendix K'!$H$50+'Appendix K'!$G$50))/((1+$Y$16)^AR$34))</f>
        <v>445836.3864360351</v>
      </c>
      <c r="AS467" s="209">
        <f t="shared" si="28"/>
        <v>90521461.690987319</v>
      </c>
      <c r="AU467" s="199">
        <f t="shared" si="27"/>
        <v>7.0204735768976757E-9</v>
      </c>
    </row>
    <row r="468" spans="1:47" x14ac:dyDescent="0.35">
      <c r="A468">
        <v>434</v>
      </c>
      <c r="B468" s="70">
        <v>56</v>
      </c>
      <c r="C468" s="70">
        <v>52.292731708610717</v>
      </c>
      <c r="D468" s="70">
        <v>51.592580935917375</v>
      </c>
      <c r="E468" s="70">
        <v>62.982903107507894</v>
      </c>
      <c r="F468" s="70">
        <v>73.475770314976231</v>
      </c>
      <c r="G468" s="70">
        <v>87.07323368960968</v>
      </c>
      <c r="H468" s="70">
        <v>120.51028191523008</v>
      </c>
      <c r="I468" s="70">
        <v>93.608196765670726</v>
      </c>
      <c r="J468" s="70">
        <v>82.480558798802861</v>
      </c>
      <c r="K468" s="70">
        <v>83.013149425765846</v>
      </c>
      <c r="L468" s="70">
        <v>85.300846427640153</v>
      </c>
      <c r="M468" s="70">
        <v>105.7984581292374</v>
      </c>
      <c r="N468" s="70">
        <v>121.18739272933466</v>
      </c>
      <c r="O468" s="70">
        <v>103.6727290728698</v>
      </c>
      <c r="P468" s="70">
        <v>115.52221003084111</v>
      </c>
      <c r="Q468" s="70">
        <v>179.13881256251372</v>
      </c>
      <c r="R468" s="70">
        <v>181.56808486351599</v>
      </c>
      <c r="S468" s="70">
        <v>236.24856354961534</v>
      </c>
      <c r="T468" s="70">
        <v>241.1983597264674</v>
      </c>
      <c r="U468" s="70">
        <v>348.19400045235636</v>
      </c>
      <c r="V468" s="70">
        <v>290.14673267005503</v>
      </c>
      <c r="X468" s="193">
        <f>((0-('Appendix K'!$I$30))/(1+$Y$16)^0)</f>
        <v>-33594902.4440751</v>
      </c>
      <c r="Y468" s="193">
        <f>(((B468*'Appendix K'!$C$5*1000)-('Appendix K'!$E$31+'Appendix K'!$F$31+'Appendix K'!$H$31+'Appendix K'!$G$31))/((1+$Y$16)^1))</f>
        <v>34971064.972647354</v>
      </c>
      <c r="Z468" s="193">
        <f>+(((C468*'Appendix K'!$C$6*1000)-('Appendix K'!$E$32+'Appendix K'!$F$32+'Appendix K'!$H$32+'Appendix K'!$G$32))/((1+$Y$16)^2))</f>
        <v>9722790.7287879065</v>
      </c>
      <c r="AA468" s="193">
        <f>(((D468*'Appendix K'!$C$7*1000)-('Appendix K'!$E$33+'Appendix K'!$F$33+'Appendix K'!$H$33+'Appendix K'!$G$33))/((1+$Y$16)^3))</f>
        <v>3606700.3484349353</v>
      </c>
      <c r="AB468" s="193">
        <f>(((E468*'Appendix K'!$C$8*1000)-('Appendix K'!$E$34+'Appendix K'!$F$34+'Appendix K'!$H$34+'Appendix K'!$G$34))/((1+$Y$16)^4))</f>
        <v>10512067.919326684</v>
      </c>
      <c r="AC468" s="193">
        <f>(((F468*'Appendix K'!$C$9*1000)-('Appendix K'!$E$35+'Appendix K'!$F$35+'Appendix K'!$H$35+'Appendix K'!$G$35))/((1+$Y$16)^AC$34))</f>
        <v>16545515.852897601</v>
      </c>
      <c r="AD468" s="193">
        <f>(((G468*'Appendix K'!$C$10*1000)-('Appendix K'!$E$36+'Appendix K'!$F$36+'Appendix K'!$H$36+'Appendix K'!$G$36))/((1+$Y$16)^AD$34))</f>
        <v>11158561.71212915</v>
      </c>
      <c r="AE468" s="193">
        <f>(((H468*'Appendix K'!$C$11*1000)-('Appendix K'!$E$37+'Appendix K'!$F$37+'Appendix K'!$H$37+'Appendix K'!$G$37))/((1+$Y$16)^AE$34))</f>
        <v>9799468.8032508083</v>
      </c>
      <c r="AF468" s="193">
        <f>(((I468*'Appendix K'!$C$12*1000)-('Appendix K'!$E$38+'Appendix K'!$F$38+'Appendix K'!$H$38+'Appendix K'!$G$38))/((1+$Y$16)^AF$34))</f>
        <v>4149962.3797368272</v>
      </c>
      <c r="AG468" s="193">
        <f>(((J468*'Appendix K'!$C$13*1000)-('Appendix K'!$E$39+'Appendix K'!$F$39+'Appendix K'!$H$39+'Appendix K'!$G$39))/((1+$Y$16)^AG$34))</f>
        <v>1980723.4020191792</v>
      </c>
      <c r="AH468" s="193">
        <f>(((K468*'Appendix K'!$C$14*1000)-('Appendix K'!$E$40+'Appendix K'!$F$40+'Appendix K'!$H$40+'Appendix K'!$G$40))/((1+$Y$16)^AH$34))</f>
        <v>1165343.786172562</v>
      </c>
      <c r="AI468" s="193">
        <f>(((L468*'Appendix K'!$C$15*1000)-('Appendix K'!$E$41+'Appendix K'!$F$41+'Appendix K'!$H$41+'Appendix K'!$G$41))/((1+$Y$16)^AI$34))</f>
        <v>718560.34143813886</v>
      </c>
      <c r="AJ468" s="193">
        <f>(((M468*'Appendix K'!$C$16*1000)-('Appendix K'!$E$42+'Appendix K'!$F$42+'Appendix K'!$H$42+'Appendix K'!$G$42))/((1+$Y$16)^AJ$34))</f>
        <v>738847.66559026833</v>
      </c>
      <c r="AK468" s="193">
        <f>(((N468*'Appendix K'!$C$17*1000)-('Appendix K'!$E$43+'Appendix K'!$F$43+'Appendix K'!$H$43))/((1+$Y$16)^AK$34))</f>
        <v>857652.05927338521</v>
      </c>
      <c r="AL468" s="193">
        <f>(((O468*'Appendix K'!$C$18*1000)-('Appendix K'!$E$44+'Appendix K'!$F$44+'Appendix K'!$H$44+'Appendix K'!$G$44))/((1+$Y$16)^AL$34))</f>
        <v>94274.237951471499</v>
      </c>
      <c r="AM468" s="193">
        <f>(((P468*'Appendix K'!$C$19*1000)-('Appendix K'!$E$45+'Appendix K'!$F$45+'Appendix K'!$H$45+'Appendix K'!$G$45))/((1+$Y$16)^AM$34))</f>
        <v>43978.438713209078</v>
      </c>
      <c r="AN468" s="193">
        <f>(((Q468*'Appendix K'!$C$20*1000)-('Appendix K'!$E$46+'Appendix K'!$F$46+'Appendix K'!$H$46+'Appendix K'!$G$46))/((1+$Y$16)^AN$34))</f>
        <v>380578.46241310058</v>
      </c>
      <c r="AO468" s="193">
        <f>(((R468*'Appendix K'!$C$21*1000)-('Appendix K'!$E$47+'Appendix K'!$F$47+'Appendix K'!$H$47+'Appendix K'!$G$47))/((1+$Y$16)^AO$34))</f>
        <v>230088.51581169735</v>
      </c>
      <c r="AP468" s="193">
        <f>(((S468*'Appendix K'!$C$22*1000)-('Appendix K'!$E$48+'Appendix K'!$F$48+'Appendix K'!$H$48+'Appendix K'!$G$48))/((1+$Y$16)^AP$34))</f>
        <v>367111.08146176254</v>
      </c>
      <c r="AQ468" s="193">
        <f>(((T468*'Appendix K'!$C$23*1000)-('Appendix K'!$E$49+'Appendix K'!$F$49+'Appendix K'!$H$49+'Appendix K'!$G$49))/((1+$Y$16)^AQ$34))</f>
        <v>250503.00009390808</v>
      </c>
      <c r="AR468" s="193">
        <f>(((U468*'Appendix K'!$C$24*1000)-('Appendix K'!$E$50+'Appendix K'!$F$50+'Appendix K'!$H$50+'Appendix K'!$G$50))/((1+$Y$16)^AR$34))</f>
        <v>491905.56814673438</v>
      </c>
      <c r="AS468" s="209">
        <f t="shared" si="28"/>
        <v>74190796.832221597</v>
      </c>
      <c r="AU468" s="199">
        <f t="shared" si="27"/>
        <v>6.8356739615332058E-9</v>
      </c>
    </row>
    <row r="469" spans="1:47" x14ac:dyDescent="0.35">
      <c r="A469">
        <v>435</v>
      </c>
      <c r="B469" s="70">
        <v>56</v>
      </c>
      <c r="C469" s="70">
        <v>38.204172845787632</v>
      </c>
      <c r="D469" s="70">
        <v>27.909049876002165</v>
      </c>
      <c r="E469" s="70">
        <v>27.231335787284539</v>
      </c>
      <c r="F469" s="70">
        <v>37.558866020559861</v>
      </c>
      <c r="G469" s="70">
        <v>46.594480965681591</v>
      </c>
      <c r="H469" s="70">
        <v>44.217576221174738</v>
      </c>
      <c r="I469" s="70">
        <v>41.86591467374928</v>
      </c>
      <c r="J469" s="70">
        <v>62.099763837243671</v>
      </c>
      <c r="K469" s="70">
        <v>107.1844050525783</v>
      </c>
      <c r="L469" s="70">
        <v>106.66795451926184</v>
      </c>
      <c r="M469" s="70">
        <v>156.78630645937707</v>
      </c>
      <c r="N469" s="70">
        <v>78.081395391375068</v>
      </c>
      <c r="O469" s="70">
        <v>82.014574265681844</v>
      </c>
      <c r="P469" s="70">
        <v>161.85213343112116</v>
      </c>
      <c r="Q469" s="70">
        <v>160.33031502751015</v>
      </c>
      <c r="R469" s="70">
        <v>242.94742077817847</v>
      </c>
      <c r="S469" s="70">
        <v>245.52771561560473</v>
      </c>
      <c r="T469" s="70">
        <v>294.34776734743519</v>
      </c>
      <c r="U469" s="70">
        <v>262.62786916830311</v>
      </c>
      <c r="V469" s="70">
        <v>288.49127346179188</v>
      </c>
      <c r="X469" s="193">
        <f>((0-('Appendix K'!$I$30))/(1+$Y$16)^0)</f>
        <v>-33594902.4440751</v>
      </c>
      <c r="Y469" s="193">
        <f>(((B469*'Appendix K'!$C$5*1000)-('Appendix K'!$E$31+'Appendix K'!$F$31+'Appendix K'!$H$31+'Appendix K'!$G$31))/((1+$Y$16)^1))</f>
        <v>34971064.972647354</v>
      </c>
      <c r="Z469" s="193">
        <f>+(((C469*'Appendix K'!$C$6*1000)-('Appendix K'!$E$32+'Appendix K'!$F$32+'Appendix K'!$H$32+'Appendix K'!$G$32))/((1+$Y$16)^2))</f>
        <v>6163779.8016683748</v>
      </c>
      <c r="AA469" s="193">
        <f>(((D469*'Appendix K'!$C$7*1000)-('Appendix K'!$E$33+'Appendix K'!$F$33+'Appendix K'!$H$33+'Appendix K'!$G$33))/((1+$Y$16)^3))</f>
        <v>590013.60268051701</v>
      </c>
      <c r="AB469" s="193">
        <f>(((E469*'Appendix K'!$C$8*1000)-('Appendix K'!$E$34+'Appendix K'!$F$34+'Appendix K'!$H$34+'Appendix K'!$G$34))/((1+$Y$16)^4))</f>
        <v>2675651.6368322955</v>
      </c>
      <c r="AC469" s="193">
        <f>(((F469*'Appendix K'!$C$9*1000)-('Appendix K'!$E$35+'Appendix K'!$F$35+'Appendix K'!$H$35+'Appendix K'!$G$35))/((1+$Y$16)^AC$34))</f>
        <v>6998859.0911023906</v>
      </c>
      <c r="AD469" s="193">
        <f>(((G469*'Appendix K'!$C$10*1000)-('Appendix K'!$E$36+'Appendix K'!$F$36+'Appendix K'!$H$36+'Appendix K'!$G$36))/((1+$Y$16)^AD$34))</f>
        <v>4801618.431911557</v>
      </c>
      <c r="AE469" s="193">
        <f>(((H469*'Appendix K'!$C$11*1000)-('Appendix K'!$E$37+'Appendix K'!$F$37+'Appendix K'!$H$37+'Appendix K'!$G$37))/((1+$Y$16)^AE$34))</f>
        <v>2190215.2398060742</v>
      </c>
      <c r="AF469" s="193">
        <f>(((I469*'Appendix K'!$C$12*1000)-('Appendix K'!$E$38+'Appendix K'!$F$38+'Appendix K'!$H$38+'Appendix K'!$G$38))/((1+$Y$16)^AF$34))</f>
        <v>752438.55704268673</v>
      </c>
      <c r="AG469" s="193">
        <f>(((J469*'Appendix K'!$C$13*1000)-('Appendix K'!$E$39+'Appendix K'!$F$39+'Appendix K'!$H$39+'Appendix K'!$G$39))/((1+$Y$16)^AG$34))</f>
        <v>1042820.9731274678</v>
      </c>
      <c r="AH469" s="193">
        <f>(((K469*'Appendix K'!$C$14*1000)-('Appendix K'!$E$40+'Appendix K'!$F$40+'Appendix K'!$H$40+'Appendix K'!$G$40))/((1+$Y$16)^AH$34))</f>
        <v>1980072.8606875821</v>
      </c>
      <c r="AI469" s="193">
        <f>(((L469*'Appendix K'!$C$15*1000)-('Appendix K'!$E$41+'Appendix K'!$F$41+'Appendix K'!$H$41+'Appendix K'!$G$41))/((1+$Y$16)^AI$34))</f>
        <v>1278418.5301266864</v>
      </c>
      <c r="AJ469" s="193">
        <f>(((M469*'Appendix K'!$C$16*1000)-('Appendix K'!$E$42+'Appendix K'!$F$42+'Appendix K'!$H$42+'Appendix K'!$G$42))/((1+$Y$16)^AJ$34))</f>
        <v>1760739.339314708</v>
      </c>
      <c r="AK469" s="193">
        <f>(((N469*'Appendix K'!$C$17*1000)-('Appendix K'!$E$43+'Appendix K'!$F$43+'Appendix K'!$H$43))/((1+$Y$16)^AK$34))</f>
        <v>195375.93614883383</v>
      </c>
      <c r="AL469" s="193">
        <f>(((O469*'Appendix K'!$C$18*1000)-('Appendix K'!$E$44+'Appendix K'!$F$44+'Appendix K'!$H$44+'Appendix K'!$G$44))/((1+$Y$16)^AL$34))</f>
        <v>-162446.24393622531</v>
      </c>
      <c r="AM469" s="193">
        <f>(((P469*'Appendix K'!$C$19*1000)-('Appendix K'!$E$45+'Appendix K'!$F$45+'Appendix K'!$H$45+'Appendix K'!$G$45))/((1+$Y$16)^AM$34))</f>
        <v>473398.07266693877</v>
      </c>
      <c r="AN469" s="193">
        <f>(((Q469*'Appendix K'!$C$20*1000)-('Appendix K'!$E$46+'Appendix K'!$F$46+'Appendix K'!$H$46+'Appendix K'!$G$46))/((1+$Y$16)^AN$34))</f>
        <v>244476.09485813868</v>
      </c>
      <c r="AO469" s="193">
        <f>(((R469*'Appendix K'!$C$21*1000)-('Appendix K'!$E$47+'Appendix K'!$F$47+'Appendix K'!$H$47+'Appendix K'!$G$47))/((1+$Y$16)^AO$34))</f>
        <v>592847.17225885415</v>
      </c>
      <c r="AP469" s="193">
        <f>(((S469*'Appendix K'!$C$22*1000)-('Appendix K'!$E$48+'Appendix K'!$F$48+'Appendix K'!$H$48+'Appendix K'!$G$48))/((1+$Y$16)^AP$34))</f>
        <v>411555.61558666587</v>
      </c>
      <c r="AQ469" s="193">
        <f>(((T469*'Appendix K'!$C$23*1000)-('Appendix K'!$E$49+'Appendix K'!$F$49+'Appendix K'!$H$49+'Appendix K'!$G$49))/((1+$Y$16)^AQ$34))</f>
        <v>458516.17492506822</v>
      </c>
      <c r="AR469" s="193">
        <f>(((U469*'Appendix K'!$C$24*1000)-('Appendix K'!$E$50+'Appendix K'!$F$50+'Appendix K'!$H$50+'Appendix K'!$G$50))/((1+$Y$16)^AR$34))</f>
        <v>216380.22794675207</v>
      </c>
      <c r="AS469" s="209">
        <f t="shared" si="28"/>
        <v>34203339.887263857</v>
      </c>
      <c r="AU469" s="199">
        <f t="shared" si="27"/>
        <v>4.5141647718173481E-9</v>
      </c>
    </row>
    <row r="470" spans="1:47" x14ac:dyDescent="0.35">
      <c r="A470">
        <v>436</v>
      </c>
      <c r="B470" s="70">
        <v>56</v>
      </c>
      <c r="C470" s="70">
        <v>58.716023767215844</v>
      </c>
      <c r="D470" s="70">
        <v>73.008807200326729</v>
      </c>
      <c r="E470" s="70">
        <v>40.749622039046542</v>
      </c>
      <c r="F470" s="70">
        <v>66.977051533958672</v>
      </c>
      <c r="G470" s="70">
        <v>76.738822667305982</v>
      </c>
      <c r="H470" s="70">
        <v>84.221671523603106</v>
      </c>
      <c r="I470" s="70">
        <v>84.594441036121907</v>
      </c>
      <c r="J470" s="70">
        <v>87.457282482101789</v>
      </c>
      <c r="K470" s="70">
        <v>128.09064191047233</v>
      </c>
      <c r="L470" s="70">
        <v>130.70221473931426</v>
      </c>
      <c r="M470" s="70">
        <v>203.14527023513446</v>
      </c>
      <c r="N470" s="70">
        <v>210.24422792021431</v>
      </c>
      <c r="O470" s="70">
        <v>250.38790520514914</v>
      </c>
      <c r="P470" s="70">
        <v>270.96163733818895</v>
      </c>
      <c r="Q470" s="70">
        <v>413.20827054111015</v>
      </c>
      <c r="R470" s="70">
        <v>392.63776022116963</v>
      </c>
      <c r="S470" s="70">
        <v>398.65097378676506</v>
      </c>
      <c r="T470" s="70">
        <v>275.13487963983061</v>
      </c>
      <c r="U470" s="70">
        <v>318.94941892387868</v>
      </c>
      <c r="V470" s="70">
        <v>397.56639691673604</v>
      </c>
      <c r="X470" s="193">
        <f>((0-('Appendix K'!$I$30))/(1+$Y$16)^0)</f>
        <v>-33594902.4440751</v>
      </c>
      <c r="Y470" s="193">
        <f>(((B470*'Appendix K'!$C$5*1000)-('Appendix K'!$E$31+'Appendix K'!$F$31+'Appendix K'!$H$31+'Appendix K'!$G$31))/((1+$Y$16)^1))</f>
        <v>34971064.972647354</v>
      </c>
      <c r="Z470" s="193">
        <f>+(((C470*'Appendix K'!$C$6*1000)-('Appendix K'!$E$32+'Appendix K'!$F$32+'Appendix K'!$H$32+'Appendix K'!$G$32))/((1+$Y$16)^2))</f>
        <v>11345424.161152681</v>
      </c>
      <c r="AA470" s="193">
        <f>(((D470*'Appendix K'!$C$7*1000)-('Appendix K'!$E$33+'Appendix K'!$F$33+'Appendix K'!$H$33+'Appendix K'!$G$33))/((1+$Y$16)^3))</f>
        <v>6334589.4352640603</v>
      </c>
      <c r="AB470" s="193">
        <f>(((E470*'Appendix K'!$C$8*1000)-('Appendix K'!$E$34+'Appendix K'!$F$34+'Appendix K'!$H$34+'Appendix K'!$G$34))/((1+$Y$16)^4))</f>
        <v>5638736.2352186786</v>
      </c>
      <c r="AC470" s="193">
        <f>(((F470*'Appendix K'!$C$9*1000)-('Appendix K'!$E$35+'Appendix K'!$F$35+'Appendix K'!$H$35+'Appendix K'!$G$35))/((1+$Y$16)^AC$34))</f>
        <v>14818166.605722874</v>
      </c>
      <c r="AD470" s="193">
        <f>(((G470*'Appendix K'!$C$10*1000)-('Appendix K'!$E$36+'Appendix K'!$F$36+'Appendix K'!$H$36+'Appendix K'!$G$36))/((1+$Y$16)^AD$34))</f>
        <v>9535604.9685927834</v>
      </c>
      <c r="AE470" s="193">
        <f>(((H470*'Appendix K'!$C$11*1000)-('Appendix K'!$E$37+'Appendix K'!$F$37+'Appendix K'!$H$37+'Appendix K'!$G$37))/((1+$Y$16)^AE$34))</f>
        <v>6180128.8490189724</v>
      </c>
      <c r="AF470" s="193">
        <f>(((I470*'Appendix K'!$C$12*1000)-('Appendix K'!$E$38+'Appendix K'!$F$38+'Appendix K'!$H$38+'Appendix K'!$G$38))/((1+$Y$16)^AF$34))</f>
        <v>3558097.3017976121</v>
      </c>
      <c r="AG470" s="193">
        <f>(((J470*'Appendix K'!$C$13*1000)-('Appendix K'!$E$39+'Appendix K'!$F$39+'Appendix K'!$H$39+'Appendix K'!$G$39))/((1+$Y$16)^AG$34))</f>
        <v>2209746.9135795878</v>
      </c>
      <c r="AH470" s="193">
        <f>(((K470*'Appendix K'!$C$14*1000)-('Appendix K'!$E$40+'Appendix K'!$F$40+'Appendix K'!$H$40+'Appendix K'!$G$40))/((1+$Y$16)^AH$34))</f>
        <v>2684749.4927087049</v>
      </c>
      <c r="AI470" s="193">
        <f>(((L470*'Appendix K'!$C$15*1000)-('Appendix K'!$E$41+'Appendix K'!$F$41+'Appendix K'!$H$41+'Appendix K'!$G$41))/((1+$Y$16)^AI$34))</f>
        <v>1908161.0921790567</v>
      </c>
      <c r="AJ470" s="193">
        <f>(((M470*'Appendix K'!$C$16*1000)-('Appendix K'!$E$42+'Appendix K'!$F$42+'Appendix K'!$H$42+'Appendix K'!$G$42))/((1+$Y$16)^AJ$34))</f>
        <v>2689859.5245439406</v>
      </c>
      <c r="AK470" s="193">
        <f>(((N470*'Appendix K'!$C$17*1000)-('Appendix K'!$E$43+'Appendix K'!$F$43+'Appendix K'!$H$43))/((1+$Y$16)^AK$34))</f>
        <v>2225912.1434918591</v>
      </c>
      <c r="AL470" s="193">
        <f>(((O470*'Appendix K'!$C$18*1000)-('Appendix K'!$E$44+'Appendix K'!$F$44+'Appendix K'!$H$44+'Appendix K'!$G$44))/((1+$Y$16)^AL$34))</f>
        <v>1833332.3918998777</v>
      </c>
      <c r="AM470" s="193">
        <f>(((P470*'Appendix K'!$C$19*1000)-('Appendix K'!$E$45+'Appendix K'!$F$45+'Appendix K'!$H$45+'Appendix K'!$G$45))/((1+$Y$16)^AM$34))</f>
        <v>1484704.8003694688</v>
      </c>
      <c r="AN470" s="193">
        <f>(((Q470*'Appendix K'!$C$20*1000)-('Appendix K'!$E$46+'Appendix K'!$F$46+'Appendix K'!$H$46+'Appendix K'!$G$46))/((1+$Y$16)^AN$34))</f>
        <v>2074355.8278781183</v>
      </c>
      <c r="AO470" s="193">
        <f>(((R470*'Appendix K'!$C$21*1000)-('Appendix K'!$E$47+'Appendix K'!$F$47+'Appendix K'!$H$47+'Appendix K'!$G$47))/((1+$Y$16)^AO$34))</f>
        <v>1477533.6161616568</v>
      </c>
      <c r="AP470" s="193">
        <f>(((S470*'Appendix K'!$C$22*1000)-('Appendix K'!$E$48+'Appendix K'!$F$48+'Appendix K'!$H$48+'Appendix K'!$G$48))/((1+$Y$16)^AP$34))</f>
        <v>1144973.0469108578</v>
      </c>
      <c r="AQ470" s="193">
        <f>(((T470*'Appendix K'!$C$23*1000)-('Appendix K'!$E$49+'Appendix K'!$F$49+'Appendix K'!$H$49+'Appendix K'!$G$49))/((1+$Y$16)^AQ$34))</f>
        <v>383321.85106290091</v>
      </c>
      <c r="AR470" s="193">
        <f>(((U470*'Appendix K'!$C$24*1000)-('Appendix K'!$E$50+'Appendix K'!$F$50+'Appendix K'!$H$50+'Appendix K'!$G$50))/((1+$Y$16)^AR$34))</f>
        <v>397737.19622524246</v>
      </c>
      <c r="AS470" s="209">
        <f t="shared" si="28"/>
        <v>79301297.982351184</v>
      </c>
      <c r="AU470" s="199">
        <f t="shared" si="27"/>
        <v>6.9546104234793446E-9</v>
      </c>
    </row>
    <row r="471" spans="1:47" x14ac:dyDescent="0.35">
      <c r="A471">
        <v>437</v>
      </c>
      <c r="B471" s="70">
        <v>56</v>
      </c>
      <c r="C471" s="70">
        <v>83.541039196359876</v>
      </c>
      <c r="D471" s="70">
        <v>91.469622472483564</v>
      </c>
      <c r="E471" s="70">
        <v>61.67707370950076</v>
      </c>
      <c r="F471" s="70">
        <v>75.651837198315576</v>
      </c>
      <c r="G471" s="70">
        <v>121.5537934940055</v>
      </c>
      <c r="H471" s="70">
        <v>128.81881081982414</v>
      </c>
      <c r="I471" s="70">
        <v>173.57348138389372</v>
      </c>
      <c r="J471" s="70">
        <v>168.19245070619488</v>
      </c>
      <c r="K471" s="70">
        <v>237.90030694794862</v>
      </c>
      <c r="L471" s="70">
        <v>254.1761367065015</v>
      </c>
      <c r="M471" s="70">
        <v>184.24027982665984</v>
      </c>
      <c r="N471" s="70">
        <v>205.64793612746016</v>
      </c>
      <c r="O471" s="70">
        <v>201.25702215770215</v>
      </c>
      <c r="P471" s="70">
        <v>251.14423992503501</v>
      </c>
      <c r="Q471" s="70">
        <v>185.98373885141319</v>
      </c>
      <c r="R471" s="70">
        <v>108.91214565937079</v>
      </c>
      <c r="S471" s="70">
        <v>136.85413580363846</v>
      </c>
      <c r="T471" s="70">
        <v>90.722414083495721</v>
      </c>
      <c r="U471" s="70">
        <v>61.030566320341137</v>
      </c>
      <c r="V471" s="70">
        <v>42.190224540608526</v>
      </c>
      <c r="X471" s="193">
        <f>((0-('Appendix K'!$I$30))/(1+$Y$16)^0)</f>
        <v>-33594902.4440751</v>
      </c>
      <c r="Y471" s="193">
        <f>(((B471*'Appendix K'!$C$5*1000)-('Appendix K'!$E$31+'Appendix K'!$F$31+'Appendix K'!$H$31+'Appendix K'!$G$31))/((1+$Y$16)^1))</f>
        <v>34971064.972647354</v>
      </c>
      <c r="Z471" s="193">
        <f>+(((C471*'Appendix K'!$C$6*1000)-('Appendix K'!$E$32+'Appendix K'!$F$32+'Appendix K'!$H$32+'Appendix K'!$G$32))/((1+$Y$16)^2))</f>
        <v>17616647.643873781</v>
      </c>
      <c r="AA471" s="193">
        <f>(((D471*'Appendix K'!$C$7*1000)-('Appendix K'!$E$33+'Appendix K'!$F$33+'Appendix K'!$H$33+'Appendix K'!$G$33))/((1+$Y$16)^3))</f>
        <v>8686033.4241882227</v>
      </c>
      <c r="AB471" s="193">
        <f>(((E471*'Appendix K'!$C$8*1000)-('Appendix K'!$E$34+'Appendix K'!$F$34+'Appendix K'!$H$34+'Appendix K'!$G$34))/((1+$Y$16)^4))</f>
        <v>10225842.069001108</v>
      </c>
      <c r="AC471" s="193">
        <f>(((F471*'Appendix K'!$C$9*1000)-('Appendix K'!$E$35+'Appendix K'!$F$35+'Appendix K'!$H$35+'Appendix K'!$G$35))/((1+$Y$16)^AC$34))</f>
        <v>17123911.013451003</v>
      </c>
      <c r="AD471" s="193">
        <f>(((G471*'Appendix K'!$C$10*1000)-('Appendix K'!$E$36+'Appendix K'!$F$36+'Appendix K'!$H$36+'Appendix K'!$G$36))/((1+$Y$16)^AD$34))</f>
        <v>16573525.074306196</v>
      </c>
      <c r="AE471" s="193">
        <f>(((H471*'Appendix K'!$C$11*1000)-('Appendix K'!$E$37+'Appendix K'!$F$37+'Appendix K'!$H$37+'Appendix K'!$G$37))/((1+$Y$16)^AE$34))</f>
        <v>10628141.775314402</v>
      </c>
      <c r="AF471" s="193">
        <f>(((I471*'Appendix K'!$C$12*1000)-('Appendix K'!$E$38+'Appendix K'!$F$38+'Appendix K'!$H$38+'Appendix K'!$G$38))/((1+$Y$16)^AF$34))</f>
        <v>9400677.0466368403</v>
      </c>
      <c r="AG471" s="193">
        <f>(((J471*'Appendix K'!$C$13*1000)-('Appendix K'!$E$39+'Appendix K'!$F$39+'Appendix K'!$H$39+'Appendix K'!$G$39))/((1+$Y$16)^AG$34))</f>
        <v>5925093.1754490938</v>
      </c>
      <c r="AH471" s="193">
        <f>(((K471*'Appendix K'!$C$14*1000)-('Appendix K'!$E$40+'Appendix K'!$F$40+'Appendix K'!$H$40+'Appendix K'!$G$40))/((1+$Y$16)^AH$34))</f>
        <v>6386051.9053788362</v>
      </c>
      <c r="AI471" s="193">
        <f>(((L471*'Appendix K'!$C$15*1000)-('Appendix K'!$E$41+'Appendix K'!$F$41+'Appendix K'!$H$41+'Appendix K'!$G$41))/((1+$Y$16)^AI$34))</f>
        <v>5143408.7450856492</v>
      </c>
      <c r="AJ471" s="193">
        <f>(((M471*'Appendix K'!$C$16*1000)-('Appendix K'!$E$42+'Appendix K'!$F$42+'Appendix K'!$H$42+'Appendix K'!$G$42))/((1+$Y$16)^AJ$34))</f>
        <v>2310968.221557912</v>
      </c>
      <c r="AK471" s="193">
        <f>(((N471*'Appendix K'!$C$17*1000)-('Appendix K'!$E$43+'Appendix K'!$F$43+'Appendix K'!$H$43))/((1+$Y$16)^AK$34))</f>
        <v>2155295.1876796843</v>
      </c>
      <c r="AL471" s="193">
        <f>(((O471*'Appendix K'!$C$18*1000)-('Appendix K'!$E$44+'Appendix K'!$F$44+'Appendix K'!$H$44+'Appendix K'!$G$44))/((1+$Y$16)^AL$34))</f>
        <v>1250969.5782716977</v>
      </c>
      <c r="AM471" s="193">
        <f>(((P471*'Appendix K'!$C$19*1000)-('Appendix K'!$E$45+'Appendix K'!$F$45+'Appendix K'!$H$45+'Appendix K'!$G$45))/((1+$Y$16)^AM$34))</f>
        <v>1301022.6589260683</v>
      </c>
      <c r="AN471" s="193">
        <f>(((Q471*'Appendix K'!$C$20*1000)-('Appendix K'!$E$46+'Appendix K'!$F$46+'Appendix K'!$H$46+'Appendix K'!$G$46))/((1+$Y$16)^AN$34))</f>
        <v>430109.83364169777</v>
      </c>
      <c r="AO471" s="193">
        <f>(((R471*'Appendix K'!$C$21*1000)-('Appendix K'!$E$47+'Appendix K'!$F$47+'Appendix K'!$H$47+'Appendix K'!$G$47))/((1+$Y$16)^AO$34))</f>
        <v>-199316.11191588739</v>
      </c>
      <c r="AP471" s="193">
        <f>(((S471*'Appendix K'!$C$22*1000)-('Appendix K'!$E$48+'Appendix K'!$F$48+'Appendix K'!$H$48+'Appendix K'!$G$48))/((1+$Y$16)^AP$34))</f>
        <v>-108960.33156882902</v>
      </c>
      <c r="AQ471" s="193">
        <f>(((T471*'Appendix K'!$C$23*1000)-('Appendix K'!$E$49+'Appendix K'!$F$49+'Appendix K'!$H$49+'Appendix K'!$G$49))/((1+$Y$16)^AQ$34))</f>
        <v>-338421.32832263602</v>
      </c>
      <c r="AR471" s="193">
        <f>(((U471*'Appendix K'!$C$24*1000)-('Appendix K'!$E$50+'Appendix K'!$F$50+'Appendix K'!$H$50+'Appendix K'!$G$50))/((1+$Y$16)^AR$34))</f>
        <v>-432768.73575000209</v>
      </c>
      <c r="AS471" s="209">
        <f t="shared" si="28"/>
        <v>116533859.88133442</v>
      </c>
      <c r="AU471" s="199">
        <f t="shared" si="27"/>
        <v>6.1738726100428671E-9</v>
      </c>
    </row>
    <row r="472" spans="1:47" x14ac:dyDescent="0.35">
      <c r="A472">
        <v>438</v>
      </c>
      <c r="B472" s="70">
        <v>56</v>
      </c>
      <c r="C472" s="70">
        <v>49.288259184384287</v>
      </c>
      <c r="D472" s="70">
        <v>43.80246734324971</v>
      </c>
      <c r="E472" s="70">
        <v>59.996069714197517</v>
      </c>
      <c r="F472" s="70">
        <v>64.640445173231043</v>
      </c>
      <c r="G472" s="70">
        <v>66.222041931895589</v>
      </c>
      <c r="H472" s="70">
        <v>97.673346227376243</v>
      </c>
      <c r="I472" s="70">
        <v>59.681763802479097</v>
      </c>
      <c r="J472" s="70">
        <v>36.093504118261549</v>
      </c>
      <c r="K472" s="70">
        <v>38.113165845543385</v>
      </c>
      <c r="L472" s="70">
        <v>37.759249695931445</v>
      </c>
      <c r="M472" s="70">
        <v>29.671109104176615</v>
      </c>
      <c r="N472" s="70">
        <v>28.346215067710997</v>
      </c>
      <c r="O472" s="70">
        <v>33.680709149502903</v>
      </c>
      <c r="P472" s="70">
        <v>39.213569453191148</v>
      </c>
      <c r="Q472" s="70">
        <v>61.442095521295229</v>
      </c>
      <c r="R472" s="70">
        <v>93.250344121692947</v>
      </c>
      <c r="S472" s="70">
        <v>85.391437629738718</v>
      </c>
      <c r="T472" s="70">
        <v>84.094351281256991</v>
      </c>
      <c r="U472" s="70">
        <v>86.560182683482523</v>
      </c>
      <c r="V472" s="70">
        <v>79.763995591818002</v>
      </c>
      <c r="X472" s="193">
        <f>((0-('Appendix K'!$I$30))/(1+$Y$16)^0)</f>
        <v>-33594902.4440751</v>
      </c>
      <c r="Y472" s="193">
        <f>(((B472*'Appendix K'!$C$5*1000)-('Appendix K'!$E$31+'Appendix K'!$F$31+'Appendix K'!$H$31+'Appendix K'!$G$31))/((1+$Y$16)^1))</f>
        <v>34971064.972647354</v>
      </c>
      <c r="Z472" s="193">
        <f>+(((C472*'Appendix K'!$C$6*1000)-('Appendix K'!$E$32+'Appendix K'!$F$32+'Appendix K'!$H$32+'Appendix K'!$G$32))/((1+$Y$16)^2))</f>
        <v>8963809.5833019186</v>
      </c>
      <c r="AA472" s="193">
        <f>(((D472*'Appendix K'!$C$7*1000)-('Appendix K'!$E$33+'Appendix K'!$F$33+'Appendix K'!$H$33+'Appendix K'!$G$33))/((1+$Y$16)^3))</f>
        <v>2614435.6239109556</v>
      </c>
      <c r="AB472" s="193">
        <f>(((E472*'Appendix K'!$C$8*1000)-('Appendix K'!$E$34+'Appendix K'!$F$34+'Appendix K'!$H$34+'Appendix K'!$G$34))/((1+$Y$16)^4))</f>
        <v>9857381.3813411035</v>
      </c>
      <c r="AC472" s="193">
        <f>(((F472*'Appendix K'!$C$9*1000)-('Appendix K'!$E$35+'Appendix K'!$F$35+'Appendix K'!$H$35+'Appendix K'!$G$35))/((1+$Y$16)^AC$34))</f>
        <v>14197100.304171881</v>
      </c>
      <c r="AD472" s="193">
        <f>(((G472*'Appendix K'!$C$10*1000)-('Appendix K'!$E$36+'Appendix K'!$F$36+'Appendix K'!$H$36+'Appendix K'!$G$36))/((1+$Y$16)^AD$34))</f>
        <v>7884008.1646732474</v>
      </c>
      <c r="AE472" s="193">
        <f>(((H472*'Appendix K'!$C$11*1000)-('Appendix K'!$E$37+'Appendix K'!$F$37+'Appendix K'!$H$37+'Appendix K'!$G$37))/((1+$Y$16)^AE$34))</f>
        <v>7521766.9878530065</v>
      </c>
      <c r="AF472" s="193">
        <f>(((I472*'Appendix K'!$C$12*1000)-('Appendix K'!$E$38+'Appendix K'!$F$38+'Appendix K'!$H$38+'Appendix K'!$G$38))/((1+$Y$16)^AF$34))</f>
        <v>1922270.4505964257</v>
      </c>
      <c r="AG472" s="193">
        <f>(((J472*'Appendix K'!$C$13*1000)-('Appendix K'!$E$39+'Appendix K'!$F$39+'Appendix K'!$H$39+'Appendix K'!$G$39))/((1+$Y$16)^AG$34))</f>
        <v>-153959.33906482914</v>
      </c>
      <c r="AH472" s="193">
        <f>(((K472*'Appendix K'!$C$14*1000)-('Appendix K'!$E$40+'Appendix K'!$F$40+'Appendix K'!$H$40+'Appendix K'!$G$40))/((1+$Y$16)^AH$34))</f>
        <v>-348078.71172513341</v>
      </c>
      <c r="AI472" s="193">
        <f>(((L472*'Appendix K'!$C$15*1000)-('Appendix K'!$E$41+'Appendix K'!$F$41+'Appendix K'!$H$41+'Appendix K'!$G$41))/((1+$Y$16)^AI$34))</f>
        <v>-527118.39615445607</v>
      </c>
      <c r="AJ472" s="193">
        <f>(((M472*'Appendix K'!$C$16*1000)-('Appendix K'!$E$42+'Appendix K'!$F$42+'Appendix K'!$H$42+'Appendix K'!$G$42))/((1+$Y$16)^AJ$34))</f>
        <v>-786886.53695380758</v>
      </c>
      <c r="AK472" s="193">
        <f>(((N472*'Appendix K'!$C$17*1000)-('Appendix K'!$E$43+'Appendix K'!$F$43+'Appendix K'!$H$43))/((1+$Y$16)^AK$34))</f>
        <v>-568750.2746290525</v>
      </c>
      <c r="AL472" s="193">
        <f>(((O472*'Appendix K'!$C$18*1000)-('Appendix K'!$E$44+'Appendix K'!$F$44+'Appendix K'!$H$44+'Appendix K'!$G$44))/((1+$Y$16)^AL$34))</f>
        <v>-735361.76950086467</v>
      </c>
      <c r="AM472" s="193">
        <f>(((P472*'Appendix K'!$C$19*1000)-('Appendix K'!$E$45+'Appendix K'!$F$45+'Appendix K'!$H$45+'Appendix K'!$G$45))/((1+$Y$16)^AM$34))</f>
        <v>-663305.88423395797</v>
      </c>
      <c r="AN472" s="193">
        <f>(((Q472*'Appendix K'!$C$20*1000)-('Appendix K'!$E$46+'Appendix K'!$F$46+'Appendix K'!$H$46+'Appendix K'!$G$46))/((1+$Y$16)^AN$34))</f>
        <v>-471100.50944227789</v>
      </c>
      <c r="AO472" s="193">
        <f>(((R472*'Appendix K'!$C$21*1000)-('Appendix K'!$E$47+'Appendix K'!$F$47+'Appendix K'!$H$47+'Appendix K'!$G$47))/((1+$Y$16)^AO$34))</f>
        <v>-291879.0893200275</v>
      </c>
      <c r="AP472" s="193">
        <f>(((S472*'Appendix K'!$C$22*1000)-('Appendix K'!$E$48+'Appendix K'!$F$48+'Appendix K'!$H$48+'Appendix K'!$G$48))/((1+$Y$16)^AP$34))</f>
        <v>-355452.21238764032</v>
      </c>
      <c r="AQ472" s="193">
        <f>(((T472*'Appendix K'!$C$23*1000)-('Appendix K'!$E$49+'Appendix K'!$F$49+'Appendix K'!$H$49+'Appendix K'!$G$49))/((1+$Y$16)^AQ$34))</f>
        <v>-364361.86930300394</v>
      </c>
      <c r="AR472" s="193">
        <f>(((U472*'Appendix K'!$C$24*1000)-('Appendix K'!$E$50+'Appendix K'!$F$50+'Appendix K'!$H$50+'Appendix K'!$G$50))/((1+$Y$16)^AR$34))</f>
        <v>-350562.65574997658</v>
      </c>
      <c r="AS472" s="209">
        <f t="shared" si="28"/>
        <v>54336935.02442079</v>
      </c>
      <c r="AU472" s="199">
        <f t="shared" si="27"/>
        <v>5.9191648255122497E-9</v>
      </c>
    </row>
    <row r="473" spans="1:47" x14ac:dyDescent="0.35">
      <c r="A473">
        <v>439</v>
      </c>
      <c r="B473" s="70">
        <v>56</v>
      </c>
      <c r="C473" s="70">
        <v>63.10400099355752</v>
      </c>
      <c r="D473" s="70">
        <v>76.698373972321519</v>
      </c>
      <c r="E473" s="70">
        <v>101.17942771563386</v>
      </c>
      <c r="F473" s="70">
        <v>119.10276957855211</v>
      </c>
      <c r="G473" s="70">
        <v>145.26571970659731</v>
      </c>
      <c r="H473" s="70">
        <v>217.20452264438705</v>
      </c>
      <c r="I473" s="70">
        <v>250.11239045890952</v>
      </c>
      <c r="J473" s="70">
        <v>243.02166596378063</v>
      </c>
      <c r="K473" s="70">
        <v>315.44159543634953</v>
      </c>
      <c r="L473" s="70">
        <v>361.23179880271277</v>
      </c>
      <c r="M473" s="70">
        <v>438.0782159187151</v>
      </c>
      <c r="N473" s="70">
        <v>500</v>
      </c>
      <c r="O473" s="70">
        <v>334.24946371618745</v>
      </c>
      <c r="P473" s="70">
        <v>380.32627922706598</v>
      </c>
      <c r="Q473" s="70">
        <v>243.86427852341421</v>
      </c>
      <c r="R473" s="70">
        <v>280.46739753776944</v>
      </c>
      <c r="S473" s="70">
        <v>357.82160579599548</v>
      </c>
      <c r="T473" s="70">
        <v>442.25245179335627</v>
      </c>
      <c r="U473" s="70">
        <v>225.3665065735899</v>
      </c>
      <c r="V473" s="70">
        <v>102.96356293323265</v>
      </c>
      <c r="X473" s="193">
        <f>((0-('Appendix K'!$I$30))/(1+$Y$16)^0)</f>
        <v>-33594902.4440751</v>
      </c>
      <c r="Y473" s="193">
        <f>(((B473*'Appendix K'!$C$5*1000)-('Appendix K'!$E$31+'Appendix K'!$F$31+'Appendix K'!$H$31+'Appendix K'!$G$31))/((1+$Y$16)^1))</f>
        <v>34971064.972647354</v>
      </c>
      <c r="Z473" s="193">
        <f>+(((C473*'Appendix K'!$C$6*1000)-('Appendix K'!$E$32+'Appendix K'!$F$32+'Appendix K'!$H$32+'Appendix K'!$G$32))/((1+$Y$16)^2))</f>
        <v>12453902.256645575</v>
      </c>
      <c r="AA473" s="193">
        <f>(((D473*'Appendix K'!$C$7*1000)-('Appendix K'!$E$33+'Appendix K'!$F$33+'Appendix K'!$H$33+'Appendix K'!$G$33))/((1+$Y$16)^3))</f>
        <v>6804547.5319049293</v>
      </c>
      <c r="AB473" s="193">
        <f>(((E473*'Appendix K'!$C$8*1000)-('Appendix K'!$E$34+'Appendix K'!$F$34+'Appendix K'!$H$34+'Appendix K'!$G$34))/((1+$Y$16)^4))</f>
        <v>18884396.457899578</v>
      </c>
      <c r="AC473" s="193">
        <f>(((F473*'Appendix K'!$C$9*1000)-('Appendix K'!$E$35+'Appendix K'!$F$35+'Appendix K'!$H$35+'Appendix K'!$G$35))/((1+$Y$16)^AC$34))</f>
        <v>28673100.609910131</v>
      </c>
      <c r="AD473" s="193">
        <f>(((G473*'Appendix K'!$C$10*1000)-('Appendix K'!$E$36+'Appendix K'!$F$36+'Appendix K'!$H$36+'Appendix K'!$G$36))/((1+$Y$16)^AD$34))</f>
        <v>20297339.664794978</v>
      </c>
      <c r="AE473" s="193">
        <f>(((H473*'Appendix K'!$C$11*1000)-('Appendix K'!$E$37+'Appendix K'!$F$37+'Appendix K'!$H$37+'Appendix K'!$G$37))/((1+$Y$16)^AE$34))</f>
        <v>19443523.095721018</v>
      </c>
      <c r="AF473" s="193">
        <f>(((I473*'Appendix K'!$C$12*1000)-('Appendix K'!$E$38+'Appendix K'!$F$38+'Appendix K'!$H$38+'Appendix K'!$G$38))/((1+$Y$16)^AF$34))</f>
        <v>14426407.579422669</v>
      </c>
      <c r="AG473" s="193">
        <f>(((J473*'Appendix K'!$C$13*1000)-('Appendix K'!$E$39+'Appendix K'!$F$39+'Appendix K'!$H$39+'Appendix K'!$G$39))/((1+$Y$16)^AG$34))</f>
        <v>9368653.7860397827</v>
      </c>
      <c r="AH473" s="193">
        <f>(((K473*'Appendix K'!$C$14*1000)-('Appendix K'!$E$40+'Appendix K'!$F$40+'Appendix K'!$H$40+'Appendix K'!$G$40))/((1+$Y$16)^AH$34))</f>
        <v>8999699.4205198679</v>
      </c>
      <c r="AI473" s="193">
        <f>(((L473*'Appendix K'!$C$15*1000)-('Appendix K'!$E$41+'Appendix K'!$F$41+'Appendix K'!$H$41+'Appendix K'!$G$41))/((1+$Y$16)^AI$34))</f>
        <v>7948467.287076165</v>
      </c>
      <c r="AJ473" s="193">
        <f>(((M473*'Appendix K'!$C$16*1000)-('Appendix K'!$E$42+'Appendix K'!$F$42+'Appendix K'!$H$42+'Appendix K'!$G$42))/((1+$Y$16)^AJ$34))</f>
        <v>7398354.3706717109</v>
      </c>
      <c r="AK473" s="193">
        <f>(((N473*'Appendix K'!$C$17*1000)-('Appendix K'!$E$43+'Appendix K'!$F$43+'Appendix K'!$H$43))/((1+$Y$16)^AK$34))</f>
        <v>6677690.1149291173</v>
      </c>
      <c r="AL473" s="193">
        <f>(((O473*'Appendix K'!$C$18*1000)-('Appendix K'!$E$44+'Appendix K'!$F$44+'Appendix K'!$H$44+'Appendix K'!$G$44))/((1+$Y$16)^AL$34))</f>
        <v>2827368.1213731002</v>
      </c>
      <c r="AM473" s="193">
        <f>(((P473*'Appendix K'!$C$19*1000)-('Appendix K'!$E$45+'Appendix K'!$F$45+'Appendix K'!$H$45+'Appendix K'!$G$45))/((1+$Y$16)^AM$34))</f>
        <v>2498376.3335954109</v>
      </c>
      <c r="AN473" s="193">
        <f>(((Q473*'Appendix K'!$C$20*1000)-('Appendix K'!$E$46+'Appendix K'!$F$46+'Appendix K'!$H$46+'Appendix K'!$G$46))/((1+$Y$16)^AN$34))</f>
        <v>848945.97246977116</v>
      </c>
      <c r="AO473" s="193">
        <f>(((R473*'Appendix K'!$C$21*1000)-('Appendix K'!$E$47+'Appendix K'!$F$47+'Appendix K'!$H$47+'Appendix K'!$G$47))/((1+$Y$16)^AO$34))</f>
        <v>814594.38011657901</v>
      </c>
      <c r="AP473" s="193">
        <f>(((S473*'Appendix K'!$C$22*1000)-('Appendix K'!$E$48+'Appendix K'!$F$48+'Appendix K'!$H$48+'Appendix K'!$G$48))/((1+$Y$16)^AP$34))</f>
        <v>949411.83333670476</v>
      </c>
      <c r="AQ473" s="193">
        <f>(((T473*'Appendix K'!$C$23*1000)-('Appendix K'!$E$49+'Appendix K'!$F$49+'Appendix K'!$H$49+'Appendix K'!$G$49))/((1+$Y$16)^AQ$34))</f>
        <v>1037377.2452761048</v>
      </c>
      <c r="AR473" s="193">
        <f>(((U473*'Appendix K'!$C$24*1000)-('Appendix K'!$E$50+'Appendix K'!$F$50+'Appendix K'!$H$50+'Appendix K'!$G$50))/((1+$Y$16)^AR$34))</f>
        <v>96397.596370926913</v>
      </c>
      <c r="AS473" s="209">
        <f t="shared" si="28"/>
        <v>171824716.18664637</v>
      </c>
      <c r="AU473" s="199">
        <f t="shared" si="27"/>
        <v>2.3380135828716862E-9</v>
      </c>
    </row>
    <row r="474" spans="1:47" x14ac:dyDescent="0.35">
      <c r="A474">
        <v>440</v>
      </c>
      <c r="B474" s="70">
        <v>56</v>
      </c>
      <c r="C474" s="70">
        <v>34.607868230241252</v>
      </c>
      <c r="D474" s="70">
        <v>39.972639221568016</v>
      </c>
      <c r="E474" s="70">
        <v>30.810852946371313</v>
      </c>
      <c r="F474" s="70">
        <v>27.326679315259348</v>
      </c>
      <c r="G474" s="70">
        <v>20.929507130150807</v>
      </c>
      <c r="H474" s="70">
        <v>25.691911700900317</v>
      </c>
      <c r="I474" s="70">
        <v>40.893256517704316</v>
      </c>
      <c r="J474" s="70">
        <v>30.425403871891362</v>
      </c>
      <c r="K474" s="70">
        <v>52.523597122587184</v>
      </c>
      <c r="L474" s="70">
        <v>74.514620696863631</v>
      </c>
      <c r="M474" s="70">
        <v>43.022498316429136</v>
      </c>
      <c r="N474" s="70">
        <v>39.720622062373295</v>
      </c>
      <c r="O474" s="70">
        <v>36.424921822591827</v>
      </c>
      <c r="P474" s="70">
        <v>29.225256798908276</v>
      </c>
      <c r="Q474" s="70">
        <v>33.346337901039099</v>
      </c>
      <c r="R474" s="70">
        <v>19.421081309891765</v>
      </c>
      <c r="S474" s="70">
        <v>19.553630833392457</v>
      </c>
      <c r="T474" s="70">
        <v>4.7593063008911951</v>
      </c>
      <c r="U474" s="70">
        <v>4.9574977021422937</v>
      </c>
      <c r="V474" s="70">
        <v>6.5728963296468876</v>
      </c>
      <c r="X474" s="193">
        <f>((0-('Appendix K'!$I$30))/(1+$Y$16)^0)</f>
        <v>-33594902.4440751</v>
      </c>
      <c r="Y474" s="193">
        <f>(((B474*'Appendix K'!$C$5*1000)-('Appendix K'!$E$31+'Appendix K'!$F$31+'Appendix K'!$H$31+'Appendix K'!$G$31))/((1+$Y$16)^1))</f>
        <v>34971064.972647354</v>
      </c>
      <c r="Z474" s="193">
        <f>+(((C474*'Appendix K'!$C$6*1000)-('Appendix K'!$E$32+'Appendix K'!$F$32+'Appendix K'!$H$32+'Appendix K'!$G$32))/((1+$Y$16)^2))</f>
        <v>5255291.7477372689</v>
      </c>
      <c r="AA474" s="193">
        <f>(((D474*'Appendix K'!$C$7*1000)-('Appendix K'!$E$33+'Appendix K'!$F$33+'Appendix K'!$H$33+'Appendix K'!$G$33))/((1+$Y$16)^3))</f>
        <v>2126611.7557568941</v>
      </c>
      <c r="AB474" s="193">
        <f>(((E474*'Appendix K'!$C$8*1000)-('Appendix K'!$E$34+'Appendix K'!$F$34+'Appendix K'!$H$34+'Appendix K'!$G$34))/((1+$Y$16)^4))</f>
        <v>3460249.0307783904</v>
      </c>
      <c r="AC474" s="193">
        <f>(((F474*'Appendix K'!$C$9*1000)-('Appendix K'!$E$35+'Appendix K'!$F$35+'Appendix K'!$H$35+'Appendix K'!$G$35))/((1+$Y$16)^AC$34))</f>
        <v>4279159.93224994</v>
      </c>
      <c r="AD474" s="193">
        <f>(((G474*'Appendix K'!$C$10*1000)-('Appendix K'!$E$36+'Appendix K'!$F$36+'Appendix K'!$H$36+'Appendix K'!$G$36))/((1+$Y$16)^AD$34))</f>
        <v>771089.52521688584</v>
      </c>
      <c r="AE474" s="193">
        <f>(((H474*'Appendix K'!$C$11*1000)-('Appendix K'!$E$37+'Appendix K'!$F$37+'Appendix K'!$H$37+'Appendix K'!$G$37))/((1+$Y$16)^AE$34))</f>
        <v>342509.38793374004</v>
      </c>
      <c r="AF474" s="193">
        <f>(((I474*'Appendix K'!$C$12*1000)-('Appendix K'!$E$38+'Appendix K'!$F$38+'Appendix K'!$H$38+'Appendix K'!$G$38))/((1+$Y$16)^AF$34))</f>
        <v>688571.46183745866</v>
      </c>
      <c r="AG474" s="193">
        <f>(((J474*'Appendix K'!$C$13*1000)-('Appendix K'!$E$39+'Appendix K'!$F$39+'Appendix K'!$H$39+'Appendix K'!$G$39))/((1+$Y$16)^AG$34))</f>
        <v>-414799.26205601788</v>
      </c>
      <c r="AH474" s="193">
        <f>(((K474*'Appendix K'!$C$14*1000)-('Appendix K'!$E$40+'Appendix K'!$F$40+'Appendix K'!$H$40+'Appendix K'!$G$40))/((1+$Y$16)^AH$34))</f>
        <v>137646.87568227839</v>
      </c>
      <c r="AI474" s="193">
        <f>(((L474*'Appendix K'!$C$15*1000)-('Appendix K'!$E$41+'Appendix K'!$F$41+'Appendix K'!$H$41+'Appendix K'!$G$41))/((1+$Y$16)^AI$34))</f>
        <v>435941.05695077195</v>
      </c>
      <c r="AJ474" s="193">
        <f>(((M474*'Appendix K'!$C$16*1000)-('Appendix K'!$E$42+'Appendix K'!$F$42+'Appendix K'!$H$42+'Appendix K'!$G$42))/((1+$Y$16)^AJ$34))</f>
        <v>-519299.77039103466</v>
      </c>
      <c r="AK474" s="193">
        <f>(((N474*'Appendix K'!$C$17*1000)-('Appendix K'!$E$43+'Appendix K'!$F$43+'Appendix K'!$H$43))/((1+$Y$16)^AK$34))</f>
        <v>-393995.05186490843</v>
      </c>
      <c r="AL474" s="193">
        <f>(((O474*'Appendix K'!$C$18*1000)-('Appendix K'!$E$44+'Appendix K'!$F$44+'Appendix K'!$H$44+'Appendix K'!$G$44))/((1+$Y$16)^AL$34))</f>
        <v>-702833.80919632816</v>
      </c>
      <c r="AM474" s="193">
        <f>(((P474*'Appendix K'!$C$19*1000)-('Appendix K'!$E$45+'Appendix K'!$F$45+'Appendix K'!$H$45+'Appendix K'!$G$45))/((1+$Y$16)^AM$34))</f>
        <v>-755884.87528386817</v>
      </c>
      <c r="AN474" s="193">
        <f>(((Q474*'Appendix K'!$C$20*1000)-('Appendix K'!$E$46+'Appendix K'!$F$46+'Appendix K'!$H$46+'Appendix K'!$G$46))/((1+$Y$16)^AN$34))</f>
        <v>-674407.50529618654</v>
      </c>
      <c r="AO474" s="193">
        <f>(((R474*'Appendix K'!$C$21*1000)-('Appendix K'!$E$47+'Appendix K'!$F$47+'Appendix K'!$H$47+'Appendix K'!$G$47))/((1+$Y$16)^AO$34))</f>
        <v>-728218.18919769861</v>
      </c>
      <c r="AP474" s="193">
        <f>(((S474*'Appendix K'!$C$22*1000)-('Appendix K'!$E$48+'Appendix K'!$F$48+'Appendix K'!$H$48+'Appendix K'!$G$48))/((1+$Y$16)^AP$34))</f>
        <v>-670796.82901420281</v>
      </c>
      <c r="AQ474" s="193">
        <f>(((T474*'Appendix K'!$C$23*1000)-('Appendix K'!$E$49+'Appendix K'!$F$49+'Appendix K'!$H$49+'Appendix K'!$G$49))/((1+$Y$16)^AQ$34))</f>
        <v>-674858.92506375979</v>
      </c>
      <c r="AR474" s="193">
        <f>(((U474*'Appendix K'!$C$24*1000)-('Appendix K'!$E$50+'Appendix K'!$F$50+'Appendix K'!$H$50+'Appendix K'!$G$50))/((1+$Y$16)^AR$34))</f>
        <v>-613325.5878039815</v>
      </c>
      <c r="AS474" s="209">
        <f t="shared" si="28"/>
        <v>18873233.302715875</v>
      </c>
      <c r="AU474" s="199">
        <f t="shared" si="27"/>
        <v>3.3753300252013459E-9</v>
      </c>
    </row>
    <row r="475" spans="1:47" x14ac:dyDescent="0.35">
      <c r="A475">
        <v>441</v>
      </c>
      <c r="B475" s="70">
        <v>56</v>
      </c>
      <c r="C475" s="70">
        <v>84.456747471468532</v>
      </c>
      <c r="D475" s="70">
        <v>80.63519413138981</v>
      </c>
      <c r="E475" s="70">
        <v>105.88642456128409</v>
      </c>
      <c r="F475" s="70">
        <v>93.02896660770287</v>
      </c>
      <c r="G475" s="70">
        <v>87.76182869728099</v>
      </c>
      <c r="H475" s="70">
        <v>139.00297647778308</v>
      </c>
      <c r="I475" s="70">
        <v>156.79249990649183</v>
      </c>
      <c r="J475" s="70">
        <v>258.92556857383016</v>
      </c>
      <c r="K475" s="70">
        <v>228.64660818927013</v>
      </c>
      <c r="L475" s="70">
        <v>135.3904964305986</v>
      </c>
      <c r="M475" s="70">
        <v>89.425331577743236</v>
      </c>
      <c r="N475" s="70">
        <v>88.162687453421498</v>
      </c>
      <c r="O475" s="70">
        <v>98.635497335684505</v>
      </c>
      <c r="P475" s="70">
        <v>164.27781460680347</v>
      </c>
      <c r="Q475" s="70">
        <v>166.84725447127033</v>
      </c>
      <c r="R475" s="70">
        <v>284.88590789022527</v>
      </c>
      <c r="S475" s="70">
        <v>390.80517176793512</v>
      </c>
      <c r="T475" s="70">
        <v>179.62210222510737</v>
      </c>
      <c r="U475" s="70">
        <v>303.66929427230633</v>
      </c>
      <c r="V475" s="70">
        <v>310.14579515496189</v>
      </c>
      <c r="X475" s="193">
        <f>((0-('Appendix K'!$I$30))/(1+$Y$16)^0)</f>
        <v>-33594902.4440751</v>
      </c>
      <c r="Y475" s="193">
        <f>(((B475*'Appendix K'!$C$5*1000)-('Appendix K'!$E$31+'Appendix K'!$F$31+'Appendix K'!$H$31+'Appendix K'!$G$31))/((1+$Y$16)^1))</f>
        <v>34971064.972647354</v>
      </c>
      <c r="Z475" s="193">
        <f>+(((C475*'Appendix K'!$C$6*1000)-('Appendix K'!$E$32+'Appendix K'!$F$32+'Appendix K'!$H$32+'Appendix K'!$G$32))/((1+$Y$16)^2))</f>
        <v>17847971.215638485</v>
      </c>
      <c r="AA475" s="193">
        <f>(((D475*'Appendix K'!$C$7*1000)-('Appendix K'!$E$33+'Appendix K'!$F$33+'Appendix K'!$H$33+'Appendix K'!$G$33))/((1+$Y$16)^3))</f>
        <v>7305999.4971644795</v>
      </c>
      <c r="AB475" s="193">
        <f>(((E475*'Appendix K'!$C$8*1000)-('Appendix K'!$E$34+'Appendix K'!$F$34+'Appendix K'!$H$34+'Appendix K'!$G$34))/((1+$Y$16)^4))</f>
        <v>19916127.078057259</v>
      </c>
      <c r="AC475" s="193">
        <f>(((F475*'Appendix K'!$C$9*1000)-('Appendix K'!$E$35+'Appendix K'!$F$35+'Appendix K'!$H$35+'Appendix K'!$G$35))/((1+$Y$16)^AC$34))</f>
        <v>21742724.723476328</v>
      </c>
      <c r="AD475" s="193">
        <f>(((G475*'Appendix K'!$C$10*1000)-('Appendix K'!$E$36+'Appendix K'!$F$36+'Appendix K'!$H$36+'Appendix K'!$G$36))/((1+$Y$16)^AD$34))</f>
        <v>11266701.393128263</v>
      </c>
      <c r="AE475" s="193">
        <f>(((H475*'Appendix K'!$C$11*1000)-('Appendix K'!$E$37+'Appendix K'!$F$37+'Appendix K'!$H$37+'Appendix K'!$G$37))/((1+$Y$16)^AE$34))</f>
        <v>11643886.309717171</v>
      </c>
      <c r="AF475" s="193">
        <f>(((I475*'Appendix K'!$C$12*1000)-('Appendix K'!$E$38+'Appendix K'!$F$38+'Appendix K'!$H$38+'Appendix K'!$G$38))/((1+$Y$16)^AF$34))</f>
        <v>8298797.0747334845</v>
      </c>
      <c r="AG475" s="193">
        <f>(((J475*'Appendix K'!$C$13*1000)-('Appendix K'!$E$39+'Appendix K'!$F$39+'Appendix K'!$H$39+'Appendix K'!$G$39))/((1+$Y$16)^AG$34))</f>
        <v>10100534.407720964</v>
      </c>
      <c r="AH475" s="193">
        <f>(((K475*'Appendix K'!$C$14*1000)-('Appendix K'!$E$40+'Appendix K'!$F$40+'Appendix K'!$H$40+'Appendix K'!$G$40))/((1+$Y$16)^AH$34))</f>
        <v>6074141.8605760392</v>
      </c>
      <c r="AI475" s="193">
        <f>(((L475*'Appendix K'!$C$15*1000)-('Appendix K'!$E$41+'Appendix K'!$F$41+'Appendix K'!$H$41+'Appendix K'!$G$41))/((1+$Y$16)^AI$34))</f>
        <v>2031002.8396204591</v>
      </c>
      <c r="AJ475" s="193">
        <f>(((M475*'Appendix K'!$C$16*1000)-('Appendix K'!$E$42+'Appendix K'!$F$42+'Appendix K'!$H$42+'Appendix K'!$G$42))/((1+$Y$16)^AJ$34))</f>
        <v>410699.64123211661</v>
      </c>
      <c r="AK475" s="193">
        <f>(((N475*'Appendix K'!$C$17*1000)-('Appendix K'!$E$43+'Appendix K'!$F$43+'Appendix K'!$H$43))/((1+$Y$16)^AK$34))</f>
        <v>350263.87368087959</v>
      </c>
      <c r="AL475" s="193">
        <f>(((O475*'Appendix K'!$C$18*1000)-('Appendix K'!$E$44+'Appendix K'!$F$44+'Appendix K'!$H$44+'Appendix K'!$G$44))/((1+$Y$16)^AL$34))</f>
        <v>34566.447954466377</v>
      </c>
      <c r="AM475" s="193">
        <f>(((P475*'Appendix K'!$C$19*1000)-('Appendix K'!$E$45+'Appendix K'!$F$45+'Appendix K'!$H$45+'Appendix K'!$G$45))/((1+$Y$16)^AM$34))</f>
        <v>495881.06089790264</v>
      </c>
      <c r="AN475" s="193">
        <f>(((Q475*'Appendix K'!$C$20*1000)-('Appendix K'!$E$46+'Appendix K'!$F$46+'Appendix K'!$H$46+'Appendix K'!$G$46))/((1+$Y$16)^AN$34))</f>
        <v>291634.08213795075</v>
      </c>
      <c r="AO475" s="193">
        <f>(((R475*'Appendix K'!$C$21*1000)-('Appendix K'!$E$47+'Appendix K'!$F$47+'Appendix K'!$H$47+'Appendix K'!$G$47))/((1+$Y$16)^AO$34))</f>
        <v>840708.26445679471</v>
      </c>
      <c r="AP475" s="193">
        <f>(((S475*'Appendix K'!$C$22*1000)-('Appendix K'!$E$48+'Appendix K'!$F$48+'Appendix K'!$H$48+'Appendix K'!$G$48))/((1+$Y$16)^AP$34))</f>
        <v>1107393.8572302391</v>
      </c>
      <c r="AQ475" s="193">
        <f>(((T475*'Appendix K'!$C$23*1000)-('Appendix K'!$E$49+'Appendix K'!$F$49+'Appendix K'!$H$49+'Appendix K'!$G$49))/((1+$Y$16)^AQ$34))</f>
        <v>9509.2921597893783</v>
      </c>
      <c r="AR475" s="193">
        <f>(((U475*'Appendix K'!$C$24*1000)-('Appendix K'!$E$50+'Appendix K'!$F$50+'Appendix K'!$H$50+'Appendix K'!$G$50))/((1+$Y$16)^AR$34))</f>
        <v>348534.76671552804</v>
      </c>
      <c r="AS475" s="209">
        <f t="shared" si="28"/>
        <v>121493240.21487087</v>
      </c>
      <c r="AU475" s="199">
        <f t="shared" si="27"/>
        <v>5.8824918318827351E-9</v>
      </c>
    </row>
    <row r="476" spans="1:47" x14ac:dyDescent="0.35">
      <c r="A476">
        <v>442</v>
      </c>
      <c r="B476" s="70">
        <v>56</v>
      </c>
      <c r="C476" s="70">
        <v>36.854946423905602</v>
      </c>
      <c r="D476" s="70">
        <v>46.996320747316354</v>
      </c>
      <c r="E476" s="70">
        <v>38.623897210570874</v>
      </c>
      <c r="F476" s="70">
        <v>40.039212985481726</v>
      </c>
      <c r="G476" s="70">
        <v>39.874780317339479</v>
      </c>
      <c r="H476" s="70">
        <v>64.040133474301513</v>
      </c>
      <c r="I476" s="70">
        <v>73.966669762465855</v>
      </c>
      <c r="J476" s="70">
        <v>29.086573312909564</v>
      </c>
      <c r="K476" s="70">
        <v>21.444025933234098</v>
      </c>
      <c r="L476" s="70">
        <v>20.851109890534872</v>
      </c>
      <c r="M476" s="70">
        <v>22.392143490403811</v>
      </c>
      <c r="N476" s="70">
        <v>21.87595022803719</v>
      </c>
      <c r="O476" s="70">
        <v>21.836690252484065</v>
      </c>
      <c r="P476" s="70">
        <v>31.358822235329889</v>
      </c>
      <c r="Q476" s="70">
        <v>34.689943021224323</v>
      </c>
      <c r="R476" s="70">
        <v>17.656301612914405</v>
      </c>
      <c r="S476" s="70">
        <v>22.888204289706007</v>
      </c>
      <c r="T476" s="70">
        <v>20.353493859045678</v>
      </c>
      <c r="U476" s="70">
        <v>17.124413866785417</v>
      </c>
      <c r="V476" s="70">
        <v>13.42685780352547</v>
      </c>
      <c r="X476" s="193">
        <f>((0-('Appendix K'!$I$30))/(1+$Y$16)^0)</f>
        <v>-33594902.4440751</v>
      </c>
      <c r="Y476" s="193">
        <f>(((B476*'Appendix K'!$C$5*1000)-('Appendix K'!$E$31+'Appendix K'!$F$31+'Appendix K'!$H$31+'Appendix K'!$G$31))/((1+$Y$16)^1))</f>
        <v>34971064.972647354</v>
      </c>
      <c r="Z476" s="193">
        <f>+(((C476*'Appendix K'!$C$6*1000)-('Appendix K'!$E$32+'Appendix K'!$F$32+'Appendix K'!$H$32+'Appendix K'!$G$32))/((1+$Y$16)^2))</f>
        <v>5822942.1315140612</v>
      </c>
      <c r="AA476" s="193">
        <f>(((D476*'Appendix K'!$C$7*1000)-('Appendix K'!$E$33+'Appendix K'!$F$33+'Appendix K'!$H$33+'Appendix K'!$G$33))/((1+$Y$16)^3))</f>
        <v>3021252.2935855896</v>
      </c>
      <c r="AB476" s="193">
        <f>(((E476*'Appendix K'!$C$8*1000)-('Appendix K'!$E$34+'Appendix K'!$F$34+'Appendix K'!$H$34+'Appendix K'!$G$34))/((1+$Y$16)^4))</f>
        <v>5172796.8119546687</v>
      </c>
      <c r="AC476" s="193">
        <f>(((F476*'Appendix K'!$C$9*1000)-('Appendix K'!$E$35+'Appendix K'!$F$35+'Appendix K'!$H$35+'Appendix K'!$G$35))/((1+$Y$16)^AC$34))</f>
        <v>7658131.419534957</v>
      </c>
      <c r="AD476" s="193">
        <f>(((G476*'Appendix K'!$C$10*1000)-('Appendix K'!$E$36+'Appendix K'!$F$36+'Appendix K'!$H$36+'Appendix K'!$G$36))/((1+$Y$16)^AD$34))</f>
        <v>3746330.0890891463</v>
      </c>
      <c r="AE476" s="193">
        <f>(((H476*'Appendix K'!$C$11*1000)-('Appendix K'!$E$37+'Appendix K'!$F$37+'Appendix K'!$H$37+'Appendix K'!$G$37))/((1+$Y$16)^AE$34))</f>
        <v>4167270.0977083696</v>
      </c>
      <c r="AF476" s="193">
        <f>(((I476*'Appendix K'!$C$12*1000)-('Appendix K'!$E$38+'Appendix K'!$F$38+'Appendix K'!$H$38+'Appendix K'!$G$38))/((1+$Y$16)^AF$34))</f>
        <v>2860252.0459535834</v>
      </c>
      <c r="AG476" s="193">
        <f>(((J476*'Appendix K'!$C$13*1000)-('Appendix K'!$E$39+'Appendix K'!$F$39+'Appendix K'!$H$39+'Appendix K'!$G$39))/((1+$Y$16)^AG$34))</f>
        <v>-476410.81526146817</v>
      </c>
      <c r="AH476" s="193">
        <f>(((K476*'Appendix K'!$C$14*1000)-('Appendix K'!$E$40+'Appendix K'!$F$40+'Appendix K'!$H$40+'Appendix K'!$G$40))/((1+$Y$16)^AH$34))</f>
        <v>-909937.52218148054</v>
      </c>
      <c r="AI476" s="193">
        <f>(((L476*'Appendix K'!$C$15*1000)-('Appendix K'!$E$41+'Appendix K'!$F$41+'Appendix K'!$H$41+'Appendix K'!$G$41))/((1+$Y$16)^AI$34))</f>
        <v>-970143.27743232343</v>
      </c>
      <c r="AJ476" s="193">
        <f>(((M476*'Appendix K'!$C$16*1000)-('Appendix K'!$E$42+'Appendix K'!$F$42+'Appendix K'!$H$42+'Appendix K'!$G$42))/((1+$Y$16)^AJ$34))</f>
        <v>-932770.5975220988</v>
      </c>
      <c r="AK476" s="193">
        <f>(((N476*'Appendix K'!$C$17*1000)-('Appendix K'!$E$43+'Appendix K'!$F$43+'Appendix K'!$H$43))/((1+$Y$16)^AK$34))</f>
        <v>-668158.76018182177</v>
      </c>
      <c r="AL476" s="193">
        <f>(((O476*'Appendix K'!$C$18*1000)-('Appendix K'!$E$44+'Appendix K'!$F$44+'Appendix K'!$H$44+'Appendix K'!$G$44))/((1+$Y$16)^AL$34))</f>
        <v>-875752.41061497014</v>
      </c>
      <c r="AM476" s="193">
        <f>(((P476*'Appendix K'!$C$19*1000)-('Appendix K'!$E$45+'Appendix K'!$F$45+'Appendix K'!$H$45+'Appendix K'!$G$45))/((1+$Y$16)^AM$34))</f>
        <v>-736109.42949241342</v>
      </c>
      <c r="AN476" s="193">
        <f>(((Q476*'Appendix K'!$C$20*1000)-('Appendix K'!$E$46+'Appendix K'!$F$46+'Appendix K'!$H$46+'Appendix K'!$G$46))/((1+$Y$16)^AN$34))</f>
        <v>-664684.88723082258</v>
      </c>
      <c r="AO476" s="193">
        <f>(((R476*'Appendix K'!$C$21*1000)-('Appendix K'!$E$47+'Appendix K'!$F$47+'Appendix K'!$H$47+'Appendix K'!$G$47))/((1+$Y$16)^AO$34))</f>
        <v>-738648.23217976675</v>
      </c>
      <c r="AP476" s="193">
        <f>(((S476*'Appendix K'!$C$22*1000)-('Appendix K'!$E$48+'Appendix K'!$F$48+'Appendix K'!$H$48+'Appendix K'!$G$48))/((1+$Y$16)^AP$34))</f>
        <v>-654825.1580342293</v>
      </c>
      <c r="AQ476" s="193">
        <f>(((T476*'Appendix K'!$C$23*1000)-('Appendix K'!$E$49+'Appendix K'!$F$49+'Appendix K'!$H$49+'Appendix K'!$G$49))/((1+$Y$16)^AQ$34))</f>
        <v>-613827.26717554301</v>
      </c>
      <c r="AR476" s="193">
        <f>(((U476*'Appendix K'!$C$24*1000)-('Appendix K'!$E$50+'Appendix K'!$F$50+'Appendix K'!$H$50+'Appendix K'!$G$50))/((1+$Y$16)^AR$34))</f>
        <v>-574147.7768507275</v>
      </c>
      <c r="AS476" s="209">
        <f t="shared" si="28"/>
        <v>33825137.417912625</v>
      </c>
      <c r="AU476" s="199">
        <f t="shared" si="27"/>
        <v>4.4858395533747924E-9</v>
      </c>
    </row>
    <row r="477" spans="1:47" x14ac:dyDescent="0.35">
      <c r="A477">
        <v>443</v>
      </c>
      <c r="B477" s="70">
        <v>56</v>
      </c>
      <c r="C477" s="70">
        <v>60.499875253882628</v>
      </c>
      <c r="D477" s="70">
        <v>39.256303909172502</v>
      </c>
      <c r="E477" s="70">
        <v>48.788111508124672</v>
      </c>
      <c r="F477" s="70">
        <v>67.890888924104971</v>
      </c>
      <c r="G477" s="70">
        <v>110.46572864555614</v>
      </c>
      <c r="H477" s="70">
        <v>134.66287033503826</v>
      </c>
      <c r="I477" s="70">
        <v>191.16878980141337</v>
      </c>
      <c r="J477" s="70">
        <v>161.15285537858421</v>
      </c>
      <c r="K477" s="70">
        <v>160.84550137848905</v>
      </c>
      <c r="L477" s="70">
        <v>182.11806839290458</v>
      </c>
      <c r="M477" s="70">
        <v>173.74729309215903</v>
      </c>
      <c r="N477" s="70">
        <v>107.10188914061301</v>
      </c>
      <c r="O477" s="70">
        <v>171.19793849113404</v>
      </c>
      <c r="P477" s="70">
        <v>197.04542303928099</v>
      </c>
      <c r="Q477" s="70">
        <v>290.22320558779018</v>
      </c>
      <c r="R477" s="70">
        <v>282.83990636646303</v>
      </c>
      <c r="S477" s="70">
        <v>426.19448600465796</v>
      </c>
      <c r="T477" s="70">
        <v>390.15110339968334</v>
      </c>
      <c r="U477" s="70">
        <v>394.99136162229013</v>
      </c>
      <c r="V477" s="70">
        <v>500</v>
      </c>
      <c r="X477" s="193">
        <f>((0-('Appendix K'!$I$30))/(1+$Y$16)^0)</f>
        <v>-33594902.4440751</v>
      </c>
      <c r="Y477" s="193">
        <f>(((B477*'Appendix K'!$C$5*1000)-('Appendix K'!$E$31+'Appendix K'!$F$31+'Appendix K'!$H$31+'Appendix K'!$G$31))/((1+$Y$16)^1))</f>
        <v>34971064.972647354</v>
      </c>
      <c r="Z477" s="193">
        <f>+(((C477*'Appendix K'!$C$6*1000)-('Appendix K'!$E$32+'Appendix K'!$F$32+'Appendix K'!$H$32+'Appendix K'!$G$32))/((1+$Y$16)^2))</f>
        <v>11796055.556118039</v>
      </c>
      <c r="AA477" s="193">
        <f>(((D477*'Appendix K'!$C$7*1000)-('Appendix K'!$E$33+'Appendix K'!$F$33+'Appendix K'!$H$33+'Appendix K'!$G$33))/((1+$Y$16)^3))</f>
        <v>2035368.6367746547</v>
      </c>
      <c r="AB477" s="193">
        <f>(((E477*'Appendix K'!$C$8*1000)-('Appendix K'!$E$34+'Appendix K'!$F$34+'Appendix K'!$H$34+'Appendix K'!$G$34))/((1+$Y$16)^4))</f>
        <v>7400699.5415521264</v>
      </c>
      <c r="AC477" s="193">
        <f>(((F477*'Appendix K'!$C$9*1000)-('Appendix K'!$E$35+'Appendix K'!$F$35+'Appendix K'!$H$35+'Appendix K'!$G$35))/((1+$Y$16)^AC$34))</f>
        <v>15061063.149041552</v>
      </c>
      <c r="AD477" s="193">
        <f>(((G477*'Appendix K'!$C$10*1000)-('Appendix K'!$E$36+'Appendix K'!$F$36+'Appendix K'!$H$36+'Appendix K'!$G$36))/((1+$Y$16)^AD$34))</f>
        <v>14832211.555836523</v>
      </c>
      <c r="AE477" s="193">
        <f>(((H477*'Appendix K'!$C$11*1000)-('Appendix K'!$E$37+'Appendix K'!$F$37+'Appendix K'!$H$37+'Appendix K'!$G$37))/((1+$Y$16)^AE$34))</f>
        <v>11211014.414141146</v>
      </c>
      <c r="AF477" s="193">
        <f>(((I477*'Appendix K'!$C$12*1000)-('Appendix K'!$E$38+'Appendix K'!$F$38+'Appendix K'!$H$38+'Appendix K'!$G$38))/((1+$Y$16)^AF$34))</f>
        <v>10556027.701831607</v>
      </c>
      <c r="AG477" s="193">
        <f>(((J477*'Appendix K'!$C$13*1000)-('Appendix K'!$E$39+'Appendix K'!$F$39+'Appendix K'!$H$39+'Appendix K'!$G$39))/((1+$Y$16)^AG$34))</f>
        <v>5601138.5128054703</v>
      </c>
      <c r="AH477" s="193">
        <f>(((K477*'Appendix K'!$C$14*1000)-('Appendix K'!$E$40+'Appendix K'!$F$40+'Appendix K'!$H$40+'Appendix K'!$G$40))/((1+$Y$16)^AH$34))</f>
        <v>3788802.0397615125</v>
      </c>
      <c r="AI477" s="193">
        <f>(((L477*'Appendix K'!$C$15*1000)-('Appendix K'!$E$41+'Appendix K'!$F$41+'Appendix K'!$H$41+'Appendix K'!$G$41))/((1+$Y$16)^AI$34))</f>
        <v>3255352.606020919</v>
      </c>
      <c r="AJ477" s="193">
        <f>(((M477*'Appendix K'!$C$16*1000)-('Appendix K'!$E$42+'Appendix K'!$F$42+'Appendix K'!$H$42+'Appendix K'!$G$42))/((1+$Y$16)^AJ$34))</f>
        <v>2100669.1772236759</v>
      </c>
      <c r="AK477" s="193">
        <f>(((N477*'Appendix K'!$C$17*1000)-('Appendix K'!$E$43+'Appendix K'!$F$43+'Appendix K'!$H$43))/((1+$Y$16)^AK$34))</f>
        <v>641243.82642684435</v>
      </c>
      <c r="AL477" s="193">
        <f>(((O477*'Appendix K'!$C$18*1000)-('Appendix K'!$E$44+'Appendix K'!$F$44+'Appendix K'!$H$44+'Appendix K'!$G$44))/((1+$Y$16)^AL$34))</f>
        <v>894670.41462259006</v>
      </c>
      <c r="AM477" s="193">
        <f>(((P477*'Appendix K'!$C$19*1000)-('Appendix K'!$E$45+'Appendix K'!$F$45+'Appendix K'!$H$45+'Appendix K'!$G$45))/((1+$Y$16)^AM$34))</f>
        <v>799595.23493274651</v>
      </c>
      <c r="AN477" s="193">
        <f>(((Q477*'Appendix K'!$C$20*1000)-('Appendix K'!$E$46+'Appendix K'!$F$46+'Appendix K'!$H$46+'Appendix K'!$G$46))/((1+$Y$16)^AN$34))</f>
        <v>1184409.2235363147</v>
      </c>
      <c r="AO477" s="193">
        <f>(((R477*'Appendix K'!$C$21*1000)-('Appendix K'!$E$47+'Appendix K'!$F$47+'Appendix K'!$H$47+'Appendix K'!$G$47))/((1+$Y$16)^AO$34))</f>
        <v>828616.1694090286</v>
      </c>
      <c r="AP477" s="193">
        <f>(((S477*'Appendix K'!$C$22*1000)-('Appendix K'!$E$48+'Appendix K'!$F$48+'Appendix K'!$H$48+'Appendix K'!$G$48))/((1+$Y$16)^AP$34))</f>
        <v>1276898.7401188293</v>
      </c>
      <c r="AQ477" s="193">
        <f>(((T477*'Appendix K'!$C$23*1000)-('Appendix K'!$E$49+'Appendix K'!$F$49+'Appendix K'!$H$49+'Appendix K'!$G$49))/((1+$Y$16)^AQ$34))</f>
        <v>833465.90595053346</v>
      </c>
      <c r="AR477" s="193">
        <f>(((U477*'Appendix K'!$C$24*1000)-('Appendix K'!$E$50+'Appendix K'!$F$50+'Appendix K'!$H$50+'Appendix K'!$G$50))/((1+$Y$16)^AR$34))</f>
        <v>642594.38232256507</v>
      </c>
      <c r="AS477" s="209">
        <f t="shared" si="28"/>
        <v>96116059.316998959</v>
      </c>
      <c r="AU477" s="199">
        <f t="shared" si="27"/>
        <v>6.9512836138555093E-9</v>
      </c>
    </row>
    <row r="478" spans="1:47" x14ac:dyDescent="0.35">
      <c r="A478">
        <v>444</v>
      </c>
      <c r="B478" s="70">
        <v>56</v>
      </c>
      <c r="C478" s="70">
        <v>58.065865829836902</v>
      </c>
      <c r="D478" s="70">
        <v>57.12623055126501</v>
      </c>
      <c r="E478" s="70">
        <v>67.092768525436668</v>
      </c>
      <c r="F478" s="70">
        <v>42.487189551537625</v>
      </c>
      <c r="G478" s="70">
        <v>39.850852287213463</v>
      </c>
      <c r="H478" s="70">
        <v>45.252049164610696</v>
      </c>
      <c r="I478" s="70">
        <v>57.848168183931115</v>
      </c>
      <c r="J478" s="70">
        <v>75.801813339587682</v>
      </c>
      <c r="K478" s="70">
        <v>85.062652811817571</v>
      </c>
      <c r="L478" s="70">
        <v>136.82608969937363</v>
      </c>
      <c r="M478" s="70">
        <v>173.26765988929813</v>
      </c>
      <c r="N478" s="70">
        <v>203.85228726983522</v>
      </c>
      <c r="O478" s="70">
        <v>236.95337254742603</v>
      </c>
      <c r="P478" s="70">
        <v>375.6944041362666</v>
      </c>
      <c r="Q478" s="70">
        <v>359.93961659166223</v>
      </c>
      <c r="R478" s="70">
        <v>446.81747701968698</v>
      </c>
      <c r="S478" s="70">
        <v>390.04171728704915</v>
      </c>
      <c r="T478" s="70">
        <v>324.3067593192967</v>
      </c>
      <c r="U478" s="70">
        <v>343.89125838688716</v>
      </c>
      <c r="V478" s="70">
        <v>470.04221263815589</v>
      </c>
      <c r="X478" s="193">
        <f>((0-('Appendix K'!$I$30))/(1+$Y$16)^0)</f>
        <v>-33594902.4440751</v>
      </c>
      <c r="Y478" s="193">
        <f>(((B478*'Appendix K'!$C$5*1000)-('Appendix K'!$E$31+'Appendix K'!$F$31+'Appendix K'!$H$31+'Appendix K'!$G$31))/((1+$Y$16)^1))</f>
        <v>34971064.972647354</v>
      </c>
      <c r="Z478" s="193">
        <f>+(((C478*'Appendix K'!$C$6*1000)-('Appendix K'!$E$32+'Appendix K'!$F$32+'Appendix K'!$H$32+'Appendix K'!$G$32))/((1+$Y$16)^2))</f>
        <v>11181183.146438882</v>
      </c>
      <c r="AA478" s="193">
        <f>(((D478*'Appendix K'!$C$7*1000)-('Appendix K'!$E$33+'Appendix K'!$F$33+'Appendix K'!$H$33+'Appendix K'!$G$33))/((1+$Y$16)^3))</f>
        <v>4311548.2618663022</v>
      </c>
      <c r="AB478" s="193">
        <f>(((E478*'Appendix K'!$C$8*1000)-('Appendix K'!$E$34+'Appendix K'!$F$34+'Appendix K'!$H$34+'Appendix K'!$G$34))/((1+$Y$16)^4))</f>
        <v>11412912.796739921</v>
      </c>
      <c r="AC478" s="193">
        <f>(((F478*'Appendix K'!$C$9*1000)-('Appendix K'!$E$35+'Appendix K'!$F$35+'Appendix K'!$H$35+'Appendix K'!$G$35))/((1+$Y$16)^AC$34))</f>
        <v>8308799.7467795992</v>
      </c>
      <c r="AD478" s="193">
        <f>(((G478*'Appendix K'!$C$10*1000)-('Appendix K'!$E$36+'Appendix K'!$F$36+'Appendix K'!$H$36+'Appendix K'!$G$36))/((1+$Y$16)^AD$34))</f>
        <v>3742572.3366861558</v>
      </c>
      <c r="AE478" s="193">
        <f>(((H478*'Appendix K'!$C$11*1000)-('Appendix K'!$E$37+'Appendix K'!$F$37+'Appendix K'!$H$37+'Appendix K'!$G$37))/((1+$Y$16)^AE$34))</f>
        <v>2293391.1182798748</v>
      </c>
      <c r="AF478" s="193">
        <f>(((I478*'Appendix K'!$C$12*1000)-('Appendix K'!$E$38+'Appendix K'!$F$38+'Appendix K'!$H$38+'Appendix K'!$G$38))/((1+$Y$16)^AF$34))</f>
        <v>1801872.1120744182</v>
      </c>
      <c r="AG478" s="193">
        <f>(((J478*'Appendix K'!$C$13*1000)-('Appendix K'!$E$39+'Appendix K'!$F$39+'Appendix K'!$H$39+'Appendix K'!$G$39))/((1+$Y$16)^AG$34))</f>
        <v>1673374.6651341785</v>
      </c>
      <c r="AH478" s="193">
        <f>(((K478*'Appendix K'!$C$14*1000)-('Appendix K'!$E$40+'Appendix K'!$F$40+'Appendix K'!$H$40+'Appendix K'!$G$40))/((1+$Y$16)^AH$34))</f>
        <v>1234425.4268913453</v>
      </c>
      <c r="AI478" s="193">
        <f>(((L478*'Appendix K'!$C$15*1000)-('Appendix K'!$E$41+'Appendix K'!$F$41+'Appendix K'!$H$41+'Appendix K'!$G$41))/((1+$Y$16)^AI$34))</f>
        <v>2068618.0678349403</v>
      </c>
      <c r="AJ478" s="193">
        <f>(((M478*'Appendix K'!$C$16*1000)-('Appendix K'!$E$42+'Appendix K'!$F$42+'Appendix K'!$H$42+'Appendix K'!$G$42))/((1+$Y$16)^AJ$34))</f>
        <v>2091056.4323737302</v>
      </c>
      <c r="AK478" s="193">
        <f>(((N478*'Appendix K'!$C$17*1000)-('Appendix K'!$E$43+'Appendix K'!$F$43+'Appendix K'!$H$43))/((1+$Y$16)^AK$34))</f>
        <v>2127707.0227522566</v>
      </c>
      <c r="AL478" s="193">
        <f>(((O478*'Appendix K'!$C$18*1000)-('Appendix K'!$E$44+'Appendix K'!$F$44+'Appendix K'!$H$44+'Appendix K'!$G$44))/((1+$Y$16)^AL$34))</f>
        <v>1674088.923168089</v>
      </c>
      <c r="AM478" s="193">
        <f>(((P478*'Appendix K'!$C$19*1000)-('Appendix K'!$E$45+'Appendix K'!$F$45+'Appendix K'!$H$45+'Appendix K'!$G$45))/((1+$Y$16)^AM$34))</f>
        <v>2455444.7256834828</v>
      </c>
      <c r="AN478" s="193">
        <f>(((Q478*'Appendix K'!$C$20*1000)-('Appendix K'!$E$46+'Appendix K'!$F$46+'Appendix K'!$H$46+'Appendix K'!$G$46))/((1+$Y$16)^AN$34))</f>
        <v>1688892.2944144146</v>
      </c>
      <c r="AO478" s="193">
        <f>(((R478*'Appendix K'!$C$21*1000)-('Appendix K'!$E$47+'Appendix K'!$F$47+'Appendix K'!$H$47+'Appendix K'!$G$47))/((1+$Y$16)^AO$34))</f>
        <v>1797741.7282181864</v>
      </c>
      <c r="AP478" s="193">
        <f>(((S478*'Appendix K'!$C$22*1000)-('Appendix K'!$E$48+'Appendix K'!$F$48+'Appendix K'!$H$48+'Appendix K'!$G$48))/((1+$Y$16)^AP$34))</f>
        <v>1103737.1245366433</v>
      </c>
      <c r="AQ478" s="193">
        <f>(((T478*'Appendix K'!$C$23*1000)-('Appendix K'!$E$49+'Appendix K'!$F$49+'Appendix K'!$H$49+'Appendix K'!$G$49))/((1+$Y$16)^AQ$34))</f>
        <v>575767.99980429118</v>
      </c>
      <c r="AR478" s="193">
        <f>(((U478*'Appendix K'!$C$24*1000)-('Appendix K'!$E$50+'Appendix K'!$F$50+'Appendix K'!$H$50+'Appendix K'!$G$50))/((1+$Y$16)^AR$34))</f>
        <v>478050.61813800217</v>
      </c>
      <c r="AS478" s="209">
        <f t="shared" si="28"/>
        <v>63397347.076386966</v>
      </c>
      <c r="AU478" s="199">
        <f t="shared" si="27"/>
        <v>6.4177917626603539E-9</v>
      </c>
    </row>
    <row r="479" spans="1:47" x14ac:dyDescent="0.35">
      <c r="A479">
        <v>445</v>
      </c>
      <c r="B479" s="70">
        <v>56</v>
      </c>
      <c r="C479" s="70">
        <v>52.026969685093796</v>
      </c>
      <c r="D479" s="70">
        <v>50.809007590243631</v>
      </c>
      <c r="E479" s="70">
        <v>82.649753264434921</v>
      </c>
      <c r="F479" s="70">
        <v>130.04878395438737</v>
      </c>
      <c r="G479" s="70">
        <v>157.5233592401855</v>
      </c>
      <c r="H479" s="70">
        <v>288.69772746267006</v>
      </c>
      <c r="I479" s="70">
        <v>492.44078511399033</v>
      </c>
      <c r="J479" s="70">
        <v>500</v>
      </c>
      <c r="K479" s="70">
        <v>500</v>
      </c>
      <c r="L479" s="70">
        <v>472.69534504898189</v>
      </c>
      <c r="M479" s="70">
        <v>479.17036357127574</v>
      </c>
      <c r="N479" s="70">
        <v>499.56687799883917</v>
      </c>
      <c r="O479" s="70">
        <v>434.49902190721662</v>
      </c>
      <c r="P479" s="70">
        <v>500</v>
      </c>
      <c r="Q479" s="70">
        <v>411.85823794390228</v>
      </c>
      <c r="R479" s="70">
        <v>420.57276385839464</v>
      </c>
      <c r="S479" s="70">
        <v>408.75873184566888</v>
      </c>
      <c r="T479" s="70">
        <v>500</v>
      </c>
      <c r="U479" s="70">
        <v>500</v>
      </c>
      <c r="V479" s="70">
        <v>387.88089054706569</v>
      </c>
      <c r="X479" s="193">
        <f>((0-('Appendix K'!$I$30))/(1+$Y$16)^0)</f>
        <v>-33594902.4440751</v>
      </c>
      <c r="Y479" s="193">
        <f>(((B479*'Appendix K'!$C$5*1000)-('Appendix K'!$E$31+'Appendix K'!$F$31+'Appendix K'!$H$31+'Appendix K'!$G$31))/((1+$Y$16)^1))</f>
        <v>34971064.972647354</v>
      </c>
      <c r="Z479" s="193">
        <f>+(((C479*'Appendix K'!$C$6*1000)-('Appendix K'!$E$32+'Appendix K'!$F$32+'Appendix K'!$H$32+'Appendix K'!$G$32))/((1+$Y$16)^2))</f>
        <v>9655654.696286669</v>
      </c>
      <c r="AA479" s="193">
        <f>(((D479*'Appendix K'!$C$7*1000)-('Appendix K'!$E$33+'Appendix K'!$F$33+'Appendix K'!$H$33+'Appendix K'!$G$33))/((1+$Y$16)^3))</f>
        <v>3506892.7935462473</v>
      </c>
      <c r="AB479" s="193">
        <f>(((E479*'Appendix K'!$C$8*1000)-('Appendix K'!$E$34+'Appendix K'!$F$34+'Appendix K'!$H$34+'Appendix K'!$G$34))/((1+$Y$16)^4))</f>
        <v>14822861.441040112</v>
      </c>
      <c r="AC479" s="193">
        <f>(((F479*'Appendix K'!$C$9*1000)-('Appendix K'!$E$35+'Appendix K'!$F$35+'Appendix K'!$H$35+'Appendix K'!$G$35))/((1+$Y$16)^AC$34))</f>
        <v>31582534.042680126</v>
      </c>
      <c r="AD479" s="193">
        <f>(((G479*'Appendix K'!$C$10*1000)-('Appendix K'!$E$36+'Appendix K'!$F$36+'Appendix K'!$H$36+'Appendix K'!$G$36))/((1+$Y$16)^AD$34))</f>
        <v>22222327.813412309</v>
      </c>
      <c r="AE479" s="193">
        <f>(((H479*'Appendix K'!$C$11*1000)-('Appendix K'!$E$37+'Appendix K'!$F$37+'Appendix K'!$H$37+'Appendix K'!$G$37))/((1+$Y$16)^AE$34))</f>
        <v>26574085.822217595</v>
      </c>
      <c r="AF479" s="193">
        <f>(((I479*'Appendix K'!$C$12*1000)-('Appendix K'!$E$38+'Appendix K'!$F$38+'Appendix K'!$H$38+'Appendix K'!$G$38))/((1+$Y$16)^AF$34))</f>
        <v>30338278.112949234</v>
      </c>
      <c r="AG479" s="193">
        <f>(((J479*'Appendix K'!$C$13*1000)-('Appendix K'!$E$39+'Appendix K'!$F$39+'Appendix K'!$H$39+'Appendix K'!$G$39))/((1+$Y$16)^AG$34))</f>
        <v>21194522.409894329</v>
      </c>
      <c r="AH479" s="193">
        <f>(((K479*'Appendix K'!$C$14*1000)-('Appendix K'!$E$40+'Appendix K'!$F$40+'Appendix K'!$H$40+'Appendix K'!$G$40))/((1+$Y$16)^AH$34))</f>
        <v>15220522.22201786</v>
      </c>
      <c r="AI479" s="193">
        <f>(((L479*'Appendix K'!$C$15*1000)-('Appendix K'!$E$41+'Appendix K'!$F$41+'Appendix K'!$H$41+'Appendix K'!$G$41))/((1+$Y$16)^AI$34))</f>
        <v>10869020.636581974</v>
      </c>
      <c r="AJ479" s="193">
        <f>(((M479*'Appendix K'!$C$16*1000)-('Appendix K'!$E$42+'Appendix K'!$F$42+'Appendix K'!$H$42+'Appendix K'!$G$42))/((1+$Y$16)^AJ$34))</f>
        <v>8221917.7277625231</v>
      </c>
      <c r="AK479" s="193">
        <f>(((N479*'Appendix K'!$C$17*1000)-('Appendix K'!$E$43+'Appendix K'!$F$43+'Appendix K'!$H$43))/((1+$Y$16)^AK$34))</f>
        <v>6671035.6729144761</v>
      </c>
      <c r="AL479" s="193">
        <f>(((O479*'Appendix K'!$C$18*1000)-('Appendix K'!$E$44+'Appendix K'!$F$44+'Appendix K'!$H$44+'Appendix K'!$G$44))/((1+$Y$16)^AL$34))</f>
        <v>4015655.6332570012</v>
      </c>
      <c r="AM479" s="193">
        <f>(((P479*'Appendix K'!$C$19*1000)-('Appendix K'!$E$45+'Appendix K'!$F$45+'Appendix K'!$H$45+'Appendix K'!$G$45))/((1+$Y$16)^AM$34))</f>
        <v>3607599.9540230581</v>
      </c>
      <c r="AN479" s="193">
        <f>(((Q479*'Appendix K'!$C$20*1000)-('Appendix K'!$E$46+'Appendix K'!$F$46+'Appendix K'!$H$46+'Appendix K'!$G$46))/((1+$Y$16)^AN$34))</f>
        <v>2064586.6991949575</v>
      </c>
      <c r="AO479" s="193">
        <f>(((R479*'Appendix K'!$C$21*1000)-('Appendix K'!$E$47+'Appendix K'!$F$47+'Appendix K'!$H$47+'Appendix K'!$G$47))/((1+$Y$16)^AO$34))</f>
        <v>1642632.5739179824</v>
      </c>
      <c r="AP479" s="193">
        <f>(((S479*'Appendix K'!$C$22*1000)-('Appendix K'!$E$48+'Appendix K'!$F$48+'Appendix K'!$H$48+'Appendix K'!$G$48))/((1+$Y$16)^AP$34))</f>
        <v>1193386.371186659</v>
      </c>
      <c r="AQ479" s="193">
        <f>(((T479*'Appendix K'!$C$23*1000)-('Appendix K'!$E$49+'Appendix K'!$F$49+'Appendix K'!$H$49+'Appendix K'!$G$49))/((1+$Y$16)^AQ$34))</f>
        <v>1263386.3652054211</v>
      </c>
      <c r="AR479" s="193">
        <f>(((U479*'Appendix K'!$C$24*1000)-('Appendix K'!$E$50+'Appendix K'!$F$50+'Appendix K'!$H$50+'Appendix K'!$G$50))/((1+$Y$16)^AR$34))</f>
        <v>980725.14012097823</v>
      </c>
      <c r="AS479" s="209">
        <f t="shared" si="28"/>
        <v>217023788.65678176</v>
      </c>
      <c r="AU479" s="199">
        <f t="shared" si="27"/>
        <v>5.2224167272945453E-10</v>
      </c>
    </row>
    <row r="480" spans="1:47" x14ac:dyDescent="0.35">
      <c r="A480">
        <v>446</v>
      </c>
      <c r="B480" s="70">
        <v>56</v>
      </c>
      <c r="C480" s="70">
        <v>69.42614018571139</v>
      </c>
      <c r="D480" s="70">
        <v>72.493621155017493</v>
      </c>
      <c r="E480" s="70">
        <v>93.85298809381753</v>
      </c>
      <c r="F480" s="70">
        <v>104.13352569363131</v>
      </c>
      <c r="G480" s="70">
        <v>87.432774856135069</v>
      </c>
      <c r="H480" s="70">
        <v>46.050553621950108</v>
      </c>
      <c r="I480" s="70">
        <v>44.654393209760848</v>
      </c>
      <c r="J480" s="70">
        <v>32.39824221865365</v>
      </c>
      <c r="K480" s="70">
        <v>62.712326225291918</v>
      </c>
      <c r="L480" s="70">
        <v>37.743652443532397</v>
      </c>
      <c r="M480" s="70">
        <v>49.725682931238495</v>
      </c>
      <c r="N480" s="70">
        <v>66.613705508298864</v>
      </c>
      <c r="O480" s="70">
        <v>63.081783754000426</v>
      </c>
      <c r="P480" s="70">
        <v>55.368454564930005</v>
      </c>
      <c r="Q480" s="70">
        <v>91.203601332413825</v>
      </c>
      <c r="R480" s="70">
        <v>76.643853954044374</v>
      </c>
      <c r="S480" s="70">
        <v>65.768300802525715</v>
      </c>
      <c r="T480" s="70">
        <v>77.861207289142925</v>
      </c>
      <c r="U480" s="70">
        <v>139.34088766404889</v>
      </c>
      <c r="V480" s="70">
        <v>215.70131819884116</v>
      </c>
      <c r="X480" s="193">
        <f>((0-('Appendix K'!$I$30))/(1+$Y$16)^0)</f>
        <v>-33594902.4440751</v>
      </c>
      <c r="Y480" s="193">
        <f>(((B480*'Appendix K'!$C$5*1000)-('Appendix K'!$E$31+'Appendix K'!$F$31+'Appendix K'!$H$31+'Appendix K'!$G$31))/((1+$Y$16)^1))</f>
        <v>34971064.972647354</v>
      </c>
      <c r="Z480" s="193">
        <f>+(((C480*'Appendix K'!$C$6*1000)-('Appendix K'!$E$32+'Appendix K'!$F$32+'Appendix K'!$H$32+'Appendix K'!$G$32))/((1+$Y$16)^2))</f>
        <v>14050982.744914735</v>
      </c>
      <c r="AA480" s="193">
        <f>(((D480*'Appendix K'!$C$7*1000)-('Appendix K'!$E$33+'Appendix K'!$F$33+'Appendix K'!$H$33+'Appendix K'!$G$33))/((1+$Y$16)^3))</f>
        <v>6268967.6785019357</v>
      </c>
      <c r="AB480" s="193">
        <f>(((E480*'Appendix K'!$C$8*1000)-('Appendix K'!$E$34+'Appendix K'!$F$34+'Appendix K'!$H$34+'Appendix K'!$G$34))/((1+$Y$16)^4))</f>
        <v>17278507.959896941</v>
      </c>
      <c r="AC480" s="193">
        <f>(((F480*'Appendix K'!$C$9*1000)-('Appendix K'!$E$35+'Appendix K'!$F$35+'Appendix K'!$H$35+'Appendix K'!$G$35))/((1+$Y$16)^AC$34))</f>
        <v>24694299.091229223</v>
      </c>
      <c r="AD480" s="193">
        <f>(((G480*'Appendix K'!$C$10*1000)-('Appendix K'!$E$36+'Appendix K'!$F$36+'Appendix K'!$H$36+'Appendix K'!$G$36))/((1+$Y$16)^AD$34))</f>
        <v>11215025.477653086</v>
      </c>
      <c r="AE480" s="193">
        <f>(((H480*'Appendix K'!$C$11*1000)-('Appendix K'!$E$37+'Appendix K'!$F$37+'Appendix K'!$H$37+'Appendix K'!$G$37))/((1+$Y$16)^AE$34))</f>
        <v>2373032.0594702708</v>
      </c>
      <c r="AF480" s="193">
        <f>(((I480*'Appendix K'!$C$12*1000)-('Appendix K'!$E$38+'Appendix K'!$F$38+'Appendix K'!$H$38+'Appendix K'!$G$38))/((1+$Y$16)^AF$34))</f>
        <v>935536.82546347089</v>
      </c>
      <c r="AG480" s="193">
        <f>(((J480*'Appendix K'!$C$13*1000)-('Appendix K'!$E$39+'Appendix K'!$F$39+'Appendix K'!$H$39+'Appendix K'!$G$39))/((1+$Y$16)^AG$34))</f>
        <v>-324011.34722104605</v>
      </c>
      <c r="AH480" s="193">
        <f>(((K480*'Appendix K'!$C$14*1000)-('Appendix K'!$E$40+'Appendix K'!$F$40+'Appendix K'!$H$40+'Appendix K'!$G$40))/((1+$Y$16)^AH$34))</f>
        <v>481073.5457938122</v>
      </c>
      <c r="AI480" s="193">
        <f>(((L480*'Appendix K'!$C$15*1000)-('Appendix K'!$E$41+'Appendix K'!$F$41+'Appendix K'!$H$41+'Appendix K'!$G$41))/((1+$Y$16)^AI$34))</f>
        <v>-527527.07333431602</v>
      </c>
      <c r="AJ480" s="193">
        <f>(((M480*'Appendix K'!$C$16*1000)-('Appendix K'!$E$42+'Appendix K'!$F$42+'Appendix K'!$H$42+'Appendix K'!$G$42))/((1+$Y$16)^AJ$34))</f>
        <v>-384955.4360123988</v>
      </c>
      <c r="AK480" s="193">
        <f>(((N480*'Appendix K'!$C$17*1000)-('Appendix K'!$E$43+'Appendix K'!$F$43+'Appendix K'!$H$43))/((1+$Y$16)^AK$34))</f>
        <v>19187.524652081229</v>
      </c>
      <c r="AL480" s="193">
        <f>(((O480*'Appendix K'!$C$18*1000)-('Appendix K'!$E$44+'Appendix K'!$F$44+'Appendix K'!$H$44+'Appendix K'!$G$44))/((1+$Y$16)^AL$34))</f>
        <v>-386862.18088504515</v>
      </c>
      <c r="AM480" s="193">
        <f>(((P480*'Appendix K'!$C$19*1000)-('Appendix K'!$E$45+'Appendix K'!$F$45+'Appendix K'!$H$45+'Appendix K'!$G$45))/((1+$Y$16)^AM$34))</f>
        <v>-513570.58699827275</v>
      </c>
      <c r="AN480" s="193">
        <f>(((Q480*'Appendix K'!$C$20*1000)-('Appendix K'!$E$46+'Appendix K'!$F$46+'Appendix K'!$H$46+'Appendix K'!$G$46))/((1+$Y$16)^AN$34))</f>
        <v>-255739.79839368918</v>
      </c>
      <c r="AO480" s="193">
        <f>(((R480*'Appendix K'!$C$21*1000)-('Appendix K'!$E$47+'Appendix K'!$F$47+'Appendix K'!$H$47+'Appendix K'!$G$47))/((1+$Y$16)^AO$34))</f>
        <v>-390025.28089653247</v>
      </c>
      <c r="AP480" s="193">
        <f>(((S480*'Appendix K'!$C$22*1000)-('Appendix K'!$E$48+'Appendix K'!$F$48+'Appendix K'!$H$48+'Appendix K'!$G$48))/((1+$Y$16)^AP$34))</f>
        <v>-449441.53039346851</v>
      </c>
      <c r="AQ480" s="193">
        <f>(((T480*'Appendix K'!$C$23*1000)-('Appendix K'!$E$49+'Appendix K'!$F$49+'Appendix K'!$H$49+'Appendix K'!$G$49))/((1+$Y$16)^AQ$34))</f>
        <v>-388756.79916235217</v>
      </c>
      <c r="AR480" s="193">
        <f>(((U480*'Appendix K'!$C$24*1000)-('Appendix K'!$E$50+'Appendix K'!$F$50+'Appendix K'!$H$50+'Appendix K'!$G$50))/((1+$Y$16)^AR$34))</f>
        <v>-180607.30685744475</v>
      </c>
      <c r="AS480" s="209">
        <f t="shared" si="28"/>
        <v>78692775.436147809</v>
      </c>
      <c r="AU480" s="199">
        <f t="shared" si="27"/>
        <v>6.94329285635846E-9</v>
      </c>
    </row>
    <row r="481" spans="1:47" x14ac:dyDescent="0.35">
      <c r="A481">
        <v>447</v>
      </c>
      <c r="B481" s="70">
        <v>56</v>
      </c>
      <c r="C481" s="70">
        <v>66.913110338666655</v>
      </c>
      <c r="D481" s="70">
        <v>75.838534800555166</v>
      </c>
      <c r="E481" s="70">
        <v>86.95556825484887</v>
      </c>
      <c r="F481" s="70">
        <v>71.677147202192288</v>
      </c>
      <c r="G481" s="70">
        <v>77.756053338629414</v>
      </c>
      <c r="H481" s="70">
        <v>53.727587547767079</v>
      </c>
      <c r="I481" s="70">
        <v>53.148128739720754</v>
      </c>
      <c r="J481" s="70">
        <v>48.445049911644986</v>
      </c>
      <c r="K481" s="70">
        <v>65.180887887380024</v>
      </c>
      <c r="L481" s="70">
        <v>90.004625621970462</v>
      </c>
      <c r="M481" s="70">
        <v>111.07266351751095</v>
      </c>
      <c r="N481" s="70">
        <v>69.07759490591954</v>
      </c>
      <c r="O481" s="70">
        <v>107.23236998974349</v>
      </c>
      <c r="P481" s="70">
        <v>99.964484634391937</v>
      </c>
      <c r="Q481" s="70">
        <v>116.91239761824426</v>
      </c>
      <c r="R481" s="70">
        <v>136.75539270914058</v>
      </c>
      <c r="S481" s="70">
        <v>204.84554162132761</v>
      </c>
      <c r="T481" s="70">
        <v>175.91259752240319</v>
      </c>
      <c r="U481" s="70">
        <v>238.30210739243631</v>
      </c>
      <c r="V481" s="70">
        <v>182.57682381910496</v>
      </c>
      <c r="X481" s="193">
        <f>((0-('Appendix K'!$I$30))/(1+$Y$16)^0)</f>
        <v>-33594902.4440751</v>
      </c>
      <c r="Y481" s="193">
        <f>(((B481*'Appendix K'!$C$5*1000)-('Appendix K'!$E$31+'Appendix K'!$F$31+'Appendix K'!$H$31+'Appendix K'!$G$31))/((1+$Y$16)^1))</f>
        <v>34971064.972647354</v>
      </c>
      <c r="Z481" s="193">
        <f>+(((C481*'Appendix K'!$C$6*1000)-('Appendix K'!$E$32+'Appendix K'!$F$32+'Appendix K'!$H$32+'Appendix K'!$G$32))/((1+$Y$16)^2))</f>
        <v>13416148.42488993</v>
      </c>
      <c r="AA481" s="193">
        <f>(((D481*'Appendix K'!$C$7*1000)-('Appendix K'!$E$33+'Appendix K'!$F$33+'Appendix K'!$H$33+'Appendix K'!$G$33))/((1+$Y$16)^3))</f>
        <v>6695025.6271523805</v>
      </c>
      <c r="AB481" s="193">
        <f>(((E481*'Appendix K'!$C$8*1000)-('Appendix K'!$E$34+'Appendix K'!$F$34+'Appendix K'!$H$34+'Appendix K'!$G$34))/((1+$Y$16)^4))</f>
        <v>15766656.670996411</v>
      </c>
      <c r="AC481" s="193">
        <f>(((F481*'Appendix K'!$C$9*1000)-('Appendix K'!$E$35+'Appendix K'!$F$35+'Appendix K'!$H$35+'Appendix K'!$G$35))/((1+$Y$16)^AC$34))</f>
        <v>16067444.653864747</v>
      </c>
      <c r="AD481" s="193">
        <f>(((G481*'Appendix K'!$C$10*1000)-('Appendix K'!$E$36+'Appendix K'!$F$36+'Appendix K'!$H$36+'Appendix K'!$G$36))/((1+$Y$16)^AD$34))</f>
        <v>9695354.8928210121</v>
      </c>
      <c r="AE481" s="193">
        <f>(((H481*'Appendix K'!$C$11*1000)-('Appendix K'!$E$37+'Appendix K'!$F$37+'Appendix K'!$H$37+'Appendix K'!$G$37))/((1+$Y$16)^AE$34))</f>
        <v>3138721.2197284913</v>
      </c>
      <c r="AF481" s="193">
        <f>(((I481*'Appendix K'!$C$12*1000)-('Appendix K'!$E$38+'Appendix K'!$F$38+'Appendix K'!$H$38+'Appendix K'!$G$38))/((1+$Y$16)^AF$34))</f>
        <v>1493256.1149883524</v>
      </c>
      <c r="AG481" s="193">
        <f>(((J481*'Appendix K'!$C$13*1000)-('Appendix K'!$E$39+'Appendix K'!$F$39+'Appendix K'!$H$39+'Appendix K'!$G$39))/((1+$Y$16)^AG$34))</f>
        <v>414445.61383477412</v>
      </c>
      <c r="AH481" s="193">
        <f>(((K481*'Appendix K'!$C$14*1000)-('Appendix K'!$E$40+'Appendix K'!$F$40+'Appendix K'!$H$40+'Appendix K'!$G$40))/((1+$Y$16)^AH$34))</f>
        <v>564280.18550620391</v>
      </c>
      <c r="AI481" s="193">
        <f>(((L481*'Appendix K'!$C$15*1000)-('Appendix K'!$E$41+'Appendix K'!$F$41+'Appendix K'!$H$41+'Appendix K'!$G$41))/((1+$Y$16)^AI$34))</f>
        <v>841808.15243981802</v>
      </c>
      <c r="AJ481" s="193">
        <f>(((M481*'Appendix K'!$C$16*1000)-('Appendix K'!$E$42+'Appendix K'!$F$42+'Appendix K'!$H$42+'Appendix K'!$G$42))/((1+$Y$16)^AJ$34))</f>
        <v>844552.58839642291</v>
      </c>
      <c r="AK481" s="193">
        <f>(((N481*'Appendix K'!$C$17*1000)-('Appendix K'!$E$43+'Appendix K'!$F$43+'Appendix K'!$H$43))/((1+$Y$16)^AK$34))</f>
        <v>57042.468716371375</v>
      </c>
      <c r="AL481" s="193">
        <f>(((O481*'Appendix K'!$C$18*1000)-('Appendix K'!$E$44+'Appendix K'!$F$44+'Appendix K'!$H$44+'Appendix K'!$G$44))/((1+$Y$16)^AL$34))</f>
        <v>136467.70917108317</v>
      </c>
      <c r="AM481" s="193">
        <f>(((P481*'Appendix K'!$C$19*1000)-('Appendix K'!$E$45+'Appendix K'!$F$45+'Appendix K'!$H$45+'Appendix K'!$G$45))/((1+$Y$16)^AM$34))</f>
        <v>-100221.94528430633</v>
      </c>
      <c r="AN481" s="193">
        <f>(((Q481*'Appendix K'!$C$20*1000)-('Appendix K'!$E$46+'Appendix K'!$F$46+'Appendix K'!$H$46+'Appendix K'!$G$46))/((1+$Y$16)^AN$34))</f>
        <v>-69705.372465841312</v>
      </c>
      <c r="AO481" s="193">
        <f>(((R481*'Appendix K'!$C$21*1000)-('Appendix K'!$E$47+'Appendix K'!$F$47+'Appendix K'!$H$47+'Appendix K'!$G$47))/((1+$Y$16)^AO$34))</f>
        <v>-34759.445728693594</v>
      </c>
      <c r="AP481" s="193">
        <f>(((S481*'Appendix K'!$C$22*1000)-('Appendix K'!$E$48+'Appendix K'!$F$48+'Appendix K'!$H$48+'Appendix K'!$G$48))/((1+$Y$16)^AP$34))</f>
        <v>216699.41994449287</v>
      </c>
      <c r="AQ481" s="193">
        <f>(((T481*'Appendix K'!$C$23*1000)-('Appendix K'!$E$49+'Appendix K'!$F$49+'Appendix K'!$H$49+'Appendix K'!$G$49))/((1+$Y$16)^AQ$34))</f>
        <v>-5008.7595890357852</v>
      </c>
      <c r="AR481" s="193">
        <f>(((U481*'Appendix K'!$C$24*1000)-('Appendix K'!$E$50+'Appendix K'!$F$50+'Appendix K'!$H$50+'Appendix K'!$G$50))/((1+$Y$16)^AR$34))</f>
        <v>138050.59344838231</v>
      </c>
      <c r="AS481" s="209">
        <f t="shared" si="28"/>
        <v>70862116.864471138</v>
      </c>
      <c r="AU481" s="199">
        <f t="shared" si="27"/>
        <v>6.7298882471437293E-9</v>
      </c>
    </row>
    <row r="482" spans="1:47" x14ac:dyDescent="0.35">
      <c r="A482">
        <v>448</v>
      </c>
      <c r="B482" s="70">
        <v>56</v>
      </c>
      <c r="C482" s="70">
        <v>72.662783416199105</v>
      </c>
      <c r="D482" s="70">
        <v>85.199155317576157</v>
      </c>
      <c r="E482" s="70">
        <v>82.679747480703213</v>
      </c>
      <c r="F482" s="70">
        <v>116.51023199048227</v>
      </c>
      <c r="G482" s="70">
        <v>161.10249143187951</v>
      </c>
      <c r="H482" s="70">
        <v>145.09255937004491</v>
      </c>
      <c r="I482" s="70">
        <v>196.94516576672521</v>
      </c>
      <c r="J482" s="70">
        <v>304.66496555837739</v>
      </c>
      <c r="K482" s="70">
        <v>297.77971078438469</v>
      </c>
      <c r="L482" s="70">
        <v>291.96352078200346</v>
      </c>
      <c r="M482" s="70">
        <v>305.15388359280814</v>
      </c>
      <c r="N482" s="70">
        <v>325.94057522295515</v>
      </c>
      <c r="O482" s="70">
        <v>266.63249476872397</v>
      </c>
      <c r="P482" s="70">
        <v>220.41468907480089</v>
      </c>
      <c r="Q482" s="70">
        <v>58.740327296392763</v>
      </c>
      <c r="R482" s="70">
        <v>62.424895399946095</v>
      </c>
      <c r="S482" s="70">
        <v>60.122001902254581</v>
      </c>
      <c r="T482" s="70">
        <v>49.539181196021971</v>
      </c>
      <c r="U482" s="70">
        <v>71.884546451805647</v>
      </c>
      <c r="V482" s="70">
        <v>56.174409048307282</v>
      </c>
      <c r="X482" s="193">
        <f>((0-('Appendix K'!$I$30))/(1+$Y$16)^0)</f>
        <v>-33594902.4440751</v>
      </c>
      <c r="Y482" s="193">
        <f>(((B482*'Appendix K'!$C$5*1000)-('Appendix K'!$E$31+'Appendix K'!$F$31+'Appendix K'!$H$31+'Appendix K'!$G$31))/((1+$Y$16)^1))</f>
        <v>34971064.972647354</v>
      </c>
      <c r="Z482" s="193">
        <f>+(((C482*'Appendix K'!$C$6*1000)-('Appendix K'!$E$32+'Appendix K'!$F$32+'Appendix K'!$H$32+'Appendix K'!$G$32))/((1+$Y$16)^2))</f>
        <v>14868614.181646723</v>
      </c>
      <c r="AA482" s="193">
        <f>(((D482*'Appendix K'!$C$7*1000)-('Appendix K'!$E$33+'Appendix K'!$F$33+'Appendix K'!$H$33+'Appendix K'!$G$33))/((1+$Y$16)^3))</f>
        <v>7887333.4707039502</v>
      </c>
      <c r="AB482" s="193">
        <f>(((E482*'Appendix K'!$C$8*1000)-('Appendix K'!$E$34+'Appendix K'!$F$34+'Appendix K'!$H$34+'Appendix K'!$G$34))/((1+$Y$16)^4))</f>
        <v>14829435.898675498</v>
      </c>
      <c r="AC482" s="193">
        <f>(((F482*'Appendix K'!$C$9*1000)-('Appendix K'!$E$35+'Appendix K'!$F$35+'Appendix K'!$H$35+'Appendix K'!$G$35))/((1+$Y$16)^AC$34))</f>
        <v>27984008.190015722</v>
      </c>
      <c r="AD482" s="193">
        <f>(((G482*'Appendix K'!$C$10*1000)-('Appendix K'!$E$36+'Appendix K'!$F$36+'Appendix K'!$H$36+'Appendix K'!$G$36))/((1+$Y$16)^AD$34))</f>
        <v>22784408.875795197</v>
      </c>
      <c r="AE482" s="193">
        <f>(((H482*'Appendix K'!$C$11*1000)-('Appendix K'!$E$37+'Appendix K'!$F$37+'Appendix K'!$H$37+'Appendix K'!$G$37))/((1+$Y$16)^AE$34))</f>
        <v>12251246.867994577</v>
      </c>
      <c r="AF482" s="193">
        <f>(((I482*'Appendix K'!$C$12*1000)-('Appendix K'!$E$38+'Appendix K'!$F$38+'Appendix K'!$H$38+'Appendix K'!$G$38))/((1+$Y$16)^AF$34))</f>
        <v>10935318.567203948</v>
      </c>
      <c r="AG482" s="193">
        <f>(((J482*'Appendix K'!$C$13*1000)-('Appendix K'!$E$39+'Appendix K'!$F$39+'Appendix K'!$H$39+'Appendix K'!$G$39))/((1+$Y$16)^AG$34))</f>
        <v>12205412.632969895</v>
      </c>
      <c r="AH482" s="193">
        <f>(((K482*'Appendix K'!$C$14*1000)-('Appendix K'!$E$40+'Appendix K'!$F$40+'Appendix K'!$H$40+'Appendix K'!$G$40))/((1+$Y$16)^AH$34))</f>
        <v>8404378.6329342872</v>
      </c>
      <c r="AI482" s="193">
        <f>(((L482*'Appendix K'!$C$15*1000)-('Appendix K'!$E$41+'Appendix K'!$F$41+'Appendix K'!$H$41+'Appendix K'!$G$41))/((1+$Y$16)^AI$34))</f>
        <v>6133508.8706185175</v>
      </c>
      <c r="AJ482" s="193">
        <f>(((M482*'Appendix K'!$C$16*1000)-('Appendix K'!$E$42+'Appendix K'!$F$42+'Appendix K'!$H$42+'Appendix K'!$G$42))/((1+$Y$16)^AJ$34))</f>
        <v>4734302.5840633502</v>
      </c>
      <c r="AK482" s="193">
        <f>(((N482*'Appendix K'!$C$17*1000)-('Appendix K'!$E$43+'Appendix K'!$F$43+'Appendix K'!$H$43))/((1+$Y$16)^AK$34))</f>
        <v>4003458.9602512955</v>
      </c>
      <c r="AL482" s="193">
        <f>(((O482*'Appendix K'!$C$18*1000)-('Appendix K'!$E$44+'Appendix K'!$F$44+'Appendix K'!$H$44+'Appendix K'!$G$44))/((1+$Y$16)^AL$34))</f>
        <v>2025884.2920019459</v>
      </c>
      <c r="AM482" s="193">
        <f>(((P482*'Appendix K'!$C$19*1000)-('Appendix K'!$E$45+'Appendix K'!$F$45+'Appendix K'!$H$45+'Appendix K'!$G$45))/((1+$Y$16)^AM$34))</f>
        <v>1016198.6939982462</v>
      </c>
      <c r="AN482" s="193">
        <f>(((Q482*'Appendix K'!$C$20*1000)-('Appendix K'!$E$46+'Appendix K'!$F$46+'Appendix K'!$H$46+'Appendix K'!$G$46))/((1+$Y$16)^AN$34))</f>
        <v>-490651.09030657349</v>
      </c>
      <c r="AO482" s="193">
        <f>(((R482*'Appendix K'!$C$21*1000)-('Appendix K'!$E$47+'Appendix K'!$F$47+'Appendix K'!$H$47+'Appendix K'!$G$47))/((1+$Y$16)^AO$34))</f>
        <v>-474060.89686236647</v>
      </c>
      <c r="AP482" s="193">
        <f>(((S482*'Appendix K'!$C$22*1000)-('Appendix K'!$E$48+'Appendix K'!$F$48+'Appendix K'!$H$48+'Appendix K'!$G$48))/((1+$Y$16)^AP$34))</f>
        <v>-476485.71744503046</v>
      </c>
      <c r="AQ482" s="193">
        <f>(((T482*'Appendix K'!$C$23*1000)-('Appendix K'!$E$49+'Appendix K'!$F$49+'Appendix K'!$H$49+'Appendix K'!$G$49))/((1+$Y$16)^AQ$34))</f>
        <v>-499601.95866619714</v>
      </c>
      <c r="AR482" s="193">
        <f>(((U482*'Appendix K'!$C$24*1000)-('Appendix K'!$E$50+'Appendix K'!$F$50+'Appendix K'!$H$50+'Appendix K'!$G$50))/((1+$Y$16)^AR$34))</f>
        <v>-397818.61561055214</v>
      </c>
      <c r="AS482" s="209">
        <f t="shared" si="28"/>
        <v>151439673.24744537</v>
      </c>
      <c r="AU482" s="199">
        <f t="shared" si="27"/>
        <v>3.7350921000889819E-9</v>
      </c>
    </row>
    <row r="483" spans="1:47" x14ac:dyDescent="0.35">
      <c r="A483">
        <v>449</v>
      </c>
      <c r="B483" s="70">
        <v>56</v>
      </c>
      <c r="C483" s="70">
        <v>56.256490260306698</v>
      </c>
      <c r="D483" s="70">
        <v>80.578719841612411</v>
      </c>
      <c r="E483" s="70">
        <v>73.290442692677459</v>
      </c>
      <c r="F483" s="70">
        <v>91.822995168021237</v>
      </c>
      <c r="G483" s="70">
        <v>46.600903354801204</v>
      </c>
      <c r="H483" s="70">
        <v>46.998164334126599</v>
      </c>
      <c r="I483" s="70">
        <v>33.138957059662431</v>
      </c>
      <c r="J483" s="70">
        <v>28.761308561911871</v>
      </c>
      <c r="K483" s="70">
        <v>33.515165705889309</v>
      </c>
      <c r="L483" s="70">
        <v>18.418151817579385</v>
      </c>
      <c r="M483" s="70">
        <v>21.609891219039397</v>
      </c>
      <c r="N483" s="70">
        <v>26.182201843316044</v>
      </c>
      <c r="O483" s="70">
        <v>29.091932516049795</v>
      </c>
      <c r="P483" s="70">
        <v>31.537993614349492</v>
      </c>
      <c r="Q483" s="70">
        <v>44.031854908037346</v>
      </c>
      <c r="R483" s="70">
        <v>40.637680085191413</v>
      </c>
      <c r="S483" s="70">
        <v>43.121282597365536</v>
      </c>
      <c r="T483" s="70">
        <v>67.07571941481072</v>
      </c>
      <c r="U483" s="70">
        <v>55.168526321680289</v>
      </c>
      <c r="V483" s="70">
        <v>60.918540491584935</v>
      </c>
      <c r="X483" s="193">
        <f>((0-('Appendix K'!$I$30))/(1+$Y$16)^0)</f>
        <v>-33594902.4440751</v>
      </c>
      <c r="Y483" s="193">
        <f>(((B483*'Appendix K'!$C$5*1000)-('Appendix K'!$E$31+'Appendix K'!$F$31+'Appendix K'!$H$31+'Appendix K'!$G$31))/((1+$Y$16)^1))</f>
        <v>34971064.972647354</v>
      </c>
      <c r="Z483" s="193">
        <f>+(((C483*'Appendix K'!$C$6*1000)-('Appendix K'!$E$32+'Appendix K'!$F$32+'Appendix K'!$H$32+'Appendix K'!$G$32))/((1+$Y$16)^2))</f>
        <v>10724103.931600669</v>
      </c>
      <c r="AA483" s="193">
        <f>(((D483*'Appendix K'!$C$7*1000)-('Appendix K'!$E$33+'Appendix K'!$F$33+'Appendix K'!$H$33+'Appendix K'!$G$33))/((1+$Y$16)^3))</f>
        <v>7298806.0917125493</v>
      </c>
      <c r="AB483" s="193">
        <f>(((E483*'Appendix K'!$C$8*1000)-('Appendix K'!$E$34+'Appendix K'!$F$34+'Appendix K'!$H$34+'Appendix K'!$G$34))/((1+$Y$16)^4))</f>
        <v>12771386.239952793</v>
      </c>
      <c r="AC483" s="193">
        <f>(((F483*'Appendix K'!$C$9*1000)-('Appendix K'!$E$35+'Appendix K'!$F$35+'Appendix K'!$H$35+'Appendix K'!$G$35))/((1+$Y$16)^AC$34))</f>
        <v>21422179.408523936</v>
      </c>
      <c r="AD483" s="193">
        <f>(((G483*'Appendix K'!$C$10*1000)-('Appendix K'!$E$36+'Appendix K'!$F$36+'Appendix K'!$H$36+'Appendix K'!$G$36))/((1+$Y$16)^AD$34))</f>
        <v>4802627.029277076</v>
      </c>
      <c r="AE483" s="193">
        <f>(((H483*'Appendix K'!$C$11*1000)-('Appendix K'!$E$37+'Appendix K'!$F$37+'Appendix K'!$H$37+'Appendix K'!$G$37))/((1+$Y$16)^AE$34))</f>
        <v>2467544.5049628047</v>
      </c>
      <c r="AF483" s="193">
        <f>(((I483*'Appendix K'!$C$12*1000)-('Appendix K'!$E$38+'Appendix K'!$F$38+'Appendix K'!$H$38+'Appendix K'!$G$38))/((1+$Y$16)^AF$34))</f>
        <v>179405.33943492727</v>
      </c>
      <c r="AG483" s="193">
        <f>(((J483*'Appendix K'!$C$13*1000)-('Appendix K'!$E$39+'Appendix K'!$F$39+'Appendix K'!$H$39+'Appendix K'!$G$39))/((1+$Y$16)^AG$34))</f>
        <v>-491379.15190235904</v>
      </c>
      <c r="AH483" s="193">
        <f>(((K483*'Appendix K'!$C$14*1000)-('Appendix K'!$E$40+'Appendix K'!$F$40+'Appendix K'!$H$40+'Appendix K'!$G$40))/((1+$Y$16)^AH$34))</f>
        <v>-503061.32645718864</v>
      </c>
      <c r="AI483" s="193">
        <f>(((L483*'Appendix K'!$C$15*1000)-('Appendix K'!$E$41+'Appendix K'!$F$41+'Appendix K'!$H$41+'Appendix K'!$G$41))/((1+$Y$16)^AI$34))</f>
        <v>-1033891.328597663</v>
      </c>
      <c r="AJ483" s="193">
        <f>(((M483*'Appendix K'!$C$16*1000)-('Appendix K'!$E$42+'Appendix K'!$F$42+'Appendix K'!$H$42+'Appendix K'!$G$42))/((1+$Y$16)^AJ$34))</f>
        <v>-948448.39348798187</v>
      </c>
      <c r="AK483" s="193">
        <f>(((N483*'Appendix K'!$C$17*1000)-('Appendix K'!$E$43+'Appendix K'!$F$43+'Appendix K'!$H$43))/((1+$Y$16)^AK$34))</f>
        <v>-601997.95191641874</v>
      </c>
      <c r="AL483" s="193">
        <f>(((O483*'Appendix K'!$C$18*1000)-('Appendix K'!$E$44+'Appendix K'!$F$44+'Appendix K'!$H$44+'Appendix K'!$G$44))/((1+$Y$16)^AL$34))</f>
        <v>-789753.88919446454</v>
      </c>
      <c r="AM483" s="193">
        <f>(((P483*'Appendix K'!$C$19*1000)-('Appendix K'!$E$45+'Appendix K'!$F$45+'Appendix K'!$H$45+'Appendix K'!$G$45))/((1+$Y$16)^AM$34))</f>
        <v>-734448.73803542904</v>
      </c>
      <c r="AN483" s="193">
        <f>(((Q483*'Appendix K'!$C$20*1000)-('Appendix K'!$E$46+'Appendix K'!$F$46+'Appendix K'!$H$46+'Appendix K'!$G$46))/((1+$Y$16)^AN$34))</f>
        <v>-597084.78664230672</v>
      </c>
      <c r="AO483" s="193">
        <f>(((R483*'Appendix K'!$C$21*1000)-('Appendix K'!$E$47+'Appendix K'!$F$47+'Appendix K'!$H$47+'Appendix K'!$G$47))/((1+$Y$16)^AO$34))</f>
        <v>-602825.74642499117</v>
      </c>
      <c r="AP483" s="193">
        <f>(((S483*'Appendix K'!$C$22*1000)-('Appendix K'!$E$48+'Appendix K'!$F$48+'Appendix K'!$H$48+'Appendix K'!$G$48))/((1+$Y$16)^AP$34))</f>
        <v>-557914.39152221056</v>
      </c>
      <c r="AQ483" s="193">
        <f>(((T483*'Appendix K'!$C$23*1000)-('Appendix K'!$E$49+'Appendix K'!$F$49+'Appendix K'!$H$49+'Appendix K'!$G$49))/((1+$Y$16)^AQ$34))</f>
        <v>-430968.43754677963</v>
      </c>
      <c r="AR483" s="193">
        <f>(((U483*'Appendix K'!$C$24*1000)-('Appendix K'!$E$50+'Appendix K'!$F$50+'Appendix K'!$H$50+'Appendix K'!$G$50))/((1+$Y$16)^AR$34))</f>
        <v>-451644.66879335965</v>
      </c>
      <c r="AS483" s="209">
        <f t="shared" si="28"/>
        <v>61042215.074036993</v>
      </c>
      <c r="AU483" s="199">
        <f t="shared" ref="AU483:AU546" si="29">_xlfn.NORM.DIST(AS483,$Y$17,$Y$19,FALSE)</f>
        <v>6.2997022793460301E-9</v>
      </c>
    </row>
    <row r="484" spans="1:47" x14ac:dyDescent="0.35">
      <c r="A484">
        <v>450</v>
      </c>
      <c r="B484" s="70">
        <v>56</v>
      </c>
      <c r="C484" s="70">
        <v>61.092085135080438</v>
      </c>
      <c r="D484" s="70">
        <v>111.34106267743803</v>
      </c>
      <c r="E484" s="70">
        <v>98.950810804235815</v>
      </c>
      <c r="F484" s="70">
        <v>76.845828476658639</v>
      </c>
      <c r="G484" s="70">
        <v>74.613436735582354</v>
      </c>
      <c r="H484" s="70">
        <v>88.930960847479881</v>
      </c>
      <c r="I484" s="70">
        <v>107.22438528491385</v>
      </c>
      <c r="J484" s="70">
        <v>88.133937666168379</v>
      </c>
      <c r="K484" s="70">
        <v>88.748732025532618</v>
      </c>
      <c r="L484" s="70">
        <v>120.62859431150984</v>
      </c>
      <c r="M484" s="70">
        <v>93.13229015351726</v>
      </c>
      <c r="N484" s="70">
        <v>132.52070119879903</v>
      </c>
      <c r="O484" s="70">
        <v>196.12650464961288</v>
      </c>
      <c r="P484" s="70">
        <v>223.02422496804002</v>
      </c>
      <c r="Q484" s="70">
        <v>253.85776001063934</v>
      </c>
      <c r="R484" s="70">
        <v>322.93608708908982</v>
      </c>
      <c r="S484" s="70">
        <v>397.3324741652558</v>
      </c>
      <c r="T484" s="70">
        <v>409.56115694509299</v>
      </c>
      <c r="U484" s="70">
        <v>500</v>
      </c>
      <c r="V484" s="70">
        <v>500</v>
      </c>
      <c r="X484" s="193">
        <f>((0-('Appendix K'!$I$30))/(1+$Y$16)^0)</f>
        <v>-33594902.4440751</v>
      </c>
      <c r="Y484" s="193">
        <f>(((B484*'Appendix K'!$C$5*1000)-('Appendix K'!$E$31+'Appendix K'!$F$31+'Appendix K'!$H$31+'Appendix K'!$G$31))/((1+$Y$16)^1))</f>
        <v>34971064.972647354</v>
      </c>
      <c r="Z484" s="193">
        <f>+(((C484*'Appendix K'!$C$6*1000)-('Appendix K'!$E$32+'Appendix K'!$F$32+'Appendix K'!$H$32+'Appendix K'!$G$32))/((1+$Y$16)^2))</f>
        <v>11945657.900747688</v>
      </c>
      <c r="AA484" s="193">
        <f>(((D484*'Appendix K'!$C$7*1000)-('Appendix K'!$E$33+'Appendix K'!$F$33+'Appendix K'!$H$33+'Appendix K'!$G$33))/((1+$Y$16)^3))</f>
        <v>11217155.583873149</v>
      </c>
      <c r="AB484" s="193">
        <f>(((E484*'Appendix K'!$C$8*1000)-('Appendix K'!$E$34+'Appendix K'!$F$34+'Appendix K'!$H$34+'Appendix K'!$G$34))/((1+$Y$16)^4))</f>
        <v>18395904.031945344</v>
      </c>
      <c r="AC484" s="193">
        <f>(((F484*'Appendix K'!$C$9*1000)-('Appendix K'!$E$35+'Appendix K'!$F$35+'Appendix K'!$H$35+'Appendix K'!$G$35))/((1+$Y$16)^AC$34))</f>
        <v>17441272.02033183</v>
      </c>
      <c r="AD484" s="193">
        <f>(((G484*'Appendix K'!$C$10*1000)-('Appendix K'!$E$36+'Appendix K'!$F$36+'Appendix K'!$H$36+'Appendix K'!$G$36))/((1+$Y$16)^AD$34))</f>
        <v>9201825.963377716</v>
      </c>
      <c r="AE484" s="193">
        <f>(((H484*'Appendix K'!$C$11*1000)-('Appendix K'!$E$37+'Appendix K'!$F$37+'Appendix K'!$H$37+'Appendix K'!$G$37))/((1+$Y$16)^AE$34))</f>
        <v>6649822.1996874074</v>
      </c>
      <c r="AF484" s="193">
        <f>(((I484*'Appendix K'!$C$12*1000)-('Appendix K'!$E$38+'Appendix K'!$F$38+'Appendix K'!$H$38+'Appendix K'!$G$38))/((1+$Y$16)^AF$34))</f>
        <v>5044034.3649314214</v>
      </c>
      <c r="AG484" s="193">
        <f>(((J484*'Appendix K'!$C$13*1000)-('Appendix K'!$E$39+'Appendix K'!$F$39+'Appendix K'!$H$39+'Appendix K'!$G$39))/((1+$Y$16)^AG$34))</f>
        <v>2240885.8628627355</v>
      </c>
      <c r="AH484" s="193">
        <f>(((K484*'Appendix K'!$C$14*1000)-('Appendix K'!$E$40+'Appendix K'!$F$40+'Appendix K'!$H$40+'Appendix K'!$G$40))/((1+$Y$16)^AH$34))</f>
        <v>1358670.3545337394</v>
      </c>
      <c r="AI484" s="193">
        <f>(((L484*'Appendix K'!$C$15*1000)-('Appendix K'!$E$41+'Appendix K'!$F$41+'Appendix K'!$H$41+'Appendix K'!$G$41))/((1+$Y$16)^AI$34))</f>
        <v>1644213.3992080095</v>
      </c>
      <c r="AJ484" s="193">
        <f>(((M484*'Appendix K'!$C$16*1000)-('Appendix K'!$E$42+'Appendix K'!$F$42+'Appendix K'!$H$42+'Appendix K'!$G$42))/((1+$Y$16)^AJ$34))</f>
        <v>484994.01190054248</v>
      </c>
      <c r="AK484" s="193">
        <f>(((N484*'Appendix K'!$C$17*1000)-('Appendix K'!$E$43+'Appendix K'!$F$43+'Appendix K'!$H$43))/((1+$Y$16)^AK$34))</f>
        <v>1031775.8485105232</v>
      </c>
      <c r="AL484" s="193">
        <f>(((O484*'Appendix K'!$C$18*1000)-('Appendix K'!$E$44+'Appendix K'!$F$44+'Appendix K'!$H$44+'Appendix K'!$G$44))/((1+$Y$16)^AL$34))</f>
        <v>1190156.0445826317</v>
      </c>
      <c r="AM484" s="193">
        <f>(((P484*'Appendix K'!$C$19*1000)-('Appendix K'!$E$45+'Appendix K'!$F$45+'Appendix K'!$H$45+'Appendix K'!$G$45))/((1+$Y$16)^AM$34))</f>
        <v>1040385.7822949878</v>
      </c>
      <c r="AN484" s="193">
        <f>(((Q484*'Appendix K'!$C$20*1000)-('Appendix K'!$E$46+'Appendix K'!$F$46+'Appendix K'!$H$46+'Appendix K'!$G$46))/((1+$Y$16)^AN$34))</f>
        <v>921260.97200637637</v>
      </c>
      <c r="AO484" s="193">
        <f>(((R484*'Appendix K'!$C$21*1000)-('Appendix K'!$E$47+'Appendix K'!$F$47+'Appendix K'!$H$47+'Appendix K'!$G$47))/((1+$Y$16)^AO$34))</f>
        <v>1065589.0273074131</v>
      </c>
      <c r="AP484" s="193">
        <f>(((S484*'Appendix K'!$C$22*1000)-('Appendix K'!$E$48+'Appendix K'!$F$48+'Appendix K'!$H$48+'Appendix K'!$G$48))/((1+$Y$16)^AP$34))</f>
        <v>1138657.803771711</v>
      </c>
      <c r="AQ484" s="193">
        <f>(((T484*'Appendix K'!$C$23*1000)-('Appendix K'!$E$49+'Appendix K'!$F$49+'Appendix K'!$H$49+'Appendix K'!$G$49))/((1+$Y$16)^AQ$34))</f>
        <v>909431.88642612076</v>
      </c>
      <c r="AR484" s="193">
        <f>(((U484*'Appendix K'!$C$24*1000)-('Appendix K'!$E$50+'Appendix K'!$F$50+'Appendix K'!$H$50+'Appendix K'!$G$50))/((1+$Y$16)^AR$34))</f>
        <v>980725.14012097823</v>
      </c>
      <c r="AS484" s="209">
        <f t="shared" ref="AS484:AS547" si="30">SUMIF(Y484:AR484,"&gt;0")+X484</f>
        <v>95278580.726992577</v>
      </c>
      <c r="AU484" s="199">
        <f t="shared" si="29"/>
        <v>6.9659044467017334E-9</v>
      </c>
    </row>
    <row r="485" spans="1:47" x14ac:dyDescent="0.35">
      <c r="A485">
        <v>451</v>
      </c>
      <c r="B485" s="70">
        <v>56</v>
      </c>
      <c r="C485" s="70">
        <v>67.425750670265984</v>
      </c>
      <c r="D485" s="70">
        <v>78.443306824133415</v>
      </c>
      <c r="E485" s="70">
        <v>101.26303171506771</v>
      </c>
      <c r="F485" s="70">
        <v>122.36248701567966</v>
      </c>
      <c r="G485" s="70">
        <v>157.98133603741957</v>
      </c>
      <c r="H485" s="70">
        <v>141.11743031446949</v>
      </c>
      <c r="I485" s="70">
        <v>123.80482852554474</v>
      </c>
      <c r="J485" s="70">
        <v>139.76168063136598</v>
      </c>
      <c r="K485" s="70">
        <v>65.419664523372688</v>
      </c>
      <c r="L485" s="70">
        <v>63.278059753957123</v>
      </c>
      <c r="M485" s="70">
        <v>56.745558677651175</v>
      </c>
      <c r="N485" s="70">
        <v>69.402351574932538</v>
      </c>
      <c r="O485" s="70">
        <v>108.04836661324882</v>
      </c>
      <c r="P485" s="70">
        <v>94.771825378087641</v>
      </c>
      <c r="Q485" s="70">
        <v>112.19702536247615</v>
      </c>
      <c r="R485" s="70">
        <v>115.84287522738634</v>
      </c>
      <c r="S485" s="70">
        <v>133.75731295885566</v>
      </c>
      <c r="T485" s="70">
        <v>114.18830725356612</v>
      </c>
      <c r="U485" s="70">
        <v>116.6669876831489</v>
      </c>
      <c r="V485" s="70">
        <v>149.80225980014512</v>
      </c>
      <c r="X485" s="193">
        <f>((0-('Appendix K'!$I$30))/(1+$Y$16)^0)</f>
        <v>-33594902.4440751</v>
      </c>
      <c r="Y485" s="193">
        <f>(((B485*'Appendix K'!$C$5*1000)-('Appendix K'!$E$31+'Appendix K'!$F$31+'Appendix K'!$H$31+'Appendix K'!$G$31))/((1+$Y$16)^1))</f>
        <v>34971064.972647354</v>
      </c>
      <c r="Z485" s="193">
        <f>+(((C485*'Appendix K'!$C$6*1000)-('Appendix K'!$E$32+'Appendix K'!$F$32+'Appendix K'!$H$32+'Appendix K'!$G$32))/((1+$Y$16)^2))</f>
        <v>13545650.140403124</v>
      </c>
      <c r="AA485" s="193">
        <f>(((D485*'Appendix K'!$C$7*1000)-('Appendix K'!$E$33+'Appendix K'!$F$33+'Appendix K'!$H$33+'Appendix K'!$G$33))/((1+$Y$16)^3))</f>
        <v>7026808.1311785588</v>
      </c>
      <c r="AB485" s="193">
        <f>(((E485*'Appendix K'!$C$8*1000)-('Appendix K'!$E$34+'Appendix K'!$F$34+'Appendix K'!$H$34+'Appendix K'!$G$34))/((1+$Y$16)^4))</f>
        <v>18902721.689254522</v>
      </c>
      <c r="AC485" s="193">
        <f>(((F485*'Appendix K'!$C$9*1000)-('Appendix K'!$E$35+'Appendix K'!$F$35+'Appendix K'!$H$35+'Appendix K'!$G$35))/((1+$Y$16)^AC$34))</f>
        <v>29539528.386023708</v>
      </c>
      <c r="AD485" s="193">
        <f>(((G485*'Appendix K'!$C$10*1000)-('Appendix K'!$E$36+'Appendix K'!$F$36+'Appendix K'!$H$36+'Appendix K'!$G$36))/((1+$Y$16)^AD$34))</f>
        <v>22294250.299352735</v>
      </c>
      <c r="AE485" s="193">
        <f>(((H485*'Appendix K'!$C$11*1000)-('Appendix K'!$E$37+'Appendix K'!$F$37+'Appendix K'!$H$37+'Appendix K'!$G$37))/((1+$Y$16)^AE$34))</f>
        <v>11854776.921672476</v>
      </c>
      <c r="AF485" s="193">
        <f>(((I485*'Appendix K'!$C$12*1000)-('Appendix K'!$E$38+'Appendix K'!$F$38+'Appendix K'!$H$38+'Appendix K'!$G$38))/((1+$Y$16)^AF$34))</f>
        <v>6132746.5094942674</v>
      </c>
      <c r="AG485" s="193">
        <f>(((J485*'Appendix K'!$C$13*1000)-('Appendix K'!$E$39+'Appendix K'!$F$39+'Appendix K'!$H$39+'Appendix K'!$G$39))/((1+$Y$16)^AG$34))</f>
        <v>4616739.4846957168</v>
      </c>
      <c r="AH485" s="193">
        <f>(((K485*'Appendix K'!$C$14*1000)-('Appendix K'!$E$40+'Appendix K'!$F$40+'Appendix K'!$H$40+'Appendix K'!$G$40))/((1+$Y$16)^AH$34))</f>
        <v>572328.51657603553</v>
      </c>
      <c r="AI485" s="193">
        <f>(((L485*'Appendix K'!$C$15*1000)-('Appendix K'!$E$41+'Appendix K'!$F$41+'Appendix K'!$H$41+'Appendix K'!$G$41))/((1+$Y$16)^AI$34))</f>
        <v>141522.14777462327</v>
      </c>
      <c r="AJ485" s="193">
        <f>(((M485*'Appendix K'!$C$16*1000)-('Appendix K'!$E$42+'Appendix K'!$F$42+'Appendix K'!$H$42+'Appendix K'!$G$42))/((1+$Y$16)^AJ$34))</f>
        <v>-244264.02010107369</v>
      </c>
      <c r="AK485" s="193">
        <f>(((N485*'Appendix K'!$C$17*1000)-('Appendix K'!$E$43+'Appendix K'!$F$43+'Appendix K'!$H$43))/((1+$Y$16)^AK$34))</f>
        <v>62031.996879390528</v>
      </c>
      <c r="AL485" s="193">
        <f>(((O485*'Appendix K'!$C$18*1000)-('Appendix K'!$E$44+'Appendix K'!$F$44+'Appendix K'!$H$44+'Appendix K'!$G$44))/((1+$Y$16)^AL$34))</f>
        <v>146139.9572582331</v>
      </c>
      <c r="AM485" s="193">
        <f>(((P485*'Appendix K'!$C$19*1000)-('Appendix K'!$E$45+'Appendix K'!$F$45+'Appendix K'!$H$45+'Appendix K'!$G$45))/((1+$Y$16)^AM$34))</f>
        <v>-148351.3112196525</v>
      </c>
      <c r="AN485" s="193">
        <f>(((Q485*'Appendix K'!$C$20*1000)-('Appendix K'!$E$46+'Appendix K'!$F$46+'Appendix K'!$H$46+'Appendix K'!$G$46))/((1+$Y$16)^AN$34))</f>
        <v>-103826.82882984099</v>
      </c>
      <c r="AO485" s="193">
        <f>(((R485*'Appendix K'!$C$21*1000)-('Appendix K'!$E$47+'Appendix K'!$F$47+'Appendix K'!$H$47+'Appendix K'!$G$47))/((1+$Y$16)^AO$34))</f>
        <v>-158354.73446163398</v>
      </c>
      <c r="AP485" s="193">
        <f>(((S485*'Appendix K'!$C$22*1000)-('Appendix K'!$E$48+'Appendix K'!$F$48+'Appendix K'!$H$48+'Appendix K'!$G$48))/((1+$Y$16)^AP$34))</f>
        <v>-123793.24384625623</v>
      </c>
      <c r="AQ485" s="193">
        <f>(((T485*'Appendix K'!$C$23*1000)-('Appendix K'!$E$49+'Appendix K'!$F$49+'Appendix K'!$H$49+'Appendix K'!$G$49))/((1+$Y$16)^AQ$34))</f>
        <v>-246581.82987769929</v>
      </c>
      <c r="AR485" s="193">
        <f>(((U485*'Appendix K'!$C$24*1000)-('Appendix K'!$E$50+'Appendix K'!$F$50+'Appendix K'!$H$50+'Appendix K'!$G$50))/((1+$Y$16)^AR$34))</f>
        <v>-253617.90009273955</v>
      </c>
      <c r="AS485" s="209">
        <f t="shared" si="30"/>
        <v>116211406.70913562</v>
      </c>
      <c r="AU485" s="199">
        <f t="shared" si="29"/>
        <v>6.1916727037732084E-9</v>
      </c>
    </row>
    <row r="486" spans="1:47" x14ac:dyDescent="0.35">
      <c r="A486">
        <v>452</v>
      </c>
      <c r="B486" s="70">
        <v>56</v>
      </c>
      <c r="C486" s="70">
        <v>66.953535215452092</v>
      </c>
      <c r="D486" s="70">
        <v>88.219551800347432</v>
      </c>
      <c r="E486" s="70">
        <v>122.49176928350005</v>
      </c>
      <c r="F486" s="70">
        <v>157.59067949167775</v>
      </c>
      <c r="G486" s="70">
        <v>183.19918426657102</v>
      </c>
      <c r="H486" s="70">
        <v>151.84206938488796</v>
      </c>
      <c r="I486" s="70">
        <v>196.05175753279605</v>
      </c>
      <c r="J486" s="70">
        <v>261.33844798896655</v>
      </c>
      <c r="K486" s="70">
        <v>73.372176300640746</v>
      </c>
      <c r="L486" s="70">
        <v>66.573728429431412</v>
      </c>
      <c r="M486" s="70">
        <v>72.97537072945984</v>
      </c>
      <c r="N486" s="70">
        <v>76.062177471049395</v>
      </c>
      <c r="O486" s="70">
        <v>110.73663450393119</v>
      </c>
      <c r="P486" s="70">
        <v>138.43166033180918</v>
      </c>
      <c r="Q486" s="70">
        <v>124.90433253572185</v>
      </c>
      <c r="R486" s="70">
        <v>114.07070907145223</v>
      </c>
      <c r="S486" s="70">
        <v>192.73291458412695</v>
      </c>
      <c r="T486" s="70">
        <v>221.66427183231335</v>
      </c>
      <c r="U486" s="70">
        <v>221.80918909162295</v>
      </c>
      <c r="V486" s="70">
        <v>331.94373849788701</v>
      </c>
      <c r="X486" s="193">
        <f>((0-('Appendix K'!$I$30))/(1+$Y$16)^0)</f>
        <v>-33594902.4440751</v>
      </c>
      <c r="Y486" s="193">
        <f>(((B486*'Appendix K'!$C$5*1000)-('Appendix K'!$E$31+'Appendix K'!$F$31+'Appendix K'!$H$31+'Appendix K'!$G$31))/((1+$Y$16)^1))</f>
        <v>34971064.972647354</v>
      </c>
      <c r="Z486" s="193">
        <f>+(((C486*'Appendix K'!$C$6*1000)-('Appendix K'!$E$32+'Appendix K'!$F$32+'Appendix K'!$H$32+'Appendix K'!$G$32))/((1+$Y$16)^2))</f>
        <v>13426360.440157613</v>
      </c>
      <c r="AA486" s="193">
        <f>(((D486*'Appendix K'!$C$7*1000)-('Appendix K'!$E$33+'Appendix K'!$F$33+'Appendix K'!$H$33+'Appendix K'!$G$33))/((1+$Y$16)^3))</f>
        <v>8272056.0871688938</v>
      </c>
      <c r="AB486" s="193">
        <f>(((E486*'Appendix K'!$C$8*1000)-('Appendix K'!$E$34+'Appendix K'!$F$34+'Appendix K'!$H$34+'Appendix K'!$G$34))/((1+$Y$16)^4))</f>
        <v>23555866.63386682</v>
      </c>
      <c r="AC486" s="193">
        <f>(((F486*'Appendix K'!$C$9*1000)-('Appendix K'!$E$35+'Appendix K'!$F$35+'Appendix K'!$H$35+'Appendix K'!$G$35))/((1+$Y$16)^AC$34))</f>
        <v>38903126.62795496</v>
      </c>
      <c r="AD486" s="193">
        <f>(((G486*'Appendix K'!$C$10*1000)-('Appendix K'!$E$36+'Appendix K'!$F$36+'Appendix K'!$H$36+'Appendix K'!$G$36))/((1+$Y$16)^AD$34))</f>
        <v>26254560.833997466</v>
      </c>
      <c r="AE486" s="193">
        <f>(((H486*'Appendix K'!$C$11*1000)-('Appendix K'!$E$37+'Appendix K'!$F$37+'Appendix K'!$H$37+'Appendix K'!$G$37))/((1+$Y$16)^AE$34))</f>
        <v>12924426.99268312</v>
      </c>
      <c r="AF486" s="193">
        <f>(((I486*'Appendix K'!$C$12*1000)-('Appendix K'!$E$38+'Appendix K'!$F$38+'Appendix K'!$H$38+'Appendix K'!$G$38))/((1+$Y$16)^AF$34))</f>
        <v>10876655.214227501</v>
      </c>
      <c r="AG486" s="193">
        <f>(((J486*'Appendix K'!$C$13*1000)-('Appendix K'!$E$39+'Appendix K'!$F$39+'Appendix K'!$H$39+'Appendix K'!$G$39))/((1+$Y$16)^AG$34))</f>
        <v>10211572.542805865</v>
      </c>
      <c r="AH486" s="193">
        <f>(((K486*'Appendix K'!$C$14*1000)-('Appendix K'!$E$40+'Appendix K'!$F$40+'Appendix K'!$H$40+'Appendix K'!$G$40))/((1+$Y$16)^AH$34))</f>
        <v>840380.06757516018</v>
      </c>
      <c r="AI486" s="193">
        <f>(((L486*'Appendix K'!$C$15*1000)-('Appendix K'!$E$41+'Appendix K'!$F$41+'Appendix K'!$H$41+'Appendix K'!$G$41))/((1+$Y$16)^AI$34))</f>
        <v>227874.83000269264</v>
      </c>
      <c r="AJ486" s="193">
        <f>(((M486*'Appendix K'!$C$16*1000)-('Appendix K'!$E$42+'Appendix K'!$F$42+'Appendix K'!$H$42+'Appendix K'!$G$42))/((1+$Y$16)^AJ$34))</f>
        <v>81011.714118370364</v>
      </c>
      <c r="AK486" s="193">
        <f>(((N486*'Appendix K'!$C$17*1000)-('Appendix K'!$E$43+'Appendix K'!$F$43+'Appendix K'!$H$43))/((1+$Y$16)^AK$34))</f>
        <v>164352.87906625742</v>
      </c>
      <c r="AL486" s="193">
        <f>(((O486*'Appendix K'!$C$18*1000)-('Appendix K'!$E$44+'Appendix K'!$F$44+'Appendix K'!$H$44+'Appendix K'!$G$44))/((1+$Y$16)^AL$34))</f>
        <v>178004.78759503356</v>
      </c>
      <c r="AM486" s="193">
        <f>(((P486*'Appendix K'!$C$19*1000)-('Appendix K'!$E$45+'Appendix K'!$F$45+'Appendix K'!$H$45+'Appendix K'!$G$45))/((1+$Y$16)^AM$34))</f>
        <v>256319.98906128074</v>
      </c>
      <c r="AN486" s="193">
        <f>(((Q486*'Appendix K'!$C$20*1000)-('Appendix K'!$E$46+'Appendix K'!$F$46+'Appendix K'!$H$46+'Appendix K'!$G$46))/((1+$Y$16)^AN$34))</f>
        <v>-11873.998025136339</v>
      </c>
      <c r="AO486" s="193">
        <f>(((R486*'Appendix K'!$C$21*1000)-('Appendix K'!$E$47+'Appendix K'!$F$47+'Appendix K'!$H$47+'Appendix K'!$G$47))/((1+$Y$16)^AO$34))</f>
        <v>-168828.43223219278</v>
      </c>
      <c r="AP486" s="193">
        <f>(((S486*'Appendix K'!$C$22*1000)-('Appendix K'!$E$48+'Appendix K'!$F$48+'Appendix K'!$H$48+'Appendix K'!$G$48))/((1+$Y$16)^AP$34))</f>
        <v>158683.33594579936</v>
      </c>
      <c r="AQ486" s="193">
        <f>(((T486*'Appendix K'!$C$23*1000)-('Appendix K'!$E$49+'Appendix K'!$F$49+'Appendix K'!$H$49+'Appendix K'!$G$49))/((1+$Y$16)^AQ$34))</f>
        <v>174051.5809309427</v>
      </c>
      <c r="AR486" s="193">
        <f>(((U486*'Appendix K'!$C$24*1000)-('Appendix K'!$E$50+'Appendix K'!$F$50+'Appendix K'!$H$50+'Appendix K'!$G$50))/((1+$Y$16)^AR$34))</f>
        <v>84942.934407017907</v>
      </c>
      <c r="AS486" s="209">
        <f t="shared" si="30"/>
        <v>147966410.02013701</v>
      </c>
      <c r="AU486" s="199">
        <f t="shared" si="29"/>
        <v>3.9937365297193624E-9</v>
      </c>
    </row>
    <row r="487" spans="1:47" x14ac:dyDescent="0.35">
      <c r="A487">
        <v>453</v>
      </c>
      <c r="B487" s="70">
        <v>56</v>
      </c>
      <c r="C487" s="70">
        <v>51.738538191851084</v>
      </c>
      <c r="D487" s="70">
        <v>46.575030221149106</v>
      </c>
      <c r="E487" s="70">
        <v>59.200462008614508</v>
      </c>
      <c r="F487" s="70">
        <v>82.935652528956581</v>
      </c>
      <c r="G487" s="70">
        <v>79.722695147167585</v>
      </c>
      <c r="H487" s="70">
        <v>76.519613790673247</v>
      </c>
      <c r="I487" s="70">
        <v>42.521215466759557</v>
      </c>
      <c r="J487" s="70">
        <v>46.806890584406446</v>
      </c>
      <c r="K487" s="70">
        <v>56.546643782646591</v>
      </c>
      <c r="L487" s="70">
        <v>57.593009395771567</v>
      </c>
      <c r="M487" s="70">
        <v>96.854883537791594</v>
      </c>
      <c r="N487" s="70">
        <v>123.45245595191355</v>
      </c>
      <c r="O487" s="70">
        <v>118.47556276820946</v>
      </c>
      <c r="P487" s="70">
        <v>135.18592649552608</v>
      </c>
      <c r="Q487" s="70">
        <v>217.6158560317038</v>
      </c>
      <c r="R487" s="70">
        <v>258.94267714442617</v>
      </c>
      <c r="S487" s="70">
        <v>212.81433674769403</v>
      </c>
      <c r="T487" s="70">
        <v>258.42139897107359</v>
      </c>
      <c r="U487" s="70">
        <v>353.79986911066976</v>
      </c>
      <c r="V487" s="70">
        <v>256.45943612942244</v>
      </c>
      <c r="X487" s="193">
        <f>((0-('Appendix K'!$I$30))/(1+$Y$16)^0)</f>
        <v>-33594902.4440751</v>
      </c>
      <c r="Y487" s="193">
        <f>(((B487*'Appendix K'!$C$5*1000)-('Appendix K'!$E$31+'Appendix K'!$F$31+'Appendix K'!$H$31+'Appendix K'!$G$31))/((1+$Y$16)^1))</f>
        <v>34971064.972647354</v>
      </c>
      <c r="Z487" s="193">
        <f>+(((C487*'Appendix K'!$C$6*1000)-('Appendix K'!$E$32+'Appendix K'!$F$32+'Appendix K'!$H$32+'Appendix K'!$G$32))/((1+$Y$16)^2))</f>
        <v>9582791.9680139385</v>
      </c>
      <c r="AA487" s="193">
        <f>(((D487*'Appendix K'!$C$7*1000)-('Appendix K'!$E$33+'Appendix K'!$F$33+'Appendix K'!$H$33+'Appendix K'!$G$33))/((1+$Y$16)^3))</f>
        <v>2967590.4665892068</v>
      </c>
      <c r="AB487" s="193">
        <f>(((E487*'Appendix K'!$C$8*1000)-('Appendix K'!$E$34+'Appendix K'!$F$34+'Appendix K'!$H$34+'Appendix K'!$G$34))/((1+$Y$16)^4))</f>
        <v>9682991.4553648531</v>
      </c>
      <c r="AC487" s="193">
        <f>(((F487*'Appendix K'!$C$9*1000)-('Appendix K'!$E$35+'Appendix K'!$F$35+'Appendix K'!$H$35+'Appendix K'!$G$35))/((1+$Y$16)^AC$34))</f>
        <v>19059937.690692827</v>
      </c>
      <c r="AD487" s="193">
        <f>(((G487*'Appendix K'!$C$10*1000)-('Appendix K'!$E$36+'Appendix K'!$F$36+'Appendix K'!$H$36+'Appendix K'!$G$36))/((1+$Y$16)^AD$34))</f>
        <v>10004204.093651047</v>
      </c>
      <c r="AE487" s="193">
        <f>(((H487*'Appendix K'!$C$11*1000)-('Appendix K'!$E$37+'Appendix K'!$F$37+'Appendix K'!$H$37+'Appendix K'!$G$37))/((1+$Y$16)^AE$34))</f>
        <v>5411943.8735748501</v>
      </c>
      <c r="AF487" s="193">
        <f>(((I487*'Appendix K'!$C$12*1000)-('Appendix K'!$E$38+'Appendix K'!$F$38+'Appendix K'!$H$38+'Appendix K'!$G$38))/((1+$Y$16)^AF$34))</f>
        <v>795467.19755234802</v>
      </c>
      <c r="AG487" s="193">
        <f>(((J487*'Appendix K'!$C$13*1000)-('Appendix K'!$E$39+'Appendix K'!$F$39+'Appendix K'!$H$39+'Appendix K'!$G$39))/((1+$Y$16)^AG$34))</f>
        <v>339059.2702291123</v>
      </c>
      <c r="AH487" s="193">
        <f>(((K487*'Appendix K'!$C$14*1000)-('Appendix K'!$E$40+'Appendix K'!$F$40+'Appendix K'!$H$40+'Appendix K'!$G$40))/((1+$Y$16)^AH$34))</f>
        <v>273249.80557083152</v>
      </c>
      <c r="AI487" s="193">
        <f>(((L487*'Appendix K'!$C$15*1000)-('Appendix K'!$E$41+'Appendix K'!$F$41+'Appendix K'!$H$41+'Appendix K'!$G$41))/((1+$Y$16)^AI$34))</f>
        <v>-7436.8027061380735</v>
      </c>
      <c r="AJ487" s="193">
        <f>(((M487*'Appendix K'!$C$16*1000)-('Appendix K'!$E$42+'Appendix K'!$F$42+'Appendix K'!$H$42+'Appendix K'!$G$42))/((1+$Y$16)^AJ$34))</f>
        <v>559601.7333211574</v>
      </c>
      <c r="AK487" s="193">
        <f>(((N487*'Appendix K'!$C$17*1000)-('Appendix K'!$E$43+'Appendix K'!$F$43+'Appendix K'!$H$43))/((1+$Y$16)^AK$34))</f>
        <v>892452.25837144791</v>
      </c>
      <c r="AL487" s="193">
        <f>(((O487*'Appendix K'!$C$18*1000)-('Appendix K'!$E$44+'Appendix K'!$F$44+'Appendix K'!$H$44+'Appendix K'!$G$44))/((1+$Y$16)^AL$34))</f>
        <v>269736.58150761889</v>
      </c>
      <c r="AM487" s="193">
        <f>(((P487*'Appendix K'!$C$19*1000)-('Appendix K'!$E$45+'Appendix K'!$F$45+'Appendix K'!$H$45+'Appendix K'!$G$45))/((1+$Y$16)^AM$34))</f>
        <v>226236.15266366859</v>
      </c>
      <c r="AN487" s="193">
        <f>(((Q487*'Appendix K'!$C$20*1000)-('Appendix K'!$E$46+'Appendix K'!$F$46+'Appendix K'!$H$46+'Appendix K'!$G$46))/((1+$Y$16)^AN$34))</f>
        <v>659006.69427617046</v>
      </c>
      <c r="AO487" s="193">
        <f>(((R487*'Appendix K'!$C$21*1000)-('Appendix K'!$E$47+'Appendix K'!$F$47+'Appendix K'!$H$47+'Appendix K'!$G$47))/((1+$Y$16)^AO$34))</f>
        <v>687380.90453994507</v>
      </c>
      <c r="AP487" s="193">
        <f>(((S487*'Appendix K'!$C$22*1000)-('Appendix K'!$E$48+'Appendix K'!$F$48+'Appendix K'!$H$48+'Appendix K'!$G$48))/((1+$Y$16)^AP$34))</f>
        <v>254867.7120911731</v>
      </c>
      <c r="AQ487" s="193">
        <f>(((T487*'Appendix K'!$C$23*1000)-('Appendix K'!$E$49+'Appendix K'!$F$49+'Appendix K'!$H$49+'Appendix K'!$G$49))/((1+$Y$16)^AQ$34))</f>
        <v>317909.56648617081</v>
      </c>
      <c r="AR487" s="193">
        <f>(((U487*'Appendix K'!$C$24*1000)-('Appendix K'!$E$50+'Appendix K'!$F$50+'Appendix K'!$H$50+'Appendix K'!$G$50))/((1+$Y$16)^AR$34))</f>
        <v>509956.62229654478</v>
      </c>
      <c r="AS487" s="209">
        <f t="shared" si="30"/>
        <v>63870546.575365163</v>
      </c>
      <c r="AU487" s="199">
        <f t="shared" si="29"/>
        <v>6.440446056462911E-9</v>
      </c>
    </row>
    <row r="488" spans="1:47" x14ac:dyDescent="0.35">
      <c r="A488">
        <v>454</v>
      </c>
      <c r="B488" s="70">
        <v>56</v>
      </c>
      <c r="C488" s="70">
        <v>91.929367508388907</v>
      </c>
      <c r="D488" s="70">
        <v>118.60514646196208</v>
      </c>
      <c r="E488" s="70">
        <v>159.97396202962739</v>
      </c>
      <c r="F488" s="70">
        <v>185.77329847010913</v>
      </c>
      <c r="G488" s="70">
        <v>192.65409569398963</v>
      </c>
      <c r="H488" s="70">
        <v>178.9743591681875</v>
      </c>
      <c r="I488" s="70">
        <v>127.27216361881875</v>
      </c>
      <c r="J488" s="70">
        <v>95.74116201514363</v>
      </c>
      <c r="K488" s="70">
        <v>108.0304801362004</v>
      </c>
      <c r="L488" s="70">
        <v>134.83522681021023</v>
      </c>
      <c r="M488" s="70">
        <v>143.62878683521461</v>
      </c>
      <c r="N488" s="70">
        <v>147.6789782188329</v>
      </c>
      <c r="O488" s="70">
        <v>191.64292669566922</v>
      </c>
      <c r="P488" s="70">
        <v>279.34813214392113</v>
      </c>
      <c r="Q488" s="70">
        <v>188.19729936908848</v>
      </c>
      <c r="R488" s="70">
        <v>138.1931366489996</v>
      </c>
      <c r="S488" s="70">
        <v>139.14095279236278</v>
      </c>
      <c r="T488" s="70">
        <v>176.52593852141769</v>
      </c>
      <c r="U488" s="70">
        <v>237.89081369887975</v>
      </c>
      <c r="V488" s="70">
        <v>287.49261677182324</v>
      </c>
      <c r="X488" s="193">
        <f>((0-('Appendix K'!$I$30))/(1+$Y$16)^0)</f>
        <v>-33594902.4440751</v>
      </c>
      <c r="Y488" s="193">
        <f>(((B488*'Appendix K'!$C$5*1000)-('Appendix K'!$E$31+'Appendix K'!$F$31+'Appendix K'!$H$31+'Appendix K'!$G$31))/((1+$Y$16)^1))</f>
        <v>34971064.972647354</v>
      </c>
      <c r="Z488" s="193">
        <f>+(((C488*'Appendix K'!$C$6*1000)-('Appendix K'!$E$32+'Appendix K'!$F$32+'Appendix K'!$H$32+'Appendix K'!$G$32))/((1+$Y$16)^2))</f>
        <v>19735682.842112307</v>
      </c>
      <c r="AA488" s="193">
        <f>(((D488*'Appendix K'!$C$7*1000)-('Appendix K'!$E$33+'Appendix K'!$F$33+'Appendix K'!$H$33+'Appendix K'!$G$33))/((1+$Y$16)^3))</f>
        <v>12142417.328728085</v>
      </c>
      <c r="AB488" s="193">
        <f>(((E488*'Appendix K'!$C$8*1000)-('Appendix K'!$E$34+'Appendix K'!$F$34+'Appendix K'!$H$34+'Appendix K'!$G$34))/((1+$Y$16)^4))</f>
        <v>31771620.167368416</v>
      </c>
      <c r="AC488" s="193">
        <f>(((F488*'Appendix K'!$C$9*1000)-('Appendix K'!$E$35+'Appendix K'!$F$35+'Appendix K'!$H$35+'Appendix K'!$G$35))/((1+$Y$16)^AC$34))</f>
        <v>46394022.49776873</v>
      </c>
      <c r="AD488" s="193">
        <f>(((G488*'Appendix K'!$C$10*1000)-('Appendix K'!$E$36+'Appendix K'!$F$36+'Appendix K'!$H$36+'Appendix K'!$G$36))/((1+$Y$16)^AD$34))</f>
        <v>27739397.485796075</v>
      </c>
      <c r="AE488" s="193">
        <f>(((H488*'Appendix K'!$C$11*1000)-('Appendix K'!$E$37+'Appendix K'!$F$37+'Appendix K'!$H$37+'Appendix K'!$G$37))/((1+$Y$16)^AE$34))</f>
        <v>15630537.240573753</v>
      </c>
      <c r="AF488" s="193">
        <f>(((I488*'Appendix K'!$C$12*1000)-('Appendix K'!$E$38+'Appendix K'!$F$38+'Appendix K'!$H$38+'Appendix K'!$G$38))/((1+$Y$16)^AF$34))</f>
        <v>6360420.1470762696</v>
      </c>
      <c r="AG488" s="193">
        <f>(((J488*'Appendix K'!$C$13*1000)-('Appendix K'!$E$39+'Appendix K'!$F$39+'Appendix K'!$H$39+'Appendix K'!$G$39))/((1+$Y$16)^AG$34))</f>
        <v>2590962.2071606531</v>
      </c>
      <c r="AH488" s="193">
        <f>(((K488*'Appendix K'!$C$14*1000)-('Appendix K'!$E$40+'Appendix K'!$F$40+'Appendix K'!$H$40+'Appendix K'!$G$40))/((1+$Y$16)^AH$34))</f>
        <v>2008591.1131314069</v>
      </c>
      <c r="AI488" s="193">
        <f>(((L488*'Appendix K'!$C$15*1000)-('Appendix K'!$E$41+'Appendix K'!$F$41+'Appendix K'!$H$41+'Appendix K'!$G$41))/((1+$Y$16)^AI$34))</f>
        <v>2016453.7372070013</v>
      </c>
      <c r="AJ488" s="193">
        <f>(((M488*'Appendix K'!$C$16*1000)-('Appendix K'!$E$42+'Appendix K'!$F$42+'Appendix K'!$H$42+'Appendix K'!$G$42))/((1+$Y$16)^AJ$34))</f>
        <v>1497038.0812475057</v>
      </c>
      <c r="AK488" s="193">
        <f>(((N488*'Appendix K'!$C$17*1000)-('Appendix K'!$E$43+'Appendix K'!$F$43+'Appendix K'!$H$43))/((1+$Y$16)^AK$34))</f>
        <v>1264666.0623563721</v>
      </c>
      <c r="AL488" s="193">
        <f>(((O488*'Appendix K'!$C$18*1000)-('Appendix K'!$E$44+'Appendix K'!$F$44+'Appendix K'!$H$44+'Appendix K'!$G$44))/((1+$Y$16)^AL$34))</f>
        <v>1137010.8757921921</v>
      </c>
      <c r="AM488" s="193">
        <f>(((P488*'Appendix K'!$C$19*1000)-('Appendix K'!$E$45+'Appendix K'!$F$45+'Appendix K'!$H$45+'Appendix K'!$G$45))/((1+$Y$16)^AM$34))</f>
        <v>1562436.9714010879</v>
      </c>
      <c r="AN488" s="193">
        <f>(((Q488*'Appendix K'!$C$20*1000)-('Appendix K'!$E$46+'Appendix K'!$F$46+'Appendix K'!$H$46+'Appendix K'!$G$46))/((1+$Y$16)^AN$34))</f>
        <v>446127.63764869573</v>
      </c>
      <c r="AO488" s="193">
        <f>(((R488*'Appendix K'!$C$21*1000)-('Appendix K'!$E$47+'Appendix K'!$F$47+'Appendix K'!$H$47+'Appendix K'!$G$47))/((1+$Y$16)^AO$34))</f>
        <v>-26262.220202118519</v>
      </c>
      <c r="AP488" s="193">
        <f>(((S488*'Appendix K'!$C$22*1000)-('Appendix K'!$E$48+'Appendix K'!$F$48+'Appendix K'!$H$48+'Appendix K'!$G$48))/((1+$Y$16)^AP$34))</f>
        <v>-98007.120007042875</v>
      </c>
      <c r="AQ488" s="193">
        <f>(((T488*'Appendix K'!$C$23*1000)-('Appendix K'!$E$49+'Appendix K'!$F$49+'Appendix K'!$H$49+'Appendix K'!$G$49))/((1+$Y$16)^AQ$34))</f>
        <v>-2608.2999382156927</v>
      </c>
      <c r="AR488" s="193">
        <f>(((U488*'Appendix K'!$C$24*1000)-('Appendix K'!$E$50+'Appendix K'!$F$50+'Appendix K'!$H$50+'Appendix K'!$G$50))/((1+$Y$16)^AR$34))</f>
        <v>136726.2162311502</v>
      </c>
      <c r="AS488" s="209">
        <f t="shared" si="30"/>
        <v>173810273.14017197</v>
      </c>
      <c r="AU488" s="199">
        <f t="shared" si="29"/>
        <v>2.2183765656184828E-9</v>
      </c>
    </row>
    <row r="489" spans="1:47" x14ac:dyDescent="0.35">
      <c r="A489">
        <v>455</v>
      </c>
      <c r="B489" s="70">
        <v>56</v>
      </c>
      <c r="C489" s="70">
        <v>83.971963487828759</v>
      </c>
      <c r="D489" s="70">
        <v>93.353699893459805</v>
      </c>
      <c r="E489" s="70">
        <v>81.310272971738641</v>
      </c>
      <c r="F489" s="70">
        <v>83.692689454619128</v>
      </c>
      <c r="G489" s="70">
        <v>106.25676812684372</v>
      </c>
      <c r="H489" s="70">
        <v>111.86708052278377</v>
      </c>
      <c r="I489" s="70">
        <v>120.34693609521699</v>
      </c>
      <c r="J489" s="70">
        <v>173.23786715720524</v>
      </c>
      <c r="K489" s="70">
        <v>228.23140745783192</v>
      </c>
      <c r="L489" s="70">
        <v>183.05184685860505</v>
      </c>
      <c r="M489" s="70">
        <v>241.7193609044985</v>
      </c>
      <c r="N489" s="70">
        <v>276.60762143181694</v>
      </c>
      <c r="O489" s="70">
        <v>334.50772323869222</v>
      </c>
      <c r="P489" s="70">
        <v>268.99682315110817</v>
      </c>
      <c r="Q489" s="70">
        <v>428.49272386958654</v>
      </c>
      <c r="R489" s="70">
        <v>500</v>
      </c>
      <c r="S489" s="70">
        <v>500</v>
      </c>
      <c r="T489" s="70">
        <v>426.99895417302992</v>
      </c>
      <c r="U489" s="70">
        <v>414.63957372121075</v>
      </c>
      <c r="V489" s="70">
        <v>472.48957697372282</v>
      </c>
      <c r="X489" s="193">
        <f>((0-('Appendix K'!$I$30))/(1+$Y$16)^0)</f>
        <v>-33594902.4440751</v>
      </c>
      <c r="Y489" s="193">
        <f>(((B489*'Appendix K'!$C$5*1000)-('Appendix K'!$E$31+'Appendix K'!$F$31+'Appendix K'!$H$31+'Appendix K'!$G$31))/((1+$Y$16)^1))</f>
        <v>34971064.972647354</v>
      </c>
      <c r="Z489" s="193">
        <f>+(((C489*'Appendix K'!$C$6*1000)-('Appendix K'!$E$32+'Appendix K'!$F$32+'Appendix K'!$H$32+'Appendix K'!$G$32))/((1+$Y$16)^2))</f>
        <v>17725506.49005045</v>
      </c>
      <c r="AA489" s="193">
        <f>(((D489*'Appendix K'!$C$7*1000)-('Appendix K'!$E$33+'Appendix K'!$F$33+'Appendix K'!$H$33+'Appendix K'!$G$33))/((1+$Y$16)^3))</f>
        <v>8926017.5451985355</v>
      </c>
      <c r="AB489" s="193">
        <f>(((E489*'Appendix K'!$C$8*1000)-('Appendix K'!$E$34+'Appendix K'!$F$34+'Appendix K'!$H$34+'Appendix K'!$G$34))/((1+$Y$16)^4))</f>
        <v>14529259.622642968</v>
      </c>
      <c r="AC489" s="193">
        <f>(((F489*'Appendix K'!$C$9*1000)-('Appendix K'!$E$35+'Appendix K'!$F$35+'Appendix K'!$H$35+'Appendix K'!$G$35))/((1+$Y$16)^AC$34))</f>
        <v>19261156.916772638</v>
      </c>
      <c r="AD489" s="193">
        <f>(((G489*'Appendix K'!$C$10*1000)-('Appendix K'!$E$36+'Appendix K'!$F$36+'Appendix K'!$H$36+'Appendix K'!$G$36))/((1+$Y$16)^AD$34))</f>
        <v>14171219.764201753</v>
      </c>
      <c r="AE489" s="193">
        <f>(((H489*'Appendix K'!$C$11*1000)-('Appendix K'!$E$37+'Appendix K'!$F$37+'Appendix K'!$H$37+'Appendix K'!$G$37))/((1+$Y$16)^AE$34))</f>
        <v>8937416.3908120226</v>
      </c>
      <c r="AF489" s="193">
        <f>(((I489*'Appendix K'!$C$12*1000)-('Appendix K'!$E$38+'Appendix K'!$F$38+'Appendix K'!$H$38+'Appendix K'!$G$38))/((1+$Y$16)^AF$34))</f>
        <v>5905692.9000790277</v>
      </c>
      <c r="AG489" s="193">
        <f>(((J489*'Appendix K'!$C$13*1000)-('Appendix K'!$E$39+'Appendix K'!$F$39+'Appendix K'!$H$39+'Appendix K'!$G$39))/((1+$Y$16)^AG$34))</f>
        <v>6157277.8548542978</v>
      </c>
      <c r="AH489" s="193">
        <f>(((K489*'Appendix K'!$C$14*1000)-('Appendix K'!$E$40+'Appendix K'!$F$40+'Appendix K'!$H$40+'Appendix K'!$G$40))/((1+$Y$16)^AH$34))</f>
        <v>6060146.8860126426</v>
      </c>
      <c r="AI489" s="193">
        <f>(((L489*'Appendix K'!$C$15*1000)-('Appendix K'!$E$41+'Appendix K'!$F$41+'Appendix K'!$H$41+'Appendix K'!$G$41))/((1+$Y$16)^AI$34))</f>
        <v>3279819.3479965637</v>
      </c>
      <c r="AJ489" s="193">
        <f>(((M489*'Appendix K'!$C$16*1000)-('Appendix K'!$E$42+'Appendix K'!$F$42+'Appendix K'!$H$42+'Appendix K'!$G$42))/((1+$Y$16)^AJ$34))</f>
        <v>3462956.3185346341</v>
      </c>
      <c r="AK489" s="193">
        <f>(((N489*'Appendix K'!$C$17*1000)-('Appendix K'!$E$43+'Appendix K'!$F$43+'Appendix K'!$H$43))/((1+$Y$16)^AK$34))</f>
        <v>3245512.5166758844</v>
      </c>
      <c r="AL489" s="193">
        <f>(((O489*'Appendix K'!$C$18*1000)-('Appendix K'!$E$44+'Appendix K'!$F$44+'Appendix K'!$H$44+'Appendix K'!$G$44))/((1+$Y$16)^AL$34))</f>
        <v>2830429.3474867623</v>
      </c>
      <c r="AM489" s="193">
        <f>(((P489*'Appendix K'!$C$19*1000)-('Appendix K'!$E$45+'Appendix K'!$F$45+'Appendix K'!$H$45+'Appendix K'!$G$45))/((1+$Y$16)^AM$34))</f>
        <v>1466493.4646477653</v>
      </c>
      <c r="AN489" s="193">
        <f>(((Q489*'Appendix K'!$C$20*1000)-('Appendix K'!$E$46+'Appendix K'!$F$46+'Appendix K'!$H$46+'Appendix K'!$G$46))/((1+$Y$16)^AN$34))</f>
        <v>2184957.4472215828</v>
      </c>
      <c r="AO489" s="193">
        <f>(((R489*'Appendix K'!$C$21*1000)-('Appendix K'!$E$47+'Appendix K'!$F$47+'Appendix K'!$H$47+'Appendix K'!$G$47))/((1+$Y$16)^AO$34))</f>
        <v>2112056.3146391152</v>
      </c>
      <c r="AP489" s="193">
        <f>(((S489*'Appendix K'!$C$22*1000)-('Appendix K'!$E$48+'Appendix K'!$F$48+'Appendix K'!$H$48+'Appendix K'!$G$48))/((1+$Y$16)^AP$34))</f>
        <v>1630406.4380253027</v>
      </c>
      <c r="AQ489" s="193">
        <f>(((T489*'Appendix K'!$C$23*1000)-('Appendix K'!$E$49+'Appendix K'!$F$49+'Appendix K'!$H$49+'Appendix K'!$G$49))/((1+$Y$16)^AQ$34))</f>
        <v>977678.96058568603</v>
      </c>
      <c r="AR489" s="193">
        <f>(((U489*'Appendix K'!$C$24*1000)-('Appendix K'!$E$50+'Appendix K'!$F$50+'Appendix K'!$H$50+'Appendix K'!$G$50))/((1+$Y$16)^AR$34))</f>
        <v>705862.17580156552</v>
      </c>
      <c r="AS489" s="209">
        <f t="shared" si="30"/>
        <v>124946029.23081145</v>
      </c>
      <c r="AU489" s="199">
        <f t="shared" si="29"/>
        <v>5.6621983931703486E-9</v>
      </c>
    </row>
    <row r="490" spans="1:47" x14ac:dyDescent="0.35">
      <c r="A490">
        <v>456</v>
      </c>
      <c r="B490" s="70">
        <v>56</v>
      </c>
      <c r="C490" s="70">
        <v>47.004196145993092</v>
      </c>
      <c r="D490" s="70">
        <v>58.21392258300849</v>
      </c>
      <c r="E490" s="70">
        <v>84.852096781650701</v>
      </c>
      <c r="F490" s="70">
        <v>106.7461519790031</v>
      </c>
      <c r="G490" s="70">
        <v>95.395028960786732</v>
      </c>
      <c r="H490" s="70">
        <v>113.95109162403278</v>
      </c>
      <c r="I490" s="70">
        <v>116.55208924748015</v>
      </c>
      <c r="J490" s="70">
        <v>138.59189316610426</v>
      </c>
      <c r="K490" s="70">
        <v>131.02349420024595</v>
      </c>
      <c r="L490" s="70">
        <v>167.05513426060699</v>
      </c>
      <c r="M490" s="70">
        <v>208.08538645399693</v>
      </c>
      <c r="N490" s="70">
        <v>209.56729404136951</v>
      </c>
      <c r="O490" s="70">
        <v>333.78317859463033</v>
      </c>
      <c r="P490" s="70">
        <v>399.27697301415736</v>
      </c>
      <c r="Q490" s="70">
        <v>500</v>
      </c>
      <c r="R490" s="70">
        <v>500</v>
      </c>
      <c r="S490" s="70">
        <v>254.74773641347218</v>
      </c>
      <c r="T490" s="70">
        <v>208.83151107869804</v>
      </c>
      <c r="U490" s="70">
        <v>289.66116423809865</v>
      </c>
      <c r="V490" s="70">
        <v>309.43727479796343</v>
      </c>
      <c r="X490" s="193">
        <f>((0-('Appendix K'!$I$30))/(1+$Y$16)^0)</f>
        <v>-33594902.4440751</v>
      </c>
      <c r="Y490" s="193">
        <f>(((B490*'Appendix K'!$C$5*1000)-('Appendix K'!$E$31+'Appendix K'!$F$31+'Appendix K'!$H$31+'Appendix K'!$G$31))/((1+$Y$16)^1))</f>
        <v>34971064.972647354</v>
      </c>
      <c r="Z490" s="193">
        <f>+(((C490*'Appendix K'!$C$6*1000)-('Appendix K'!$E$32+'Appendix K'!$F$32+'Appendix K'!$H$32+'Appendix K'!$G$32))/((1+$Y$16)^2))</f>
        <v>8386816.1951907352</v>
      </c>
      <c r="AA490" s="193">
        <f>(((D490*'Appendix K'!$C$7*1000)-('Appendix K'!$E$33+'Appendix K'!$F$33+'Appendix K'!$H$33+'Appendix K'!$G$33))/((1+$Y$16)^3))</f>
        <v>4450092.8955749478</v>
      </c>
      <c r="AB490" s="193">
        <f>(((E490*'Appendix K'!$C$8*1000)-('Appendix K'!$E$34+'Appendix K'!$F$34+'Appendix K'!$H$34+'Appendix K'!$G$34))/((1+$Y$16)^4))</f>
        <v>15305594.979499368</v>
      </c>
      <c r="AC490" s="193">
        <f>(((F490*'Appendix K'!$C$9*1000)-('Appendix K'!$E$35+'Appendix K'!$F$35+'Appendix K'!$H$35+'Appendix K'!$G$35))/((1+$Y$16)^AC$34))</f>
        <v>25388731.05532157</v>
      </c>
      <c r="AD490" s="193">
        <f>(((G490*'Appendix K'!$C$10*1000)-('Appendix K'!$E$36+'Appendix K'!$F$36+'Appendix K'!$H$36+'Appendix K'!$G$36))/((1+$Y$16)^AD$34))</f>
        <v>12465449.325224604</v>
      </c>
      <c r="AE490" s="193">
        <f>(((H490*'Appendix K'!$C$11*1000)-('Appendix K'!$E$37+'Appendix K'!$F$37+'Appendix K'!$H$37+'Appendix K'!$G$37))/((1+$Y$16)^AE$34))</f>
        <v>9145270.7165195085</v>
      </c>
      <c r="AF490" s="193">
        <f>(((I490*'Appendix K'!$C$12*1000)-('Appendix K'!$E$38+'Appendix K'!$F$38+'Appendix K'!$H$38+'Appendix K'!$G$38))/((1+$Y$16)^AF$34))</f>
        <v>5656514.0458151819</v>
      </c>
      <c r="AG490" s="193">
        <f>(((J490*'Appendix K'!$C$13*1000)-('Appendix K'!$E$39+'Appendix K'!$F$39+'Appendix K'!$H$39+'Appendix K'!$G$39))/((1+$Y$16)^AG$34))</f>
        <v>4562907.1142202076</v>
      </c>
      <c r="AH490" s="193">
        <f>(((K490*'Appendix K'!$C$14*1000)-('Appendix K'!$E$40+'Appendix K'!$F$40+'Appendix K'!$H$40+'Appendix K'!$G$40))/((1+$Y$16)^AH$34))</f>
        <v>2783605.7568858103</v>
      </c>
      <c r="AI490" s="193">
        <f>(((L490*'Appendix K'!$C$15*1000)-('Appendix K'!$E$41+'Appendix K'!$F$41+'Appendix K'!$H$41+'Appendix K'!$G$41))/((1+$Y$16)^AI$34))</f>
        <v>2860675.5639297734</v>
      </c>
      <c r="AJ490" s="193">
        <f>(((M490*'Appendix K'!$C$16*1000)-('Appendix K'!$E$42+'Appendix K'!$F$42+'Appendix K'!$H$42+'Appendix K'!$G$42))/((1+$Y$16)^AJ$34))</f>
        <v>2788868.676657985</v>
      </c>
      <c r="AK490" s="193">
        <f>(((N490*'Appendix K'!$C$17*1000)-('Appendix K'!$E$43+'Appendix K'!$F$43+'Appendix K'!$H$43))/((1+$Y$16)^AK$34))</f>
        <v>2215511.8007883113</v>
      </c>
      <c r="AL490" s="193">
        <f>(((O490*'Appendix K'!$C$18*1000)-('Appendix K'!$E$44+'Appendix K'!$F$44+'Appendix K'!$H$44+'Appendix K'!$G$44))/((1+$Y$16)^AL$34))</f>
        <v>2821841.1066218955</v>
      </c>
      <c r="AM490" s="193">
        <f>(((P490*'Appendix K'!$C$19*1000)-('Appendix K'!$E$45+'Appendix K'!$F$45+'Appendix K'!$H$45+'Appendix K'!$G$45))/((1+$Y$16)^AM$34))</f>
        <v>2674025.2315854472</v>
      </c>
      <c r="AN490" s="193">
        <f>(((Q490*'Appendix K'!$C$20*1000)-('Appendix K'!$E$46+'Appendix K'!$F$46+'Appendix K'!$H$46+'Appendix K'!$G$46))/((1+$Y$16)^AN$34))</f>
        <v>2702399.606577659</v>
      </c>
      <c r="AO490" s="193">
        <f>(((R490*'Appendix K'!$C$21*1000)-('Appendix K'!$E$47+'Appendix K'!$F$47+'Appendix K'!$H$47+'Appendix K'!$G$47))/((1+$Y$16)^AO$34))</f>
        <v>2112056.3146391152</v>
      </c>
      <c r="AP490" s="193">
        <f>(((S490*'Appendix K'!$C$22*1000)-('Appendix K'!$E$48+'Appendix K'!$F$48+'Appendix K'!$H$48+'Appendix K'!$G$48))/((1+$Y$16)^AP$34))</f>
        <v>455716.92753294698</v>
      </c>
      <c r="AQ490" s="193">
        <f>(((T490*'Appendix K'!$C$23*1000)-('Appendix K'!$E$49+'Appendix K'!$F$49+'Appendix K'!$H$49+'Appendix K'!$G$49))/((1+$Y$16)^AQ$34))</f>
        <v>123827.44061229985</v>
      </c>
      <c r="AR490" s="193">
        <f>(((U490*'Appendix K'!$C$24*1000)-('Appendix K'!$E$50+'Appendix K'!$F$50+'Appendix K'!$H$50+'Appendix K'!$G$50))/((1+$Y$16)^AR$34))</f>
        <v>303428.19551356492</v>
      </c>
      <c r="AS490" s="209">
        <f t="shared" si="30"/>
        <v>108579495.47728318</v>
      </c>
      <c r="AU490" s="199">
        <f t="shared" si="29"/>
        <v>6.5661086386253515E-9</v>
      </c>
    </row>
    <row r="491" spans="1:47" x14ac:dyDescent="0.35">
      <c r="A491">
        <v>457</v>
      </c>
      <c r="B491" s="70">
        <v>56</v>
      </c>
      <c r="C491" s="70">
        <v>52.523243519573292</v>
      </c>
      <c r="D491" s="70">
        <v>70.246910929155746</v>
      </c>
      <c r="E491" s="70">
        <v>103.23022217982765</v>
      </c>
      <c r="F491" s="70">
        <v>151.5046137651062</v>
      </c>
      <c r="G491" s="70">
        <v>273.73238274696587</v>
      </c>
      <c r="H491" s="70">
        <v>317.70283267911816</v>
      </c>
      <c r="I491" s="70">
        <v>404.17133699701628</v>
      </c>
      <c r="J491" s="70">
        <v>500</v>
      </c>
      <c r="K491" s="70">
        <v>500</v>
      </c>
      <c r="L491" s="70">
        <v>494.26889934389447</v>
      </c>
      <c r="M491" s="70">
        <v>457.9235207209577</v>
      </c>
      <c r="N491" s="70">
        <v>466.13332485885974</v>
      </c>
      <c r="O491" s="70">
        <v>356.84859832848042</v>
      </c>
      <c r="P491" s="70">
        <v>228.27951572240065</v>
      </c>
      <c r="Q491" s="70">
        <v>253.00179065622916</v>
      </c>
      <c r="R491" s="70">
        <v>282.9603952399529</v>
      </c>
      <c r="S491" s="70">
        <v>275.55392278016285</v>
      </c>
      <c r="T491" s="70">
        <v>363.69095380233665</v>
      </c>
      <c r="U491" s="70">
        <v>404.33875159930551</v>
      </c>
      <c r="V491" s="70">
        <v>379.25760764792898</v>
      </c>
      <c r="X491" s="193">
        <f>((0-('Appendix K'!$I$30))/(1+$Y$16)^0)</f>
        <v>-33594902.4440751</v>
      </c>
      <c r="Y491" s="193">
        <f>(((B491*'Appendix K'!$C$5*1000)-('Appendix K'!$E$31+'Appendix K'!$F$31+'Appendix K'!$H$31+'Appendix K'!$G$31))/((1+$Y$16)^1))</f>
        <v>34971064.972647354</v>
      </c>
      <c r="Z491" s="193">
        <f>+(((C491*'Appendix K'!$C$6*1000)-('Appendix K'!$E$32+'Appendix K'!$F$32+'Appendix K'!$H$32+'Appendix K'!$G$32))/((1+$Y$16)^2))</f>
        <v>9781021.9547091611</v>
      </c>
      <c r="AA491" s="193">
        <f>(((D491*'Appendix K'!$C$7*1000)-('Appendix K'!$E$33+'Appendix K'!$F$33+'Appendix K'!$H$33+'Appendix K'!$G$33))/((1+$Y$16)^3))</f>
        <v>5982793.25025634</v>
      </c>
      <c r="AB491" s="193">
        <f>(((E491*'Appendix K'!$C$8*1000)-('Appendix K'!$E$34+'Appendix K'!$F$34+'Appendix K'!$H$34+'Appendix K'!$G$34))/((1+$Y$16)^4))</f>
        <v>19333911.831234463</v>
      </c>
      <c r="AC491" s="193">
        <f>(((F491*'Appendix K'!$C$9*1000)-('Appendix K'!$E$35+'Appendix K'!$F$35+'Appendix K'!$H$35+'Appendix K'!$G$35))/((1+$Y$16)^AC$34))</f>
        <v>37285459.914670415</v>
      </c>
      <c r="AD491" s="193">
        <f>(((G491*'Appendix K'!$C$10*1000)-('Appendix K'!$E$36+'Appendix K'!$F$36+'Appendix K'!$H$36+'Appendix K'!$G$36))/((1+$Y$16)^AD$34))</f>
        <v>40472252.066769801</v>
      </c>
      <c r="AE491" s="193">
        <f>(((H491*'Appendix K'!$C$11*1000)-('Appendix K'!$E$37+'Appendix K'!$F$37+'Appendix K'!$H$37+'Appendix K'!$G$37))/((1+$Y$16)^AE$34))</f>
        <v>29466986.240658835</v>
      </c>
      <c r="AF491" s="193">
        <f>(((I491*'Appendix K'!$C$12*1000)-('Appendix K'!$E$38+'Appendix K'!$F$38+'Appendix K'!$H$38+'Appendix K'!$G$38))/((1+$Y$16)^AF$34))</f>
        <v>24542291.916192237</v>
      </c>
      <c r="AG491" s="193">
        <f>(((J491*'Appendix K'!$C$13*1000)-('Appendix K'!$E$39+'Appendix K'!$F$39+'Appendix K'!$H$39+'Appendix K'!$G$39))/((1+$Y$16)^AG$34))</f>
        <v>21194522.409894329</v>
      </c>
      <c r="AH491" s="193">
        <f>(((K491*'Appendix K'!$C$14*1000)-('Appendix K'!$E$40+'Appendix K'!$F$40+'Appendix K'!$H$40+'Appendix K'!$G$40))/((1+$Y$16)^AH$34))</f>
        <v>15220522.22201786</v>
      </c>
      <c r="AI491" s="193">
        <f>(((L491*'Appendix K'!$C$15*1000)-('Appendix K'!$E$41+'Appendix K'!$F$41+'Appendix K'!$H$41+'Appendix K'!$G$41))/((1+$Y$16)^AI$34))</f>
        <v>11434288.101853037</v>
      </c>
      <c r="AJ491" s="193">
        <f>(((M491*'Appendix K'!$C$16*1000)-('Appendix K'!$E$42+'Appendix K'!$F$42+'Appendix K'!$H$42+'Appendix K'!$G$42))/((1+$Y$16)^AJ$34))</f>
        <v>7796091.3296550857</v>
      </c>
      <c r="AK491" s="193">
        <f>(((N491*'Appendix K'!$C$17*1000)-('Appendix K'!$E$43+'Appendix K'!$F$43+'Appendix K'!$H$43))/((1+$Y$16)^AK$34))</f>
        <v>6157365.9906606432</v>
      </c>
      <c r="AL491" s="193">
        <f>(((O491*'Appendix K'!$C$18*1000)-('Appendix K'!$E$44+'Appendix K'!$F$44+'Appendix K'!$H$44+'Appendix K'!$G$44))/((1+$Y$16)^AL$34))</f>
        <v>3095242.3137760148</v>
      </c>
      <c r="AM491" s="193">
        <f>(((P491*'Appendix K'!$C$19*1000)-('Appendix K'!$E$45+'Appendix K'!$F$45+'Appendix K'!$H$45+'Appendix K'!$G$45))/((1+$Y$16)^AM$34))</f>
        <v>1089095.6627875662</v>
      </c>
      <c r="AN491" s="193">
        <f>(((Q491*'Appendix K'!$C$20*1000)-('Appendix K'!$E$46+'Appendix K'!$F$46+'Appendix K'!$H$46+'Appendix K'!$G$46))/((1+$Y$16)^AN$34))</f>
        <v>915066.9921059137</v>
      </c>
      <c r="AO491" s="193">
        <f>(((R491*'Appendix K'!$C$21*1000)-('Appendix K'!$E$47+'Appendix K'!$F$47+'Appendix K'!$H$47+'Appendix K'!$G$47))/((1+$Y$16)^AO$34))</f>
        <v>829328.27196296945</v>
      </c>
      <c r="AP491" s="193">
        <f>(((S491*'Appendix K'!$C$22*1000)-('Appendix K'!$E$48+'Appendix K'!$F$48+'Appendix K'!$H$48+'Appendix K'!$G$48))/((1+$Y$16)^AP$34))</f>
        <v>555372.72080018255</v>
      </c>
      <c r="AQ491" s="193">
        <f>(((T491*'Appendix K'!$C$23*1000)-('Appendix K'!$E$49+'Appendix K'!$F$49+'Appendix K'!$H$49+'Appendix K'!$G$49))/((1+$Y$16)^AQ$34))</f>
        <v>729907.65439854155</v>
      </c>
      <c r="AR491" s="193">
        <f>(((U491*'Appendix K'!$C$24*1000)-('Appendix K'!$E$50+'Appendix K'!$F$50+'Appendix K'!$H$50+'Appendix K'!$G$50))/((1+$Y$16)^AR$34))</f>
        <v>672693.23995175259</v>
      </c>
      <c r="AS491" s="209">
        <f t="shared" si="30"/>
        <v>237930376.61292732</v>
      </c>
      <c r="AU491" s="199">
        <f t="shared" si="29"/>
        <v>2.1066167223348921E-10</v>
      </c>
    </row>
    <row r="492" spans="1:47" x14ac:dyDescent="0.35">
      <c r="A492">
        <v>458</v>
      </c>
      <c r="B492" s="70">
        <v>56</v>
      </c>
      <c r="C492" s="70">
        <v>55.054170223652818</v>
      </c>
      <c r="D492" s="70">
        <v>59.718444012608543</v>
      </c>
      <c r="E492" s="70">
        <v>67.499423145180671</v>
      </c>
      <c r="F492" s="70">
        <v>88.107541221508058</v>
      </c>
      <c r="G492" s="70">
        <v>70.309435234499801</v>
      </c>
      <c r="H492" s="70">
        <v>79.533694344247962</v>
      </c>
      <c r="I492" s="70">
        <v>87.580662104091886</v>
      </c>
      <c r="J492" s="70">
        <v>79.649314872053665</v>
      </c>
      <c r="K492" s="70">
        <v>93.653684592451953</v>
      </c>
      <c r="L492" s="70">
        <v>96.676183978806307</v>
      </c>
      <c r="M492" s="70">
        <v>125.31907843692895</v>
      </c>
      <c r="N492" s="70">
        <v>78.228848265075044</v>
      </c>
      <c r="O492" s="70">
        <v>76.742307251605979</v>
      </c>
      <c r="P492" s="70">
        <v>37.169429023063472</v>
      </c>
      <c r="Q492" s="70">
        <v>49.187090194046739</v>
      </c>
      <c r="R492" s="70">
        <v>34.83758836316337</v>
      </c>
      <c r="S492" s="70">
        <v>37.051629433490653</v>
      </c>
      <c r="T492" s="70">
        <v>40.632047191951528</v>
      </c>
      <c r="U492" s="70">
        <v>32.933243078358785</v>
      </c>
      <c r="V492" s="70">
        <v>39.624185937976684</v>
      </c>
      <c r="X492" s="193">
        <f>((0-('Appendix K'!$I$30))/(1+$Y$16)^0)</f>
        <v>-33594902.4440751</v>
      </c>
      <c r="Y492" s="193">
        <f>(((B492*'Appendix K'!$C$5*1000)-('Appendix K'!$E$31+'Appendix K'!$F$31+'Appendix K'!$H$31+'Appendix K'!$G$31))/((1+$Y$16)^1))</f>
        <v>34971064.972647354</v>
      </c>
      <c r="Z492" s="193">
        <f>+(((C492*'Appendix K'!$C$6*1000)-('Appendix K'!$E$32+'Appendix K'!$F$32+'Appendix K'!$H$32+'Appendix K'!$G$32))/((1+$Y$16)^2))</f>
        <v>10420377.32691312</v>
      </c>
      <c r="AA492" s="193">
        <f>(((D492*'Appendix K'!$C$7*1000)-('Appendix K'!$E$33+'Appendix K'!$F$33+'Appendix K'!$H$33+'Appendix K'!$G$33))/((1+$Y$16)^3))</f>
        <v>4641731.1206308268</v>
      </c>
      <c r="AB492" s="193">
        <f>(((E492*'Appendix K'!$C$8*1000)-('Appendix K'!$E$34+'Appendix K'!$F$34+'Appendix K'!$H$34+'Appendix K'!$G$34))/((1+$Y$16)^4))</f>
        <v>11502047.766823059</v>
      </c>
      <c r="AC492" s="193">
        <f>(((F492*'Appendix K'!$C$9*1000)-('Appendix K'!$E$35+'Appendix K'!$F$35+'Appendix K'!$H$35+'Appendix K'!$G$35))/((1+$Y$16)^AC$34))</f>
        <v>20434617.583850395</v>
      </c>
      <c r="AD492" s="193">
        <f>(((G492*'Appendix K'!$C$10*1000)-('Appendix K'!$E$36+'Appendix K'!$F$36+'Appendix K'!$H$36+'Appendix K'!$G$36))/((1+$Y$16)^AD$34))</f>
        <v>8525908.5603155456</v>
      </c>
      <c r="AE492" s="193">
        <f>(((H492*'Appendix K'!$C$11*1000)-('Appendix K'!$E$37+'Appendix K'!$F$37+'Appendix K'!$H$37+'Appendix K'!$G$37))/((1+$Y$16)^AE$34))</f>
        <v>5712561.1211105464</v>
      </c>
      <c r="AF492" s="193">
        <f>(((I492*'Appendix K'!$C$12*1000)-('Appendix K'!$E$38+'Appendix K'!$F$38+'Appendix K'!$H$38+'Appendix K'!$G$38))/((1+$Y$16)^AF$34))</f>
        <v>3754179.8247956308</v>
      </c>
      <c r="AG492" s="193">
        <f>(((J492*'Appendix K'!$C$13*1000)-('Appendix K'!$E$39+'Appendix K'!$F$39+'Appendix K'!$H$39+'Appendix K'!$G$39))/((1+$Y$16)^AG$34))</f>
        <v>1850432.5786881235</v>
      </c>
      <c r="AH492" s="193">
        <f>(((K492*'Appendix K'!$C$14*1000)-('Appendix K'!$E$40+'Appendix K'!$F$40+'Appendix K'!$H$40+'Appendix K'!$G$40))/((1+$Y$16)^AH$34))</f>
        <v>1523999.2694682775</v>
      </c>
      <c r="AI492" s="193">
        <f>(((L492*'Appendix K'!$C$15*1000)-('Appendix K'!$E$41+'Appendix K'!$F$41+'Appendix K'!$H$41+'Appendix K'!$G$41))/((1+$Y$16)^AI$34))</f>
        <v>1016615.4572642201</v>
      </c>
      <c r="AJ492" s="193">
        <f>(((M492*'Appendix K'!$C$16*1000)-('Appendix K'!$E$42+'Appendix K'!$F$42+'Appendix K'!$H$42+'Appendix K'!$G$42))/((1+$Y$16)^AJ$34))</f>
        <v>1130077.3411240499</v>
      </c>
      <c r="AK492" s="193">
        <f>(((N492*'Appendix K'!$C$17*1000)-('Appendix K'!$E$43+'Appendix K'!$F$43+'Appendix K'!$H$43))/((1+$Y$16)^AK$34))</f>
        <v>197641.3869809293</v>
      </c>
      <c r="AL492" s="193">
        <f>(((O492*'Appendix K'!$C$18*1000)-('Appendix K'!$E$44+'Appendix K'!$F$44+'Appendix K'!$H$44+'Appendix K'!$G$44))/((1+$Y$16)^AL$34))</f>
        <v>-224939.9762298445</v>
      </c>
      <c r="AM492" s="193">
        <f>(((P492*'Appendix K'!$C$19*1000)-('Appendix K'!$E$45+'Appendix K'!$F$45+'Appendix K'!$H$45+'Appendix K'!$G$45))/((1+$Y$16)^AM$34))</f>
        <v>-682252.47362655215</v>
      </c>
      <c r="AN492" s="193">
        <f>(((Q492*'Appendix K'!$C$20*1000)-('Appendix K'!$E$46+'Appendix K'!$F$46+'Appendix K'!$H$46+'Appendix K'!$G$46))/((1+$Y$16)^AN$34))</f>
        <v>-559780.38598919904</v>
      </c>
      <c r="AO492" s="193">
        <f>(((R492*'Appendix K'!$C$21*1000)-('Appendix K'!$E$47+'Appendix K'!$F$47+'Appendix K'!$H$47+'Appendix K'!$G$47))/((1+$Y$16)^AO$34))</f>
        <v>-637104.92929654382</v>
      </c>
      <c r="AP492" s="193">
        <f>(((S492*'Appendix K'!$C$22*1000)-('Appendix K'!$E$48+'Appendix K'!$F$48+'Appendix K'!$H$48+'Appendix K'!$G$48))/((1+$Y$16)^AP$34))</f>
        <v>-586986.32667854009</v>
      </c>
      <c r="AQ492" s="193">
        <f>(((T492*'Appendix K'!$C$23*1000)-('Appendix K'!$E$49+'Appendix K'!$F$49+'Appendix K'!$H$49+'Appendix K'!$G$49))/((1+$Y$16)^AQ$34))</f>
        <v>-534462.20087334327</v>
      </c>
      <c r="AR492" s="193">
        <f>(((U492*'Appendix K'!$C$24*1000)-('Appendix K'!$E$50+'Appendix K'!$F$50+'Appendix K'!$H$50+'Appendix K'!$G$50))/((1+$Y$16)^AR$34))</f>
        <v>-523242.90384411137</v>
      </c>
      <c r="AS492" s="209">
        <f t="shared" si="30"/>
        <v>72086351.866536975</v>
      </c>
      <c r="AU492" s="199">
        <f t="shared" si="29"/>
        <v>6.771310599711891E-9</v>
      </c>
    </row>
    <row r="493" spans="1:47" x14ac:dyDescent="0.35">
      <c r="A493">
        <v>459</v>
      </c>
      <c r="B493" s="70">
        <v>56</v>
      </c>
      <c r="C493" s="70">
        <v>84.928676356254726</v>
      </c>
      <c r="D493" s="70">
        <v>107.83649365373442</v>
      </c>
      <c r="E493" s="70">
        <v>107.84858609585622</v>
      </c>
      <c r="F493" s="70">
        <v>106.49219689269987</v>
      </c>
      <c r="G493" s="70">
        <v>85.362444832098518</v>
      </c>
      <c r="H493" s="70">
        <v>70.334840889490181</v>
      </c>
      <c r="I493" s="70">
        <v>59.206595746762986</v>
      </c>
      <c r="J493" s="70">
        <v>36.354414547443412</v>
      </c>
      <c r="K493" s="70">
        <v>48.371107295968493</v>
      </c>
      <c r="L493" s="70">
        <v>46.008162520586865</v>
      </c>
      <c r="M493" s="70">
        <v>34.365734146380163</v>
      </c>
      <c r="N493" s="70">
        <v>39.939935065736044</v>
      </c>
      <c r="O493" s="70">
        <v>39.446276041908405</v>
      </c>
      <c r="P493" s="70">
        <v>36.653377755810439</v>
      </c>
      <c r="Q493" s="70">
        <v>39.382120204828752</v>
      </c>
      <c r="R493" s="70">
        <v>28.191784262822651</v>
      </c>
      <c r="S493" s="70">
        <v>35.129693914244349</v>
      </c>
      <c r="T493" s="70">
        <v>48.065557772181592</v>
      </c>
      <c r="U493" s="70">
        <v>81.073448267622609</v>
      </c>
      <c r="V493" s="70">
        <v>89.336482488527622</v>
      </c>
      <c r="X493" s="193">
        <f>((0-('Appendix K'!$I$30))/(1+$Y$16)^0)</f>
        <v>-33594902.4440751</v>
      </c>
      <c r="Y493" s="193">
        <f>(((B493*'Appendix K'!$C$5*1000)-('Appendix K'!$E$31+'Appendix K'!$F$31+'Appendix K'!$H$31+'Appendix K'!$G$31))/((1+$Y$16)^1))</f>
        <v>34971064.972647354</v>
      </c>
      <c r="Z493" s="193">
        <f>+(((C493*'Appendix K'!$C$6*1000)-('Appendix K'!$E$32+'Appendix K'!$F$32+'Appendix K'!$H$32+'Appendix K'!$G$32))/((1+$Y$16)^2))</f>
        <v>17967188.523393754</v>
      </c>
      <c r="AA493" s="193">
        <f>(((D493*'Appendix K'!$C$7*1000)-('Appendix K'!$E$33+'Appendix K'!$F$33+'Appendix K'!$H$33+'Appendix K'!$G$33))/((1+$Y$16)^3))</f>
        <v>10770761.551807472</v>
      </c>
      <c r="AB493" s="193">
        <f>(((E493*'Appendix K'!$C$8*1000)-('Appendix K'!$E$34+'Appendix K'!$F$34+'Appendix K'!$H$34+'Appendix K'!$G$34))/((1+$Y$16)^4))</f>
        <v>20346214.924575455</v>
      </c>
      <c r="AC493" s="193">
        <f>(((F493*'Appendix K'!$C$9*1000)-('Appendix K'!$E$35+'Appendix K'!$F$35+'Appendix K'!$H$35+'Appendix K'!$G$35))/((1+$Y$16)^AC$34))</f>
        <v>25321230.192163218</v>
      </c>
      <c r="AD493" s="193">
        <f>(((G493*'Appendix K'!$C$10*1000)-('Appendix K'!$E$36+'Appendix K'!$F$36+'Appendix K'!$H$36+'Appendix K'!$G$36))/((1+$Y$16)^AD$34))</f>
        <v>10889892.669735508</v>
      </c>
      <c r="AE493" s="193">
        <f>(((H493*'Appendix K'!$C$11*1000)-('Appendix K'!$E$37+'Appendix K'!$F$37+'Appendix K'!$H$37+'Appendix K'!$G$37))/((1+$Y$16)^AE$34))</f>
        <v>4795089.2895187149</v>
      </c>
      <c r="AF493" s="193">
        <f>(((I493*'Appendix K'!$C$12*1000)-('Appendix K'!$E$38+'Appendix K'!$F$38+'Appendix K'!$H$38+'Appendix K'!$G$38))/((1+$Y$16)^AF$34))</f>
        <v>1891069.7628066852</v>
      </c>
      <c r="AG493" s="193">
        <f>(((J493*'Appendix K'!$C$13*1000)-('Appendix K'!$E$39+'Appendix K'!$F$39+'Appendix K'!$H$39+'Appendix K'!$G$39))/((1+$Y$16)^AG$34))</f>
        <v>-141952.51961964081</v>
      </c>
      <c r="AH493" s="193">
        <f>(((K493*'Appendix K'!$C$14*1000)-('Appendix K'!$E$40+'Appendix K'!$F$40+'Appendix K'!$H$40+'Appendix K'!$G$40))/((1+$Y$16)^AH$34))</f>
        <v>-2319.1337633064336</v>
      </c>
      <c r="AI493" s="193">
        <f>(((L493*'Appendix K'!$C$15*1000)-('Appendix K'!$E$41+'Appendix K'!$F$41+'Appendix K'!$H$41+'Appendix K'!$G$41))/((1+$Y$16)^AI$34))</f>
        <v>-310981.4546058625</v>
      </c>
      <c r="AJ493" s="193">
        <f>(((M493*'Appendix K'!$C$16*1000)-('Appendix K'!$E$42+'Appendix K'!$F$42+'Appendix K'!$H$42+'Appendix K'!$G$42))/((1+$Y$16)^AJ$34))</f>
        <v>-692797.4863466213</v>
      </c>
      <c r="AK493" s="193">
        <f>(((N493*'Appendix K'!$C$17*1000)-('Appendix K'!$E$43+'Appendix K'!$F$43+'Appendix K'!$H$43))/((1+$Y$16)^AK$34))</f>
        <v>-390625.54936902301</v>
      </c>
      <c r="AL493" s="193">
        <f>(((O493*'Appendix K'!$C$18*1000)-('Appendix K'!$E$44+'Appendix K'!$F$44+'Appendix K'!$H$44+'Appendix K'!$G$44))/((1+$Y$16)^AL$34))</f>
        <v>-667020.80859486607</v>
      </c>
      <c r="AM493" s="193">
        <f>(((P493*'Appendix K'!$C$19*1000)-('Appendix K'!$E$45+'Appendix K'!$F$45+'Appendix K'!$H$45+'Appendix K'!$G$45))/((1+$Y$16)^AM$34))</f>
        <v>-687035.61441378295</v>
      </c>
      <c r="AN493" s="193">
        <f>(((Q493*'Appendix K'!$C$20*1000)-('Appendix K'!$E$46+'Appendix K'!$F$46+'Appendix K'!$H$46+'Appendix K'!$G$46))/((1+$Y$16)^AN$34))</f>
        <v>-630731.27543979895</v>
      </c>
      <c r="AO493" s="193">
        <f>(((R493*'Appendix K'!$C$21*1000)-('Appendix K'!$E$47+'Appendix K'!$F$47+'Appendix K'!$H$47+'Appendix K'!$G$47))/((1+$Y$16)^AO$34))</f>
        <v>-676382.36575826188</v>
      </c>
      <c r="AP493" s="193">
        <f>(((S493*'Appendix K'!$C$22*1000)-('Appendix K'!$E$48+'Appendix K'!$F$48+'Appendix K'!$H$48+'Appendix K'!$G$48))/((1+$Y$16)^AP$34))</f>
        <v>-596191.85840854491</v>
      </c>
      <c r="AQ493" s="193">
        <f>(((T493*'Appendix K'!$C$23*1000)-('Appendix K'!$E$49+'Appendix K'!$F$49+'Appendix K'!$H$49+'Appendix K'!$G$49))/((1+$Y$16)^AQ$34))</f>
        <v>-505369.34348983667</v>
      </c>
      <c r="AR493" s="193">
        <f>(((U493*'Appendix K'!$C$24*1000)-('Appendix K'!$E$50+'Appendix K'!$F$50+'Appendix K'!$H$50+'Appendix K'!$G$50))/((1+$Y$16)^AR$34))</f>
        <v>-368230.09430108109</v>
      </c>
      <c r="AS493" s="209">
        <f t="shared" si="30"/>
        <v>93357609.442573041</v>
      </c>
      <c r="AU493" s="199">
        <f t="shared" si="29"/>
        <v>6.9938016392936062E-9</v>
      </c>
    </row>
    <row r="494" spans="1:47" x14ac:dyDescent="0.35">
      <c r="A494">
        <v>460</v>
      </c>
      <c r="B494" s="70">
        <v>56</v>
      </c>
      <c r="C494" s="70">
        <v>96.177668423476547</v>
      </c>
      <c r="D494" s="70">
        <v>95.859145218734668</v>
      </c>
      <c r="E494" s="70">
        <v>98.059783100481539</v>
      </c>
      <c r="F494" s="70">
        <v>56.550752820838035</v>
      </c>
      <c r="G494" s="70">
        <v>70.177081502252236</v>
      </c>
      <c r="H494" s="70">
        <v>87.250576705942649</v>
      </c>
      <c r="I494" s="70">
        <v>138.95710485866505</v>
      </c>
      <c r="J494" s="70">
        <v>65.33074852879939</v>
      </c>
      <c r="K494" s="70">
        <v>59.090737805891571</v>
      </c>
      <c r="L494" s="70">
        <v>55.289003008930159</v>
      </c>
      <c r="M494" s="70">
        <v>29.940232061592631</v>
      </c>
      <c r="N494" s="70">
        <v>38.594314201126281</v>
      </c>
      <c r="O494" s="70">
        <v>46.294469420737826</v>
      </c>
      <c r="P494" s="70">
        <v>33.122252820701078</v>
      </c>
      <c r="Q494" s="70">
        <v>36.596466008574545</v>
      </c>
      <c r="R494" s="70">
        <v>43.663155495683405</v>
      </c>
      <c r="S494" s="70">
        <v>46.656180472790517</v>
      </c>
      <c r="T494" s="70">
        <v>50.597930620169009</v>
      </c>
      <c r="U494" s="70">
        <v>73.621524324269245</v>
      </c>
      <c r="V494" s="70">
        <v>50.754140552321353</v>
      </c>
      <c r="X494" s="193">
        <f>((0-('Appendix K'!$I$30))/(1+$Y$16)^0)</f>
        <v>-33594902.4440751</v>
      </c>
      <c r="Y494" s="193">
        <f>(((B494*'Appendix K'!$C$5*1000)-('Appendix K'!$E$31+'Appendix K'!$F$31+'Appendix K'!$H$31+'Appendix K'!$G$31))/((1+$Y$16)^1))</f>
        <v>34971064.972647354</v>
      </c>
      <c r="Z494" s="193">
        <f>+(((C494*'Appendix K'!$C$6*1000)-('Appendix K'!$E$32+'Appendix K'!$F$32+'Appendix K'!$H$32+'Appendix K'!$G$32))/((1+$Y$16)^2))</f>
        <v>20808876.31248115</v>
      </c>
      <c r="AA494" s="193">
        <f>(((D494*'Appendix K'!$C$7*1000)-('Appendix K'!$E$33+'Appendix K'!$F$33+'Appendix K'!$H$33+'Appendix K'!$G$33))/((1+$Y$16)^3))</f>
        <v>9245148.3237065319</v>
      </c>
      <c r="AB494" s="193">
        <f>(((E494*'Appendix K'!$C$8*1000)-('Appendix K'!$E$34+'Appendix K'!$F$34+'Appendix K'!$H$34+'Appendix K'!$G$34))/((1+$Y$16)^4))</f>
        <v>18200598.915855959</v>
      </c>
      <c r="AC494" s="193">
        <f>(((F494*'Appendix K'!$C$9*1000)-('Appendix K'!$E$35+'Appendix K'!$F$35+'Appendix K'!$H$35+'Appendix K'!$G$35))/((1+$Y$16)^AC$34))</f>
        <v>12046872.780002384</v>
      </c>
      <c r="AD494" s="193">
        <f>(((G494*'Appendix K'!$C$10*1000)-('Appendix K'!$E$36+'Appendix K'!$F$36+'Appendix K'!$H$36+'Appendix K'!$G$36))/((1+$Y$16)^AD$34))</f>
        <v>8505123.2072054558</v>
      </c>
      <c r="AE494" s="193">
        <f>(((H494*'Appendix K'!$C$11*1000)-('Appendix K'!$E$37+'Appendix K'!$F$37+'Appendix K'!$H$37+'Appendix K'!$G$37))/((1+$Y$16)^AE$34))</f>
        <v>6482224.6698760549</v>
      </c>
      <c r="AF494" s="193">
        <f>(((I494*'Appendix K'!$C$12*1000)-('Appendix K'!$E$38+'Appendix K'!$F$38+'Appendix K'!$H$38+'Appendix K'!$G$38))/((1+$Y$16)^AF$34))</f>
        <v>7127681.748693129</v>
      </c>
      <c r="AG494" s="193">
        <f>(((J494*'Appendix K'!$C$13*1000)-('Appendix K'!$E$39+'Appendix K'!$F$39+'Appendix K'!$H$39+'Appendix K'!$G$39))/((1+$Y$16)^AG$34))</f>
        <v>1191507.4397563541</v>
      </c>
      <c r="AH494" s="193">
        <f>(((K494*'Appendix K'!$C$14*1000)-('Appendix K'!$E$40+'Appendix K'!$F$40+'Appendix K'!$H$40+'Appendix K'!$G$40))/((1+$Y$16)^AH$34))</f>
        <v>359002.37883551273</v>
      </c>
      <c r="AI494" s="193">
        <f>(((L494*'Appendix K'!$C$15*1000)-('Appendix K'!$E$41+'Appendix K'!$F$41+'Appendix K'!$H$41+'Appendix K'!$G$41))/((1+$Y$16)^AI$34))</f>
        <v>-67806.078554453154</v>
      </c>
      <c r="AJ494" s="193">
        <f>(((M494*'Appendix K'!$C$16*1000)-('Appendix K'!$E$42+'Appendix K'!$F$42+'Appendix K'!$H$42+'Appendix K'!$G$42))/((1+$Y$16)^AJ$34))</f>
        <v>-781492.81044056395</v>
      </c>
      <c r="AK494" s="193">
        <f>(((N494*'Appendix K'!$C$17*1000)-('Appendix K'!$E$43+'Appendix K'!$F$43+'Appendix K'!$H$43))/((1+$Y$16)^AK$34))</f>
        <v>-411299.53035645484</v>
      </c>
      <c r="AL494" s="193">
        <f>(((O494*'Appendix K'!$C$18*1000)-('Appendix K'!$E$44+'Appendix K'!$F$44+'Appendix K'!$H$44+'Appendix K'!$G$44))/((1+$Y$16)^AL$34))</f>
        <v>-585847.1573801398</v>
      </c>
      <c r="AM494" s="193">
        <f>(((P494*'Appendix K'!$C$19*1000)-('Appendix K'!$E$45+'Appendix K'!$F$45+'Appendix K'!$H$45+'Appendix K'!$G$45))/((1+$Y$16)^AM$34))</f>
        <v>-719764.66436231765</v>
      </c>
      <c r="AN494" s="193">
        <f>(((Q494*'Appendix K'!$C$20*1000)-('Appendix K'!$E$46+'Appendix K'!$F$46+'Appendix K'!$H$46+'Appendix K'!$G$46))/((1+$Y$16)^AN$34))</f>
        <v>-650888.87338689831</v>
      </c>
      <c r="AO494" s="193">
        <f>(((R494*'Appendix K'!$C$21*1000)-('Appendix K'!$E$47+'Appendix K'!$F$47+'Appendix K'!$H$47+'Appendix K'!$G$47))/((1+$Y$16)^AO$34))</f>
        <v>-584944.85249433853</v>
      </c>
      <c r="AP494" s="193">
        <f>(((S494*'Appendix K'!$C$22*1000)-('Appendix K'!$E$48+'Appendix K'!$F$48+'Appendix K'!$H$48+'Appendix K'!$G$48))/((1+$Y$16)^AP$34))</f>
        <v>-540983.22279740719</v>
      </c>
      <c r="AQ494" s="193">
        <f>(((T494*'Appendix K'!$C$23*1000)-('Appendix K'!$E$49+'Appendix K'!$F$49+'Appendix K'!$H$49+'Appendix K'!$G$49))/((1+$Y$16)^AQ$34))</f>
        <v>-495458.28446688957</v>
      </c>
      <c r="AR494" s="193">
        <f>(((U494*'Appendix K'!$C$24*1000)-('Appendix K'!$E$50+'Appendix K'!$F$50+'Appendix K'!$H$50+'Appendix K'!$G$50))/((1+$Y$16)^AR$34))</f>
        <v>-392225.49819308199</v>
      </c>
      <c r="AS494" s="209">
        <f t="shared" si="30"/>
        <v>85343198.304984778</v>
      </c>
      <c r="AU494" s="199">
        <f t="shared" si="29"/>
        <v>7.0240334333867611E-9</v>
      </c>
    </row>
    <row r="495" spans="1:47" x14ac:dyDescent="0.35">
      <c r="A495">
        <v>461</v>
      </c>
      <c r="B495" s="70">
        <v>56</v>
      </c>
      <c r="C495" s="70">
        <v>44.52716535811696</v>
      </c>
      <c r="D495" s="70">
        <v>49.496084323149312</v>
      </c>
      <c r="E495" s="70">
        <v>39.981108795260027</v>
      </c>
      <c r="F495" s="70">
        <v>45.233123340215926</v>
      </c>
      <c r="G495" s="70">
        <v>69.656942665843388</v>
      </c>
      <c r="H495" s="70">
        <v>90.908970460861667</v>
      </c>
      <c r="I495" s="70">
        <v>58.827188124837541</v>
      </c>
      <c r="J495" s="70">
        <v>59.721838973432554</v>
      </c>
      <c r="K495" s="70">
        <v>64.662935495595164</v>
      </c>
      <c r="L495" s="70">
        <v>54.692309589729049</v>
      </c>
      <c r="M495" s="70">
        <v>54.151075675202705</v>
      </c>
      <c r="N495" s="70">
        <v>61.61573632806099</v>
      </c>
      <c r="O495" s="70">
        <v>78.990022439516736</v>
      </c>
      <c r="P495" s="70">
        <v>56.225388572511349</v>
      </c>
      <c r="Q495" s="70">
        <v>51.78475061539568</v>
      </c>
      <c r="R495" s="70">
        <v>42.253328671026594</v>
      </c>
      <c r="S495" s="70">
        <v>53.754230804864036</v>
      </c>
      <c r="T495" s="70">
        <v>61.271284369319574</v>
      </c>
      <c r="U495" s="70">
        <v>63.165749000117685</v>
      </c>
      <c r="V495" s="70">
        <v>65.679042676836346</v>
      </c>
      <c r="X495" s="193">
        <f>((0-('Appendix K'!$I$30))/(1+$Y$16)^0)</f>
        <v>-33594902.4440751</v>
      </c>
      <c r="Y495" s="193">
        <f>(((B495*'Appendix K'!$C$5*1000)-('Appendix K'!$E$31+'Appendix K'!$F$31+'Appendix K'!$H$31+'Appendix K'!$G$31))/((1+$Y$16)^1))</f>
        <v>34971064.972647354</v>
      </c>
      <c r="Z495" s="193">
        <f>+(((C495*'Appendix K'!$C$6*1000)-('Appendix K'!$E$32+'Appendix K'!$F$32+'Appendix K'!$H$32+'Appendix K'!$G$32))/((1+$Y$16)^2))</f>
        <v>7761075.853208296</v>
      </c>
      <c r="AA495" s="193">
        <f>(((D495*'Appendix K'!$C$7*1000)-('Appendix K'!$E$33+'Appendix K'!$F$33+'Appendix K'!$H$33+'Appendix K'!$G$33))/((1+$Y$16)^3))</f>
        <v>3339659.3599836496</v>
      </c>
      <c r="AB495" s="193">
        <f>(((E495*'Appendix K'!$C$8*1000)-('Appendix K'!$E$34+'Appendix K'!$F$34+'Appendix K'!$H$34+'Appendix K'!$G$34))/((1+$Y$16)^4))</f>
        <v>5470285.1672422951</v>
      </c>
      <c r="AC495" s="193">
        <f>(((F495*'Appendix K'!$C$9*1000)-('Appendix K'!$E$35+'Appendix K'!$F$35+'Appendix K'!$H$35+'Appendix K'!$G$35))/((1+$Y$16)^AC$34))</f>
        <v>9038664.6359204724</v>
      </c>
      <c r="AD495" s="193">
        <f>(((G495*'Appendix K'!$C$10*1000)-('Appendix K'!$E$36+'Appendix K'!$F$36+'Appendix K'!$H$36+'Appendix K'!$G$36))/((1+$Y$16)^AD$34))</f>
        <v>8423438.5489987079</v>
      </c>
      <c r="AE495" s="193">
        <f>(((H495*'Appendix K'!$C$11*1000)-('Appendix K'!$E$37+'Appendix K'!$F$37+'Appendix K'!$H$37+'Appendix K'!$G$37))/((1+$Y$16)^AE$34))</f>
        <v>6847104.1883418746</v>
      </c>
      <c r="AF495" s="193">
        <f>(((I495*'Appendix K'!$C$12*1000)-('Appendix K'!$E$38+'Appendix K'!$F$38+'Appendix K'!$H$38+'Appendix K'!$G$38))/((1+$Y$16)^AF$34))</f>
        <v>1866156.93751395</v>
      </c>
      <c r="AG495" s="193">
        <f>(((J495*'Appendix K'!$C$13*1000)-('Appendix K'!$E$39+'Appendix K'!$F$39+'Appendix K'!$H$39+'Appendix K'!$G$39))/((1+$Y$16)^AG$34))</f>
        <v>933391.40918273502</v>
      </c>
      <c r="AH495" s="193">
        <f>(((K495*'Appendix K'!$C$14*1000)-('Appendix K'!$E$40+'Appendix K'!$F$40+'Appendix K'!$H$40+'Appendix K'!$G$40))/((1+$Y$16)^AH$34))</f>
        <v>546821.80935409293</v>
      </c>
      <c r="AI495" s="193">
        <f>(((L495*'Appendix K'!$C$15*1000)-('Appendix K'!$E$41+'Appendix K'!$F$41+'Appendix K'!$H$41+'Appendix K'!$G$41))/((1+$Y$16)^AI$34))</f>
        <v>-83440.561959687737</v>
      </c>
      <c r="AJ495" s="193">
        <f>(((M495*'Appendix K'!$C$16*1000)-('Appendix K'!$E$42+'Appendix K'!$F$42+'Appendix K'!$H$42+'Appendix K'!$G$42))/((1+$Y$16)^AJ$34))</f>
        <v>-296262.30331269256</v>
      </c>
      <c r="AK495" s="193">
        <f>(((N495*'Appendix K'!$C$17*1000)-('Appendix K'!$E$43+'Appendix K'!$F$43+'Appendix K'!$H$43))/((1+$Y$16)^AK$34))</f>
        <v>-57600.761354448099</v>
      </c>
      <c r="AL495" s="193">
        <f>(((O495*'Appendix K'!$C$18*1000)-('Appendix K'!$E$44+'Appendix K'!$F$44+'Appendix K'!$H$44+'Appendix K'!$G$44))/((1+$Y$16)^AL$34))</f>
        <v>-198297.14671256559</v>
      </c>
      <c r="AM495" s="193">
        <f>(((P495*'Appendix K'!$C$19*1000)-('Appendix K'!$E$45+'Appendix K'!$F$45+'Appendix K'!$H$45+'Appendix K'!$G$45))/((1+$Y$16)^AM$34))</f>
        <v>-505627.89551832399</v>
      </c>
      <c r="AN495" s="193">
        <f>(((Q495*'Appendix K'!$C$20*1000)-('Appendix K'!$E$46+'Appendix K'!$F$46+'Appendix K'!$H$46+'Appendix K'!$G$46))/((1+$Y$16)^AN$34))</f>
        <v>-540983.15177145042</v>
      </c>
      <c r="AO495" s="193">
        <f>(((R495*'Appendix K'!$C$21*1000)-('Appendix K'!$E$47+'Appendix K'!$F$47+'Appendix K'!$H$47+'Appendix K'!$G$47))/((1+$Y$16)^AO$34))</f>
        <v>-593277.08478578459</v>
      </c>
      <c r="AP495" s="193">
        <f>(((S495*'Appendix K'!$C$22*1000)-('Appendix K'!$E$48+'Appendix K'!$F$48+'Appendix K'!$H$48+'Appendix K'!$G$48))/((1+$Y$16)^AP$34))</f>
        <v>-506985.55383362283</v>
      </c>
      <c r="AQ495" s="193">
        <f>(((T495*'Appendix K'!$C$23*1000)-('Appendix K'!$E$49+'Appendix K'!$F$49+'Appendix K'!$H$49+'Appendix K'!$G$49))/((1+$Y$16)^AQ$34))</f>
        <v>-453685.51034135075</v>
      </c>
      <c r="AR495" s="193">
        <f>(((U495*'Appendix K'!$C$24*1000)-('Appendix K'!$E$50+'Appendix K'!$F$50+'Appendix K'!$H$50+'Appendix K'!$G$50))/((1+$Y$16)^AR$34))</f>
        <v>-425893.38769574009</v>
      </c>
      <c r="AS495" s="209">
        <f t="shared" si="30"/>
        <v>45602760.438318335</v>
      </c>
      <c r="AU495" s="199">
        <f t="shared" si="29"/>
        <v>5.3446728765305071E-9</v>
      </c>
    </row>
    <row r="496" spans="1:47" x14ac:dyDescent="0.35">
      <c r="A496">
        <v>462</v>
      </c>
      <c r="B496" s="70">
        <v>56</v>
      </c>
      <c r="C496" s="70">
        <v>67.860720893625569</v>
      </c>
      <c r="D496" s="70">
        <v>60.69770383294518</v>
      </c>
      <c r="E496" s="70">
        <v>27.743990590231078</v>
      </c>
      <c r="F496" s="70">
        <v>15.87310564853413</v>
      </c>
      <c r="G496" s="70">
        <v>13.805803230546022</v>
      </c>
      <c r="H496" s="70">
        <v>14.718000999467613</v>
      </c>
      <c r="I496" s="70">
        <v>11.820792255222575</v>
      </c>
      <c r="J496" s="70">
        <v>10.650181454958371</v>
      </c>
      <c r="K496" s="70">
        <v>12.645567902219836</v>
      </c>
      <c r="L496" s="70">
        <v>10.558842167424984</v>
      </c>
      <c r="M496" s="70">
        <v>10.217303592171696</v>
      </c>
      <c r="N496" s="70">
        <v>9.2052889395710853</v>
      </c>
      <c r="O496" s="70">
        <v>12.547048781402719</v>
      </c>
      <c r="P496" s="70">
        <v>20.459309555386156</v>
      </c>
      <c r="Q496" s="70">
        <v>15.230854797916617</v>
      </c>
      <c r="R496" s="70">
        <v>19.949389351354142</v>
      </c>
      <c r="S496" s="70">
        <v>21.657500644300416</v>
      </c>
      <c r="T496" s="70">
        <v>28.122599153068517</v>
      </c>
      <c r="U496" s="70">
        <v>28.49087310362296</v>
      </c>
      <c r="V496" s="70">
        <v>18.830838941814555</v>
      </c>
      <c r="X496" s="193">
        <f>((0-('Appendix K'!$I$30))/(1+$Y$16)^0)</f>
        <v>-33594902.4440751</v>
      </c>
      <c r="Y496" s="193">
        <f>(((B496*'Appendix K'!$C$5*1000)-('Appendix K'!$E$31+'Appendix K'!$F$31+'Appendix K'!$H$31+'Appendix K'!$G$31))/((1+$Y$16)^1))</f>
        <v>34971064.972647354</v>
      </c>
      <c r="Z496" s="193">
        <f>+(((C496*'Appendix K'!$C$6*1000)-('Appendix K'!$E$32+'Appendix K'!$F$32+'Appendix K'!$H$32+'Appendix K'!$G$32))/((1+$Y$16)^2))</f>
        <v>13655531.058173459</v>
      </c>
      <c r="AA496" s="193">
        <f>(((D496*'Appendix K'!$C$7*1000)-('Appendix K'!$E$33+'Appendix K'!$F$33+'Appendix K'!$H$33+'Appendix K'!$G$33))/((1+$Y$16)^3))</f>
        <v>4766464.2152519785</v>
      </c>
      <c r="AB496" s="193">
        <f>(((E496*'Appendix K'!$C$8*1000)-('Appendix K'!$E$34+'Appendix K'!$F$34+'Appendix K'!$H$34+'Appendix K'!$G$34))/((1+$Y$16)^4))</f>
        <v>2788020.876735149</v>
      </c>
      <c r="AC496" s="193">
        <f>(((F496*'Appendix K'!$C$9*1000)-('Appendix K'!$E$35+'Appendix K'!$F$35+'Appendix K'!$H$35+'Appendix K'!$G$35))/((1+$Y$16)^AC$34))</f>
        <v>1234818.036972502</v>
      </c>
      <c r="AD496" s="193">
        <f>(((G496*'Appendix K'!$C$10*1000)-('Appendix K'!$E$36+'Appendix K'!$F$36+'Appendix K'!$H$36+'Appendix K'!$G$36))/((1+$Y$16)^AD$34))</f>
        <v>-347645.08460925455</v>
      </c>
      <c r="AE496" s="193">
        <f>(((H496*'Appendix K'!$C$11*1000)-('Appendix K'!$E$37+'Appendix K'!$F$37+'Appendix K'!$H$37+'Appendix K'!$G$37))/((1+$Y$16)^AE$34))</f>
        <v>-752002.44449046522</v>
      </c>
      <c r="AF496" s="193">
        <f>(((I496*'Appendix K'!$C$12*1000)-('Appendix K'!$E$38+'Appendix K'!$F$38+'Appendix K'!$H$38+'Appendix K'!$G$38))/((1+$Y$16)^AF$34))</f>
        <v>-1220397.1016428033</v>
      </c>
      <c r="AG496" s="193">
        <f>(((J496*'Appendix K'!$C$13*1000)-('Appendix K'!$E$39+'Appendix K'!$F$39+'Appendix K'!$H$39+'Appendix K'!$G$39))/((1+$Y$16)^AG$34))</f>
        <v>-1324833.8888553029</v>
      </c>
      <c r="AH496" s="193">
        <f>(((K496*'Appendix K'!$C$14*1000)-('Appendix K'!$E$40+'Appendix K'!$F$40+'Appendix K'!$H$40+'Appendix K'!$G$40))/((1+$Y$16)^AH$34))</f>
        <v>-1206502.9832167709</v>
      </c>
      <c r="AI496" s="193">
        <f>(((L496*'Appendix K'!$C$15*1000)-('Appendix K'!$E$41+'Appendix K'!$F$41+'Appendix K'!$H$41+'Appendix K'!$G$41))/((1+$Y$16)^AI$34))</f>
        <v>-1239819.9384128209</v>
      </c>
      <c r="AJ496" s="193">
        <f>(((M496*'Appendix K'!$C$16*1000)-('Appendix K'!$E$42+'Appendix K'!$F$42+'Appendix K'!$H$42+'Appendix K'!$G$42))/((1+$Y$16)^AJ$34))</f>
        <v>-1176777.1192402788</v>
      </c>
      <c r="AK496" s="193">
        <f>(((N496*'Appendix K'!$C$17*1000)-('Appendix K'!$E$43+'Appendix K'!$F$43+'Appendix K'!$H$43))/((1+$Y$16)^AK$34))</f>
        <v>-862829.50100145338</v>
      </c>
      <c r="AL496" s="193">
        <f>(((O496*'Appendix K'!$C$18*1000)-('Appendix K'!$E$44+'Appendix K'!$F$44+'Appendix K'!$H$44+'Appendix K'!$G$44))/((1+$Y$16)^AL$34))</f>
        <v>-985865.26446845033</v>
      </c>
      <c r="AM496" s="193">
        <f>(((P496*'Appendix K'!$C$19*1000)-('Appendix K'!$E$45+'Appendix K'!$F$45+'Appendix K'!$H$45+'Appendix K'!$G$45))/((1+$Y$16)^AM$34))</f>
        <v>-837134.08918928611</v>
      </c>
      <c r="AN496" s="193">
        <f>(((Q496*'Appendix K'!$C$20*1000)-('Appendix K'!$E$46+'Appendix K'!$F$46+'Appendix K'!$H$46+'Appendix K'!$G$46))/((1+$Y$16)^AN$34))</f>
        <v>-805495.0701135433</v>
      </c>
      <c r="AO496" s="193">
        <f>(((R496*'Appendix K'!$C$21*1000)-('Appendix K'!$E$47+'Appendix K'!$F$47+'Appendix K'!$H$47+'Appendix K'!$G$47))/((1+$Y$16)^AO$34))</f>
        <v>-725095.83030516224</v>
      </c>
      <c r="AP496" s="193">
        <f>(((S496*'Appendix K'!$C$22*1000)-('Appendix K'!$E$48+'Appendix K'!$F$48+'Appendix K'!$H$48+'Appendix K'!$G$48))/((1+$Y$16)^AP$34))</f>
        <v>-660719.88308851037</v>
      </c>
      <c r="AQ496" s="193">
        <f>(((T496*'Appendix K'!$C$23*1000)-('Appendix K'!$E$49+'Appendix K'!$F$49+'Appendix K'!$H$49+'Appendix K'!$G$49))/((1+$Y$16)^AQ$34))</f>
        <v>-583420.97799670161</v>
      </c>
      <c r="AR496" s="193">
        <f>(((U496*'Appendix K'!$C$24*1000)-('Appendix K'!$E$50+'Appendix K'!$F$50+'Appendix K'!$H$50+'Appendix K'!$G$50))/((1+$Y$16)^AR$34))</f>
        <v>-537547.45963289682</v>
      </c>
      <c r="AS496" s="209">
        <f t="shared" si="30"/>
        <v>23820996.71570535</v>
      </c>
      <c r="AU496" s="199">
        <f t="shared" si="29"/>
        <v>3.7370615267050078E-9</v>
      </c>
    </row>
    <row r="497" spans="1:47" x14ac:dyDescent="0.35">
      <c r="A497">
        <v>463</v>
      </c>
      <c r="B497" s="70">
        <v>56</v>
      </c>
      <c r="C497" s="70">
        <v>45.92294212663294</v>
      </c>
      <c r="D497" s="70">
        <v>75.88832572939971</v>
      </c>
      <c r="E497" s="70">
        <v>84.685590679276572</v>
      </c>
      <c r="F497" s="70">
        <v>127.459367159949</v>
      </c>
      <c r="G497" s="70">
        <v>138.51232103089137</v>
      </c>
      <c r="H497" s="70">
        <v>221.46309256093809</v>
      </c>
      <c r="I497" s="70">
        <v>269.87698603930613</v>
      </c>
      <c r="J497" s="70">
        <v>333.64671710289997</v>
      </c>
      <c r="K497" s="70">
        <v>356.0225414674228</v>
      </c>
      <c r="L497" s="70">
        <v>326.35465123701584</v>
      </c>
      <c r="M497" s="70">
        <v>308.99431883613732</v>
      </c>
      <c r="N497" s="70">
        <v>249.69663153527171</v>
      </c>
      <c r="O497" s="70">
        <v>234.76313018822012</v>
      </c>
      <c r="P497" s="70">
        <v>342.30520104322403</v>
      </c>
      <c r="Q497" s="70">
        <v>276.07633636187279</v>
      </c>
      <c r="R497" s="70">
        <v>356.75166086705417</v>
      </c>
      <c r="S497" s="70">
        <v>273.85180589743828</v>
      </c>
      <c r="T497" s="70">
        <v>409.48551737284373</v>
      </c>
      <c r="U497" s="70">
        <v>428.04620623931805</v>
      </c>
      <c r="V497" s="70">
        <v>333.10347725476902</v>
      </c>
      <c r="X497" s="193">
        <f>((0-('Appendix K'!$I$30))/(1+$Y$16)^0)</f>
        <v>-33594902.4440751</v>
      </c>
      <c r="Y497" s="193">
        <f>(((B497*'Appendix K'!$C$5*1000)-('Appendix K'!$E$31+'Appendix K'!$F$31+'Appendix K'!$H$31+'Appendix K'!$G$31))/((1+$Y$16)^1))</f>
        <v>34971064.972647354</v>
      </c>
      <c r="Z497" s="193">
        <f>+(((C497*'Appendix K'!$C$6*1000)-('Appendix K'!$E$32+'Appendix K'!$F$32+'Appendix K'!$H$32+'Appendix K'!$G$32))/((1+$Y$16)^2))</f>
        <v>8113672.9370787004</v>
      </c>
      <c r="AA497" s="193">
        <f>(((D497*'Appendix K'!$C$7*1000)-('Appendix K'!$E$33+'Appendix K'!$F$33+'Appendix K'!$H$33+'Appendix K'!$G$33))/((1+$Y$16)^3))</f>
        <v>6701367.7403585631</v>
      </c>
      <c r="AB497" s="193">
        <f>(((E497*'Appendix K'!$C$8*1000)-('Appendix K'!$E$34+'Appendix K'!$F$34+'Appendix K'!$H$34+'Appendix K'!$G$34))/((1+$Y$16)^4))</f>
        <v>15269098.36607562</v>
      </c>
      <c r="AC497" s="193">
        <f>(((F497*'Appendix K'!$C$9*1000)-('Appendix K'!$E$35+'Appendix K'!$F$35+'Appendix K'!$H$35+'Appendix K'!$G$35))/((1+$Y$16)^AC$34))</f>
        <v>30894271.124832436</v>
      </c>
      <c r="AD497" s="193">
        <f>(((G497*'Appendix K'!$C$10*1000)-('Appendix K'!$E$36+'Appendix K'!$F$36+'Appendix K'!$H$36+'Appendix K'!$G$36))/((1+$Y$16)^AD$34))</f>
        <v>19236759.250597045</v>
      </c>
      <c r="AE497" s="193">
        <f>(((H497*'Appendix K'!$C$11*1000)-('Appendix K'!$E$37+'Appendix K'!$F$37+'Appendix K'!$H$37+'Appendix K'!$G$37))/((1+$Y$16)^AE$34))</f>
        <v>19868262.761432201</v>
      </c>
      <c r="AF497" s="193">
        <f>(((I497*'Appendix K'!$C$12*1000)-('Appendix K'!$E$38+'Appendix K'!$F$38+'Appendix K'!$H$38+'Appendix K'!$G$38))/((1+$Y$16)^AF$34))</f>
        <v>15724198.894676562</v>
      </c>
      <c r="AG497" s="193">
        <f>(((J497*'Appendix K'!$C$13*1000)-('Appendix K'!$E$39+'Appendix K'!$F$39+'Appendix K'!$H$39+'Appendix K'!$G$39))/((1+$Y$16)^AG$34))</f>
        <v>13539121.902819905</v>
      </c>
      <c r="AH497" s="193">
        <f>(((K497*'Appendix K'!$C$14*1000)-('Appendix K'!$E$40+'Appendix K'!$F$40+'Appendix K'!$H$40+'Appendix K'!$G$40))/((1+$Y$16)^AH$34))</f>
        <v>10367542.163706327</v>
      </c>
      <c r="AI497" s="193">
        <f>(((L497*'Appendix K'!$C$15*1000)-('Appendix K'!$E$41+'Appendix K'!$F$41+'Appendix K'!$H$41+'Appendix K'!$G$41))/((1+$Y$16)^AI$34))</f>
        <v>7034620.8002691464</v>
      </c>
      <c r="AJ497" s="193">
        <f>(((M497*'Appendix K'!$C$16*1000)-('Appendix K'!$E$42+'Appendix K'!$F$42+'Appendix K'!$H$42+'Appendix K'!$G$42))/((1+$Y$16)^AJ$34))</f>
        <v>4811272.0763475765</v>
      </c>
      <c r="AK497" s="193">
        <f>(((N497*'Appendix K'!$C$17*1000)-('Appendix K'!$E$43+'Appendix K'!$F$43+'Appendix K'!$H$43))/((1+$Y$16)^AK$34))</f>
        <v>2832054.8272876544</v>
      </c>
      <c r="AL497" s="193">
        <f>(((O497*'Appendix K'!$C$18*1000)-('Appendix K'!$E$44+'Appendix K'!$F$44+'Appendix K'!$H$44+'Appendix K'!$G$44))/((1+$Y$16)^AL$34))</f>
        <v>1648127.3360009503</v>
      </c>
      <c r="AM497" s="193">
        <f>(((P497*'Appendix K'!$C$19*1000)-('Appendix K'!$E$45+'Appendix K'!$F$45+'Appendix K'!$H$45+'Appendix K'!$G$45))/((1+$Y$16)^AM$34))</f>
        <v>2145969.1574563533</v>
      </c>
      <c r="AN497" s="193">
        <f>(((Q497*'Appendix K'!$C$20*1000)-('Appendix K'!$E$46+'Appendix K'!$F$46+'Appendix K'!$H$46+'Appendix K'!$G$46))/((1+$Y$16)^AN$34))</f>
        <v>1082039.4094905902</v>
      </c>
      <c r="AO497" s="193">
        <f>(((R497*'Appendix K'!$C$21*1000)-('Appendix K'!$E$47+'Appendix K'!$F$47+'Appendix K'!$H$47+'Appendix K'!$G$47))/((1+$Y$16)^AO$34))</f>
        <v>1265442.8042811337</v>
      </c>
      <c r="AP497" s="193">
        <f>(((S497*'Appendix K'!$C$22*1000)-('Appendix K'!$E$48+'Appendix K'!$F$48+'Appendix K'!$H$48+'Appendix K'!$G$48))/((1+$Y$16)^AP$34))</f>
        <v>547220.05864518858</v>
      </c>
      <c r="AQ497" s="193">
        <f>(((T497*'Appendix K'!$C$23*1000)-('Appendix K'!$E$49+'Appendix K'!$F$49+'Appendix K'!$H$49+'Appendix K'!$G$49))/((1+$Y$16)^AQ$34))</f>
        <v>909135.85250456433</v>
      </c>
      <c r="AR497" s="193">
        <f>(((U497*'Appendix K'!$C$24*1000)-('Appendix K'!$E$50+'Appendix K'!$F$50+'Appendix K'!$H$50+'Appendix K'!$G$50))/((1+$Y$16)^AR$34))</f>
        <v>749031.90814841166</v>
      </c>
      <c r="AS497" s="209">
        <f t="shared" si="30"/>
        <v>164115371.90058121</v>
      </c>
      <c r="AU497" s="199">
        <f t="shared" si="29"/>
        <v>2.8338657174865871E-9</v>
      </c>
    </row>
    <row r="498" spans="1:47" x14ac:dyDescent="0.35">
      <c r="A498">
        <v>464</v>
      </c>
      <c r="B498" s="70">
        <v>56</v>
      </c>
      <c r="C498" s="70">
        <v>28.645998130073963</v>
      </c>
      <c r="D498" s="70">
        <v>29.317717137975858</v>
      </c>
      <c r="E498" s="70">
        <v>32.298247130270774</v>
      </c>
      <c r="F498" s="70">
        <v>38.420856901958501</v>
      </c>
      <c r="G498" s="70">
        <v>28.855857110214448</v>
      </c>
      <c r="H498" s="70">
        <v>33.292015784071737</v>
      </c>
      <c r="I498" s="70">
        <v>53.659624617330607</v>
      </c>
      <c r="J498" s="70">
        <v>26.574424760871587</v>
      </c>
      <c r="K498" s="70">
        <v>22.070387653386241</v>
      </c>
      <c r="L498" s="70">
        <v>15.422796354239569</v>
      </c>
      <c r="M498" s="70">
        <v>20.93477159340555</v>
      </c>
      <c r="N498" s="70">
        <v>24.131933128197836</v>
      </c>
      <c r="O498" s="70">
        <v>30.591620528056946</v>
      </c>
      <c r="P498" s="70">
        <v>40.565917027381424</v>
      </c>
      <c r="Q498" s="70">
        <v>53.031186685798545</v>
      </c>
      <c r="R498" s="70">
        <v>47.960971260989403</v>
      </c>
      <c r="S498" s="70">
        <v>66.681530767030267</v>
      </c>
      <c r="T498" s="70">
        <v>79.865610238196155</v>
      </c>
      <c r="U498" s="70">
        <v>110.08389927998641</v>
      </c>
      <c r="V498" s="70">
        <v>93.520316649936518</v>
      </c>
      <c r="X498" s="193">
        <f>((0-('Appendix K'!$I$30))/(1+$Y$16)^0)</f>
        <v>-33594902.4440751</v>
      </c>
      <c r="Y498" s="193">
        <f>(((B498*'Appendix K'!$C$5*1000)-('Appendix K'!$E$31+'Appendix K'!$F$31+'Appendix K'!$H$31+'Appendix K'!$G$31))/((1+$Y$16)^1))</f>
        <v>34971064.972647354</v>
      </c>
      <c r="Z498" s="193">
        <f>+(((C498*'Appendix K'!$C$6*1000)-('Appendix K'!$E$32+'Appendix K'!$F$32+'Appendix K'!$H$32+'Appendix K'!$G$32))/((1+$Y$16)^2))</f>
        <v>3749221.3938309057</v>
      </c>
      <c r="AA498" s="193">
        <f>(((D498*'Appendix K'!$C$7*1000)-('Appendix K'!$E$33+'Appendix K'!$F$33+'Appendix K'!$H$33+'Appendix K'!$G$33))/((1+$Y$16)^3))</f>
        <v>769442.41536996292</v>
      </c>
      <c r="AB498" s="193">
        <f>(((E498*'Appendix K'!$C$8*1000)-('Appendix K'!$E$34+'Appendix K'!$F$34+'Appendix K'!$H$34+'Appendix K'!$G$34))/((1+$Y$16)^4))</f>
        <v>3786272.2201059237</v>
      </c>
      <c r="AC498" s="193">
        <f>(((F498*'Appendix K'!$C$9*1000)-('Appendix K'!$E$35+'Appendix K'!$F$35+'Appendix K'!$H$35+'Appendix K'!$G$35))/((1+$Y$16)^AC$34))</f>
        <v>7227974.9138095677</v>
      </c>
      <c r="AD498" s="193">
        <f>(((G498*'Appendix K'!$C$10*1000)-('Appendix K'!$E$36+'Appendix K'!$F$36+'Appendix K'!$H$36+'Appendix K'!$G$36))/((1+$Y$16)^AD$34))</f>
        <v>2015874.8471873694</v>
      </c>
      <c r="AE498" s="193">
        <f>(((H498*'Appendix K'!$C$11*1000)-('Appendix K'!$E$37+'Appendix K'!$F$37+'Appendix K'!$H$37+'Appendix K'!$G$37))/((1+$Y$16)^AE$34))</f>
        <v>1100525.7480997308</v>
      </c>
      <c r="AF498" s="193">
        <f>(((I498*'Appendix K'!$C$12*1000)-('Appendix K'!$E$38+'Appendix K'!$F$38+'Appendix K'!$H$38+'Appendix K'!$G$38))/((1+$Y$16)^AF$34))</f>
        <v>1526842.1757326783</v>
      </c>
      <c r="AG498" s="193">
        <f>(((J498*'Appendix K'!$C$13*1000)-('Appendix K'!$E$39+'Appendix K'!$F$39+'Appendix K'!$H$39+'Appendix K'!$G$39))/((1+$Y$16)^AG$34))</f>
        <v>-592017.21006290824</v>
      </c>
      <c r="AH498" s="193">
        <f>(((K498*'Appendix K'!$C$14*1000)-('Appendix K'!$E$40+'Appendix K'!$F$40+'Appendix K'!$H$40+'Appendix K'!$G$40))/((1+$Y$16)^AH$34))</f>
        <v>-888825.04410214094</v>
      </c>
      <c r="AI498" s="193">
        <f>(((L498*'Appendix K'!$C$15*1000)-('Appendix K'!$E$41+'Appendix K'!$F$41+'Appendix K'!$H$41+'Appendix K'!$G$41))/((1+$Y$16)^AI$34))</f>
        <v>-1112375.2430793489</v>
      </c>
      <c r="AJ498" s="193">
        <f>(((M498*'Appendix K'!$C$16*1000)-('Appendix K'!$E$42+'Appendix K'!$F$42+'Appendix K'!$H$42+'Appendix K'!$G$42))/((1+$Y$16)^AJ$34))</f>
        <v>-961979.05121913727</v>
      </c>
      <c r="AK498" s="193">
        <f>(((N498*'Appendix K'!$C$17*1000)-('Appendix K'!$E$43+'Appendix K'!$F$43+'Appendix K'!$H$43))/((1+$Y$16)^AK$34))</f>
        <v>-633498.07022632053</v>
      </c>
      <c r="AL498" s="193">
        <f>(((O498*'Appendix K'!$C$18*1000)-('Appendix K'!$E$44+'Appendix K'!$F$44+'Appendix K'!$H$44+'Appendix K'!$G$44))/((1+$Y$16)^AL$34))</f>
        <v>-771977.64590175787</v>
      </c>
      <c r="AM498" s="193">
        <f>(((P498*'Appendix K'!$C$19*1000)-('Appendix K'!$E$45+'Appendix K'!$F$45+'Appendix K'!$H$45+'Appendix K'!$G$45))/((1+$Y$16)^AM$34))</f>
        <v>-650771.33727885783</v>
      </c>
      <c r="AN498" s="193">
        <f>(((Q498*'Appendix K'!$C$20*1000)-('Appendix K'!$E$46+'Appendix K'!$F$46+'Appendix K'!$H$46+'Appendix K'!$G$46))/((1+$Y$16)^AN$34))</f>
        <v>-531963.6700253929</v>
      </c>
      <c r="AO498" s="193">
        <f>(((R498*'Appendix K'!$C$21*1000)-('Appendix K'!$E$47+'Appendix K'!$F$47+'Appendix K'!$H$47+'Appendix K'!$G$47))/((1+$Y$16)^AO$34))</f>
        <v>-559544.28649852134</v>
      </c>
      <c r="AP498" s="193">
        <f>(((S498*'Appendix K'!$C$22*1000)-('Appendix K'!$E$48+'Appendix K'!$F$48+'Appendix K'!$H$48+'Appendix K'!$G$48))/((1+$Y$16)^AP$34))</f>
        <v>-445067.41516907496</v>
      </c>
      <c r="AQ498" s="193">
        <f>(((T498*'Appendix K'!$C$23*1000)-('Appendix K'!$E$49+'Appendix K'!$F$49+'Appendix K'!$H$49+'Appendix K'!$G$49))/((1+$Y$16)^AQ$34))</f>
        <v>-380912.07916007284</v>
      </c>
      <c r="AR498" s="193">
        <f>(((U498*'Appendix K'!$C$24*1000)-('Appendix K'!$E$50+'Appendix K'!$F$50+'Appendix K'!$H$50+'Appendix K'!$G$50))/((1+$Y$16)^AR$34))</f>
        <v>-274815.62920154573</v>
      </c>
      <c r="AS498" s="209">
        <f t="shared" si="30"/>
        <v>21552316.242708392</v>
      </c>
      <c r="AU498" s="199">
        <f t="shared" si="29"/>
        <v>3.569987939566063E-9</v>
      </c>
    </row>
    <row r="499" spans="1:47" x14ac:dyDescent="0.35">
      <c r="A499">
        <v>465</v>
      </c>
      <c r="B499" s="70">
        <v>56</v>
      </c>
      <c r="C499" s="70">
        <v>54.765199963935977</v>
      </c>
      <c r="D499" s="70">
        <v>56.397021449370875</v>
      </c>
      <c r="E499" s="70">
        <v>78.379907654601311</v>
      </c>
      <c r="F499" s="70">
        <v>81.155076166309996</v>
      </c>
      <c r="G499" s="70">
        <v>80.892737241202894</v>
      </c>
      <c r="H499" s="70">
        <v>121.25939038554601</v>
      </c>
      <c r="I499" s="70">
        <v>186.70613667356164</v>
      </c>
      <c r="J499" s="70">
        <v>192.16017486081046</v>
      </c>
      <c r="K499" s="70">
        <v>149.69113137705648</v>
      </c>
      <c r="L499" s="70">
        <v>221.59843737891708</v>
      </c>
      <c r="M499" s="70">
        <v>231.69239598043205</v>
      </c>
      <c r="N499" s="70">
        <v>168.58816210015809</v>
      </c>
      <c r="O499" s="70">
        <v>168.47140196893193</v>
      </c>
      <c r="P499" s="70">
        <v>114.24215175565449</v>
      </c>
      <c r="Q499" s="70">
        <v>110.27782882731231</v>
      </c>
      <c r="R499" s="70">
        <v>173.07584599072862</v>
      </c>
      <c r="S499" s="70">
        <v>238.83615589717172</v>
      </c>
      <c r="T499" s="70">
        <v>260.76954473803852</v>
      </c>
      <c r="U499" s="70">
        <v>403.66117387292894</v>
      </c>
      <c r="V499" s="70">
        <v>500</v>
      </c>
      <c r="X499" s="193">
        <f>((0-('Appendix K'!$I$30))/(1+$Y$16)^0)</f>
        <v>-33594902.4440751</v>
      </c>
      <c r="Y499" s="193">
        <f>(((B499*'Appendix K'!$C$5*1000)-('Appendix K'!$E$31+'Appendix K'!$F$31+'Appendix K'!$H$31+'Appendix K'!$G$31))/((1+$Y$16)^1))</f>
        <v>34971064.972647354</v>
      </c>
      <c r="Z499" s="193">
        <f>+(((C499*'Appendix K'!$C$6*1000)-('Appendix K'!$E$32+'Appendix K'!$F$32+'Appendix K'!$H$32+'Appendix K'!$G$32))/((1+$Y$16)^2))</f>
        <v>10347378.497014437</v>
      </c>
      <c r="AA499" s="193">
        <f>(((D499*'Appendix K'!$C$7*1000)-('Appendix K'!$E$33+'Appendix K'!$F$33+'Appendix K'!$H$33+'Appendix K'!$G$33))/((1+$Y$16)^3))</f>
        <v>4218665.3455899078</v>
      </c>
      <c r="AB499" s="193">
        <f>(((E499*'Appendix K'!$C$8*1000)-('Appendix K'!$E$34+'Appendix K'!$F$34+'Appendix K'!$H$34+'Appendix K'!$G$34))/((1+$Y$16)^4))</f>
        <v>13886950.370039036</v>
      </c>
      <c r="AC499" s="193">
        <f>(((F499*'Appendix K'!$C$9*1000)-('Appendix K'!$E$35+'Appendix K'!$F$35+'Appendix K'!$H$35+'Appendix K'!$G$35))/((1+$Y$16)^AC$34))</f>
        <v>18586663.289507996</v>
      </c>
      <c r="AD499" s="193">
        <f>(((G499*'Appendix K'!$C$10*1000)-('Appendix K'!$E$36+'Appendix K'!$F$36+'Appendix K'!$H$36+'Appendix K'!$G$36))/((1+$Y$16)^AD$34))</f>
        <v>10187952.127538782</v>
      </c>
      <c r="AE499" s="193">
        <f>(((H499*'Appendix K'!$C$11*1000)-('Appendix K'!$E$37+'Appendix K'!$F$37+'Appendix K'!$H$37+'Appendix K'!$G$37))/((1+$Y$16)^AE$34))</f>
        <v>9874183.1058214456</v>
      </c>
      <c r="AF499" s="193">
        <f>(((I499*'Appendix K'!$C$12*1000)-('Appendix K'!$E$38+'Appendix K'!$F$38+'Appendix K'!$H$38+'Appendix K'!$G$38))/((1+$Y$16)^AF$34))</f>
        <v>10262999.066423507</v>
      </c>
      <c r="AG499" s="193">
        <f>(((J499*'Appendix K'!$C$13*1000)-('Appendix K'!$E$39+'Appendix K'!$F$39+'Appendix K'!$H$39+'Appendix K'!$G$39))/((1+$Y$16)^AG$34))</f>
        <v>7028062.2569799908</v>
      </c>
      <c r="AH499" s="193">
        <f>(((K499*'Appendix K'!$C$14*1000)-('Appendix K'!$E$40+'Appendix K'!$F$40+'Appendix K'!$H$40+'Appendix K'!$G$40))/((1+$Y$16)^AH$34))</f>
        <v>3412826.9688601717</v>
      </c>
      <c r="AI499" s="193">
        <f>(((L499*'Appendix K'!$C$15*1000)-('Appendix K'!$E$41+'Appendix K'!$F$41+'Appendix K'!$H$41+'Appendix K'!$G$41))/((1+$Y$16)^AI$34))</f>
        <v>4289812.1021064706</v>
      </c>
      <c r="AJ499" s="193">
        <f>(((M499*'Appendix K'!$C$16*1000)-('Appendix K'!$E$42+'Appendix K'!$F$42+'Appendix K'!$H$42+'Appendix K'!$G$42))/((1+$Y$16)^AJ$34))</f>
        <v>3261997.2213339452</v>
      </c>
      <c r="AK499" s="193">
        <f>(((N499*'Appendix K'!$C$17*1000)-('Appendix K'!$E$43+'Appendix K'!$F$43+'Appendix K'!$H$43))/((1+$Y$16)^AK$34))</f>
        <v>1585912.6195362017</v>
      </c>
      <c r="AL499" s="193">
        <f>(((O499*'Appendix K'!$C$18*1000)-('Appendix K'!$E$44+'Appendix K'!$F$44+'Appendix K'!$H$44+'Appendix K'!$G$44))/((1+$Y$16)^AL$34))</f>
        <v>862351.97493576037</v>
      </c>
      <c r="AM499" s="193">
        <f>(((P499*'Appendix K'!$C$19*1000)-('Appendix K'!$E$45+'Appendix K'!$F$45+'Appendix K'!$H$45+'Appendix K'!$G$45))/((1+$Y$16)^AM$34))</f>
        <v>32113.921882025003</v>
      </c>
      <c r="AN499" s="193">
        <f>(((Q499*'Appendix K'!$C$20*1000)-('Appendix K'!$E$46+'Appendix K'!$F$46+'Appendix K'!$H$46+'Appendix K'!$G$46))/((1+$Y$16)^AN$34))</f>
        <v>-117714.55121452158</v>
      </c>
      <c r="AO499" s="193">
        <f>(((R499*'Appendix K'!$C$21*1000)-('Appendix K'!$E$47+'Appendix K'!$F$47+'Appendix K'!$H$47+'Appendix K'!$G$47))/((1+$Y$16)^AO$34))</f>
        <v>179898.44585063183</v>
      </c>
      <c r="AP499" s="193">
        <f>(((S499*'Appendix K'!$C$22*1000)-('Appendix K'!$E$48+'Appendix K'!$F$48+'Appendix K'!$H$48+'Appendix K'!$G$48))/((1+$Y$16)^AP$34))</f>
        <v>379504.92257724877</v>
      </c>
      <c r="AQ499" s="193">
        <f>(((T499*'Appendix K'!$C$23*1000)-('Appendix K'!$E$49+'Appendix K'!$F$49+'Appendix K'!$H$49+'Appendix K'!$G$49))/((1+$Y$16)^AQ$34))</f>
        <v>327099.60787733836</v>
      </c>
      <c r="AR499" s="193">
        <f>(((U499*'Appendix K'!$C$24*1000)-('Appendix K'!$E$50+'Appendix K'!$F$50+'Appendix K'!$H$50+'Appendix K'!$G$50))/((1+$Y$16)^AR$34))</f>
        <v>670511.42068786547</v>
      </c>
      <c r="AS499" s="209">
        <f t="shared" si="30"/>
        <v>100771045.79313499</v>
      </c>
      <c r="AU499" s="199">
        <f t="shared" si="29"/>
        <v>6.8433568711307441E-9</v>
      </c>
    </row>
    <row r="500" spans="1:47" x14ac:dyDescent="0.35">
      <c r="A500">
        <v>466</v>
      </c>
      <c r="B500" s="70">
        <v>56</v>
      </c>
      <c r="C500" s="70">
        <v>73.724372460609572</v>
      </c>
      <c r="D500" s="70">
        <v>82.777575003113725</v>
      </c>
      <c r="E500" s="70">
        <v>66.863898000983852</v>
      </c>
      <c r="F500" s="70">
        <v>86.250843574069776</v>
      </c>
      <c r="G500" s="70">
        <v>102.58820900067744</v>
      </c>
      <c r="H500" s="70">
        <v>119.41349752086566</v>
      </c>
      <c r="I500" s="70">
        <v>98.737183294529402</v>
      </c>
      <c r="J500" s="70">
        <v>124.93159550171522</v>
      </c>
      <c r="K500" s="70">
        <v>138.3099799852578</v>
      </c>
      <c r="L500" s="70">
        <v>155.6062716915072</v>
      </c>
      <c r="M500" s="70">
        <v>124.62564666779363</v>
      </c>
      <c r="N500" s="70">
        <v>144.17208760305033</v>
      </c>
      <c r="O500" s="70">
        <v>153.51979183895261</v>
      </c>
      <c r="P500" s="70">
        <v>210.18693899847531</v>
      </c>
      <c r="Q500" s="70">
        <v>282.5075403472789</v>
      </c>
      <c r="R500" s="70">
        <v>307.76461093507822</v>
      </c>
      <c r="S500" s="70">
        <v>500</v>
      </c>
      <c r="T500" s="70">
        <v>500</v>
      </c>
      <c r="U500" s="70">
        <v>500</v>
      </c>
      <c r="V500" s="70">
        <v>398.41526836186051</v>
      </c>
      <c r="X500" s="193">
        <f>((0-('Appendix K'!$I$30))/(1+$Y$16)^0)</f>
        <v>-33594902.4440751</v>
      </c>
      <c r="Y500" s="193">
        <f>(((B500*'Appendix K'!$C$5*1000)-('Appendix K'!$E$31+'Appendix K'!$F$31+'Appendix K'!$H$31+'Appendix K'!$G$31))/((1+$Y$16)^1))</f>
        <v>34971064.972647354</v>
      </c>
      <c r="Z500" s="193">
        <f>+(((C500*'Appendix K'!$C$6*1000)-('Appendix K'!$E$32+'Appendix K'!$F$32+'Appendix K'!$H$32+'Appendix K'!$G$32))/((1+$Y$16)^2))</f>
        <v>15136789.730753966</v>
      </c>
      <c r="AA500" s="193">
        <f>(((D500*'Appendix K'!$C$7*1000)-('Appendix K'!$E$33+'Appendix K'!$F$33+'Appendix K'!$H$33+'Appendix K'!$G$33))/((1+$Y$16)^3))</f>
        <v>7578884.9872435275</v>
      </c>
      <c r="AB500" s="193">
        <f>(((E500*'Appendix K'!$C$8*1000)-('Appendix K'!$E$34+'Appendix K'!$F$34+'Appendix K'!$H$34+'Appendix K'!$G$34))/((1+$Y$16)^4))</f>
        <v>11362746.472887859</v>
      </c>
      <c r="AC500" s="193">
        <f>(((F500*'Appendix K'!$C$9*1000)-('Appendix K'!$E$35+'Appendix K'!$F$35+'Appendix K'!$H$35+'Appendix K'!$G$35))/((1+$Y$16)^AC$34))</f>
        <v>19941110.264699802</v>
      </c>
      <c r="AD500" s="193">
        <f>(((G500*'Appendix K'!$C$10*1000)-('Appendix K'!$E$36+'Appendix K'!$F$36+'Appendix K'!$H$36+'Appendix K'!$G$36))/((1+$Y$16)^AD$34))</f>
        <v>13595094.742657349</v>
      </c>
      <c r="AE500" s="193">
        <f>(((H500*'Appendix K'!$C$11*1000)-('Appendix K'!$E$37+'Appendix K'!$F$37+'Appendix K'!$H$37+'Appendix K'!$G$37))/((1+$Y$16)^AE$34))</f>
        <v>9690078.1284120437</v>
      </c>
      <c r="AF500" s="193">
        <f>(((I500*'Appendix K'!$C$12*1000)-('Appendix K'!$E$38+'Appendix K'!$F$38+'Appendix K'!$H$38+'Appendix K'!$G$38))/((1+$Y$16)^AF$34))</f>
        <v>4486744.0834722212</v>
      </c>
      <c r="AG500" s="193">
        <f>(((J500*'Appendix K'!$C$13*1000)-('Appendix K'!$E$39+'Appendix K'!$F$39+'Appendix K'!$H$39+'Appendix K'!$G$39))/((1+$Y$16)^AG$34))</f>
        <v>3934274.7972286786</v>
      </c>
      <c r="AH500" s="193">
        <f>(((K500*'Appendix K'!$C$14*1000)-('Appendix K'!$E$40+'Appendix K'!$F$40+'Appendix K'!$H$40+'Appendix K'!$G$40))/((1+$Y$16)^AH$34))</f>
        <v>3029207.8849566565</v>
      </c>
      <c r="AI500" s="193">
        <f>(((L500*'Appendix K'!$C$15*1000)-('Appendix K'!$E$41+'Appendix K'!$F$41+'Appendix K'!$H$41+'Appendix K'!$G$41))/((1+$Y$16)^AI$34))</f>
        <v>2560693.955141373</v>
      </c>
      <c r="AJ500" s="193">
        <f>(((M500*'Appendix K'!$C$16*1000)-('Appendix K'!$E$42+'Appendix K'!$F$42+'Appendix K'!$H$42+'Appendix K'!$G$42))/((1+$Y$16)^AJ$34))</f>
        <v>1116179.6738487566</v>
      </c>
      <c r="AK500" s="193">
        <f>(((N500*'Appendix K'!$C$17*1000)-('Appendix K'!$E$43+'Appendix K'!$F$43+'Appendix K'!$H$43))/((1+$Y$16)^AK$34))</f>
        <v>1210786.5545228508</v>
      </c>
      <c r="AL500" s="193">
        <f>(((O500*'Appendix K'!$C$18*1000)-('Appendix K'!$E$44+'Appendix K'!$F$44+'Appendix K'!$H$44+'Appendix K'!$G$44))/((1+$Y$16)^AL$34))</f>
        <v>685126.14052204706</v>
      </c>
      <c r="AM500" s="193">
        <f>(((P500*'Appendix K'!$C$19*1000)-('Appendix K'!$E$45+'Appendix K'!$F$45+'Appendix K'!$H$45+'Appendix K'!$G$45))/((1+$Y$16)^AM$34))</f>
        <v>921400.42170238879</v>
      </c>
      <c r="AN500" s="193">
        <f>(((Q500*'Appendix K'!$C$20*1000)-('Appendix K'!$E$46+'Appendix K'!$F$46+'Appendix K'!$H$46+'Appendix K'!$G$46))/((1+$Y$16)^AN$34))</f>
        <v>1128576.9963985127</v>
      </c>
      <c r="AO500" s="193">
        <f>(((R500*'Appendix K'!$C$21*1000)-('Appendix K'!$E$47+'Appendix K'!$F$47+'Appendix K'!$H$47+'Appendix K'!$G$47))/((1+$Y$16)^AO$34))</f>
        <v>975923.92709190841</v>
      </c>
      <c r="AP500" s="193">
        <f>(((S500*'Appendix K'!$C$22*1000)-('Appendix K'!$E$48+'Appendix K'!$F$48+'Appendix K'!$H$48+'Appendix K'!$G$48))/((1+$Y$16)^AP$34))</f>
        <v>1630406.4380253027</v>
      </c>
      <c r="AQ500" s="193">
        <f>(((T500*'Appendix K'!$C$23*1000)-('Appendix K'!$E$49+'Appendix K'!$F$49+'Appendix K'!$H$49+'Appendix K'!$G$49))/((1+$Y$16)^AQ$34))</f>
        <v>1263386.3652054211</v>
      </c>
      <c r="AR500" s="193">
        <f>(((U500*'Appendix K'!$C$24*1000)-('Appendix K'!$E$50+'Appendix K'!$F$50+'Appendix K'!$H$50+'Appendix K'!$G$50))/((1+$Y$16)^AR$34))</f>
        <v>980725.14012097823</v>
      </c>
      <c r="AS500" s="209">
        <f t="shared" si="30"/>
        <v>102604299.23346388</v>
      </c>
      <c r="AU500" s="199">
        <f t="shared" si="29"/>
        <v>6.7887662834682309E-9</v>
      </c>
    </row>
    <row r="501" spans="1:47" x14ac:dyDescent="0.35">
      <c r="A501">
        <v>467</v>
      </c>
      <c r="B501" s="70">
        <v>56</v>
      </c>
      <c r="C501" s="70">
        <v>55.02717034283549</v>
      </c>
      <c r="D501" s="70">
        <v>60.673468221707076</v>
      </c>
      <c r="E501" s="70">
        <v>91.97947794593702</v>
      </c>
      <c r="F501" s="70">
        <v>135.29347466678729</v>
      </c>
      <c r="G501" s="70">
        <v>152.70935357607848</v>
      </c>
      <c r="H501" s="70">
        <v>153.44835237727671</v>
      </c>
      <c r="I501" s="70">
        <v>111.29942431388335</v>
      </c>
      <c r="J501" s="70">
        <v>105.55175846521564</v>
      </c>
      <c r="K501" s="70">
        <v>141.99611877974064</v>
      </c>
      <c r="L501" s="70">
        <v>154.12741292820067</v>
      </c>
      <c r="M501" s="70">
        <v>130.59606966683799</v>
      </c>
      <c r="N501" s="70">
        <v>178.82841025070894</v>
      </c>
      <c r="O501" s="70">
        <v>239.12796323705061</v>
      </c>
      <c r="P501" s="70">
        <v>314.59728321875565</v>
      </c>
      <c r="Q501" s="70">
        <v>158.36916422774937</v>
      </c>
      <c r="R501" s="70">
        <v>155.04782383950433</v>
      </c>
      <c r="S501" s="70">
        <v>212.62734866422983</v>
      </c>
      <c r="T501" s="70">
        <v>126.57167550388311</v>
      </c>
      <c r="U501" s="70">
        <v>185.68685987609746</v>
      </c>
      <c r="V501" s="70">
        <v>221.19949324303263</v>
      </c>
      <c r="X501" s="193">
        <f>((0-('Appendix K'!$I$30))/(1+$Y$16)^0)</f>
        <v>-33594902.4440751</v>
      </c>
      <c r="Y501" s="193">
        <f>(((B501*'Appendix K'!$C$5*1000)-('Appendix K'!$E$31+'Appendix K'!$F$31+'Appendix K'!$H$31+'Appendix K'!$G$31))/((1+$Y$16)^1))</f>
        <v>34971064.972647354</v>
      </c>
      <c r="Z501" s="193">
        <f>+(((C501*'Appendix K'!$C$6*1000)-('Appendix K'!$E$32+'Appendix K'!$F$32+'Appendix K'!$H$32+'Appendix K'!$G$32))/((1+$Y$16)^2))</f>
        <v>10413556.695236353</v>
      </c>
      <c r="AA501" s="193">
        <f>(((D501*'Appendix K'!$C$7*1000)-('Appendix K'!$E$33+'Appendix K'!$F$33+'Appendix K'!$H$33+'Appendix K'!$G$33))/((1+$Y$16)^3))</f>
        <v>4763377.2073639967</v>
      </c>
      <c r="AB501" s="193">
        <f>(((E501*'Appendix K'!$C$8*1000)-('Appendix K'!$E$34+'Appendix K'!$F$34+'Appendix K'!$H$34+'Appendix K'!$G$34))/((1+$Y$16)^4))</f>
        <v>16867851.685816213</v>
      </c>
      <c r="AC501" s="193">
        <f>(((F501*'Appendix K'!$C$9*1000)-('Appendix K'!$E$35+'Appendix K'!$F$35+'Appendix K'!$H$35+'Appendix K'!$G$35))/((1+$Y$16)^AC$34))</f>
        <v>32976564.598393723</v>
      </c>
      <c r="AD501" s="193">
        <f>(((G501*'Appendix K'!$C$10*1000)-('Appendix K'!$E$36+'Appendix K'!$F$36+'Appendix K'!$H$36+'Appendix K'!$G$36))/((1+$Y$16)^AD$34))</f>
        <v>21466317.341299005</v>
      </c>
      <c r="AE501" s="193">
        <f>(((H501*'Appendix K'!$C$11*1000)-('Appendix K'!$E$37+'Appendix K'!$F$37+'Appendix K'!$H$37+'Appendix K'!$G$37))/((1+$Y$16)^AE$34))</f>
        <v>13084633.849584343</v>
      </c>
      <c r="AF501" s="193">
        <f>(((I501*'Appendix K'!$C$12*1000)-('Appendix K'!$E$38+'Appendix K'!$F$38+'Appendix K'!$H$38+'Appendix K'!$G$38))/((1+$Y$16)^AF$34))</f>
        <v>5311611.3178523667</v>
      </c>
      <c r="AG501" s="193">
        <f>(((J501*'Appendix K'!$C$13*1000)-('Appendix K'!$E$39+'Appendix K'!$F$39+'Appendix K'!$H$39+'Appendix K'!$G$39))/((1+$Y$16)^AG$34))</f>
        <v>3042435.3835874773</v>
      </c>
      <c r="AH501" s="193">
        <f>(((K501*'Appendix K'!$C$14*1000)-('Appendix K'!$E$40+'Appendix K'!$F$40+'Appendix K'!$H$40+'Appendix K'!$G$40))/((1+$Y$16)^AH$34))</f>
        <v>3153454.8208597936</v>
      </c>
      <c r="AI501" s="193">
        <f>(((L501*'Appendix K'!$C$15*1000)-('Appendix K'!$E$41+'Appendix K'!$F$41+'Appendix K'!$H$41+'Appendix K'!$G$41))/((1+$Y$16)^AI$34))</f>
        <v>2521945.0900632939</v>
      </c>
      <c r="AJ501" s="193">
        <f>(((M501*'Appendix K'!$C$16*1000)-('Appendix K'!$E$42+'Appendix K'!$F$42+'Appendix K'!$H$42+'Appendix K'!$G$42))/((1+$Y$16)^AJ$34))</f>
        <v>1235838.0973976841</v>
      </c>
      <c r="AK501" s="193">
        <f>(((N501*'Appendix K'!$C$17*1000)-('Appendix K'!$E$43+'Appendix K'!$F$43+'Appendix K'!$H$43))/((1+$Y$16)^AK$34))</f>
        <v>1743242.742113089</v>
      </c>
      <c r="AL501" s="193">
        <f>(((O501*'Appendix K'!$C$18*1000)-('Appendix K'!$E$44+'Appendix K'!$F$44+'Appendix K'!$H$44+'Appendix K'!$G$44))/((1+$Y$16)^AL$34))</f>
        <v>1699864.9864901425</v>
      </c>
      <c r="AM501" s="193">
        <f>(((P501*'Appendix K'!$C$19*1000)-('Appendix K'!$E$45+'Appendix K'!$F$45+'Appendix K'!$H$45+'Appendix K'!$G$45))/((1+$Y$16)^AM$34))</f>
        <v>1889151.8986190266</v>
      </c>
      <c r="AN501" s="193">
        <f>(((Q501*'Appendix K'!$C$20*1000)-('Appendix K'!$E$46+'Appendix K'!$F$46+'Appendix K'!$H$46+'Appendix K'!$G$46))/((1+$Y$16)^AN$34))</f>
        <v>230284.78231533713</v>
      </c>
      <c r="AO501" s="193">
        <f>(((R501*'Appendix K'!$C$21*1000)-('Appendix K'!$E$47+'Appendix K'!$F$47+'Appendix K'!$H$47+'Appendix K'!$G$47))/((1+$Y$16)^AO$34))</f>
        <v>73350.84320028346</v>
      </c>
      <c r="AP501" s="193">
        <f>(((S501*'Appendix K'!$C$22*1000)-('Appendix K'!$E$48+'Appendix K'!$F$48+'Appendix K'!$H$48+'Appendix K'!$G$48))/((1+$Y$16)^AP$34))</f>
        <v>253972.09165114022</v>
      </c>
      <c r="AQ501" s="193">
        <f>(((T501*'Appendix K'!$C$23*1000)-('Appendix K'!$E$49+'Appendix K'!$F$49+'Appendix K'!$H$49+'Appendix K'!$G$49))/((1+$Y$16)^AQ$34))</f>
        <v>-198116.49676953466</v>
      </c>
      <c r="AR501" s="193">
        <f>(((U501*'Appendix K'!$C$24*1000)-('Appendix K'!$E$50+'Appendix K'!$F$50+'Appendix K'!$H$50+'Appendix K'!$G$50))/((1+$Y$16)^AR$34))</f>
        <v>-31371.977773407714</v>
      </c>
      <c r="AS501" s="209">
        <f t="shared" si="30"/>
        <v>122103615.96041554</v>
      </c>
      <c r="AU501" s="199">
        <f t="shared" si="29"/>
        <v>5.8445085319831221E-9</v>
      </c>
    </row>
    <row r="502" spans="1:47" x14ac:dyDescent="0.35">
      <c r="A502">
        <v>468</v>
      </c>
      <c r="B502" s="70">
        <v>56</v>
      </c>
      <c r="C502" s="70">
        <v>47.02268978059135</v>
      </c>
      <c r="D502" s="70">
        <v>52.951878808971713</v>
      </c>
      <c r="E502" s="70">
        <v>51.843016472585958</v>
      </c>
      <c r="F502" s="70">
        <v>46.033561263128767</v>
      </c>
      <c r="G502" s="70">
        <v>61.464611060591054</v>
      </c>
      <c r="H502" s="70">
        <v>41.399681311071532</v>
      </c>
      <c r="I502" s="70">
        <v>41.204933414753768</v>
      </c>
      <c r="J502" s="70">
        <v>34.359609570654165</v>
      </c>
      <c r="K502" s="70">
        <v>46.604446745392579</v>
      </c>
      <c r="L502" s="70">
        <v>44.537782334206149</v>
      </c>
      <c r="M502" s="70">
        <v>53.16026267330399</v>
      </c>
      <c r="N502" s="70">
        <v>52.749106123628458</v>
      </c>
      <c r="O502" s="70">
        <v>85.972058792319686</v>
      </c>
      <c r="P502" s="70">
        <v>85.430787039208496</v>
      </c>
      <c r="Q502" s="70">
        <v>112.61443655519142</v>
      </c>
      <c r="R502" s="70">
        <v>105.12053437178183</v>
      </c>
      <c r="S502" s="70">
        <v>46.431765473375542</v>
      </c>
      <c r="T502" s="70">
        <v>48.422240216821059</v>
      </c>
      <c r="U502" s="70">
        <v>53.160522336900556</v>
      </c>
      <c r="V502" s="70">
        <v>84.080780173890687</v>
      </c>
      <c r="X502" s="193">
        <f>((0-('Appendix K'!$I$30))/(1+$Y$16)^0)</f>
        <v>-33594902.4440751</v>
      </c>
      <c r="Y502" s="193">
        <f>(((B502*'Appendix K'!$C$5*1000)-('Appendix K'!$E$31+'Appendix K'!$F$31+'Appendix K'!$H$31+'Appendix K'!$G$31))/((1+$Y$16)^1))</f>
        <v>34971064.972647354</v>
      </c>
      <c r="Z502" s="193">
        <f>+(((C502*'Appendix K'!$C$6*1000)-('Appendix K'!$E$32+'Appendix K'!$F$32+'Appendix K'!$H$32+'Appendix K'!$G$32))/((1+$Y$16)^2))</f>
        <v>8391488.0035891831</v>
      </c>
      <c r="AA502" s="193">
        <f>(((D502*'Appendix K'!$C$7*1000)-('Appendix K'!$E$33+'Appendix K'!$F$33+'Appendix K'!$H$33+'Appendix K'!$G$33))/((1+$Y$16)^3))</f>
        <v>3779840.7415123624</v>
      </c>
      <c r="AB502" s="193">
        <f>(((E502*'Appendix K'!$C$8*1000)-('Appendix K'!$E$34+'Appendix K'!$F$34+'Appendix K'!$H$34+'Appendix K'!$G$34))/((1+$Y$16)^4))</f>
        <v>8070306.7447987283</v>
      </c>
      <c r="AC502" s="193">
        <f>(((F502*'Appendix K'!$C$9*1000)-('Appendix K'!$E$35+'Appendix K'!$F$35+'Appendix K'!$H$35+'Appendix K'!$G$35))/((1+$Y$16)^AC$34))</f>
        <v>9251419.7789176162</v>
      </c>
      <c r="AD502" s="193">
        <f>(((G502*'Appendix K'!$C$10*1000)-('Appendix K'!$E$36+'Appendix K'!$F$36+'Appendix K'!$H$36+'Appendix K'!$G$36))/((1+$Y$16)^AD$34))</f>
        <v>7136882.4215778615</v>
      </c>
      <c r="AE502" s="193">
        <f>(((H502*'Appendix K'!$C$11*1000)-('Appendix K'!$E$37+'Appendix K'!$F$37+'Appendix K'!$H$37+'Appendix K'!$G$37))/((1+$Y$16)^AE$34))</f>
        <v>1909165.0831619857</v>
      </c>
      <c r="AF502" s="193">
        <f>(((I502*'Appendix K'!$C$12*1000)-('Appendix K'!$E$38+'Appendix K'!$F$38+'Appendix K'!$H$38+'Appendix K'!$G$38))/((1+$Y$16)^AF$34))</f>
        <v>709036.92334972171</v>
      </c>
      <c r="AG502" s="193">
        <f>(((J502*'Appendix K'!$C$13*1000)-('Appendix K'!$E$39+'Appendix K'!$F$39+'Appendix K'!$H$39+'Appendix K'!$G$39))/((1+$Y$16)^AG$34))</f>
        <v>-233751.31532043294</v>
      </c>
      <c r="AH502" s="193">
        <f>(((K502*'Appendix K'!$C$14*1000)-('Appendix K'!$E$40+'Appendix K'!$F$40+'Appendix K'!$H$40+'Appendix K'!$G$40))/((1+$Y$16)^AH$34))</f>
        <v>-61867.124880337426</v>
      </c>
      <c r="AI502" s="193">
        <f>(((L502*'Appendix K'!$C$15*1000)-('Appendix K'!$E$41+'Appendix K'!$F$41+'Appendix K'!$H$41+'Appendix K'!$G$41))/((1+$Y$16)^AI$34))</f>
        <v>-349508.1651134686</v>
      </c>
      <c r="AJ502" s="193">
        <f>(((M502*'Appendix K'!$C$16*1000)-('Appendix K'!$E$42+'Appendix K'!$F$42+'Appendix K'!$H$42+'Appendix K'!$G$42))/((1+$Y$16)^AJ$34))</f>
        <v>-316120.04569676792</v>
      </c>
      <c r="AK502" s="193">
        <f>(((N502*'Appendix K'!$C$17*1000)-('Appendix K'!$E$43+'Appendix K'!$F$43+'Appendix K'!$H$43))/((1+$Y$16)^AK$34))</f>
        <v>-193826.75865435394</v>
      </c>
      <c r="AL502" s="193">
        <f>(((O502*'Appendix K'!$C$18*1000)-('Appendix K'!$E$44+'Appendix K'!$F$44+'Appendix K'!$H$44+'Appendix K'!$G$44))/((1+$Y$16)^AL$34))</f>
        <v>-115537.01534375137</v>
      </c>
      <c r="AM502" s="193">
        <f>(((P502*'Appendix K'!$C$19*1000)-('Appendix K'!$E$45+'Appendix K'!$F$45+'Appendix K'!$H$45+'Appendix K'!$G$45))/((1+$Y$16)^AM$34))</f>
        <v>-234930.8902440588</v>
      </c>
      <c r="AN502" s="193">
        <f>(((Q502*'Appendix K'!$C$20*1000)-('Appendix K'!$E$46+'Appendix K'!$F$46+'Appendix K'!$H$46+'Appendix K'!$G$46))/((1+$Y$16)^AN$34))</f>
        <v>-100806.35090667034</v>
      </c>
      <c r="AO502" s="193">
        <f>(((R502*'Appendix K'!$C$21*1000)-('Appendix K'!$E$47+'Appendix K'!$F$47+'Appendix K'!$H$47+'Appendix K'!$G$47))/((1+$Y$16)^AO$34))</f>
        <v>-221724.95352290574</v>
      </c>
      <c r="AP502" s="193">
        <f>(((S502*'Appendix K'!$C$22*1000)-('Appendix K'!$E$48+'Appendix K'!$F$48+'Appendix K'!$H$48+'Appendix K'!$G$48))/((1+$Y$16)^AP$34))</f>
        <v>-542058.10766066937</v>
      </c>
      <c r="AQ502" s="193">
        <f>(((T502*'Appendix K'!$C$23*1000)-('Appendix K'!$E$49+'Appendix K'!$F$49+'Appendix K'!$H$49+'Appendix K'!$G$49))/((1+$Y$16)^AQ$34))</f>
        <v>-503973.37971456541</v>
      </c>
      <c r="AR502" s="193">
        <f>(((U502*'Appendix K'!$C$24*1000)-('Appendix K'!$E$50+'Appendix K'!$F$50+'Appendix K'!$H$50+'Appendix K'!$G$50))/((1+$Y$16)^AR$34))</f>
        <v>-458110.49788633006</v>
      </c>
      <c r="AS502" s="209">
        <f t="shared" si="30"/>
        <v>40624302.225479715</v>
      </c>
      <c r="AU502" s="199">
        <f t="shared" si="29"/>
        <v>4.9893624436196033E-9</v>
      </c>
    </row>
    <row r="503" spans="1:47" x14ac:dyDescent="0.35">
      <c r="A503">
        <v>469</v>
      </c>
      <c r="B503" s="70">
        <v>56</v>
      </c>
      <c r="C503" s="70">
        <v>86.799736640198745</v>
      </c>
      <c r="D503" s="70">
        <v>93.9366475928353</v>
      </c>
      <c r="E503" s="70">
        <v>101.12985276620348</v>
      </c>
      <c r="F503" s="70">
        <v>66.710357490656435</v>
      </c>
      <c r="G503" s="70">
        <v>49.444975953352952</v>
      </c>
      <c r="H503" s="70">
        <v>75.058676850843284</v>
      </c>
      <c r="I503" s="70">
        <v>71.567104060916392</v>
      </c>
      <c r="J503" s="70">
        <v>58.398409675475449</v>
      </c>
      <c r="K503" s="70">
        <v>47.728277080824313</v>
      </c>
      <c r="L503" s="70">
        <v>35.882609117880804</v>
      </c>
      <c r="M503" s="70">
        <v>40.708896356644544</v>
      </c>
      <c r="N503" s="70">
        <v>51.40814327955124</v>
      </c>
      <c r="O503" s="70">
        <v>71.321780000229793</v>
      </c>
      <c r="P503" s="70">
        <v>63.871150707193721</v>
      </c>
      <c r="Q503" s="70">
        <v>110.86801140131469</v>
      </c>
      <c r="R503" s="70">
        <v>106.59546556413991</v>
      </c>
      <c r="S503" s="70">
        <v>134.71298796113595</v>
      </c>
      <c r="T503" s="70">
        <v>53.621495893127957</v>
      </c>
      <c r="U503" s="70">
        <v>20.965864261681936</v>
      </c>
      <c r="V503" s="70">
        <v>14.383952101749315</v>
      </c>
      <c r="X503" s="193">
        <f>((0-('Appendix K'!$I$30))/(1+$Y$16)^0)</f>
        <v>-33594902.4440751</v>
      </c>
      <c r="Y503" s="193">
        <f>(((B503*'Appendix K'!$C$5*1000)-('Appendix K'!$E$31+'Appendix K'!$F$31+'Appendix K'!$H$31+'Appendix K'!$G$31))/((1+$Y$16)^1))</f>
        <v>34971064.972647354</v>
      </c>
      <c r="Z503" s="193">
        <f>+(((C503*'Appendix K'!$C$6*1000)-('Appendix K'!$E$32+'Appendix K'!$F$32+'Appendix K'!$H$32+'Appendix K'!$G$32))/((1+$Y$16)^2))</f>
        <v>18439850.352094222</v>
      </c>
      <c r="AA503" s="193">
        <f>(((D503*'Appendix K'!$C$7*1000)-('Appendix K'!$E$33+'Appendix K'!$F$33+'Appendix K'!$H$33+'Appendix K'!$G$33))/((1+$Y$16)^3))</f>
        <v>9000270.4339981489</v>
      </c>
      <c r="AB503" s="193">
        <f>(((E503*'Appendix K'!$C$8*1000)-('Appendix K'!$E$34+'Appendix K'!$F$34+'Appendix K'!$H$34+'Appendix K'!$G$34))/((1+$Y$16)^4))</f>
        <v>18873530.08279942</v>
      </c>
      <c r="AC503" s="193">
        <f>(((F503*'Appendix K'!$C$9*1000)-('Appendix K'!$E$35+'Appendix K'!$F$35+'Appendix K'!$H$35+'Appendix K'!$G$35))/((1+$Y$16)^AC$34))</f>
        <v>14747279.747797938</v>
      </c>
      <c r="AD503" s="193">
        <f>(((G503*'Appendix K'!$C$10*1000)-('Appendix K'!$E$36+'Appendix K'!$F$36+'Appendix K'!$H$36+'Appendix K'!$G$36))/((1+$Y$16)^AD$34))</f>
        <v>5249271.4285529256</v>
      </c>
      <c r="AE503" s="193">
        <f>(((H503*'Appendix K'!$C$11*1000)-('Appendix K'!$E$37+'Appendix K'!$F$37+'Appendix K'!$H$37+'Appendix K'!$G$37))/((1+$Y$16)^AE$34))</f>
        <v>5266233.4873165824</v>
      </c>
      <c r="AF503" s="193">
        <f>(((I503*'Appendix K'!$C$12*1000)-('Appendix K'!$E$38+'Appendix K'!$F$38+'Appendix K'!$H$38+'Appendix K'!$G$38))/((1+$Y$16)^AF$34))</f>
        <v>2702690.7381502115</v>
      </c>
      <c r="AG503" s="193">
        <f>(((J503*'Appendix K'!$C$13*1000)-('Appendix K'!$E$39+'Appendix K'!$F$39+'Appendix K'!$H$39+'Appendix K'!$G$39))/((1+$Y$16)^AG$34))</f>
        <v>872488.60556974635</v>
      </c>
      <c r="AH503" s="193">
        <f>(((K503*'Appendix K'!$C$14*1000)-('Appendix K'!$E$40+'Appendix K'!$F$40+'Appendix K'!$H$40+'Appendix K'!$G$40))/((1+$Y$16)^AH$34))</f>
        <v>-23986.707609728877</v>
      </c>
      <c r="AI503" s="193">
        <f>(((L503*'Appendix K'!$C$15*1000)-('Appendix K'!$E$41+'Appendix K'!$F$41+'Appendix K'!$H$41+'Appendix K'!$G$41))/((1+$Y$16)^AI$34))</f>
        <v>-576289.8886344718</v>
      </c>
      <c r="AJ503" s="193">
        <f>(((M503*'Appendix K'!$C$16*1000)-('Appendix K'!$E$42+'Appendix K'!$F$42+'Appendix K'!$H$42+'Appendix K'!$G$42))/((1+$Y$16)^AJ$34))</f>
        <v>-565668.67310895689</v>
      </c>
      <c r="AK503" s="193">
        <f>(((N503*'Appendix K'!$C$17*1000)-('Appendix K'!$E$43+'Appendix K'!$F$43+'Appendix K'!$H$43))/((1+$Y$16)^AK$34))</f>
        <v>-214429.17429194483</v>
      </c>
      <c r="AL503" s="193">
        <f>(((O503*'Appendix K'!$C$18*1000)-('Appendix K'!$E$44+'Appendix K'!$F$44+'Appendix K'!$H$44+'Appendix K'!$G$44))/((1+$Y$16)^AL$34))</f>
        <v>-289191.08074207447</v>
      </c>
      <c r="AM503" s="193">
        <f>(((P503*'Appendix K'!$C$19*1000)-('Appendix K'!$E$45+'Appendix K'!$F$45+'Appendix K'!$H$45+'Appendix K'!$G$45))/((1+$Y$16)^AM$34))</f>
        <v>-434761.37694443949</v>
      </c>
      <c r="AN503" s="193">
        <f>(((Q503*'Appendix K'!$C$20*1000)-('Appendix K'!$E$46+'Appendix K'!$F$46+'Appendix K'!$H$46+'Appendix K'!$G$46))/((1+$Y$16)^AN$34))</f>
        <v>-113443.86210381956</v>
      </c>
      <c r="AO503" s="193">
        <f>(((R503*'Appendix K'!$C$21*1000)-('Appendix K'!$E$47+'Appendix K'!$F$47+'Appendix K'!$H$47+'Appendix K'!$G$47))/((1+$Y$16)^AO$34))</f>
        <v>-213007.94722561201</v>
      </c>
      <c r="AP503" s="193">
        <f>(((S503*'Appendix K'!$C$22*1000)-('Appendix K'!$E$48+'Appendix K'!$F$48+'Appendix K'!$H$48+'Appendix K'!$G$48))/((1+$Y$16)^AP$34))</f>
        <v>-119215.82880346981</v>
      </c>
      <c r="AQ503" s="193">
        <f>(((T503*'Appendix K'!$C$23*1000)-('Appendix K'!$E$49+'Appendix K'!$F$49+'Appendix K'!$H$49+'Appendix K'!$G$49))/((1+$Y$16)^AQ$34))</f>
        <v>-483624.82404108951</v>
      </c>
      <c r="AR503" s="193">
        <f>(((U503*'Appendix K'!$C$24*1000)-('Appendix K'!$E$50+'Appendix K'!$F$50+'Appendix K'!$H$50+'Appendix K'!$G$50))/((1+$Y$16)^AR$34))</f>
        <v>-561778.19894610532</v>
      </c>
      <c r="AS503" s="209">
        <f t="shared" si="30"/>
        <v>76527777.404851437</v>
      </c>
      <c r="AU503" s="199">
        <f t="shared" si="29"/>
        <v>6.896744258378931E-9</v>
      </c>
    </row>
    <row r="504" spans="1:47" x14ac:dyDescent="0.35">
      <c r="A504">
        <v>470</v>
      </c>
      <c r="B504" s="70">
        <v>56</v>
      </c>
      <c r="C504" s="70">
        <v>59.252352804647956</v>
      </c>
      <c r="D504" s="70">
        <v>59.564938078229325</v>
      </c>
      <c r="E504" s="70">
        <v>19.097360309911174</v>
      </c>
      <c r="F504" s="70">
        <v>8.8081157580013461</v>
      </c>
      <c r="G504" s="70">
        <v>11.871519751438601</v>
      </c>
      <c r="H504" s="70">
        <v>12.950621609843447</v>
      </c>
      <c r="I504" s="70">
        <v>12.450530261533057</v>
      </c>
      <c r="J504" s="70">
        <v>18.010966994594746</v>
      </c>
      <c r="K504" s="70">
        <v>15.479795057700677</v>
      </c>
      <c r="L504" s="70">
        <v>16.72159582717169</v>
      </c>
      <c r="M504" s="70">
        <v>22.449075590764981</v>
      </c>
      <c r="N504" s="70">
        <v>27.423049467722958</v>
      </c>
      <c r="O504" s="70">
        <v>19.587134666454045</v>
      </c>
      <c r="P504" s="70">
        <v>19.769286774706618</v>
      </c>
      <c r="Q504" s="70">
        <v>23.321189129436728</v>
      </c>
      <c r="R504" s="70">
        <v>10.702153689357925</v>
      </c>
      <c r="S504" s="70">
        <v>11.495428281185275</v>
      </c>
      <c r="T504" s="70">
        <v>7.1142258295313088</v>
      </c>
      <c r="U504" s="70">
        <v>10.760008167782368</v>
      </c>
      <c r="V504" s="70">
        <v>11.569921373186004</v>
      </c>
      <c r="X504" s="193">
        <f>((0-('Appendix K'!$I$30))/(1+$Y$16)^0)</f>
        <v>-33594902.4440751</v>
      </c>
      <c r="Y504" s="193">
        <f>(((B504*'Appendix K'!$C$5*1000)-('Appendix K'!$E$31+'Appendix K'!$F$31+'Appendix K'!$H$31+'Appendix K'!$G$31))/((1+$Y$16)^1))</f>
        <v>34971064.972647354</v>
      </c>
      <c r="Z504" s="193">
        <f>+(((C504*'Appendix K'!$C$6*1000)-('Appendix K'!$E$32+'Appendix K'!$F$32+'Appendix K'!$H$32+'Appendix K'!$G$32))/((1+$Y$16)^2))</f>
        <v>11480910.048910111</v>
      </c>
      <c r="AA504" s="193">
        <f>(((D504*'Appendix K'!$C$7*1000)-('Appendix K'!$E$33+'Appendix K'!$F$33+'Appendix K'!$H$33+'Appendix K'!$G$33))/((1+$Y$16)^3))</f>
        <v>4622178.321833008</v>
      </c>
      <c r="AB504" s="193">
        <f>(((E504*'Appendix K'!$C$8*1000)-('Appendix K'!$E$34+'Appendix K'!$F$34+'Appendix K'!$H$34+'Appendix K'!$G$34))/((1+$Y$16)^4))</f>
        <v>892758.67157080793</v>
      </c>
      <c r="AC504" s="193">
        <f>(((F504*'Appendix K'!$C$9*1000)-('Appendix K'!$E$35+'Appendix K'!$F$35+'Appendix K'!$H$35+'Appendix K'!$G$35))/((1+$Y$16)^AC$34))</f>
        <v>-643045.18190616113</v>
      </c>
      <c r="AD504" s="193">
        <f>(((G504*'Appendix K'!$C$10*1000)-('Appendix K'!$E$36+'Appendix K'!$F$36+'Appendix K'!$H$36+'Appendix K'!$G$36))/((1+$Y$16)^AD$34))</f>
        <v>-651412.60552101571</v>
      </c>
      <c r="AE504" s="193">
        <f>(((H504*'Appendix K'!$C$11*1000)-('Appendix K'!$E$37+'Appendix K'!$F$37+'Appendix K'!$H$37+'Appendix K'!$G$37))/((1+$Y$16)^AE$34))</f>
        <v>-928276.67406605056</v>
      </c>
      <c r="AF504" s="193">
        <f>(((I504*'Appendix K'!$C$12*1000)-('Appendix K'!$E$38+'Appendix K'!$F$38+'Appendix K'!$H$38+'Appendix K'!$G$38))/((1+$Y$16)^AF$34))</f>
        <v>-1179046.9757497315</v>
      </c>
      <c r="AG504" s="193">
        <f>(((J504*'Appendix K'!$C$13*1000)-('Appendix K'!$E$39+'Appendix K'!$F$39+'Appendix K'!$H$39+'Appendix K'!$G$39))/((1+$Y$16)^AG$34))</f>
        <v>-986098.39550495974</v>
      </c>
      <c r="AH504" s="193">
        <f>(((K504*'Appendix K'!$C$14*1000)-('Appendix K'!$E$40+'Appendix K'!$F$40+'Appendix K'!$H$40+'Appendix K'!$G$40))/((1+$Y$16)^AH$34))</f>
        <v>-1110971.0297675345</v>
      </c>
      <c r="AI504" s="193">
        <f>(((L504*'Appendix K'!$C$15*1000)-('Appendix K'!$E$41+'Appendix K'!$F$41+'Appendix K'!$H$41+'Appendix K'!$G$41))/((1+$Y$16)^AI$34))</f>
        <v>-1078344.2681216032</v>
      </c>
      <c r="AJ504" s="193">
        <f>(((M504*'Appendix K'!$C$16*1000)-('Appendix K'!$E$42+'Appendix K'!$F$42+'Appendix K'!$H$42+'Appendix K'!$G$42))/((1+$Y$16)^AJ$34))</f>
        <v>-931629.57193988492</v>
      </c>
      <c r="AK504" s="193">
        <f>(((N504*'Appendix K'!$C$17*1000)-('Appendix K'!$E$43+'Appendix K'!$F$43+'Appendix K'!$H$43))/((1+$Y$16)^AK$34))</f>
        <v>-582933.69624829048</v>
      </c>
      <c r="AL504" s="193">
        <f>(((O504*'Appendix K'!$C$18*1000)-('Appendix K'!$E$44+'Appendix K'!$F$44+'Appendix K'!$H$44+'Appendix K'!$G$44))/((1+$Y$16)^AL$34))</f>
        <v>-902417.05491269776</v>
      </c>
      <c r="AM504" s="193">
        <f>(((P504*'Appendix K'!$C$19*1000)-('Appendix K'!$E$45+'Appendix K'!$F$45+'Appendix K'!$H$45+'Appendix K'!$G$45))/((1+$Y$16)^AM$34))</f>
        <v>-843529.72527396283</v>
      </c>
      <c r="AN504" s="193">
        <f>(((Q504*'Appendix K'!$C$20*1000)-('Appendix K'!$E$46+'Appendix K'!$F$46+'Appendix K'!$H$46+'Appendix K'!$G$46))/((1+$Y$16)^AN$34))</f>
        <v>-746951.65617089055</v>
      </c>
      <c r="AO504" s="193">
        <f>(((R504*'Appendix K'!$C$21*1000)-('Appendix K'!$E$47+'Appendix K'!$F$47+'Appendix K'!$H$47+'Appendix K'!$G$47))/((1+$Y$16)^AO$34))</f>
        <v>-779748.0147025279</v>
      </c>
      <c r="AP504" s="193">
        <f>(((S504*'Appendix K'!$C$22*1000)-('Appendix K'!$E$48+'Appendix K'!$F$48+'Appendix K'!$H$48+'Appendix K'!$G$48))/((1+$Y$16)^AP$34))</f>
        <v>-709393.35763772286</v>
      </c>
      <c r="AQ504" s="193">
        <f>(((T504*'Appendix K'!$C$23*1000)-('Appendix K'!$E$49+'Appendix K'!$F$49+'Appendix K'!$H$49+'Appendix K'!$G$49))/((1+$Y$16)^AQ$34))</f>
        <v>-665642.37290352315</v>
      </c>
      <c r="AR504" s="193">
        <f>(((U504*'Appendix K'!$C$24*1000)-('Appendix K'!$E$50+'Appendix K'!$F$50+'Appendix K'!$H$50+'Appendix K'!$G$50))/((1+$Y$16)^AR$34))</f>
        <v>-594641.34152490052</v>
      </c>
      <c r="AS504" s="209">
        <f t="shared" si="30"/>
        <v>18372009.57088618</v>
      </c>
      <c r="AU504" s="199">
        <f t="shared" si="29"/>
        <v>3.3392819166402198E-9</v>
      </c>
    </row>
    <row r="505" spans="1:47" x14ac:dyDescent="0.35">
      <c r="A505">
        <v>471</v>
      </c>
      <c r="B505" s="70">
        <v>56</v>
      </c>
      <c r="C505" s="70">
        <v>45.504287469112953</v>
      </c>
      <c r="D505" s="70">
        <v>31.700914515204953</v>
      </c>
      <c r="E505" s="70">
        <v>34.473925199713392</v>
      </c>
      <c r="F505" s="70">
        <v>28.69605579791294</v>
      </c>
      <c r="G505" s="70">
        <v>47.284628207081354</v>
      </c>
      <c r="H505" s="70">
        <v>61.352586459102696</v>
      </c>
      <c r="I505" s="70">
        <v>69.209189904665067</v>
      </c>
      <c r="J505" s="70">
        <v>69.62450508524185</v>
      </c>
      <c r="K505" s="70">
        <v>72.656867851434257</v>
      </c>
      <c r="L505" s="70">
        <v>92.678733676007624</v>
      </c>
      <c r="M505" s="70">
        <v>162.76561929307303</v>
      </c>
      <c r="N505" s="70">
        <v>167.25782778660391</v>
      </c>
      <c r="O505" s="70">
        <v>240.14272586537507</v>
      </c>
      <c r="P505" s="70">
        <v>308.27976955502493</v>
      </c>
      <c r="Q505" s="70">
        <v>441.8655345966593</v>
      </c>
      <c r="R505" s="70">
        <v>154.8326099479915</v>
      </c>
      <c r="S505" s="70">
        <v>153.69473671385441</v>
      </c>
      <c r="T505" s="70">
        <v>204.88916611353773</v>
      </c>
      <c r="U505" s="70">
        <v>170.09564734072424</v>
      </c>
      <c r="V505" s="70">
        <v>258.26438268322732</v>
      </c>
      <c r="X505" s="193">
        <f>((0-('Appendix K'!$I$30))/(1+$Y$16)^0)</f>
        <v>-33594902.4440751</v>
      </c>
      <c r="Y505" s="193">
        <f>(((B505*'Appendix K'!$C$5*1000)-('Appendix K'!$E$31+'Appendix K'!$F$31+'Appendix K'!$H$31+'Appendix K'!$G$31))/((1+$Y$16)^1))</f>
        <v>34971064.972647354</v>
      </c>
      <c r="Z505" s="193">
        <f>+(((C505*'Appendix K'!$C$6*1000)-('Appendix K'!$E$32+'Appendix K'!$F$32+'Appendix K'!$H$32+'Appendix K'!$G$32))/((1+$Y$16)^2))</f>
        <v>8007913.6102865934</v>
      </c>
      <c r="AA505" s="193">
        <f>(((D505*'Appendix K'!$C$7*1000)-('Appendix K'!$E$33+'Appendix K'!$F$33+'Appendix K'!$H$33+'Appendix K'!$G$33))/((1+$Y$16)^3))</f>
        <v>1073001.877099545</v>
      </c>
      <c r="AB505" s="193">
        <f>(((E505*'Appendix K'!$C$8*1000)-('Appendix K'!$E$34+'Appendix K'!$F$34+'Appendix K'!$H$34+'Appendix K'!$G$34))/((1+$Y$16)^4))</f>
        <v>4263160.9365119813</v>
      </c>
      <c r="AC505" s="193">
        <f>(((F505*'Appendix K'!$C$9*1000)-('Appendix K'!$E$35+'Appendix K'!$F$35+'Appendix K'!$H$35+'Appendix K'!$G$35))/((1+$Y$16)^AC$34))</f>
        <v>4643138.0510323141</v>
      </c>
      <c r="AD505" s="193">
        <f>(((G505*'Appendix K'!$C$10*1000)-('Appendix K'!$E$36+'Appendix K'!$F$36+'Appendix K'!$H$36+'Appendix K'!$G$36))/((1+$Y$16)^AD$34))</f>
        <v>4910001.8818290615</v>
      </c>
      <c r="AE505" s="193">
        <f>(((H505*'Appendix K'!$C$11*1000)-('Appendix K'!$E$37+'Appendix K'!$F$37+'Appendix K'!$H$37+'Appendix K'!$G$37))/((1+$Y$16)^AE$34))</f>
        <v>3899220.5310258721</v>
      </c>
      <c r="AF505" s="193">
        <f>(((I505*'Appendix K'!$C$12*1000)-('Appendix K'!$E$38+'Appendix K'!$F$38+'Appendix K'!$H$38+'Appendix K'!$G$38))/((1+$Y$16)^AF$34))</f>
        <v>2547864.3719010432</v>
      </c>
      <c r="AG505" s="193">
        <f>(((J505*'Appendix K'!$C$13*1000)-('Appendix K'!$E$39+'Appendix K'!$F$39+'Appendix K'!$H$39+'Appendix K'!$G$39))/((1+$Y$16)^AG$34))</f>
        <v>1389101.5331640339</v>
      </c>
      <c r="AH505" s="193">
        <f>(((K505*'Appendix K'!$C$14*1000)-('Appendix K'!$E$40+'Appendix K'!$F$40+'Appendix K'!$H$40+'Appendix K'!$G$40))/((1+$Y$16)^AH$34))</f>
        <v>816269.50419307814</v>
      </c>
      <c r="AI505" s="193">
        <f>(((L505*'Appendix K'!$C$15*1000)-('Appendix K'!$E$41+'Appendix K'!$F$41+'Appendix K'!$H$41+'Appendix K'!$G$41))/((1+$Y$16)^AI$34))</f>
        <v>911874.78406217357</v>
      </c>
      <c r="AJ505" s="193">
        <f>(((M505*'Appendix K'!$C$16*1000)-('Appendix K'!$E$42+'Appendix K'!$F$42+'Appendix K'!$H$42+'Appendix K'!$G$42))/((1+$Y$16)^AJ$34))</f>
        <v>1880575.931747179</v>
      </c>
      <c r="AK505" s="193">
        <f>(((N505*'Appendix K'!$C$17*1000)-('Appendix K'!$E$43+'Appendix K'!$F$43+'Appendix K'!$H$43))/((1+$Y$16)^AK$34))</f>
        <v>1565473.4995517451</v>
      </c>
      <c r="AL505" s="193">
        <f>(((O505*'Appendix K'!$C$18*1000)-('Appendix K'!$E$44+'Appendix K'!$F$44+'Appendix K'!$H$44+'Appendix K'!$G$44))/((1+$Y$16)^AL$34))</f>
        <v>1711893.266519733</v>
      </c>
      <c r="AM505" s="193">
        <f>(((P505*'Appendix K'!$C$19*1000)-('Appendix K'!$E$45+'Appendix K'!$F$45+'Appendix K'!$H$45+'Appendix K'!$G$45))/((1+$Y$16)^AM$34))</f>
        <v>1830596.5588758891</v>
      </c>
      <c r="AN505" s="193">
        <f>(((Q505*'Appendix K'!$C$20*1000)-('Appendix K'!$E$46+'Appendix K'!$F$46+'Appendix K'!$H$46+'Appendix K'!$G$46))/((1+$Y$16)^AN$34))</f>
        <v>2281726.0060834349</v>
      </c>
      <c r="AO505" s="193">
        <f>(((R505*'Appendix K'!$C$21*1000)-('Appendix K'!$E$47+'Appendix K'!$F$47+'Appendix K'!$H$47+'Appendix K'!$G$47))/((1+$Y$16)^AO$34))</f>
        <v>72078.905324603329</v>
      </c>
      <c r="AP505" s="193">
        <f>(((S505*'Appendix K'!$C$22*1000)-('Appendix K'!$E$48+'Appendix K'!$F$48+'Appendix K'!$H$48+'Appendix K'!$G$48))/((1+$Y$16)^AP$34))</f>
        <v>-28298.579663574019</v>
      </c>
      <c r="AQ505" s="193">
        <f>(((T505*'Appendix K'!$C$23*1000)-('Appendix K'!$E$49+'Appendix K'!$F$49+'Appendix K'!$H$49+'Appendix K'!$G$49))/((1+$Y$16)^AQ$34))</f>
        <v>108398.11168485733</v>
      </c>
      <c r="AR505" s="193">
        <f>(((U505*'Appendix K'!$C$24*1000)-('Appendix K'!$E$50+'Appendix K'!$F$50+'Appendix K'!$H$50+'Appendix K'!$G$50))/((1+$Y$16)^AR$34))</f>
        <v>-81576.118985288456</v>
      </c>
      <c r="AS505" s="209">
        <f t="shared" si="30"/>
        <v>43288451.889465384</v>
      </c>
      <c r="AU505" s="199">
        <f t="shared" si="29"/>
        <v>5.1814165274041833E-9</v>
      </c>
    </row>
    <row r="506" spans="1:47" x14ac:dyDescent="0.35">
      <c r="A506">
        <v>472</v>
      </c>
      <c r="B506" s="70">
        <v>56</v>
      </c>
      <c r="C506" s="70">
        <v>35.981605262679849</v>
      </c>
      <c r="D506" s="70">
        <v>36.315918388599265</v>
      </c>
      <c r="E506" s="70">
        <v>55.584389014985071</v>
      </c>
      <c r="F506" s="70">
        <v>58.290357126787647</v>
      </c>
      <c r="G506" s="70">
        <v>68.47311268495541</v>
      </c>
      <c r="H506" s="70">
        <v>48.582710757135672</v>
      </c>
      <c r="I506" s="70">
        <v>57.875789059336562</v>
      </c>
      <c r="J506" s="70">
        <v>58.744798461390651</v>
      </c>
      <c r="K506" s="70">
        <v>87.794450329339426</v>
      </c>
      <c r="L506" s="70">
        <v>106.08060027779698</v>
      </c>
      <c r="M506" s="70">
        <v>94.821254415764017</v>
      </c>
      <c r="N506" s="70">
        <v>122.33777077304741</v>
      </c>
      <c r="O506" s="70">
        <v>116.33806464935853</v>
      </c>
      <c r="P506" s="70">
        <v>130.58472822915647</v>
      </c>
      <c r="Q506" s="70">
        <v>108.46333097592989</v>
      </c>
      <c r="R506" s="70">
        <v>107.13255229536351</v>
      </c>
      <c r="S506" s="70">
        <v>141.24002532648987</v>
      </c>
      <c r="T506" s="70">
        <v>163.14420285563045</v>
      </c>
      <c r="U506" s="70">
        <v>186.04976965837537</v>
      </c>
      <c r="V506" s="70">
        <v>262.68077068392461</v>
      </c>
      <c r="X506" s="193">
        <f>((0-('Appendix K'!$I$30))/(1+$Y$16)^0)</f>
        <v>-33594902.4440751</v>
      </c>
      <c r="Y506" s="193">
        <f>(((B506*'Appendix K'!$C$5*1000)-('Appendix K'!$E$31+'Appendix K'!$F$31+'Appendix K'!$H$31+'Appendix K'!$G$31))/((1+$Y$16)^1))</f>
        <v>34971064.972647354</v>
      </c>
      <c r="Z506" s="193">
        <f>+(((C506*'Appendix K'!$C$6*1000)-('Appendix K'!$E$32+'Appendix K'!$F$32+'Appendix K'!$H$32+'Appendix K'!$G$32))/((1+$Y$16)^2))</f>
        <v>5602321.2173261847</v>
      </c>
      <c r="AA506" s="193">
        <f>(((D506*'Appendix K'!$C$7*1000)-('Appendix K'!$E$33+'Appendix K'!$F$33+'Appendix K'!$H$33+'Appendix K'!$G$33))/((1+$Y$16)^3))</f>
        <v>1660837.4064069625</v>
      </c>
      <c r="AB506" s="193">
        <f>(((E506*'Appendix K'!$C$8*1000)-('Appendix K'!$E$34+'Appendix K'!$F$34+'Appendix K'!$H$34+'Appendix K'!$G$34))/((1+$Y$16)^4))</f>
        <v>8890381.3571234643</v>
      </c>
      <c r="AC506" s="193">
        <f>(((F506*'Appendix K'!$C$9*1000)-('Appendix K'!$E$35+'Appendix K'!$F$35+'Appendix K'!$H$35+'Appendix K'!$G$35))/((1+$Y$16)^AC$34))</f>
        <v>12509256.872854834</v>
      </c>
      <c r="AD506" s="193">
        <f>(((G506*'Appendix K'!$C$10*1000)-('Appendix K'!$E$36+'Appendix K'!$F$36+'Appendix K'!$H$36+'Appendix K'!$G$36))/((1+$Y$16)^AD$34))</f>
        <v>8237525.2108765757</v>
      </c>
      <c r="AE506" s="193">
        <f>(((H506*'Appendix K'!$C$11*1000)-('Appendix K'!$E$37+'Appendix K'!$F$37+'Appendix K'!$H$37+'Appendix K'!$G$37))/((1+$Y$16)^AE$34))</f>
        <v>2625583.4079750609</v>
      </c>
      <c r="AF506" s="193">
        <f>(((I506*'Appendix K'!$C$12*1000)-('Appendix K'!$E$38+'Appendix K'!$F$38+'Appendix K'!$H$38+'Appendix K'!$G$38))/((1+$Y$16)^AF$34))</f>
        <v>1803685.765790483</v>
      </c>
      <c r="AG506" s="193">
        <f>(((J506*'Appendix K'!$C$13*1000)-('Appendix K'!$E$39+'Appendix K'!$F$39+'Appendix K'!$H$39+'Appendix K'!$G$39))/((1+$Y$16)^AG$34))</f>
        <v>888429.04774893937</v>
      </c>
      <c r="AH506" s="193">
        <f>(((K506*'Appendix K'!$C$14*1000)-('Appendix K'!$E$40+'Appendix K'!$F$40+'Appendix K'!$H$40+'Appendix K'!$G$40))/((1+$Y$16)^AH$34))</f>
        <v>1326504.833008094</v>
      </c>
      <c r="AI506" s="193">
        <f>(((L506*'Appendix K'!$C$15*1000)-('Appendix K'!$E$41+'Appendix K'!$F$41+'Appendix K'!$H$41+'Appendix K'!$G$41))/((1+$Y$16)^AI$34))</f>
        <v>1263028.7506424896</v>
      </c>
      <c r="AJ506" s="193">
        <f>(((M506*'Appendix K'!$C$16*1000)-('Appendix K'!$E$42+'Appendix K'!$F$42+'Appendix K'!$H$42+'Appendix K'!$G$42))/((1+$Y$16)^AJ$34))</f>
        <v>518844.00897499995</v>
      </c>
      <c r="AK506" s="193">
        <f>(((N506*'Appendix K'!$C$17*1000)-('Appendix K'!$E$43+'Appendix K'!$F$43+'Appendix K'!$H$43))/((1+$Y$16)^AK$34))</f>
        <v>875326.34958024195</v>
      </c>
      <c r="AL506" s="193">
        <f>(((O506*'Appendix K'!$C$18*1000)-('Appendix K'!$E$44+'Appendix K'!$F$44+'Appendix K'!$H$44+'Appendix K'!$G$44))/((1+$Y$16)^AL$34))</f>
        <v>244400.18734151279</v>
      </c>
      <c r="AM506" s="193">
        <f>(((P506*'Appendix K'!$C$19*1000)-('Appendix K'!$E$45+'Appendix K'!$F$45+'Appendix K'!$H$45+'Appendix K'!$G$45))/((1+$Y$16)^AM$34))</f>
        <v>183588.880009619</v>
      </c>
      <c r="AN506" s="193">
        <f>(((Q506*'Appendix K'!$C$20*1000)-('Appendix K'!$E$46+'Appendix K'!$F$46+'Appendix K'!$H$46+'Appendix K'!$G$46))/((1+$Y$16)^AN$34))</f>
        <v>-130844.65121516958</v>
      </c>
      <c r="AO506" s="193">
        <f>(((R506*'Appendix K'!$C$21*1000)-('Appendix K'!$E$47+'Appendix K'!$F$47+'Appendix K'!$H$47+'Appendix K'!$G$47))/((1+$Y$16)^AO$34))</f>
        <v>-209833.70530671682</v>
      </c>
      <c r="AP506" s="193">
        <f>(((S506*'Appendix K'!$C$22*1000)-('Appendix K'!$E$48+'Appendix K'!$F$48+'Appendix K'!$H$48+'Appendix K'!$G$48))/((1+$Y$16)^AP$34))</f>
        <v>-87953.151690735132</v>
      </c>
      <c r="AQ506" s="193">
        <f>(((T506*'Appendix K'!$C$23*1000)-('Appendix K'!$E$49+'Appendix K'!$F$49+'Appendix K'!$H$49+'Appendix K'!$G$49))/((1+$Y$16)^AQ$34))</f>
        <v>-54980.987521917639</v>
      </c>
      <c r="AR506" s="193">
        <f>(((U506*'Appendix K'!$C$24*1000)-('Appendix K'!$E$50+'Appendix K'!$F$50+'Appendix K'!$H$50+'Appendix K'!$G$50))/((1+$Y$16)^AR$34))</f>
        <v>-30203.398106154993</v>
      </c>
      <c r="AS506" s="209">
        <f t="shared" si="30"/>
        <v>48005875.824231721</v>
      </c>
      <c r="AU506" s="199">
        <f t="shared" si="29"/>
        <v>5.5099340530646709E-9</v>
      </c>
    </row>
    <row r="507" spans="1:47" x14ac:dyDescent="0.35">
      <c r="A507">
        <v>473</v>
      </c>
      <c r="B507" s="70">
        <v>56</v>
      </c>
      <c r="C507" s="70">
        <v>55.334930348496471</v>
      </c>
      <c r="D507" s="70">
        <v>69.006646376386954</v>
      </c>
      <c r="E507" s="70">
        <v>83.202697360743315</v>
      </c>
      <c r="F507" s="70">
        <v>91.366456712038186</v>
      </c>
      <c r="G507" s="70">
        <v>97.997846528977902</v>
      </c>
      <c r="H507" s="70">
        <v>105.98301927791066</v>
      </c>
      <c r="I507" s="70">
        <v>97.978653895279095</v>
      </c>
      <c r="J507" s="70">
        <v>143.9764101355758</v>
      </c>
      <c r="K507" s="70">
        <v>177.0003980958665</v>
      </c>
      <c r="L507" s="70">
        <v>253.7126437059236</v>
      </c>
      <c r="M507" s="70">
        <v>216.83373546831154</v>
      </c>
      <c r="N507" s="70">
        <v>316.39457684205439</v>
      </c>
      <c r="O507" s="70">
        <v>310.22028673476177</v>
      </c>
      <c r="P507" s="70">
        <v>382.44268096369444</v>
      </c>
      <c r="Q507" s="70">
        <v>228.97025199884413</v>
      </c>
      <c r="R507" s="70">
        <v>231.73380778757462</v>
      </c>
      <c r="S507" s="70">
        <v>178.62648731866696</v>
      </c>
      <c r="T507" s="70">
        <v>245.46980920562726</v>
      </c>
      <c r="U507" s="70">
        <v>201.28849406922191</v>
      </c>
      <c r="V507" s="70">
        <v>238.95505879681502</v>
      </c>
      <c r="X507" s="193">
        <f>((0-('Appendix K'!$I$30))/(1+$Y$16)^0)</f>
        <v>-33594902.4440751</v>
      </c>
      <c r="Y507" s="193">
        <f>(((B507*'Appendix K'!$C$5*1000)-('Appendix K'!$E$31+'Appendix K'!$F$31+'Appendix K'!$H$31+'Appendix K'!$G$31))/((1+$Y$16)^1))</f>
        <v>34971064.972647354</v>
      </c>
      <c r="Z507" s="193">
        <f>+(((C507*'Appendix K'!$C$6*1000)-('Appendix K'!$E$32+'Appendix K'!$F$32+'Appendix K'!$H$32+'Appendix K'!$G$32))/((1+$Y$16)^2))</f>
        <v>10491302.13632388</v>
      </c>
      <c r="AA507" s="193">
        <f>(((D507*'Appendix K'!$C$7*1000)-('Appendix K'!$E$33+'Appendix K'!$F$33+'Appendix K'!$H$33+'Appendix K'!$G$33))/((1+$Y$16)^3))</f>
        <v>5824814.7111566868</v>
      </c>
      <c r="AB507" s="193">
        <f>(((E507*'Appendix K'!$C$8*1000)-('Appendix K'!$E$34+'Appendix K'!$F$34+'Appendix K'!$H$34+'Appendix K'!$G$34))/((1+$Y$16)^4))</f>
        <v>14944061.7252349</v>
      </c>
      <c r="AC507" s="193">
        <f>(((F507*'Appendix K'!$C$9*1000)-('Appendix K'!$E$35+'Appendix K'!$F$35+'Appendix K'!$H$35+'Appendix K'!$G$35))/((1+$Y$16)^AC$34))</f>
        <v>21300832.203817662</v>
      </c>
      <c r="AD507" s="193">
        <f>(((G507*'Appendix K'!$C$10*1000)-('Appendix K'!$E$36+'Appendix K'!$F$36+'Appendix K'!$H$36+'Appendix K'!$G$36))/((1+$Y$16)^AD$34))</f>
        <v>12874206.081209444</v>
      </c>
      <c r="AE507" s="193">
        <f>(((H507*'Appendix K'!$C$11*1000)-('Appendix K'!$E$37+'Appendix K'!$F$37+'Appendix K'!$H$37+'Appendix K'!$G$37))/((1+$Y$16)^AE$34))</f>
        <v>8350554.0743197352</v>
      </c>
      <c r="AF507" s="193">
        <f>(((I507*'Appendix K'!$C$12*1000)-('Appendix K'!$E$38+'Appendix K'!$F$38+'Appendix K'!$H$38+'Appendix K'!$G$38))/((1+$Y$16)^AF$34))</f>
        <v>4436937.2021369822</v>
      </c>
      <c r="AG507" s="193">
        <f>(((J507*'Appendix K'!$C$13*1000)-('Appendix K'!$E$39+'Appendix K'!$F$39+'Appendix K'!$H$39+'Appendix K'!$G$39))/((1+$Y$16)^AG$34))</f>
        <v>4810696.8375161458</v>
      </c>
      <c r="AH507" s="193">
        <f>(((K507*'Appendix K'!$C$14*1000)-('Appendix K'!$E$40+'Appendix K'!$F$40+'Appendix K'!$H$40+'Appendix K'!$G$40))/((1+$Y$16)^AH$34))</f>
        <v>4333327.4982087193</v>
      </c>
      <c r="AI507" s="193">
        <f>(((L507*'Appendix K'!$C$15*1000)-('Appendix K'!$E$41+'Appendix K'!$F$41+'Appendix K'!$H$41+'Appendix K'!$G$41))/((1+$Y$16)^AI$34))</f>
        <v>5131264.3617343465</v>
      </c>
      <c r="AJ507" s="193">
        <f>(((M507*'Appendix K'!$C$16*1000)-('Appendix K'!$E$42+'Appendix K'!$F$42+'Appendix K'!$H$42+'Appendix K'!$G$42))/((1+$Y$16)^AJ$34))</f>
        <v>2964201.9238795396</v>
      </c>
      <c r="AK507" s="193">
        <f>(((N507*'Appendix K'!$C$17*1000)-('Appendix K'!$E$43+'Appendix K'!$F$43+'Appendix K'!$H$43))/((1+$Y$16)^AK$34))</f>
        <v>3856795.2199487626</v>
      </c>
      <c r="AL507" s="193">
        <f>(((O507*'Appendix K'!$C$18*1000)-('Appendix K'!$E$44+'Appendix K'!$F$44+'Appendix K'!$H$44+'Appendix K'!$G$44))/((1+$Y$16)^AL$34))</f>
        <v>2542543.2159758476</v>
      </c>
      <c r="AM507" s="193">
        <f>(((P507*'Appendix K'!$C$19*1000)-('Appendix K'!$E$45+'Appendix K'!$F$45+'Appendix K'!$H$45+'Appendix K'!$G$45))/((1+$Y$16)^AM$34))</f>
        <v>2517992.69365692</v>
      </c>
      <c r="AN507" s="193">
        <f>(((Q507*'Appendix K'!$C$20*1000)-('Appendix K'!$E$46+'Appendix K'!$F$46+'Appendix K'!$H$46+'Appendix K'!$G$46))/((1+$Y$16)^AN$34))</f>
        <v>741169.56615938805</v>
      </c>
      <c r="AO507" s="193">
        <f>(((R507*'Appendix K'!$C$21*1000)-('Appendix K'!$E$47+'Appendix K'!$F$47+'Appendix K'!$H$47+'Appendix K'!$G$47))/((1+$Y$16)^AO$34))</f>
        <v>526573.48060397117</v>
      </c>
      <c r="AP507" s="193">
        <f>(((S507*'Appendix K'!$C$22*1000)-('Appendix K'!$E$48+'Appendix K'!$F$48+'Appendix K'!$H$48+'Appendix K'!$G$48))/((1+$Y$16)^AP$34))</f>
        <v>91117.508430356786</v>
      </c>
      <c r="AQ507" s="193">
        <f>(((T507*'Appendix K'!$C$23*1000)-('Appendix K'!$E$49+'Appendix K'!$F$49+'Appendix K'!$H$49+'Appendix K'!$G$49))/((1+$Y$16)^AQ$34))</f>
        <v>267220.35983622866</v>
      </c>
      <c r="AR507" s="193">
        <f>(((U507*'Appendix K'!$C$24*1000)-('Appendix K'!$E$50+'Appendix K'!$F$50+'Appendix K'!$H$50+'Appendix K'!$G$50))/((1+$Y$16)^AR$34))</f>
        <v>18865.721468435</v>
      </c>
      <c r="AS507" s="209">
        <f t="shared" si="30"/>
        <v>107400639.05019021</v>
      </c>
      <c r="AU507" s="199">
        <f t="shared" si="29"/>
        <v>6.6152554341675368E-9</v>
      </c>
    </row>
    <row r="508" spans="1:47" x14ac:dyDescent="0.35">
      <c r="A508">
        <v>474</v>
      </c>
      <c r="B508" s="70">
        <v>56</v>
      </c>
      <c r="C508" s="70">
        <v>49.433269277071865</v>
      </c>
      <c r="D508" s="70">
        <v>43.356419238085579</v>
      </c>
      <c r="E508" s="70">
        <v>54.504055501513989</v>
      </c>
      <c r="F508" s="70">
        <v>69.001157900109476</v>
      </c>
      <c r="G508" s="70">
        <v>84.565419626807511</v>
      </c>
      <c r="H508" s="70">
        <v>139.60790928445761</v>
      </c>
      <c r="I508" s="70">
        <v>235.63960364553191</v>
      </c>
      <c r="J508" s="70">
        <v>336.71963973763513</v>
      </c>
      <c r="K508" s="70">
        <v>410.33011926634646</v>
      </c>
      <c r="L508" s="70">
        <v>352.37969771310031</v>
      </c>
      <c r="M508" s="70">
        <v>480.829149070006</v>
      </c>
      <c r="N508" s="70">
        <v>500</v>
      </c>
      <c r="O508" s="70">
        <v>445.76881146400024</v>
      </c>
      <c r="P508" s="70">
        <v>307.20665030985185</v>
      </c>
      <c r="Q508" s="70">
        <v>229.00726284628598</v>
      </c>
      <c r="R508" s="70">
        <v>293.31930637150549</v>
      </c>
      <c r="S508" s="70">
        <v>361.98461100615873</v>
      </c>
      <c r="T508" s="70">
        <v>497.80958569375468</v>
      </c>
      <c r="U508" s="70">
        <v>500</v>
      </c>
      <c r="V508" s="70">
        <v>461.1701973586878</v>
      </c>
      <c r="X508" s="193">
        <f>((0-('Appendix K'!$I$30))/(1+$Y$16)^0)</f>
        <v>-33594902.4440751</v>
      </c>
      <c r="Y508" s="193">
        <f>(((B508*'Appendix K'!$C$5*1000)-('Appendix K'!$E$31+'Appendix K'!$F$31+'Appendix K'!$H$31+'Appendix K'!$G$31))/((1+$Y$16)^1))</f>
        <v>34971064.972647354</v>
      </c>
      <c r="Z508" s="193">
        <f>+(((C508*'Appendix K'!$C$6*1000)-('Appendix K'!$E$32+'Appendix K'!$F$32+'Appendix K'!$H$32+'Appendix K'!$G$32))/((1+$Y$16)^2))</f>
        <v>9000441.6128404085</v>
      </c>
      <c r="AA508" s="193">
        <f>(((D508*'Appendix K'!$C$7*1000)-('Appendix K'!$E$33+'Appendix K'!$F$33+'Appendix K'!$H$33+'Appendix K'!$G$33))/((1+$Y$16)^3))</f>
        <v>2557620.303449939</v>
      </c>
      <c r="AB508" s="193">
        <f>(((E508*'Appendix K'!$C$8*1000)-('Appendix K'!$E$34+'Appendix K'!$F$34+'Appendix K'!$H$34+'Appendix K'!$G$34))/((1+$Y$16)^4))</f>
        <v>8653582.1404720508</v>
      </c>
      <c r="AC508" s="193">
        <f>(((F508*'Appendix K'!$C$9*1000)-('Appendix K'!$E$35+'Appendix K'!$F$35+'Appendix K'!$H$35+'Appendix K'!$G$35))/((1+$Y$16)^AC$34))</f>
        <v>15356170.899428396</v>
      </c>
      <c r="AD508" s="193">
        <f>(((G508*'Appendix K'!$C$10*1000)-('Appendix K'!$E$36+'Appendix K'!$F$36+'Appendix K'!$H$36+'Appendix K'!$G$36))/((1+$Y$16)^AD$34))</f>
        <v>10764724.682038506</v>
      </c>
      <c r="AE508" s="193">
        <f>(((H508*'Appendix K'!$C$11*1000)-('Appendix K'!$E$37+'Appendix K'!$F$37+'Appendix K'!$H$37+'Appendix K'!$G$37))/((1+$Y$16)^AE$34))</f>
        <v>11704220.873460287</v>
      </c>
      <c r="AF508" s="193">
        <f>(((I508*'Appendix K'!$C$12*1000)-('Appendix K'!$E$38+'Appendix K'!$F$38+'Appendix K'!$H$38+'Appendix K'!$G$38))/((1+$Y$16)^AF$34))</f>
        <v>13476089.271237705</v>
      </c>
      <c r="AG508" s="193">
        <f>(((J508*'Appendix K'!$C$13*1000)-('Appendix K'!$E$39+'Appendix K'!$F$39+'Appendix K'!$H$39+'Appendix K'!$G$39))/((1+$Y$16)^AG$34))</f>
        <v>13680534.522315389</v>
      </c>
      <c r="AH508" s="193">
        <f>(((K508*'Appendix K'!$C$14*1000)-('Appendix K'!$E$40+'Appendix K'!$F$40+'Appendix K'!$H$40+'Appendix K'!$G$40))/((1+$Y$16)^AH$34))</f>
        <v>12198061.987847725</v>
      </c>
      <c r="AI508" s="193">
        <f>(((L508*'Appendix K'!$C$15*1000)-('Appendix K'!$E$41+'Appendix K'!$F$41+'Appendix K'!$H$41+'Appendix K'!$G$41))/((1+$Y$16)^AI$34))</f>
        <v>7716525.6850181101</v>
      </c>
      <c r="AJ508" s="193">
        <f>(((M508*'Appendix K'!$C$16*1000)-('Appendix K'!$E$42+'Appendix K'!$F$42+'Appendix K'!$H$42+'Appendix K'!$G$42))/((1+$Y$16)^AJ$34))</f>
        <v>8255162.886073024</v>
      </c>
      <c r="AK508" s="193">
        <f>(((N508*'Appendix K'!$C$17*1000)-('Appendix K'!$E$43+'Appendix K'!$F$43+'Appendix K'!$H$43))/((1+$Y$16)^AK$34))</f>
        <v>6677690.1149291173</v>
      </c>
      <c r="AL508" s="193">
        <f>(((O508*'Appendix K'!$C$18*1000)-('Appendix K'!$E$44+'Appendix K'!$F$44+'Appendix K'!$H$44+'Appendix K'!$G$44))/((1+$Y$16)^AL$34))</f>
        <v>4149239.7650330947</v>
      </c>
      <c r="AM508" s="193">
        <f>(((P508*'Appendix K'!$C$19*1000)-('Appendix K'!$E$45+'Appendix K'!$F$45+'Appendix K'!$H$45+'Appendix K'!$G$45))/((1+$Y$16)^AM$34))</f>
        <v>1820650.1044112535</v>
      </c>
      <c r="AN508" s="193">
        <f>(((Q508*'Appendix K'!$C$20*1000)-('Appendix K'!$E$46+'Appendix K'!$F$46+'Appendix K'!$H$46+'Appendix K'!$G$46))/((1+$Y$16)^AN$34))</f>
        <v>741437.38467879256</v>
      </c>
      <c r="AO508" s="193">
        <f>(((R508*'Appendix K'!$C$21*1000)-('Appendix K'!$E$47+'Appendix K'!$F$47+'Appendix K'!$H$47+'Appendix K'!$G$47))/((1+$Y$16)^AO$34))</f>
        <v>890550.58120336407</v>
      </c>
      <c r="AP508" s="193">
        <f>(((S508*'Appendix K'!$C$22*1000)-('Appendix K'!$E$48+'Appendix K'!$F$48+'Appendix K'!$H$48+'Appendix K'!$G$48))/((1+$Y$16)^AP$34))</f>
        <v>969351.45991135831</v>
      </c>
      <c r="AQ508" s="193">
        <f>(((T508*'Appendix K'!$C$23*1000)-('Appendix K'!$E$49+'Appendix K'!$F$49+'Appendix K'!$H$49+'Appendix K'!$G$49))/((1+$Y$16)^AQ$34))</f>
        <v>1254813.6443712206</v>
      </c>
      <c r="AR508" s="193">
        <f>(((U508*'Appendix K'!$C$24*1000)-('Appendix K'!$E$50+'Appendix K'!$F$50+'Appendix K'!$H$50+'Appendix K'!$G$50))/((1+$Y$16)^AR$34))</f>
        <v>980725.14012097823</v>
      </c>
      <c r="AS508" s="209">
        <f t="shared" si="30"/>
        <v>132223755.58741292</v>
      </c>
      <c r="AU508" s="199">
        <f t="shared" si="29"/>
        <v>5.1615565315913273E-9</v>
      </c>
    </row>
    <row r="509" spans="1:47" x14ac:dyDescent="0.35">
      <c r="A509">
        <v>475</v>
      </c>
      <c r="B509" s="70">
        <v>56</v>
      </c>
      <c r="C509" s="70">
        <v>95.990514246764519</v>
      </c>
      <c r="D509" s="70">
        <v>100.4667189106803</v>
      </c>
      <c r="E509" s="70">
        <v>193.58881403176869</v>
      </c>
      <c r="F509" s="70">
        <v>268.84046121627324</v>
      </c>
      <c r="G509" s="70">
        <v>471.92853955909379</v>
      </c>
      <c r="H509" s="70">
        <v>500</v>
      </c>
      <c r="I509" s="70">
        <v>500</v>
      </c>
      <c r="J509" s="70">
        <v>500</v>
      </c>
      <c r="K509" s="70">
        <v>500</v>
      </c>
      <c r="L509" s="70">
        <v>500</v>
      </c>
      <c r="M509" s="70">
        <v>448.36250020550904</v>
      </c>
      <c r="N509" s="70">
        <v>500</v>
      </c>
      <c r="O509" s="70">
        <v>368.40613789957797</v>
      </c>
      <c r="P509" s="70">
        <v>500</v>
      </c>
      <c r="Q509" s="70">
        <v>500</v>
      </c>
      <c r="R509" s="70">
        <v>500</v>
      </c>
      <c r="S509" s="70">
        <v>500</v>
      </c>
      <c r="T509" s="70">
        <v>330.10644036474628</v>
      </c>
      <c r="U509" s="70">
        <v>408.32865372506268</v>
      </c>
      <c r="V509" s="70">
        <v>370.70064939778752</v>
      </c>
      <c r="X509" s="193">
        <f>((0-('Appendix K'!$I$30))/(1+$Y$16)^0)</f>
        <v>-33594902.4440751</v>
      </c>
      <c r="Y509" s="193">
        <f>(((B509*'Appendix K'!$C$5*1000)-('Appendix K'!$E$31+'Appendix K'!$F$31+'Appendix K'!$H$31+'Appendix K'!$G$31))/((1+$Y$16)^1))</f>
        <v>34971064.972647354</v>
      </c>
      <c r="Z509" s="193">
        <f>+(((C509*'Appendix K'!$C$6*1000)-('Appendix K'!$E$32+'Appendix K'!$F$32+'Appendix K'!$H$32+'Appendix K'!$G$32))/((1+$Y$16)^2))</f>
        <v>20761597.966522586</v>
      </c>
      <c r="AA509" s="193">
        <f>(((D509*'Appendix K'!$C$7*1000)-('Appendix K'!$E$33+'Appendix K'!$F$33+'Appendix K'!$H$33+'Appendix K'!$G$33))/((1+$Y$16)^3))</f>
        <v>9832037.4346003234</v>
      </c>
      <c r="AB509" s="193">
        <f>(((E509*'Appendix K'!$C$8*1000)-('Appendix K'!$E$34+'Appendix K'!$F$34+'Appendix K'!$H$34+'Appendix K'!$G$34))/((1+$Y$16)^4))</f>
        <v>39139688.01188533</v>
      </c>
      <c r="AC509" s="193">
        <f>(((F509*'Appendix K'!$C$9*1000)-('Appendix K'!$E$35+'Appendix K'!$F$35+'Appendix K'!$H$35+'Appendix K'!$G$35))/((1+$Y$16)^AC$34))</f>
        <v>68473143.916846395</v>
      </c>
      <c r="AD509" s="193">
        <f>(((G509*'Appendix K'!$C$10*1000)-('Appendix K'!$E$36+'Appendix K'!$F$36+'Appendix K'!$H$36+'Appendix K'!$G$36))/((1+$Y$16)^AD$34))</f>
        <v>71597759.707894221</v>
      </c>
      <c r="AE509" s="193">
        <f>(((H509*'Appendix K'!$C$11*1000)-('Appendix K'!$E$37+'Appendix K'!$F$37+'Appendix K'!$H$37+'Appendix K'!$G$37))/((1+$Y$16)^AE$34))</f>
        <v>47648873.452851206</v>
      </c>
      <c r="AF509" s="193">
        <f>(((I509*'Appendix K'!$C$12*1000)-('Appendix K'!$E$38+'Appendix K'!$F$38+'Appendix K'!$H$38+'Appendix K'!$G$38))/((1+$Y$16)^AF$34))</f>
        <v>30834634.508874267</v>
      </c>
      <c r="AG509" s="193">
        <f>(((J509*'Appendix K'!$C$13*1000)-('Appendix K'!$E$39+'Appendix K'!$F$39+'Appendix K'!$H$39+'Appendix K'!$G$39))/((1+$Y$16)^AG$34))</f>
        <v>21194522.409894329</v>
      </c>
      <c r="AH509" s="193">
        <f>(((K509*'Appendix K'!$C$14*1000)-('Appendix K'!$E$40+'Appendix K'!$F$40+'Appendix K'!$H$40+'Appendix K'!$G$40))/((1+$Y$16)^AH$34))</f>
        <v>15220522.22201786</v>
      </c>
      <c r="AI509" s="193">
        <f>(((L509*'Appendix K'!$C$15*1000)-('Appendix K'!$E$41+'Appendix K'!$F$41+'Appendix K'!$H$41+'Appendix K'!$G$41))/((1+$Y$16)^AI$34))</f>
        <v>11584453.656253781</v>
      </c>
      <c r="AJ509" s="193">
        <f>(((M509*'Appendix K'!$C$16*1000)-('Appendix K'!$E$42+'Appendix K'!$F$42+'Appendix K'!$H$42+'Appendix K'!$G$42))/((1+$Y$16)^AJ$34))</f>
        <v>7604470.6283110334</v>
      </c>
      <c r="AK509" s="193">
        <f>(((N509*'Appendix K'!$C$17*1000)-('Appendix K'!$E$43+'Appendix K'!$F$43+'Appendix K'!$H$43))/((1+$Y$16)^AK$34))</f>
        <v>6677690.1149291173</v>
      </c>
      <c r="AL509" s="193">
        <f>(((O509*'Appendix K'!$C$18*1000)-('Appendix K'!$E$44+'Appendix K'!$F$44+'Appendix K'!$H$44+'Appendix K'!$G$44))/((1+$Y$16)^AL$34))</f>
        <v>3232237.2311428254</v>
      </c>
      <c r="AM509" s="193">
        <f>(((P509*'Appendix K'!$C$19*1000)-('Appendix K'!$E$45+'Appendix K'!$F$45+'Appendix K'!$H$45+'Appendix K'!$G$45))/((1+$Y$16)^AM$34))</f>
        <v>3607599.9540230581</v>
      </c>
      <c r="AN509" s="193">
        <f>(((Q509*'Appendix K'!$C$20*1000)-('Appendix K'!$E$46+'Appendix K'!$F$46+'Appendix K'!$H$46+'Appendix K'!$G$46))/((1+$Y$16)^AN$34))</f>
        <v>2702399.606577659</v>
      </c>
      <c r="AO509" s="193">
        <f>(((R509*'Appendix K'!$C$21*1000)-('Appendix K'!$E$47+'Appendix K'!$F$47+'Appendix K'!$H$47+'Appendix K'!$G$47))/((1+$Y$16)^AO$34))</f>
        <v>2112056.3146391152</v>
      </c>
      <c r="AP509" s="193">
        <f>(((S509*'Appendix K'!$C$22*1000)-('Appendix K'!$E$48+'Appendix K'!$F$48+'Appendix K'!$H$48+'Appendix K'!$G$48))/((1+$Y$16)^AP$34))</f>
        <v>1630406.4380253027</v>
      </c>
      <c r="AQ509" s="193">
        <f>(((T509*'Appendix K'!$C$23*1000)-('Appendix K'!$E$49+'Appendix K'!$F$49+'Appendix K'!$H$49+'Appendix K'!$G$49))/((1+$Y$16)^AQ$34))</f>
        <v>598466.46665975486</v>
      </c>
      <c r="AR509" s="193">
        <f>(((U509*'Appendix K'!$C$24*1000)-('Appendix K'!$E$50+'Appendix K'!$F$50+'Appendix K'!$H$50+'Appendix K'!$G$50))/((1+$Y$16)^AR$34))</f>
        <v>685540.8365891939</v>
      </c>
      <c r="AS509" s="209">
        <f t="shared" si="30"/>
        <v>366514263.40710968</v>
      </c>
      <c r="AU509" s="199">
        <f t="shared" si="29"/>
        <v>4.004700301117118E-14</v>
      </c>
    </row>
    <row r="510" spans="1:47" x14ac:dyDescent="0.35">
      <c r="A510">
        <v>476</v>
      </c>
      <c r="B510" s="70">
        <v>56</v>
      </c>
      <c r="C510" s="70">
        <v>46.119481070191554</v>
      </c>
      <c r="D510" s="70">
        <v>60.615315502009835</v>
      </c>
      <c r="E510" s="70">
        <v>89.19280731383779</v>
      </c>
      <c r="F510" s="70">
        <v>62.579596532627498</v>
      </c>
      <c r="G510" s="70">
        <v>61.981170374869635</v>
      </c>
      <c r="H510" s="70">
        <v>71.969288703994522</v>
      </c>
      <c r="I510" s="70">
        <v>90.309333865467039</v>
      </c>
      <c r="J510" s="70">
        <v>78.230055375981252</v>
      </c>
      <c r="K510" s="70">
        <v>120.75736915860364</v>
      </c>
      <c r="L510" s="70">
        <v>172.54313528895301</v>
      </c>
      <c r="M510" s="70">
        <v>134.36058664335508</v>
      </c>
      <c r="N510" s="70">
        <v>137.22747488567933</v>
      </c>
      <c r="O510" s="70">
        <v>71.755124813115899</v>
      </c>
      <c r="P510" s="70">
        <v>94.851431832655365</v>
      </c>
      <c r="Q510" s="70">
        <v>80.396076458029739</v>
      </c>
      <c r="R510" s="70">
        <v>127.54297873924919</v>
      </c>
      <c r="S510" s="70">
        <v>160.96778022322948</v>
      </c>
      <c r="T510" s="70">
        <v>198.98308879161928</v>
      </c>
      <c r="U510" s="70">
        <v>284.42614746652811</v>
      </c>
      <c r="V510" s="70">
        <v>285.79852858728168</v>
      </c>
      <c r="X510" s="193">
        <f>((0-('Appendix K'!$I$30))/(1+$Y$16)^0)</f>
        <v>-33594902.4440751</v>
      </c>
      <c r="Y510" s="193">
        <f>(((B510*'Appendix K'!$C$5*1000)-('Appendix K'!$E$31+'Appendix K'!$F$31+'Appendix K'!$H$31+'Appendix K'!$G$31))/((1+$Y$16)^1))</f>
        <v>34971064.972647354</v>
      </c>
      <c r="Z510" s="193">
        <f>+(((C510*'Appendix K'!$C$6*1000)-('Appendix K'!$E$32+'Appendix K'!$F$32+'Appendix K'!$H$32+'Appendix K'!$G$32))/((1+$Y$16)^2))</f>
        <v>8163322.035651545</v>
      </c>
      <c r="AA510" s="193">
        <f>(((D510*'Appendix K'!$C$7*1000)-('Appendix K'!$E$33+'Appendix K'!$F$33+'Appendix K'!$H$33+'Appendix K'!$G$33))/((1+$Y$16)^3))</f>
        <v>4755970.0121152643</v>
      </c>
      <c r="AB510" s="193">
        <f>(((E510*'Appendix K'!$C$8*1000)-('Appendix K'!$E$34+'Appendix K'!$F$34+'Appendix K'!$H$34+'Appendix K'!$G$34))/((1+$Y$16)^4))</f>
        <v>16257038.992774399</v>
      </c>
      <c r="AC510" s="193">
        <f>(((F510*'Appendix K'!$C$9*1000)-('Appendix K'!$E$35+'Appendix K'!$F$35+'Appendix K'!$H$35+'Appendix K'!$G$35))/((1+$Y$16)^AC$34))</f>
        <v>13649329.971612547</v>
      </c>
      <c r="AD510" s="193">
        <f>(((G510*'Appendix K'!$C$10*1000)-('Appendix K'!$E$36+'Appendix K'!$F$36+'Appendix K'!$H$36+'Appendix K'!$G$36))/((1+$Y$16)^AD$34))</f>
        <v>7218004.93748473</v>
      </c>
      <c r="AE510" s="193">
        <f>(((H510*'Appendix K'!$C$11*1000)-('Appendix K'!$E$37+'Appendix K'!$F$37+'Appendix K'!$H$37+'Appendix K'!$G$37))/((1+$Y$16)^AE$34))</f>
        <v>4958105.2389943507</v>
      </c>
      <c r="AF510" s="193">
        <f>(((I510*'Appendix K'!$C$12*1000)-('Appendix K'!$E$38+'Appendix K'!$F$38+'Appendix K'!$H$38+'Appendix K'!$G$38))/((1+$Y$16)^AF$34))</f>
        <v>3933351.0352404108</v>
      </c>
      <c r="AG510" s="193">
        <f>(((J510*'Appendix K'!$C$13*1000)-('Appendix K'!$E$39+'Appendix K'!$F$39+'Appendix K'!$H$39+'Appendix K'!$G$39))/((1+$Y$16)^AG$34))</f>
        <v>1785119.7716506843</v>
      </c>
      <c r="AH510" s="193">
        <f>(((K510*'Appendix K'!$C$14*1000)-('Appendix K'!$E$40+'Appendix K'!$F$40+'Appendix K'!$H$40+'Appendix K'!$G$40))/((1+$Y$16)^AH$34))</f>
        <v>2437570.3384876591</v>
      </c>
      <c r="AI510" s="193">
        <f>(((L510*'Appendix K'!$C$15*1000)-('Appendix K'!$E$41+'Appendix K'!$F$41+'Appendix K'!$H$41+'Appendix K'!$G$41))/((1+$Y$16)^AI$34))</f>
        <v>3004471.4534846847</v>
      </c>
      <c r="AJ510" s="193">
        <f>(((M510*'Appendix K'!$C$16*1000)-('Appendix K'!$E$42+'Appendix K'!$F$42+'Appendix K'!$H$42+'Appendix K'!$G$42))/((1+$Y$16)^AJ$34))</f>
        <v>1311286.045877266</v>
      </c>
      <c r="AK510" s="193">
        <f>(((N510*'Appendix K'!$C$17*1000)-('Appendix K'!$E$43+'Appendix K'!$F$43+'Appendix K'!$H$43))/((1+$Y$16)^AK$34))</f>
        <v>1104090.2368155285</v>
      </c>
      <c r="AL510" s="193">
        <f>(((O510*'Appendix K'!$C$18*1000)-('Appendix K'!$E$44+'Appendix K'!$F$44+'Appendix K'!$H$44+'Appendix K'!$G$44))/((1+$Y$16)^AL$34))</f>
        <v>-284054.51716230292</v>
      </c>
      <c r="AM510" s="193">
        <f>(((P510*'Appendix K'!$C$19*1000)-('Appendix K'!$E$45+'Appendix K'!$F$45+'Appendix K'!$H$45+'Appendix K'!$G$45))/((1+$Y$16)^AM$34))</f>
        <v>-147613.46034333052</v>
      </c>
      <c r="AN510" s="193">
        <f>(((Q510*'Appendix K'!$C$20*1000)-('Appendix K'!$E$46+'Appendix K'!$F$46+'Appendix K'!$H$46+'Appendix K'!$G$46))/((1+$Y$16)^AN$34))</f>
        <v>-333945.39243836713</v>
      </c>
      <c r="AO510" s="193">
        <f>(((R510*'Appendix K'!$C$21*1000)-('Appendix K'!$E$47+'Appendix K'!$F$47+'Appendix K'!$H$47+'Appendix K'!$G$47))/((1+$Y$16)^AO$34))</f>
        <v>-89205.830078617757</v>
      </c>
      <c r="AP510" s="193">
        <f>(((S510*'Appendix K'!$C$22*1000)-('Appendix K'!$E$48+'Appendix K'!$F$48+'Appendix K'!$H$48+'Appendix K'!$G$48))/((1+$Y$16)^AP$34))</f>
        <v>6537.2575061943207</v>
      </c>
      <c r="AQ510" s="193">
        <f>(((T510*'Appendix K'!$C$23*1000)-('Appendix K'!$E$49+'Appendix K'!$F$49+'Appendix K'!$H$49+'Appendix K'!$G$49))/((1+$Y$16)^AQ$34))</f>
        <v>85283.237041439832</v>
      </c>
      <c r="AR510" s="193">
        <f>(((U510*'Appendix K'!$C$24*1000)-('Appendix K'!$E$50+'Appendix K'!$F$50+'Appendix K'!$H$50+'Appendix K'!$G$50))/((1+$Y$16)^AR$34))</f>
        <v>286571.2948299133</v>
      </c>
      <c r="AS510" s="209">
        <f t="shared" si="30"/>
        <v>70332214.38813886</v>
      </c>
      <c r="AU510" s="199">
        <f t="shared" si="29"/>
        <v>6.711069001691132E-9</v>
      </c>
    </row>
    <row r="511" spans="1:47" x14ac:dyDescent="0.35">
      <c r="A511">
        <v>477</v>
      </c>
      <c r="B511" s="70">
        <v>56</v>
      </c>
      <c r="C511" s="70">
        <v>53.712082708478448</v>
      </c>
      <c r="D511" s="70">
        <v>90.783479011845941</v>
      </c>
      <c r="E511" s="70">
        <v>44.822632085901397</v>
      </c>
      <c r="F511" s="70">
        <v>42.353137177461498</v>
      </c>
      <c r="G511" s="70">
        <v>40.526101059591717</v>
      </c>
      <c r="H511" s="70">
        <v>27.209782974740545</v>
      </c>
      <c r="I511" s="70">
        <v>24.797403657546212</v>
      </c>
      <c r="J511" s="70">
        <v>37.942488434697616</v>
      </c>
      <c r="K511" s="70">
        <v>42.084028467046871</v>
      </c>
      <c r="L511" s="70">
        <v>56.403309640742918</v>
      </c>
      <c r="M511" s="70">
        <v>34.07778649476338</v>
      </c>
      <c r="N511" s="70">
        <v>53.096579659425402</v>
      </c>
      <c r="O511" s="70">
        <v>66.637516881875868</v>
      </c>
      <c r="P511" s="70">
        <v>66.134079353342372</v>
      </c>
      <c r="Q511" s="70">
        <v>79.939192628010233</v>
      </c>
      <c r="R511" s="70">
        <v>69.776987254058298</v>
      </c>
      <c r="S511" s="70">
        <v>82.23454595523458</v>
      </c>
      <c r="T511" s="70">
        <v>97.455598376952423</v>
      </c>
      <c r="U511" s="70">
        <v>159.72499135466734</v>
      </c>
      <c r="V511" s="70">
        <v>115.09265929323792</v>
      </c>
      <c r="X511" s="193">
        <f>((0-('Appendix K'!$I$30))/(1+$Y$16)^0)</f>
        <v>-33594902.4440751</v>
      </c>
      <c r="Y511" s="193">
        <f>(((B511*'Appendix K'!$C$5*1000)-('Appendix K'!$E$31+'Appendix K'!$F$31+'Appendix K'!$H$31+'Appendix K'!$G$31))/((1+$Y$16)^1))</f>
        <v>34971064.972647354</v>
      </c>
      <c r="Z511" s="193">
        <f>+(((C511*'Appendix K'!$C$6*1000)-('Appendix K'!$E$32+'Appendix K'!$F$32+'Appendix K'!$H$32+'Appendix K'!$G$32))/((1+$Y$16)^2))</f>
        <v>10081343.066690767</v>
      </c>
      <c r="AA511" s="193">
        <f>(((D511*'Appendix K'!$C$7*1000)-('Appendix K'!$E$33+'Appendix K'!$F$33+'Appendix K'!$H$33+'Appendix K'!$G$33))/((1+$Y$16)^3))</f>
        <v>8598635.9884699099</v>
      </c>
      <c r="AB511" s="193">
        <f>(((E511*'Appendix K'!$C$8*1000)-('Appendix K'!$E$34+'Appendix K'!$F$34+'Appendix K'!$H$34+'Appendix K'!$G$34))/((1+$Y$16)^4))</f>
        <v>6531502.7526709605</v>
      </c>
      <c r="AC511" s="193">
        <f>(((F511*'Appendix K'!$C$9*1000)-('Appendix K'!$E$35+'Appendix K'!$F$35+'Appendix K'!$H$35+'Appendix K'!$G$35))/((1+$Y$16)^AC$34))</f>
        <v>8273168.8362501673</v>
      </c>
      <c r="AD511" s="193">
        <f>(((G511*'Appendix K'!$C$10*1000)-('Appendix K'!$E$36+'Appendix K'!$F$36+'Appendix K'!$H$36+'Appendix K'!$G$36))/((1+$Y$16)^AD$34))</f>
        <v>3848616.0721569797</v>
      </c>
      <c r="AE511" s="193">
        <f>(((H511*'Appendix K'!$C$11*1000)-('Appendix K'!$E$37+'Appendix K'!$F$37+'Appendix K'!$H$37+'Appendix K'!$G$37))/((1+$Y$16)^AE$34))</f>
        <v>493898.26966557605</v>
      </c>
      <c r="AF511" s="193">
        <f>(((I511*'Appendix K'!$C$12*1000)-('Appendix K'!$E$38+'Appendix K'!$F$38+'Appendix K'!$H$38+'Appendix K'!$G$38))/((1+$Y$16)^AF$34))</f>
        <v>-368321.30222377239</v>
      </c>
      <c r="AG511" s="193">
        <f>(((J511*'Appendix K'!$C$13*1000)-('Appendix K'!$E$39+'Appendix K'!$F$39+'Appendix K'!$H$39+'Appendix K'!$G$39))/((1+$Y$16)^AG$34))</f>
        <v>-68871.054498945916</v>
      </c>
      <c r="AH511" s="193">
        <f>(((K511*'Appendix K'!$C$14*1000)-('Appendix K'!$E$40+'Appendix K'!$F$40+'Appendix K'!$H$40+'Appendix K'!$G$40))/((1+$Y$16)^AH$34))</f>
        <v>-214234.72452840989</v>
      </c>
      <c r="AI511" s="193">
        <f>(((L511*'Appendix K'!$C$15*1000)-('Appendix K'!$E$41+'Appendix K'!$F$41+'Appendix K'!$H$41+'Appendix K'!$G$41))/((1+$Y$16)^AI$34))</f>
        <v>-38609.161037339618</v>
      </c>
      <c r="AJ511" s="193">
        <f>(((M511*'Appendix K'!$C$16*1000)-('Appendix K'!$E$42+'Appendix K'!$F$42+'Appendix K'!$H$42+'Appendix K'!$G$42))/((1+$Y$16)^AJ$34))</f>
        <v>-698568.49487693724</v>
      </c>
      <c r="AK511" s="193">
        <f>(((N511*'Appendix K'!$C$17*1000)-('Appendix K'!$E$43+'Appendix K'!$F$43+'Appendix K'!$H$43))/((1+$Y$16)^AK$34))</f>
        <v>-188488.21087939423</v>
      </c>
      <c r="AL511" s="193">
        <f>(((O511*'Appendix K'!$C$18*1000)-('Appendix K'!$E$44+'Appendix K'!$F$44+'Appendix K'!$H$44+'Appendix K'!$G$44))/((1+$Y$16)^AL$34))</f>
        <v>-344715.02983830508</v>
      </c>
      <c r="AM511" s="193">
        <f>(((P511*'Appendix K'!$C$19*1000)-('Appendix K'!$E$45+'Appendix K'!$F$45+'Appendix K'!$H$45+'Appendix K'!$G$45))/((1+$Y$16)^AM$34))</f>
        <v>-413786.89825823717</v>
      </c>
      <c r="AN511" s="193">
        <f>(((Q511*'Appendix K'!$C$20*1000)-('Appendix K'!$E$46+'Appendix K'!$F$46+'Appendix K'!$H$46+'Appendix K'!$G$46))/((1+$Y$16)^AN$34))</f>
        <v>-337251.50292632665</v>
      </c>
      <c r="AO511" s="193">
        <f>(((R511*'Appendix K'!$C$21*1000)-('Appendix K'!$E$47+'Appendix K'!$F$47+'Appendix K'!$H$47+'Appendix K'!$G$47))/((1+$Y$16)^AO$34))</f>
        <v>-430609.22174515954</v>
      </c>
      <c r="AP511" s="193">
        <f>(((S511*'Appendix K'!$C$22*1000)-('Appendix K'!$E$48+'Appendix K'!$F$48+'Appendix K'!$H$48+'Appendix K'!$G$48))/((1+$Y$16)^AP$34))</f>
        <v>-370572.83750061627</v>
      </c>
      <c r="AQ511" s="193">
        <f>(((T511*'Appendix K'!$C$23*1000)-('Appendix K'!$E$49+'Appendix K'!$F$49+'Appendix K'!$H$49+'Appendix K'!$G$49))/((1+$Y$16)^AQ$34))</f>
        <v>-312069.36873743293</v>
      </c>
      <c r="AR511" s="193">
        <f>(((U511*'Appendix K'!$C$24*1000)-('Appendix K'!$E$50+'Appendix K'!$F$50+'Appendix K'!$H$50+'Appendix K'!$G$50))/((1+$Y$16)^AR$34))</f>
        <v>-114969.92183433507</v>
      </c>
      <c r="AS511" s="209">
        <f t="shared" si="30"/>
        <v>39203327.514476605</v>
      </c>
      <c r="AU511" s="199">
        <f t="shared" si="29"/>
        <v>4.8854501217818434E-9</v>
      </c>
    </row>
    <row r="512" spans="1:47" x14ac:dyDescent="0.35">
      <c r="A512">
        <v>478</v>
      </c>
      <c r="B512" s="70">
        <v>56</v>
      </c>
      <c r="C512" s="70">
        <v>73.128388976243144</v>
      </c>
      <c r="D512" s="70">
        <v>75.059348144463286</v>
      </c>
      <c r="E512" s="70">
        <v>58.58960431686468</v>
      </c>
      <c r="F512" s="70">
        <v>62.221546548043989</v>
      </c>
      <c r="G512" s="70">
        <v>48.816811033698535</v>
      </c>
      <c r="H512" s="70">
        <v>24.83123994903184</v>
      </c>
      <c r="I512" s="70">
        <v>14.462369082738324</v>
      </c>
      <c r="J512" s="70">
        <v>22.297266706334842</v>
      </c>
      <c r="K512" s="70">
        <v>22.579343467541584</v>
      </c>
      <c r="L512" s="70">
        <v>28.005297954958326</v>
      </c>
      <c r="M512" s="70">
        <v>42.581750874720385</v>
      </c>
      <c r="N512" s="70">
        <v>37.340751458085329</v>
      </c>
      <c r="O512" s="70">
        <v>40.265030854407158</v>
      </c>
      <c r="P512" s="70">
        <v>53.164565327827312</v>
      </c>
      <c r="Q512" s="70">
        <v>59.825652056186762</v>
      </c>
      <c r="R512" s="70">
        <v>60.897252057123502</v>
      </c>
      <c r="S512" s="70">
        <v>60.727331138833179</v>
      </c>
      <c r="T512" s="70">
        <v>64.078223047494916</v>
      </c>
      <c r="U512" s="70">
        <v>63.637716771100564</v>
      </c>
      <c r="V512" s="70">
        <v>87.53637554993955</v>
      </c>
      <c r="X512" s="193">
        <f>((0-('Appendix K'!$I$30))/(1+$Y$16)^0)</f>
        <v>-33594902.4440751</v>
      </c>
      <c r="Y512" s="193">
        <f>(((B512*'Appendix K'!$C$5*1000)-('Appendix K'!$E$31+'Appendix K'!$F$31+'Appendix K'!$H$31+'Appendix K'!$G$31))/((1+$Y$16)^1))</f>
        <v>34971064.972647354</v>
      </c>
      <c r="Z512" s="193">
        <f>+(((C512*'Appendix K'!$C$6*1000)-('Appendix K'!$E$32+'Appendix K'!$F$32+'Appendix K'!$H$32+'Appendix K'!$G$32))/((1+$Y$16)^2))</f>
        <v>14986234.109423516</v>
      </c>
      <c r="AA512" s="193">
        <f>(((D512*'Appendix K'!$C$7*1000)-('Appendix K'!$E$33+'Appendix K'!$F$33+'Appendix K'!$H$33+'Appendix K'!$G$33))/((1+$Y$16)^3))</f>
        <v>6595776.8262892589</v>
      </c>
      <c r="AB512" s="193">
        <f>(((E512*'Appendix K'!$C$8*1000)-('Appendix K'!$E$34+'Appendix K'!$F$34+'Appendix K'!$H$34+'Appendix K'!$G$34))/((1+$Y$16)^4))</f>
        <v>9549097.0411972404</v>
      </c>
      <c r="AC512" s="193">
        <f>(((F512*'Appendix K'!$C$9*1000)-('Appendix K'!$E$35+'Appendix K'!$F$35+'Appendix K'!$H$35+'Appendix K'!$G$35))/((1+$Y$16)^AC$34))</f>
        <v>13554160.84794962</v>
      </c>
      <c r="AD512" s="193">
        <f>(((G512*'Appendix K'!$C$10*1000)-('Appendix K'!$E$36+'Appendix K'!$F$36+'Appendix K'!$H$36+'Appendix K'!$G$36))/((1+$Y$16)^AD$34))</f>
        <v>5150621.9273664653</v>
      </c>
      <c r="AE512" s="193">
        <f>(((H512*'Appendix K'!$C$11*1000)-('Appendix K'!$E$37+'Appendix K'!$F$37+'Appendix K'!$H$37+'Appendix K'!$G$37))/((1+$Y$16)^AE$34))</f>
        <v>256668.02819583606</v>
      </c>
      <c r="AF512" s="193">
        <f>(((I512*'Appendix K'!$C$12*1000)-('Appendix K'!$E$38+'Appendix K'!$F$38+'Appendix K'!$H$38+'Appendix K'!$G$38))/((1+$Y$16)^AF$34))</f>
        <v>-1046944.7559380356</v>
      </c>
      <c r="AG512" s="193">
        <f>(((J512*'Appendix K'!$C$13*1000)-('Appendix K'!$E$39+'Appendix K'!$F$39+'Appendix K'!$H$39+'Appendix K'!$G$39))/((1+$Y$16)^AG$34))</f>
        <v>-788847.45813076198</v>
      </c>
      <c r="AH512" s="193">
        <f>(((K512*'Appendix K'!$C$14*1000)-('Appendix K'!$E$40+'Appendix K'!$F$40+'Appendix K'!$H$40+'Appendix K'!$G$40))/((1+$Y$16)^AH$34))</f>
        <v>-871669.91133461299</v>
      </c>
      <c r="AI512" s="193">
        <f>(((L512*'Appendix K'!$C$15*1000)-('Appendix K'!$E$41+'Appendix K'!$F$41+'Appendix K'!$H$41+'Appendix K'!$G$41))/((1+$Y$16)^AI$34))</f>
        <v>-782690.17174714722</v>
      </c>
      <c r="AJ512" s="193">
        <f>(((M512*'Appendix K'!$C$16*1000)-('Appendix K'!$E$42+'Appendix K'!$F$42+'Appendix K'!$H$42+'Appendix K'!$G$42))/((1+$Y$16)^AJ$34))</f>
        <v>-528133.1719886323</v>
      </c>
      <c r="AK512" s="193">
        <f>(((N512*'Appendix K'!$C$17*1000)-('Appendix K'!$E$43+'Appendix K'!$F$43+'Appendix K'!$H$43))/((1+$Y$16)^AK$34))</f>
        <v>-430559.13980350166</v>
      </c>
      <c r="AL512" s="193">
        <f>(((O512*'Appendix K'!$C$18*1000)-('Appendix K'!$E$44+'Appendix K'!$F$44+'Appendix K'!$H$44+'Appendix K'!$G$44))/((1+$Y$16)^AL$34))</f>
        <v>-657315.86688197416</v>
      </c>
      <c r="AM512" s="193">
        <f>(((P512*'Appendix K'!$C$19*1000)-('Appendix K'!$E$45+'Appendix K'!$F$45+'Appendix K'!$H$45+'Appendix K'!$G$45))/((1+$Y$16)^AM$34))</f>
        <v>-533997.84523685393</v>
      </c>
      <c r="AN512" s="193">
        <f>(((Q512*'Appendix K'!$C$20*1000)-('Appendix K'!$E$46+'Appendix K'!$F$46+'Appendix K'!$H$46+'Appendix K'!$G$46))/((1+$Y$16)^AN$34))</f>
        <v>-482797.44494765642</v>
      </c>
      <c r="AO512" s="193">
        <f>(((R512*'Appendix K'!$C$21*1000)-('Appendix K'!$E$47+'Appendix K'!$F$47+'Appendix K'!$H$47+'Appendix K'!$G$47))/((1+$Y$16)^AO$34))</f>
        <v>-483089.437792546</v>
      </c>
      <c r="AP512" s="193">
        <f>(((S512*'Appendix K'!$C$22*1000)-('Appendix K'!$E$48+'Appendix K'!$F$48+'Appendix K'!$H$48+'Appendix K'!$G$48))/((1+$Y$16)^AP$34))</f>
        <v>-473586.36029250268</v>
      </c>
      <c r="AQ512" s="193">
        <f>(((T512*'Appendix K'!$C$23*1000)-('Appendix K'!$E$49+'Appendix K'!$F$49+'Appendix K'!$H$49+'Appendix K'!$G$49))/((1+$Y$16)^AQ$34))</f>
        <v>-442699.87094970333</v>
      </c>
      <c r="AR512" s="193">
        <f>(((U512*'Appendix K'!$C$24*1000)-('Appendix K'!$E$50+'Appendix K'!$F$50+'Appendix K'!$H$50+'Appendix K'!$G$50))/((1+$Y$16)^AR$34))</f>
        <v>-424373.63824917696</v>
      </c>
      <c r="AS512" s="209">
        <f t="shared" si="30"/>
        <v>51468721.308994196</v>
      </c>
      <c r="AU512" s="199">
        <f t="shared" si="29"/>
        <v>5.7389736414157165E-9</v>
      </c>
    </row>
    <row r="513" spans="1:47" x14ac:dyDescent="0.35">
      <c r="A513">
        <v>479</v>
      </c>
      <c r="B513" s="70">
        <v>56</v>
      </c>
      <c r="C513" s="70">
        <v>21.694567108475148</v>
      </c>
      <c r="D513" s="70">
        <v>24.53143981416601</v>
      </c>
      <c r="E513" s="70">
        <v>34.270239149333783</v>
      </c>
      <c r="F513" s="70">
        <v>45.778842385747964</v>
      </c>
      <c r="G513" s="70">
        <v>17.401246638343551</v>
      </c>
      <c r="H513" s="70">
        <v>28.749550552258178</v>
      </c>
      <c r="I513" s="70">
        <v>49.475180136808284</v>
      </c>
      <c r="J513" s="70">
        <v>61.695348164285079</v>
      </c>
      <c r="K513" s="70">
        <v>82.844234583979613</v>
      </c>
      <c r="L513" s="70">
        <v>116.16970475299121</v>
      </c>
      <c r="M513" s="70">
        <v>171.09741919121507</v>
      </c>
      <c r="N513" s="70">
        <v>115.94792685725966</v>
      </c>
      <c r="O513" s="70">
        <v>217.08282634490587</v>
      </c>
      <c r="P513" s="70">
        <v>258.96957289114914</v>
      </c>
      <c r="Q513" s="70">
        <v>165.94101455998441</v>
      </c>
      <c r="R513" s="70">
        <v>255.85193561416244</v>
      </c>
      <c r="S513" s="70">
        <v>199.8367294894399</v>
      </c>
      <c r="T513" s="70">
        <v>172.11038561733153</v>
      </c>
      <c r="U513" s="70">
        <v>272.00859700159469</v>
      </c>
      <c r="V513" s="70">
        <v>351.2739835286111</v>
      </c>
      <c r="X513" s="193">
        <f>((0-('Appendix K'!$I$30))/(1+$Y$16)^0)</f>
        <v>-33594902.4440751</v>
      </c>
      <c r="Y513" s="193">
        <f>(((B513*'Appendix K'!$C$5*1000)-('Appendix K'!$E$31+'Appendix K'!$F$31+'Appendix K'!$H$31+'Appendix K'!$G$31))/((1+$Y$16)^1))</f>
        <v>34971064.972647354</v>
      </c>
      <c r="Z513" s="193">
        <f>+(((C513*'Appendix K'!$C$6*1000)-('Appendix K'!$E$32+'Appendix K'!$F$32+'Appendix K'!$H$32+'Appendix K'!$G$32))/((1+$Y$16)^2))</f>
        <v>1993171.0265877077</v>
      </c>
      <c r="AA513" s="193">
        <f>(((D513*'Appendix K'!$C$7*1000)-('Appendix K'!$E$33+'Appendix K'!$F$33+'Appendix K'!$H$33+'Appendix K'!$G$33))/((1+$Y$16)^3))</f>
        <v>159790.9521774723</v>
      </c>
      <c r="AB513" s="193">
        <f>(((E513*'Appendix K'!$C$8*1000)-('Appendix K'!$E$34+'Appendix K'!$F$34+'Appendix K'!$H$34+'Appendix K'!$G$34))/((1+$Y$16)^4))</f>
        <v>4218514.8188350964</v>
      </c>
      <c r="AC513" s="193">
        <f>(((F513*'Appendix K'!$C$9*1000)-('Appendix K'!$E$35+'Appendix K'!$F$35+'Appendix K'!$H$35+'Appendix K'!$G$35))/((1+$Y$16)^AC$34))</f>
        <v>9183715.9012902118</v>
      </c>
      <c r="AD513" s="193">
        <f>(((G513*'Appendix K'!$C$10*1000)-('Appendix K'!$E$36+'Appendix K'!$F$36+'Appendix K'!$H$36+'Appendix K'!$G$36))/((1+$Y$16)^AD$34))</f>
        <v>216997.55560456633</v>
      </c>
      <c r="AE513" s="193">
        <f>(((H513*'Appendix K'!$C$11*1000)-('Appendix K'!$E$37+'Appendix K'!$F$37+'Appendix K'!$H$37+'Appendix K'!$G$37))/((1+$Y$16)^AE$34))</f>
        <v>647471.03680648061</v>
      </c>
      <c r="AF513" s="193">
        <f>(((I513*'Appendix K'!$C$12*1000)-('Appendix K'!$E$38+'Appendix K'!$F$38+'Appendix K'!$H$38+'Appendix K'!$G$38))/((1+$Y$16)^AF$34))</f>
        <v>1252081.3953314738</v>
      </c>
      <c r="AG513" s="193">
        <f>(((J513*'Appendix K'!$C$13*1000)-('Appendix K'!$E$39+'Appendix K'!$F$39+'Appendix K'!$H$39+'Appendix K'!$G$39))/((1+$Y$16)^AG$34))</f>
        <v>1024210.1955466549</v>
      </c>
      <c r="AH513" s="193">
        <f>(((K513*'Appendix K'!$C$14*1000)-('Appendix K'!$E$40+'Appendix K'!$F$40+'Appendix K'!$H$40+'Appendix K'!$G$40))/((1+$Y$16)^AH$34))</f>
        <v>1159650.2535383832</v>
      </c>
      <c r="AI513" s="193">
        <f>(((L513*'Appendix K'!$C$15*1000)-('Appendix K'!$E$41+'Appendix K'!$F$41+'Appendix K'!$H$41+'Appendix K'!$G$41))/((1+$Y$16)^AI$34))</f>
        <v>1527382.1546104599</v>
      </c>
      <c r="AJ513" s="193">
        <f>(((M513*'Appendix K'!$C$16*1000)-('Appendix K'!$E$42+'Appendix K'!$F$42+'Appendix K'!$H$42+'Appendix K'!$G$42))/((1+$Y$16)^AJ$34))</f>
        <v>2047560.7569926209</v>
      </c>
      <c r="AK513" s="193">
        <f>(((N513*'Appendix K'!$C$17*1000)-('Appendix K'!$E$43+'Appendix K'!$F$43+'Appendix K'!$H$43))/((1+$Y$16)^AK$34))</f>
        <v>777153.4428559076</v>
      </c>
      <c r="AL513" s="193">
        <f>(((O513*'Appendix K'!$C$18*1000)-('Appendix K'!$E$44+'Appendix K'!$F$44+'Appendix K'!$H$44+'Appendix K'!$G$44))/((1+$Y$16)^AL$34))</f>
        <v>1438557.492079152</v>
      </c>
      <c r="AM513" s="193">
        <f>(((P513*'Appendix K'!$C$19*1000)-('Appendix K'!$E$45+'Appendix K'!$F$45+'Appendix K'!$H$45+'Appendix K'!$G$45))/((1+$Y$16)^AM$34))</f>
        <v>1373553.5713742096</v>
      </c>
      <c r="AN513" s="193">
        <f>(((Q513*'Appendix K'!$C$20*1000)-('Appendix K'!$E$46+'Appendix K'!$F$46+'Appendix K'!$H$46+'Appendix K'!$G$46))/((1+$Y$16)^AN$34))</f>
        <v>285076.33358470973</v>
      </c>
      <c r="AO513" s="193">
        <f>(((R513*'Appendix K'!$C$21*1000)-('Appendix K'!$E$47+'Appendix K'!$F$47+'Appendix K'!$H$47+'Appendix K'!$G$47))/((1+$Y$16)^AO$34))</f>
        <v>669114.28063083801</v>
      </c>
      <c r="AP513" s="193">
        <f>(((S513*'Appendix K'!$C$22*1000)-('Appendix K'!$E$48+'Appendix K'!$F$48+'Appendix K'!$H$48+'Appendix K'!$G$48))/((1+$Y$16)^AP$34))</f>
        <v>192708.61559752503</v>
      </c>
      <c r="AQ513" s="193">
        <f>(((T513*'Appendix K'!$C$23*1000)-('Appendix K'!$E$49+'Appendix K'!$F$49+'Appendix K'!$H$49+'Appendix K'!$G$49))/((1+$Y$16)^AQ$34))</f>
        <v>-19889.643594274858</v>
      </c>
      <c r="AR513" s="193">
        <f>(((U513*'Appendix K'!$C$24*1000)-('Appendix K'!$E$50+'Appendix K'!$F$50+'Appendix K'!$H$50+'Appendix K'!$G$50))/((1+$Y$16)^AR$34))</f>
        <v>246586.43440723748</v>
      </c>
      <c r="AS513" s="209">
        <f t="shared" si="30"/>
        <v>29789458.746422969</v>
      </c>
      <c r="AU513" s="199">
        <f t="shared" si="29"/>
        <v>4.1828529758995358E-9</v>
      </c>
    </row>
    <row r="514" spans="1:47" x14ac:dyDescent="0.35">
      <c r="A514">
        <v>480</v>
      </c>
      <c r="B514" s="70">
        <v>56</v>
      </c>
      <c r="C514" s="70">
        <v>44.000899413574452</v>
      </c>
      <c r="D514" s="70">
        <v>32.688542616405655</v>
      </c>
      <c r="E514" s="70">
        <v>22.129611007953063</v>
      </c>
      <c r="F514" s="70">
        <v>29.082633468663595</v>
      </c>
      <c r="G514" s="70">
        <v>29.631440996236421</v>
      </c>
      <c r="H514" s="70">
        <v>19.82258839592027</v>
      </c>
      <c r="I514" s="70">
        <v>19.786214329353694</v>
      </c>
      <c r="J514" s="70">
        <v>19.18389200332313</v>
      </c>
      <c r="K514" s="70">
        <v>17.878789813446481</v>
      </c>
      <c r="L514" s="70">
        <v>21.971933512626094</v>
      </c>
      <c r="M514" s="70">
        <v>40.731909803545108</v>
      </c>
      <c r="N514" s="70">
        <v>56.517334895673784</v>
      </c>
      <c r="O514" s="70">
        <v>62.099237978010741</v>
      </c>
      <c r="P514" s="70">
        <v>79.825508411419094</v>
      </c>
      <c r="Q514" s="70">
        <v>94.140272669473475</v>
      </c>
      <c r="R514" s="70">
        <v>132.9208770632174</v>
      </c>
      <c r="S514" s="70">
        <v>131.58480449226076</v>
      </c>
      <c r="T514" s="70">
        <v>195.31243741083242</v>
      </c>
      <c r="U514" s="70">
        <v>189.74362398284276</v>
      </c>
      <c r="V514" s="70">
        <v>141.62982477560053</v>
      </c>
      <c r="X514" s="193">
        <f>((0-('Appendix K'!$I$30))/(1+$Y$16)^0)</f>
        <v>-33594902.4440751</v>
      </c>
      <c r="Y514" s="193">
        <f>(((B514*'Appendix K'!$C$5*1000)-('Appendix K'!$E$31+'Appendix K'!$F$31+'Appendix K'!$H$31+'Appendix K'!$G$31))/((1+$Y$16)^1))</f>
        <v>34971064.972647354</v>
      </c>
      <c r="Z514" s="193">
        <f>+(((C514*'Appendix K'!$C$6*1000)-('Appendix K'!$E$32+'Appendix K'!$F$32+'Appendix K'!$H$32+'Appendix K'!$G$32))/((1+$Y$16)^2))</f>
        <v>7628132.0748251062</v>
      </c>
      <c r="AA514" s="193">
        <f>(((D514*'Appendix K'!$C$7*1000)-('Appendix K'!$E$33+'Appendix K'!$F$33+'Appendix K'!$H$33+'Appendix K'!$G$33))/((1+$Y$16)^3))</f>
        <v>1198800.8804276164</v>
      </c>
      <c r="AB514" s="193">
        <f>(((E514*'Appendix K'!$C$8*1000)-('Appendix K'!$E$34+'Appendix K'!$F$34+'Appendix K'!$H$34+'Appendix K'!$G$34))/((1+$Y$16)^4))</f>
        <v>1557400.2669981262</v>
      </c>
      <c r="AC514" s="193">
        <f>(((F514*'Appendix K'!$C$9*1000)-('Appendix K'!$E$35+'Appendix K'!$F$35+'Appendix K'!$H$35+'Appendix K'!$G$35))/((1+$Y$16)^AC$34))</f>
        <v>4745889.7888819622</v>
      </c>
      <c r="AD514" s="193">
        <f>(((G514*'Appendix K'!$C$10*1000)-('Appendix K'!$E$36+'Appendix K'!$F$36+'Appendix K'!$H$36+'Appendix K'!$G$36))/((1+$Y$16)^AD$34))</f>
        <v>2137675.6053806418</v>
      </c>
      <c r="AE514" s="193">
        <f>(((H514*'Appendix K'!$C$11*1000)-('Appendix K'!$E$37+'Appendix K'!$F$37+'Appendix K'!$H$37+'Appendix K'!$G$37))/((1+$Y$16)^AE$34))</f>
        <v>-242883.00137968035</v>
      </c>
      <c r="AF514" s="193">
        <f>(((I514*'Appendix K'!$C$12*1000)-('Appendix K'!$E$38+'Appendix K'!$F$38+'Appendix K'!$H$38+'Appendix K'!$G$38))/((1+$Y$16)^AF$34))</f>
        <v>-697368.15586502186</v>
      </c>
      <c r="AG514" s="193">
        <f>(((J514*'Appendix K'!$C$13*1000)-('Appendix K'!$E$39+'Appendix K'!$F$39+'Appendix K'!$H$39+'Appendix K'!$G$39))/((1+$Y$16)^AG$34))</f>
        <v>-932121.63862824847</v>
      </c>
      <c r="AH514" s="193">
        <f>(((K514*'Appendix K'!$C$14*1000)-('Appendix K'!$E$40+'Appendix K'!$F$40+'Appendix K'!$H$40+'Appendix K'!$G$40))/((1+$Y$16)^AH$34))</f>
        <v>-1030109.2488451126</v>
      </c>
      <c r="AI514" s="193">
        <f>(((L514*'Appendix K'!$C$15*1000)-('Appendix K'!$E$41+'Appendix K'!$F$41+'Appendix K'!$H$41+'Appendix K'!$G$41))/((1+$Y$16)^AI$34))</f>
        <v>-940775.60258308263</v>
      </c>
      <c r="AJ514" s="193">
        <f>(((M514*'Appendix K'!$C$16*1000)-('Appendix K'!$E$42+'Appendix K'!$F$42+'Appendix K'!$H$42+'Appendix K'!$G$42))/((1+$Y$16)^AJ$34))</f>
        <v>-565207.44066747162</v>
      </c>
      <c r="AK514" s="193">
        <f>(((N514*'Appendix K'!$C$17*1000)-('Appendix K'!$E$43+'Appendix K'!$F$43+'Appendix K'!$H$43))/((1+$Y$16)^AK$34))</f>
        <v>-135932.07818494015</v>
      </c>
      <c r="AL514" s="193">
        <f>(((O514*'Appendix K'!$C$18*1000)-('Appendix K'!$E$44+'Appendix K'!$F$44+'Appendix K'!$H$44+'Appendix K'!$G$44))/((1+$Y$16)^AL$34))</f>
        <v>-398508.5850840343</v>
      </c>
      <c r="AM514" s="193">
        <f>(((P514*'Appendix K'!$C$19*1000)-('Appendix K'!$E$45+'Appendix K'!$F$45+'Appendix K'!$H$45+'Appendix K'!$G$45))/((1+$Y$16)^AM$34))</f>
        <v>-286884.71446599654</v>
      </c>
      <c r="AN514" s="193">
        <f>(((Q514*'Appendix K'!$C$20*1000)-('Appendix K'!$E$46+'Appendix K'!$F$46+'Appendix K'!$H$46+'Appendix K'!$G$46))/((1+$Y$16)^AN$34))</f>
        <v>-234489.40766148028</v>
      </c>
      <c r="AO514" s="193">
        <f>(((R514*'Appendix K'!$C$21*1000)-('Appendix K'!$E$47+'Appendix K'!$F$47+'Appendix K'!$H$47+'Appendix K'!$G$47))/((1+$Y$16)^AO$34))</f>
        <v>-57421.856833542421</v>
      </c>
      <c r="AP514" s="193">
        <f>(((S514*'Appendix K'!$C$22*1000)-('Appendix K'!$E$48+'Appendix K'!$F$48+'Appendix K'!$H$48+'Appendix K'!$G$48))/((1+$Y$16)^AP$34))</f>
        <v>-134198.94966867979</v>
      </c>
      <c r="AQ514" s="193">
        <f>(((T514*'Appendix K'!$C$23*1000)-('Appendix K'!$E$49+'Appendix K'!$F$49+'Appendix K'!$H$49+'Appendix K'!$G$49))/((1+$Y$16)^AQ$34))</f>
        <v>70917.247247893611</v>
      </c>
      <c r="AR514" s="193">
        <f>(((U514*'Appendix K'!$C$24*1000)-('Appendix K'!$E$50+'Appendix K'!$F$50+'Appendix K'!$H$50+'Appendix K'!$G$50))/((1+$Y$16)^AR$34))</f>
        <v>-18309.083683788009</v>
      </c>
      <c r="AS514" s="209">
        <f t="shared" si="30"/>
        <v>18714978.392333604</v>
      </c>
      <c r="AU514" s="199">
        <f t="shared" si="29"/>
        <v>3.363934807174541E-9</v>
      </c>
    </row>
    <row r="515" spans="1:47" x14ac:dyDescent="0.35">
      <c r="A515">
        <v>481</v>
      </c>
      <c r="B515" s="70">
        <v>56</v>
      </c>
      <c r="C515" s="70">
        <v>34.210283427878181</v>
      </c>
      <c r="D515" s="70">
        <v>45.440853996982582</v>
      </c>
      <c r="E515" s="70">
        <v>63.824175786425933</v>
      </c>
      <c r="F515" s="70">
        <v>80.52928984348614</v>
      </c>
      <c r="G515" s="70">
        <v>75.023585612951877</v>
      </c>
      <c r="H515" s="70">
        <v>72.591363910103894</v>
      </c>
      <c r="I515" s="70">
        <v>99.16337396790928</v>
      </c>
      <c r="J515" s="70">
        <v>119.15752148537459</v>
      </c>
      <c r="K515" s="70">
        <v>75.249262255352633</v>
      </c>
      <c r="L515" s="70">
        <v>71.594480206997545</v>
      </c>
      <c r="M515" s="70">
        <v>77.271600983422672</v>
      </c>
      <c r="N515" s="70">
        <v>86.584401584364556</v>
      </c>
      <c r="O515" s="70">
        <v>77.256704537904042</v>
      </c>
      <c r="P515" s="70">
        <v>85.18973234425394</v>
      </c>
      <c r="Q515" s="70">
        <v>29.05111531190223</v>
      </c>
      <c r="R515" s="70">
        <v>44.577993089408295</v>
      </c>
      <c r="S515" s="70">
        <v>69.137624559634517</v>
      </c>
      <c r="T515" s="70">
        <v>83.55059707468061</v>
      </c>
      <c r="U515" s="70">
        <v>94.601857344422896</v>
      </c>
      <c r="V515" s="70">
        <v>102.34232243651063</v>
      </c>
      <c r="X515" s="193">
        <f>((0-('Appendix K'!$I$30))/(1+$Y$16)^0)</f>
        <v>-33594902.4440751</v>
      </c>
      <c r="Y515" s="193">
        <f>(((B515*'Appendix K'!$C$5*1000)-('Appendix K'!$E$31+'Appendix K'!$F$31+'Appendix K'!$H$31+'Appendix K'!$G$31))/((1+$Y$16)^1))</f>
        <v>34971064.972647354</v>
      </c>
      <c r="Z515" s="193">
        <f>+(((C515*'Appendix K'!$C$6*1000)-('Appendix K'!$E$32+'Appendix K'!$F$32+'Appendix K'!$H$32+'Appendix K'!$G$32))/((1+$Y$16)^2))</f>
        <v>5154855.026718148</v>
      </c>
      <c r="AA515" s="193">
        <f>(((D515*'Appendix K'!$C$7*1000)-('Appendix K'!$E$33+'Appendix K'!$F$33+'Appendix K'!$H$33+'Appendix K'!$G$33))/((1+$Y$16)^3))</f>
        <v>2823124.9148039911</v>
      </c>
      <c r="AB515" s="193">
        <f>(((E515*'Appendix K'!$C$8*1000)-('Appendix K'!$E$34+'Appendix K'!$F$34+'Appendix K'!$H$34+'Appendix K'!$G$34))/((1+$Y$16)^4))</f>
        <v>10696467.189435378</v>
      </c>
      <c r="AC515" s="193">
        <f>(((F515*'Appendix K'!$C$9*1000)-('Appendix K'!$E$35+'Appendix K'!$F$35+'Appendix K'!$H$35+'Appendix K'!$G$35))/((1+$Y$16)^AC$34))</f>
        <v>18420330.267562285</v>
      </c>
      <c r="AD515" s="193">
        <f>(((G515*'Appendix K'!$C$10*1000)-('Appendix K'!$E$36+'Appendix K'!$F$36+'Appendix K'!$H$36+'Appendix K'!$G$36))/((1+$Y$16)^AD$34))</f>
        <v>9266237.3637898061</v>
      </c>
      <c r="AE515" s="193">
        <f>(((H515*'Appendix K'!$C$11*1000)-('Appendix K'!$E$37+'Appendix K'!$F$37+'Appendix K'!$H$37+'Appendix K'!$G$37))/((1+$Y$16)^AE$34))</f>
        <v>5020149.5450096652</v>
      </c>
      <c r="AF515" s="193">
        <f>(((I515*'Appendix K'!$C$12*1000)-('Appendix K'!$E$38+'Appendix K'!$F$38+'Appendix K'!$H$38+'Appendix K'!$G$38))/((1+$Y$16)^AF$34))</f>
        <v>4514728.7974677458</v>
      </c>
      <c r="AG515" s="193">
        <f>(((J515*'Appendix K'!$C$13*1000)-('Appendix K'!$E$39+'Appendix K'!$F$39+'Appendix K'!$H$39+'Appendix K'!$G$39))/((1+$Y$16)^AG$34))</f>
        <v>3668558.0744639011</v>
      </c>
      <c r="AH515" s="193">
        <f>(((K515*'Appendix K'!$C$14*1000)-('Appendix K'!$E$40+'Appendix K'!$F$40+'Appendix K'!$H$40+'Appendix K'!$G$40))/((1+$Y$16)^AH$34))</f>
        <v>903650.11553125968</v>
      </c>
      <c r="AI515" s="193">
        <f>(((L515*'Appendix K'!$C$15*1000)-('Appendix K'!$E$41+'Appendix K'!$F$41+'Appendix K'!$H$41+'Appendix K'!$G$41))/((1+$Y$16)^AI$34))</f>
        <v>359427.91542678757</v>
      </c>
      <c r="AJ515" s="193">
        <f>(((M515*'Appendix K'!$C$16*1000)-('Appendix K'!$E$42+'Appendix K'!$F$42+'Appendix K'!$H$42+'Appendix K'!$G$42))/((1+$Y$16)^AJ$34))</f>
        <v>167116.18937492868</v>
      </c>
      <c r="AK515" s="193">
        <f>(((N515*'Appendix K'!$C$17*1000)-('Appendix K'!$E$43+'Appendix K'!$F$43+'Appendix K'!$H$43))/((1+$Y$16)^AK$34))</f>
        <v>326015.2514219805</v>
      </c>
      <c r="AL515" s="193">
        <f>(((O515*'Appendix K'!$C$18*1000)-('Appendix K'!$E$44+'Appendix K'!$F$44+'Appendix K'!$H$44+'Appendix K'!$G$44))/((1+$Y$16)^AL$34))</f>
        <v>-218842.67383285851</v>
      </c>
      <c r="AM515" s="193">
        <f>(((P515*'Appendix K'!$C$19*1000)-('Appendix K'!$E$45+'Appendix K'!$F$45+'Appendix K'!$H$45+'Appendix K'!$G$45))/((1+$Y$16)^AM$34))</f>
        <v>-237165.16155886074</v>
      </c>
      <c r="AN515" s="193">
        <f>(((Q515*'Appendix K'!$C$20*1000)-('Appendix K'!$E$46+'Appendix K'!$F$46+'Appendix K'!$H$46+'Appendix K'!$G$46))/((1+$Y$16)^AN$34))</f>
        <v>-705488.66754580941</v>
      </c>
      <c r="AO515" s="193">
        <f>(((R515*'Appendix K'!$C$21*1000)-('Appendix K'!$E$47+'Appendix K'!$F$47+'Appendix K'!$H$47+'Appendix K'!$G$47))/((1+$Y$16)^AO$34))</f>
        <v>-579538.06124413025</v>
      </c>
      <c r="AP515" s="193">
        <f>(((S515*'Appendix K'!$C$22*1000)-('Appendix K'!$E$48+'Appendix K'!$F$48+'Appendix K'!$H$48+'Appendix K'!$G$48))/((1+$Y$16)^AP$34))</f>
        <v>-433303.41522564663</v>
      </c>
      <c r="AQ515" s="193">
        <f>(((T515*'Appendix K'!$C$23*1000)-('Appendix K'!$E$49+'Appendix K'!$F$49+'Appendix K'!$H$49+'Appendix K'!$G$49))/((1+$Y$16)^AQ$34))</f>
        <v>-366489.98406289693</v>
      </c>
      <c r="AR515" s="193">
        <f>(((U515*'Appendix K'!$C$24*1000)-('Appendix K'!$E$50+'Appendix K'!$F$50+'Appendix K'!$H$50+'Appendix K'!$G$50))/((1+$Y$16)^AR$34))</f>
        <v>-324668.23802320362</v>
      </c>
      <c r="AS515" s="209">
        <f t="shared" si="30"/>
        <v>62696823.179578118</v>
      </c>
      <c r="AU515" s="199">
        <f t="shared" si="29"/>
        <v>6.383585703671785E-9</v>
      </c>
    </row>
    <row r="516" spans="1:47" x14ac:dyDescent="0.35">
      <c r="A516">
        <v>482</v>
      </c>
      <c r="B516" s="70">
        <v>56</v>
      </c>
      <c r="C516" s="70">
        <v>76.451067714529572</v>
      </c>
      <c r="D516" s="70">
        <v>58.350293752371336</v>
      </c>
      <c r="E516" s="70">
        <v>61.062737339630758</v>
      </c>
      <c r="F516" s="70">
        <v>70.157778180089622</v>
      </c>
      <c r="G516" s="70">
        <v>124.390877818181</v>
      </c>
      <c r="H516" s="70">
        <v>149.67650184150048</v>
      </c>
      <c r="I516" s="70">
        <v>156.28858442467552</v>
      </c>
      <c r="J516" s="70">
        <v>156.36691660593331</v>
      </c>
      <c r="K516" s="70">
        <v>146.7559549452501</v>
      </c>
      <c r="L516" s="70">
        <v>106.54976345648343</v>
      </c>
      <c r="M516" s="70">
        <v>74.909525254446578</v>
      </c>
      <c r="N516" s="70">
        <v>57.910539100821282</v>
      </c>
      <c r="O516" s="70">
        <v>79.442655441073072</v>
      </c>
      <c r="P516" s="70">
        <v>13.855664253319915</v>
      </c>
      <c r="Q516" s="70">
        <v>20.395770411597596</v>
      </c>
      <c r="R516" s="70">
        <v>15.117312097014096</v>
      </c>
      <c r="S516" s="70">
        <v>15.251939707090223</v>
      </c>
      <c r="T516" s="70">
        <v>18.796908424547116</v>
      </c>
      <c r="U516" s="70">
        <v>22.130840064092432</v>
      </c>
      <c r="V516" s="70">
        <v>20.659056833589492</v>
      </c>
      <c r="X516" s="193">
        <f>((0-('Appendix K'!$I$30))/(1+$Y$16)^0)</f>
        <v>-33594902.4440751</v>
      </c>
      <c r="Y516" s="193">
        <f>(((B516*'Appendix K'!$C$5*1000)-('Appendix K'!$E$31+'Appendix K'!$F$31+'Appendix K'!$H$31+'Appendix K'!$G$31))/((1+$Y$16)^1))</f>
        <v>34971064.972647354</v>
      </c>
      <c r="Z516" s="193">
        <f>+(((C516*'Appendix K'!$C$6*1000)-('Appendix K'!$E$32+'Appendix K'!$F$32+'Appendix K'!$H$32+'Appendix K'!$G$32))/((1+$Y$16)^2))</f>
        <v>15825599.586901426</v>
      </c>
      <c r="AA516" s="193">
        <f>(((D516*'Appendix K'!$C$7*1000)-('Appendix K'!$E$33+'Appendix K'!$F$33+'Appendix K'!$H$33+'Appendix K'!$G$33))/((1+$Y$16)^3))</f>
        <v>4467463.1558659161</v>
      </c>
      <c r="AB516" s="193">
        <f>(((E516*'Appendix K'!$C$8*1000)-('Appendix K'!$E$34+'Appendix K'!$F$34+'Appendix K'!$H$34+'Appendix K'!$G$34))/((1+$Y$16)^4))</f>
        <v>10091185.16043379</v>
      </c>
      <c r="AC516" s="193">
        <f>(((F516*'Appendix K'!$C$9*1000)-('Appendix K'!$E$35+'Appendix K'!$F$35+'Appendix K'!$H$35+'Appendix K'!$G$35))/((1+$Y$16)^AC$34))</f>
        <v>15663598.75362736</v>
      </c>
      <c r="AD516" s="193">
        <f>(((G516*'Appendix K'!$C$10*1000)-('Appendix K'!$E$36+'Appendix K'!$F$36+'Appendix K'!$H$36+'Appendix K'!$G$36))/((1+$Y$16)^AD$34))</f>
        <v>17019072.007359721</v>
      </c>
      <c r="AE516" s="193">
        <f>(((H516*'Appendix K'!$C$11*1000)-('Appendix K'!$E$37+'Appendix K'!$F$37+'Appendix K'!$H$37+'Appendix K'!$G$37))/((1+$Y$16)^AE$34))</f>
        <v>12708438.420820406</v>
      </c>
      <c r="AF516" s="193">
        <f>(((I516*'Appendix K'!$C$12*1000)-('Appendix K'!$E$38+'Appendix K'!$F$38+'Appendix K'!$H$38+'Appendix K'!$G$38))/((1+$Y$16)^AF$34))</f>
        <v>8265708.7611748772</v>
      </c>
      <c r="AG516" s="193">
        <f>(((J516*'Appendix K'!$C$13*1000)-('Appendix K'!$E$39+'Appendix K'!$F$39+'Appendix K'!$H$39+'Appendix K'!$G$39))/((1+$Y$16)^AG$34))</f>
        <v>5380894.7191819809</v>
      </c>
      <c r="AH516" s="193">
        <f>(((K516*'Appendix K'!$C$14*1000)-('Appendix K'!$E$40+'Appendix K'!$F$40+'Appendix K'!$H$40+'Appendix K'!$G$40))/((1+$Y$16)^AH$34))</f>
        <v>3313892.3659274536</v>
      </c>
      <c r="AI516" s="193">
        <f>(((L516*'Appendix K'!$C$15*1000)-('Appendix K'!$E$41+'Appendix K'!$F$41+'Appendix K'!$H$41+'Appendix K'!$G$41))/((1+$Y$16)^AI$34))</f>
        <v>1275321.7032635212</v>
      </c>
      <c r="AJ516" s="193">
        <f>(((M516*'Appendix K'!$C$16*1000)-('Appendix K'!$E$42+'Appendix K'!$F$42+'Appendix K'!$H$42+'Appendix K'!$G$42))/((1+$Y$16)^AJ$34))</f>
        <v>119775.78182295036</v>
      </c>
      <c r="AK516" s="193">
        <f>(((N516*'Appendix K'!$C$17*1000)-('Appendix K'!$E$43+'Appendix K'!$F$43+'Appendix K'!$H$43))/((1+$Y$16)^AK$34))</f>
        <v>-114527.03163255754</v>
      </c>
      <c r="AL516" s="193">
        <f>(((O516*'Appendix K'!$C$18*1000)-('Appendix K'!$E$44+'Appendix K'!$F$44+'Appendix K'!$H$44+'Appendix K'!$G$44))/((1+$Y$16)^AL$34))</f>
        <v>-192931.95455689536</v>
      </c>
      <c r="AM516" s="193">
        <f>(((P516*'Appendix K'!$C$19*1000)-('Appendix K'!$E$45+'Appendix K'!$F$45+'Appendix K'!$H$45+'Appendix K'!$G$45))/((1+$Y$16)^AM$34))</f>
        <v>-898341.50634543912</v>
      </c>
      <c r="AN516" s="193">
        <f>(((Q516*'Appendix K'!$C$20*1000)-('Appendix K'!$E$46+'Appendix K'!$F$46+'Appendix K'!$H$46+'Appendix K'!$G$46))/((1+$Y$16)^AN$34))</f>
        <v>-768120.62050982926</v>
      </c>
      <c r="AO516" s="193">
        <f>(((R516*'Appendix K'!$C$21*1000)-('Appendix K'!$E$47+'Appendix K'!$F$47+'Appendix K'!$H$47+'Appendix K'!$G$47))/((1+$Y$16)^AO$34))</f>
        <v>-753653.9407264014</v>
      </c>
      <c r="AP516" s="193">
        <f>(((S516*'Appendix K'!$C$22*1000)-('Appendix K'!$E$48+'Appendix K'!$F$48+'Appendix K'!$H$48+'Appendix K'!$G$48))/((1+$Y$16)^AP$34))</f>
        <v>-691400.72220380628</v>
      </c>
      <c r="AQ516" s="193">
        <f>(((T516*'Appendix K'!$C$23*1000)-('Appendix K'!$E$49+'Appendix K'!$F$49+'Appendix K'!$H$49+'Appendix K'!$G$49))/((1+$Y$16)^AQ$34))</f>
        <v>-619919.34407007927</v>
      </c>
      <c r="AR516" s="193">
        <f>(((U516*'Appendix K'!$C$24*1000)-('Appendix K'!$E$50+'Appendix K'!$F$50+'Appendix K'!$H$50+'Appendix K'!$G$50))/((1+$Y$16)^AR$34))</f>
        <v>-558026.94422105129</v>
      </c>
      <c r="AS516" s="209">
        <f t="shared" si="30"/>
        <v>95507112.944951653</v>
      </c>
      <c r="AU516" s="199">
        <f t="shared" si="29"/>
        <v>6.9620620582398402E-9</v>
      </c>
    </row>
    <row r="517" spans="1:47" x14ac:dyDescent="0.35">
      <c r="A517">
        <v>483</v>
      </c>
      <c r="B517" s="70">
        <v>56</v>
      </c>
      <c r="C517" s="70">
        <v>64.009125003627858</v>
      </c>
      <c r="D517" s="70">
        <v>70.979223150216825</v>
      </c>
      <c r="E517" s="70">
        <v>111.26580022176771</v>
      </c>
      <c r="F517" s="70">
        <v>76.29086945827305</v>
      </c>
      <c r="G517" s="70">
        <v>91.334433354788899</v>
      </c>
      <c r="H517" s="70">
        <v>79.488465586426287</v>
      </c>
      <c r="I517" s="70">
        <v>123.71463287135244</v>
      </c>
      <c r="J517" s="70">
        <v>138.42474673006731</v>
      </c>
      <c r="K517" s="70">
        <v>147.26907683222285</v>
      </c>
      <c r="L517" s="70">
        <v>109.00806765899726</v>
      </c>
      <c r="M517" s="70">
        <v>86.745854625621973</v>
      </c>
      <c r="N517" s="70">
        <v>95.151104374823262</v>
      </c>
      <c r="O517" s="70">
        <v>123.97539077595697</v>
      </c>
      <c r="P517" s="70">
        <v>167.6601584343245</v>
      </c>
      <c r="Q517" s="70">
        <v>150.88319686753709</v>
      </c>
      <c r="R517" s="70">
        <v>159.6980102506509</v>
      </c>
      <c r="S517" s="70">
        <v>208.08241941566283</v>
      </c>
      <c r="T517" s="70">
        <v>271.68334301154562</v>
      </c>
      <c r="U517" s="70">
        <v>285.44661164548063</v>
      </c>
      <c r="V517" s="70">
        <v>301.57894996433697</v>
      </c>
      <c r="X517" s="193">
        <f>((0-('Appendix K'!$I$30))/(1+$Y$16)^0)</f>
        <v>-33594902.4440751</v>
      </c>
      <c r="Y517" s="193">
        <f>(((B517*'Appendix K'!$C$5*1000)-('Appendix K'!$E$31+'Appendix K'!$F$31+'Appendix K'!$H$31+'Appendix K'!$G$31))/((1+$Y$16)^1))</f>
        <v>34971064.972647354</v>
      </c>
      <c r="Z517" s="193">
        <f>+(((C517*'Appendix K'!$C$6*1000)-('Appendix K'!$E$32+'Appendix K'!$F$32+'Appendix K'!$H$32+'Appendix K'!$G$32))/((1+$Y$16)^2))</f>
        <v>12682552.0620376</v>
      </c>
      <c r="AA517" s="193">
        <f>(((D517*'Appendix K'!$C$7*1000)-('Appendix K'!$E$33+'Appendix K'!$F$33+'Appendix K'!$H$33+'Appendix K'!$G$33))/((1+$Y$16)^3))</f>
        <v>6076071.4259405369</v>
      </c>
      <c r="AB517" s="193">
        <f>(((E517*'Appendix K'!$C$8*1000)-('Appendix K'!$E$34+'Appendix K'!$F$34+'Appendix K'!$H$34+'Appendix K'!$G$34))/((1+$Y$16)^4))</f>
        <v>21095236.979390796</v>
      </c>
      <c r="AC517" s="193">
        <f>(((F517*'Appendix K'!$C$9*1000)-('Appendix K'!$E$35+'Appendix K'!$F$35+'Appendix K'!$H$35+'Appendix K'!$G$35))/((1+$Y$16)^AC$34))</f>
        <v>17293764.784686983</v>
      </c>
      <c r="AD517" s="193">
        <f>(((G517*'Appendix K'!$C$10*1000)-('Appendix K'!$E$36+'Appendix K'!$F$36+'Appendix K'!$H$36+'Appendix K'!$G$36))/((1+$Y$16)^AD$34))</f>
        <v>11827757.345748907</v>
      </c>
      <c r="AE517" s="193">
        <f>(((H517*'Appendix K'!$C$11*1000)-('Appendix K'!$E$37+'Appendix K'!$F$37+'Appendix K'!$H$37+'Appendix K'!$G$37))/((1+$Y$16)^AE$34))</f>
        <v>5708050.1120501943</v>
      </c>
      <c r="AF517" s="193">
        <f>(((I517*'Appendix K'!$C$12*1000)-('Appendix K'!$E$38+'Appendix K'!$F$38+'Appendix K'!$H$38+'Appendix K'!$G$38))/((1+$Y$16)^AF$34))</f>
        <v>6126824.0439316258</v>
      </c>
      <c r="AG517" s="193">
        <f>(((J517*'Appendix K'!$C$13*1000)-('Appendix K'!$E$39+'Appendix K'!$F$39+'Appendix K'!$H$39+'Appendix K'!$G$39))/((1+$Y$16)^AG$34))</f>
        <v>4555215.2136522802</v>
      </c>
      <c r="AH517" s="193">
        <f>(((K517*'Appendix K'!$C$14*1000)-('Appendix K'!$E$40+'Appendix K'!$F$40+'Appendix K'!$H$40+'Appendix K'!$G$40))/((1+$Y$16)^AH$34))</f>
        <v>3331187.9225398689</v>
      </c>
      <c r="AI517" s="193">
        <f>(((L517*'Appendix K'!$C$15*1000)-('Appendix K'!$E$41+'Appendix K'!$F$41+'Appendix K'!$H$41+'Appendix K'!$G$41))/((1+$Y$16)^AI$34))</f>
        <v>1339733.870420784</v>
      </c>
      <c r="AJ517" s="193">
        <f>(((M517*'Appendix K'!$C$16*1000)-('Appendix K'!$E$42+'Appendix K'!$F$42+'Appendix K'!$H$42+'Appendix K'!$G$42))/((1+$Y$16)^AJ$34))</f>
        <v>356997.92058722494</v>
      </c>
      <c r="AK517" s="193">
        <f>(((N517*'Appendix K'!$C$17*1000)-('Appendix K'!$E$43+'Appendix K'!$F$43+'Appendix K'!$H$43))/((1+$Y$16)^AK$34))</f>
        <v>457633.19468736259</v>
      </c>
      <c r="AL517" s="193">
        <f>(((O517*'Appendix K'!$C$18*1000)-('Appendix K'!$E$44+'Appendix K'!$F$44+'Appendix K'!$H$44+'Appendix K'!$G$44))/((1+$Y$16)^AL$34))</f>
        <v>334927.66121953411</v>
      </c>
      <c r="AM517" s="193">
        <f>(((P517*'Appendix K'!$C$19*1000)-('Appendix K'!$E$45+'Appendix K'!$F$45+'Appendix K'!$H$45+'Appendix K'!$G$45))/((1+$Y$16)^AM$34))</f>
        <v>527231.09866444359</v>
      </c>
      <c r="AN517" s="193">
        <f>(((Q517*'Appendix K'!$C$20*1000)-('Appendix K'!$E$46+'Appendix K'!$F$46+'Appendix K'!$H$46+'Appendix K'!$G$46))/((1+$Y$16)^AN$34))</f>
        <v>176114.69885875523</v>
      </c>
      <c r="AO517" s="193">
        <f>(((R517*'Appendix K'!$C$21*1000)-('Appendix K'!$E$47+'Appendix K'!$F$47+'Appendix K'!$H$47+'Appendix K'!$G$47))/((1+$Y$16)^AO$34))</f>
        <v>100833.95864294148</v>
      </c>
      <c r="AP517" s="193">
        <f>(((S517*'Appendix K'!$C$22*1000)-('Appendix K'!$E$48+'Appendix K'!$F$48+'Appendix K'!$H$48+'Appendix K'!$G$48))/((1+$Y$16)^AP$34))</f>
        <v>232203.15612268998</v>
      </c>
      <c r="AQ517" s="193">
        <f>(((T517*'Appendix K'!$C$23*1000)-('Appendix K'!$E$49+'Appendix K'!$F$49+'Appendix K'!$H$49+'Appendix K'!$G$49))/((1+$Y$16)^AQ$34))</f>
        <v>369813.42031583167</v>
      </c>
      <c r="AR517" s="193">
        <f>(((U517*'Appendix K'!$C$24*1000)-('Appendix K'!$E$50+'Appendix K'!$F$50+'Appendix K'!$H$50+'Appendix K'!$G$50))/((1+$Y$16)^AR$34))</f>
        <v>289857.21807838196</v>
      </c>
      <c r="AS517" s="209">
        <f t="shared" si="30"/>
        <v>94258168.616149008</v>
      </c>
      <c r="AU517" s="199">
        <f t="shared" si="29"/>
        <v>6.9817053902334666E-9</v>
      </c>
    </row>
    <row r="518" spans="1:47" x14ac:dyDescent="0.35">
      <c r="A518">
        <v>484</v>
      </c>
      <c r="B518" s="70">
        <v>56</v>
      </c>
      <c r="C518" s="70">
        <v>38.229706204413105</v>
      </c>
      <c r="D518" s="70">
        <v>53.68091076587276</v>
      </c>
      <c r="E518" s="70">
        <v>47.713339082051512</v>
      </c>
      <c r="F518" s="70">
        <v>54.677503610943369</v>
      </c>
      <c r="G518" s="70">
        <v>45.300055303401223</v>
      </c>
      <c r="H518" s="70">
        <v>42.785915848584942</v>
      </c>
      <c r="I518" s="70">
        <v>47.011169111197901</v>
      </c>
      <c r="J518" s="70">
        <v>53.648014226104365</v>
      </c>
      <c r="K518" s="70">
        <v>52.344282619516413</v>
      </c>
      <c r="L518" s="70">
        <v>68.325017644293624</v>
      </c>
      <c r="M518" s="70">
        <v>62.291347502069662</v>
      </c>
      <c r="N518" s="70">
        <v>63.148416432965881</v>
      </c>
      <c r="O518" s="70">
        <v>89.928898230940291</v>
      </c>
      <c r="P518" s="70">
        <v>128.91077770440779</v>
      </c>
      <c r="Q518" s="70">
        <v>185.29205559712989</v>
      </c>
      <c r="R518" s="70">
        <v>188.76838628132208</v>
      </c>
      <c r="S518" s="70">
        <v>197.65951099080084</v>
      </c>
      <c r="T518" s="70">
        <v>283.27188609386917</v>
      </c>
      <c r="U518" s="70">
        <v>330.77496141511216</v>
      </c>
      <c r="V518" s="70">
        <v>420.86710617595475</v>
      </c>
      <c r="X518" s="193">
        <f>((0-('Appendix K'!$I$30))/(1+$Y$16)^0)</f>
        <v>-33594902.4440751</v>
      </c>
      <c r="Y518" s="193">
        <f>(((B518*'Appendix K'!$C$5*1000)-('Appendix K'!$E$31+'Appendix K'!$F$31+'Appendix K'!$H$31+'Appendix K'!$G$31))/((1+$Y$16)^1))</f>
        <v>34971064.972647354</v>
      </c>
      <c r="Z518" s="193">
        <f>+(((C518*'Appendix K'!$C$6*1000)-('Appendix K'!$E$32+'Appendix K'!$F$32+'Appendix K'!$H$32+'Appendix K'!$G$32))/((1+$Y$16)^2))</f>
        <v>6170229.9647573698</v>
      </c>
      <c r="AA518" s="193">
        <f>(((D518*'Appendix K'!$C$7*1000)-('Appendix K'!$E$33+'Appendix K'!$F$33+'Appendix K'!$H$33+'Appendix K'!$G$33))/((1+$Y$16)^3))</f>
        <v>3872701.0939678755</v>
      </c>
      <c r="AB518" s="193">
        <f>(((E518*'Appendix K'!$C$8*1000)-('Appendix K'!$E$34+'Appendix K'!$F$34+'Appendix K'!$H$34+'Appendix K'!$G$34))/((1+$Y$16)^4))</f>
        <v>7165119.2643514816</v>
      </c>
      <c r="AC518" s="193">
        <f>(((F518*'Appendix K'!$C$9*1000)-('Appendix K'!$E$35+'Appendix K'!$F$35+'Appendix K'!$H$35+'Appendix K'!$G$35))/((1+$Y$16)^AC$34))</f>
        <v>11548966.081541499</v>
      </c>
      <c r="AD518" s="193">
        <f>(((G518*'Appendix K'!$C$10*1000)-('Appendix K'!$E$36+'Appendix K'!$F$36+'Appendix K'!$H$36+'Appendix K'!$G$36))/((1+$Y$16)^AD$34))</f>
        <v>4598336.7109629214</v>
      </c>
      <c r="AE518" s="193">
        <f>(((H518*'Appendix K'!$C$11*1000)-('Appendix K'!$E$37+'Appendix K'!$F$37+'Appendix K'!$H$37+'Appendix K'!$G$37))/((1+$Y$16)^AE$34))</f>
        <v>2047424.8289448123</v>
      </c>
      <c r="AF518" s="193">
        <f>(((I518*'Appendix K'!$C$12*1000)-('Appendix K'!$E$38+'Appendix K'!$F$38+'Appendix K'!$H$38+'Appendix K'!$G$38))/((1+$Y$16)^AF$34))</f>
        <v>1090288.4511389458</v>
      </c>
      <c r="AG518" s="193">
        <f>(((J518*'Appendix K'!$C$13*1000)-('Appendix K'!$E$39+'Appendix K'!$F$39+'Appendix K'!$H$39+'Appendix K'!$G$39))/((1+$Y$16)^AG$34))</f>
        <v>653880.47774329269</v>
      </c>
      <c r="AH518" s="193">
        <f>(((K518*'Appendix K'!$C$14*1000)-('Appendix K'!$E$40+'Appendix K'!$F$40+'Appendix K'!$H$40+'Appendix K'!$G$40))/((1+$Y$16)^AH$34))</f>
        <v>131602.80658675689</v>
      </c>
      <c r="AI518" s="193">
        <f>(((L518*'Appendix K'!$C$15*1000)-('Appendix K'!$E$41+'Appendix K'!$F$41+'Appendix K'!$H$41+'Appendix K'!$G$41))/((1+$Y$16)^AI$34))</f>
        <v>273761.88235897303</v>
      </c>
      <c r="AJ518" s="193">
        <f>(((M518*'Appendix K'!$C$16*1000)-('Appendix K'!$E$42+'Appendix K'!$F$42+'Appendix K'!$H$42+'Appendix K'!$G$42))/((1+$Y$16)^AJ$34))</f>
        <v>-133116.05819428855</v>
      </c>
      <c r="AK518" s="193">
        <f>(((N518*'Appendix K'!$C$17*1000)-('Appendix K'!$E$43+'Appendix K'!$F$43+'Appendix K'!$H$43))/((1+$Y$16)^AK$34))</f>
        <v>-34052.821379685673</v>
      </c>
      <c r="AL518" s="193">
        <f>(((O518*'Appendix K'!$C$18*1000)-('Appendix K'!$E$44+'Appendix K'!$F$44+'Appendix K'!$H$44+'Appendix K'!$G$44))/((1+$Y$16)^AL$34))</f>
        <v>-68635.43316936394</v>
      </c>
      <c r="AM518" s="193">
        <f>(((P518*'Appendix K'!$C$19*1000)-('Appendix K'!$E$45+'Appendix K'!$F$45+'Appendix K'!$H$45+'Appendix K'!$G$45))/((1+$Y$16)^AM$34))</f>
        <v>168073.48156218961</v>
      </c>
      <c r="AN518" s="193">
        <f>(((Q518*'Appendix K'!$C$20*1000)-('Appendix K'!$E$46+'Appendix K'!$F$46+'Appendix K'!$H$46+'Appendix K'!$G$46))/((1+$Y$16)^AN$34))</f>
        <v>425104.66359391052</v>
      </c>
      <c r="AO518" s="193">
        <f>(((R518*'Appendix K'!$C$21*1000)-('Appendix K'!$E$47+'Appendix K'!$F$47+'Appendix K'!$H$47+'Appendix K'!$G$47))/((1+$Y$16)^AO$34))</f>
        <v>272643.09268052178</v>
      </c>
      <c r="AP518" s="193">
        <f>(((S518*'Appendix K'!$C$22*1000)-('Appendix K'!$E$48+'Appendix K'!$F$48+'Appendix K'!$H$48+'Appendix K'!$G$48))/((1+$Y$16)^AP$34))</f>
        <v>182280.35004351987</v>
      </c>
      <c r="AQ518" s="193">
        <f>(((T518*'Appendix K'!$C$23*1000)-('Appendix K'!$E$49+'Appendix K'!$F$49+'Appendix K'!$H$49+'Appendix K'!$G$49))/((1+$Y$16)^AQ$34))</f>
        <v>415168.01119693147</v>
      </c>
      <c r="AR518" s="193">
        <f>(((U518*'Appendix K'!$C$24*1000)-('Appendix K'!$E$50+'Appendix K'!$F$50+'Appendix K'!$H$50+'Appendix K'!$G$50))/((1+$Y$16)^AR$34))</f>
        <v>435815.77438521688</v>
      </c>
      <c r="AS518" s="209">
        <f t="shared" si="30"/>
        <v>40827559.464388452</v>
      </c>
      <c r="AU518" s="199">
        <f t="shared" si="29"/>
        <v>5.0041492525886304E-9</v>
      </c>
    </row>
    <row r="519" spans="1:47" x14ac:dyDescent="0.35">
      <c r="A519">
        <v>485</v>
      </c>
      <c r="B519" s="70">
        <v>56</v>
      </c>
      <c r="C519" s="70">
        <v>71.806896555351457</v>
      </c>
      <c r="D519" s="70">
        <v>57.841080145926412</v>
      </c>
      <c r="E519" s="70">
        <v>42.569163557834756</v>
      </c>
      <c r="F519" s="70">
        <v>27.943276859240807</v>
      </c>
      <c r="G519" s="70">
        <v>26.401690007922745</v>
      </c>
      <c r="H519" s="70">
        <v>26.497305116237026</v>
      </c>
      <c r="I519" s="70">
        <v>27.356385695299807</v>
      </c>
      <c r="J519" s="70">
        <v>43.304785145993051</v>
      </c>
      <c r="K519" s="70">
        <v>52.520905411080037</v>
      </c>
      <c r="L519" s="70">
        <v>61.328739240885668</v>
      </c>
      <c r="M519" s="70">
        <v>71.810294881904269</v>
      </c>
      <c r="N519" s="70">
        <v>55.876155723576538</v>
      </c>
      <c r="O519" s="70">
        <v>58.944098907027325</v>
      </c>
      <c r="P519" s="70">
        <v>82.521189576608862</v>
      </c>
      <c r="Q519" s="70">
        <v>104.0318747721026</v>
      </c>
      <c r="R519" s="70">
        <v>90.373821208239178</v>
      </c>
      <c r="S519" s="70">
        <v>107.03163098675944</v>
      </c>
      <c r="T519" s="70">
        <v>197.02883938860427</v>
      </c>
      <c r="U519" s="70">
        <v>89.188575611297324</v>
      </c>
      <c r="V519" s="70">
        <v>92.144996172544694</v>
      </c>
      <c r="X519" s="193">
        <f>((0-('Appendix K'!$I$30))/(1+$Y$16)^0)</f>
        <v>-33594902.4440751</v>
      </c>
      <c r="Y519" s="193">
        <f>(((B519*'Appendix K'!$C$5*1000)-('Appendix K'!$E$31+'Appendix K'!$F$31+'Appendix K'!$H$31+'Appendix K'!$G$31))/((1+$Y$16)^1))</f>
        <v>34971064.972647354</v>
      </c>
      <c r="Z519" s="193">
        <f>+(((C519*'Appendix K'!$C$6*1000)-('Appendix K'!$E$32+'Appendix K'!$F$32+'Appendix K'!$H$32+'Appendix K'!$G$32))/((1+$Y$16)^2))</f>
        <v>14652402.522257423</v>
      </c>
      <c r="AA519" s="193">
        <f>(((D519*'Appendix K'!$C$7*1000)-('Appendix K'!$E$33+'Appendix K'!$F$33+'Appendix K'!$H$33+'Appendix K'!$G$33))/((1+$Y$16)^3))</f>
        <v>4402602.1377418004</v>
      </c>
      <c r="AB519" s="193">
        <f>(((E519*'Appendix K'!$C$8*1000)-('Appendix K'!$E$34+'Appendix K'!$F$34+'Appendix K'!$H$34+'Appendix K'!$G$34))/((1+$Y$16)^4))</f>
        <v>6037563.0798376249</v>
      </c>
      <c r="AC519" s="193">
        <f>(((F519*'Appendix K'!$C$9*1000)-('Appendix K'!$E$35+'Appendix K'!$F$35+'Appendix K'!$H$35+'Appendix K'!$G$35))/((1+$Y$16)^AC$34))</f>
        <v>4443050.5912083182</v>
      </c>
      <c r="AD519" s="193">
        <f>(((G519*'Appendix K'!$C$10*1000)-('Appendix K'!$E$36+'Appendix K'!$F$36+'Appendix K'!$H$36+'Appendix K'!$G$36))/((1+$Y$16)^AD$34))</f>
        <v>1630462.7477621285</v>
      </c>
      <c r="AE519" s="193">
        <f>(((H519*'Appendix K'!$C$11*1000)-('Appendix K'!$E$37+'Appendix K'!$F$37+'Appendix K'!$H$37+'Appendix K'!$G$37))/((1+$Y$16)^AE$34))</f>
        <v>422837.41745994025</v>
      </c>
      <c r="AF519" s="193">
        <f>(((I519*'Appendix K'!$C$12*1000)-('Appendix K'!$E$38+'Appendix K'!$F$38+'Appendix K'!$H$38+'Appendix K'!$G$38))/((1+$Y$16)^AF$34))</f>
        <v>-200292.33087556702</v>
      </c>
      <c r="AG519" s="193">
        <f>(((J519*'Appendix K'!$C$13*1000)-('Appendix K'!$E$39+'Appendix K'!$F$39+'Appendix K'!$H$39+'Appendix K'!$G$39))/((1+$Y$16)^AG$34))</f>
        <v>177896.11623447997</v>
      </c>
      <c r="AH519" s="193">
        <f>(((K519*'Appendix K'!$C$14*1000)-('Appendix K'!$E$40+'Appendix K'!$F$40+'Appendix K'!$H$40+'Appendix K'!$G$40))/((1+$Y$16)^AH$34))</f>
        <v>137556.1474363431</v>
      </c>
      <c r="AI519" s="193">
        <f>(((L519*'Appendix K'!$C$15*1000)-('Appendix K'!$E$41+'Appendix K'!$F$41+'Appendix K'!$H$41+'Appendix K'!$G$41))/((1+$Y$16)^AI$34))</f>
        <v>90446.305084916967</v>
      </c>
      <c r="AJ519" s="193">
        <f>(((M519*'Appendix K'!$C$16*1000)-('Appendix K'!$E$42+'Appendix K'!$F$42+'Appendix K'!$H$42+'Appendix K'!$G$42))/((1+$Y$16)^AJ$34))</f>
        <v>57661.418962441821</v>
      </c>
      <c r="AK519" s="193">
        <f>(((N519*'Appendix K'!$C$17*1000)-('Appendix K'!$E$43+'Appendix K'!$F$43+'Appendix K'!$H$43))/((1+$Y$16)^AK$34))</f>
        <v>-145783.08924021237</v>
      </c>
      <c r="AL519" s="193">
        <f>(((O519*'Appendix K'!$C$18*1000)-('Appendix K'!$E$44+'Appendix K'!$F$44+'Appendix K'!$H$44+'Appendix K'!$G$44))/((1+$Y$16)^AL$34))</f>
        <v>-435907.37689878041</v>
      </c>
      <c r="AM519" s="193">
        <f>(((P519*'Appendix K'!$C$19*1000)-('Appendix K'!$E$45+'Appendix K'!$F$45+'Appendix K'!$H$45+'Appendix K'!$G$45))/((1+$Y$16)^AM$34))</f>
        <v>-261899.1687483718</v>
      </c>
      <c r="AN519" s="193">
        <f>(((Q519*'Appendix K'!$C$20*1000)-('Appendix K'!$E$46+'Appendix K'!$F$46+'Appendix K'!$H$46+'Appendix K'!$G$46))/((1+$Y$16)^AN$34))</f>
        <v>-162911.62944852182</v>
      </c>
      <c r="AO519" s="193">
        <f>(((R519*'Appendix K'!$C$21*1000)-('Appendix K'!$E$47+'Appendix K'!$F$47+'Appendix K'!$H$47+'Appendix K'!$G$47))/((1+$Y$16)^AO$34))</f>
        <v>-308879.65753690654</v>
      </c>
      <c r="AP519" s="193">
        <f>(((S519*'Appendix K'!$C$22*1000)-('Appendix K'!$E$48+'Appendix K'!$F$48+'Appendix K'!$H$48+'Appendix K'!$G$48))/((1+$Y$16)^AP$34))</f>
        <v>-251801.75970772057</v>
      </c>
      <c r="AQ519" s="193">
        <f>(((T519*'Appendix K'!$C$23*1000)-('Appendix K'!$E$49+'Appendix K'!$F$49+'Appendix K'!$H$49+'Appendix K'!$G$49))/((1+$Y$16)^AQ$34))</f>
        <v>77634.805178716881</v>
      </c>
      <c r="AR519" s="193">
        <f>(((U519*'Appendix K'!$C$24*1000)-('Appendix K'!$E$50+'Appendix K'!$F$50+'Appendix K'!$H$50+'Appendix K'!$G$50))/((1+$Y$16)^AR$34))</f>
        <v>-342099.1568778432</v>
      </c>
      <c r="AS519" s="209">
        <f t="shared" si="30"/>
        <v>33506275.817736387</v>
      </c>
      <c r="AU519" s="199">
        <f t="shared" si="29"/>
        <v>4.4619427989936666E-9</v>
      </c>
    </row>
    <row r="520" spans="1:47" x14ac:dyDescent="0.35">
      <c r="A520">
        <v>486</v>
      </c>
      <c r="B520" s="70">
        <v>56</v>
      </c>
      <c r="C520" s="70">
        <v>59.953949556770482</v>
      </c>
      <c r="D520" s="70">
        <v>53.415812796229545</v>
      </c>
      <c r="E520" s="70">
        <v>43.196538302473087</v>
      </c>
      <c r="F520" s="70">
        <v>29.063581037451314</v>
      </c>
      <c r="G520" s="70">
        <v>35.342690295388479</v>
      </c>
      <c r="H520" s="70">
        <v>49.798478830184152</v>
      </c>
      <c r="I520" s="70">
        <v>52.119294718816619</v>
      </c>
      <c r="J520" s="70">
        <v>66.074228892250872</v>
      </c>
      <c r="K520" s="70">
        <v>86.148479192552742</v>
      </c>
      <c r="L520" s="70">
        <v>90.706497643494558</v>
      </c>
      <c r="M520" s="70">
        <v>107.44375475535338</v>
      </c>
      <c r="N520" s="70">
        <v>125.65887677668097</v>
      </c>
      <c r="O520" s="70">
        <v>165.13795660571563</v>
      </c>
      <c r="P520" s="70">
        <v>172.24294699194067</v>
      </c>
      <c r="Q520" s="70">
        <v>205.6626128633651</v>
      </c>
      <c r="R520" s="70">
        <v>227.08053095207129</v>
      </c>
      <c r="S520" s="70">
        <v>298.03767762808133</v>
      </c>
      <c r="T520" s="70">
        <v>500</v>
      </c>
      <c r="U520" s="70">
        <v>500</v>
      </c>
      <c r="V520" s="70">
        <v>460.83051421940331</v>
      </c>
      <c r="X520" s="193">
        <f>((0-('Appendix K'!$I$30))/(1+$Y$16)^0)</f>
        <v>-33594902.4440751</v>
      </c>
      <c r="Y520" s="193">
        <f>(((B520*'Appendix K'!$C$5*1000)-('Appendix K'!$E$31+'Appendix K'!$F$31+'Appendix K'!$H$31+'Appendix K'!$G$31))/((1+$Y$16)^1))</f>
        <v>34971064.972647354</v>
      </c>
      <c r="Z520" s="193">
        <f>+(((C520*'Appendix K'!$C$6*1000)-('Appendix K'!$E$32+'Appendix K'!$F$32+'Appendix K'!$H$32+'Appendix K'!$G$32))/((1+$Y$16)^2))</f>
        <v>11658145.387992568</v>
      </c>
      <c r="AA520" s="193">
        <f>(((D520*'Appendix K'!$C$7*1000)-('Appendix K'!$E$33+'Appendix K'!$F$33+'Appendix K'!$H$33+'Appendix K'!$G$33))/((1+$Y$16)^3))</f>
        <v>3838934.273922083</v>
      </c>
      <c r="AB520" s="193">
        <f>(((E520*'Appendix K'!$C$8*1000)-('Appendix K'!$E$34+'Appendix K'!$F$34+'Appendix K'!$H$34+'Appendix K'!$G$34))/((1+$Y$16)^4))</f>
        <v>6175077.8807993345</v>
      </c>
      <c r="AC520" s="193">
        <f>(((F520*'Appendix K'!$C$9*1000)-('Appendix K'!$E$35+'Appendix K'!$F$35+'Appendix K'!$H$35+'Appendix K'!$G$35))/((1+$Y$16)^AC$34))</f>
        <v>4740825.6825834243</v>
      </c>
      <c r="AD520" s="193">
        <f>(((G520*'Appendix K'!$C$10*1000)-('Appendix K'!$E$36+'Appendix K'!$F$36+'Appendix K'!$H$36+'Appendix K'!$G$36))/((1+$Y$16)^AD$34))</f>
        <v>3034592.7634142837</v>
      </c>
      <c r="AE520" s="193">
        <f>(((H520*'Appendix K'!$C$11*1000)-('Appendix K'!$E$37+'Appendix K'!$F$37+'Appendix K'!$H$37+'Appendix K'!$G$37))/((1+$Y$16)^AE$34))</f>
        <v>2746841.2327960157</v>
      </c>
      <c r="AF520" s="193">
        <f>(((I520*'Appendix K'!$C$12*1000)-('Appendix K'!$E$38+'Appendix K'!$F$38+'Appendix K'!$H$38+'Appendix K'!$G$38))/((1+$Y$16)^AF$34))</f>
        <v>1425700.376155454</v>
      </c>
      <c r="AG520" s="193">
        <f>(((J520*'Appendix K'!$C$13*1000)-('Appendix K'!$E$39+'Appendix K'!$F$39+'Appendix K'!$H$39+'Appendix K'!$G$39))/((1+$Y$16)^AG$34))</f>
        <v>1225721.6124630449</v>
      </c>
      <c r="AH520" s="193">
        <f>(((K520*'Appendix K'!$C$14*1000)-('Appendix K'!$E$40+'Appendix K'!$F$40+'Appendix K'!$H$40+'Appendix K'!$G$40))/((1+$Y$16)^AH$34))</f>
        <v>1271024.8628461345</v>
      </c>
      <c r="AI520" s="193">
        <f>(((L520*'Appendix K'!$C$15*1000)-('Appendix K'!$E$41+'Appendix K'!$F$41+'Appendix K'!$H$41+'Appendix K'!$G$41))/((1+$Y$16)^AI$34))</f>
        <v>860198.51191086578</v>
      </c>
      <c r="AJ520" s="193">
        <f>(((M520*'Appendix K'!$C$16*1000)-('Appendix K'!$E$42+'Appendix K'!$F$42+'Appendix K'!$H$42+'Appendix K'!$G$42))/((1+$Y$16)^AJ$34))</f>
        <v>771822.48171015142</v>
      </c>
      <c r="AK520" s="193">
        <f>(((N520*'Appendix K'!$C$17*1000)-('Appendix K'!$E$43+'Appendix K'!$F$43+'Appendix K'!$H$43))/((1+$Y$16)^AK$34))</f>
        <v>926351.48168257275</v>
      </c>
      <c r="AL520" s="193">
        <f>(((O520*'Appendix K'!$C$18*1000)-('Appendix K'!$E$44+'Appendix K'!$F$44+'Appendix K'!$H$44+'Appendix K'!$G$44))/((1+$Y$16)^AL$34))</f>
        <v>822839.66617217218</v>
      </c>
      <c r="AM520" s="193">
        <f>(((P520*'Appendix K'!$C$19*1000)-('Appendix K'!$E$45+'Appendix K'!$F$45+'Appendix K'!$H$45+'Appendix K'!$G$45))/((1+$Y$16)^AM$34))</f>
        <v>569707.73666568391</v>
      </c>
      <c r="AN520" s="193">
        <f>(((Q520*'Appendix K'!$C$20*1000)-('Appendix K'!$E$46+'Appendix K'!$F$46+'Appendix K'!$H$46+'Appendix K'!$G$46))/((1+$Y$16)^AN$34))</f>
        <v>572510.43416058202</v>
      </c>
      <c r="AO520" s="193">
        <f>(((R520*'Appendix K'!$C$21*1000)-('Appendix K'!$E$47+'Appendix K'!$F$47+'Appendix K'!$H$47+'Appendix K'!$G$47))/((1+$Y$16)^AO$34))</f>
        <v>499072.1004119342</v>
      </c>
      <c r="AP520" s="193">
        <f>(((S520*'Appendix K'!$C$22*1000)-('Appendix K'!$E$48+'Appendix K'!$F$48+'Appendix K'!$H$48+'Appendix K'!$G$48))/((1+$Y$16)^AP$34))</f>
        <v>663063.59626895573</v>
      </c>
      <c r="AQ520" s="193">
        <f>(((T520*'Appendix K'!$C$23*1000)-('Appendix K'!$E$49+'Appendix K'!$F$49+'Appendix K'!$H$49+'Appendix K'!$G$49))/((1+$Y$16)^AQ$34))</f>
        <v>1263386.3652054211</v>
      </c>
      <c r="AR520" s="193">
        <f>(((U520*'Appendix K'!$C$24*1000)-('Appendix K'!$E$50+'Appendix K'!$F$50+'Appendix K'!$H$50+'Appendix K'!$G$50))/((1+$Y$16)^AR$34))</f>
        <v>980725.14012097823</v>
      </c>
      <c r="AS520" s="209">
        <f t="shared" si="30"/>
        <v>45422704.115853913</v>
      </c>
      <c r="AU520" s="199">
        <f t="shared" si="29"/>
        <v>5.3321069328036525E-9</v>
      </c>
    </row>
    <row r="521" spans="1:47" x14ac:dyDescent="0.35">
      <c r="A521">
        <v>487</v>
      </c>
      <c r="B521" s="70">
        <v>56</v>
      </c>
      <c r="C521" s="70">
        <v>14.844774872882716</v>
      </c>
      <c r="D521" s="70">
        <v>11.666546401948082</v>
      </c>
      <c r="E521" s="70">
        <v>15.609205873162709</v>
      </c>
      <c r="F521" s="70">
        <v>13.666045172561432</v>
      </c>
      <c r="G521" s="70">
        <v>14.476735393233493</v>
      </c>
      <c r="H521" s="70">
        <v>21.379001477613642</v>
      </c>
      <c r="I521" s="70">
        <v>16.639858733154938</v>
      </c>
      <c r="J521" s="70">
        <v>19.278009742204933</v>
      </c>
      <c r="K521" s="70">
        <v>28.431245117889709</v>
      </c>
      <c r="L521" s="70">
        <v>26.53465810918231</v>
      </c>
      <c r="M521" s="70">
        <v>30.849453345095885</v>
      </c>
      <c r="N521" s="70">
        <v>42.854165126546775</v>
      </c>
      <c r="O521" s="70">
        <v>33.126200684754544</v>
      </c>
      <c r="P521" s="70">
        <v>36.120515705068492</v>
      </c>
      <c r="Q521" s="70">
        <v>35.324938261009812</v>
      </c>
      <c r="R521" s="70">
        <v>45.903348483710147</v>
      </c>
      <c r="S521" s="70">
        <v>37.494679150228933</v>
      </c>
      <c r="T521" s="70">
        <v>38.451199012519524</v>
      </c>
      <c r="U521" s="70">
        <v>69.945983255891093</v>
      </c>
      <c r="V521" s="70">
        <v>140.33207110868645</v>
      </c>
      <c r="X521" s="193">
        <f>((0-('Appendix K'!$I$30))/(1+$Y$16)^0)</f>
        <v>-33594902.4440751</v>
      </c>
      <c r="Y521" s="193">
        <f>(((B521*'Appendix K'!$C$5*1000)-('Appendix K'!$E$31+'Appendix K'!$F$31+'Appendix K'!$H$31+'Appendix K'!$G$31))/((1+$Y$16)^1))</f>
        <v>34971064.972647354</v>
      </c>
      <c r="Z521" s="193">
        <f>+(((C521*'Appendix K'!$C$6*1000)-('Appendix K'!$E$32+'Appendix K'!$F$32+'Appendix K'!$H$32+'Appendix K'!$G$32))/((1+$Y$16)^2))</f>
        <v>262796.35503049166</v>
      </c>
      <c r="AA521" s="193">
        <f>(((D521*'Appendix K'!$C$7*1000)-('Appendix K'!$E$33+'Appendix K'!$F$33+'Appendix K'!$H$33+'Appendix K'!$G$33))/((1+$Y$16)^3))</f>
        <v>-1478873.2041090308</v>
      </c>
      <c r="AB521" s="193">
        <f>(((E521*'Appendix K'!$C$8*1000)-('Appendix K'!$E$34+'Appendix K'!$F$34+'Appendix K'!$H$34+'Appendix K'!$G$34))/((1+$Y$16)^4))</f>
        <v>128187.15001604521</v>
      </c>
      <c r="AC521" s="193">
        <f>(((F521*'Appendix K'!$C$9*1000)-('Appendix K'!$E$35+'Appendix K'!$F$35+'Appendix K'!$H$35+'Appendix K'!$G$35))/((1+$Y$16)^AC$34))</f>
        <v>648184.82816582709</v>
      </c>
      <c r="AD521" s="193">
        <f>(((G521*'Appendix K'!$C$10*1000)-('Appendix K'!$E$36+'Appendix K'!$F$36+'Appendix K'!$H$36+'Appendix K'!$G$36))/((1+$Y$16)^AD$34))</f>
        <v>-242279.24658142478</v>
      </c>
      <c r="AE521" s="193">
        <f>(((H521*'Appendix K'!$C$11*1000)-('Appendix K'!$E$37+'Appendix K'!$F$37+'Appendix K'!$H$37+'Appendix K'!$G$37))/((1+$Y$16)^AE$34))</f>
        <v>-87650.051121500233</v>
      </c>
      <c r="AF521" s="193">
        <f>(((I521*'Appendix K'!$C$12*1000)-('Appendix K'!$E$38+'Appendix K'!$F$38+'Appendix K'!$H$38+'Appendix K'!$G$38))/((1+$Y$16)^AF$34))</f>
        <v>-903965.50063929311</v>
      </c>
      <c r="AG521" s="193">
        <f>(((J521*'Appendix K'!$C$13*1000)-('Appendix K'!$E$39+'Appendix K'!$F$39+'Appendix K'!$H$39+'Appendix K'!$G$39))/((1+$Y$16)^AG$34))</f>
        <v>-927790.44074977853</v>
      </c>
      <c r="AH521" s="193">
        <f>(((K521*'Appendix K'!$C$14*1000)-('Appendix K'!$E$40+'Appendix K'!$F$40+'Appendix K'!$H$40+'Appendix K'!$G$40))/((1+$Y$16)^AH$34))</f>
        <v>-674422.6317827655</v>
      </c>
      <c r="AI521" s="193">
        <f>(((L521*'Appendix K'!$C$15*1000)-('Appendix K'!$E$41+'Appendix K'!$F$41+'Appendix K'!$H$41+'Appendix K'!$G$41))/((1+$Y$16)^AI$34))</f>
        <v>-821223.68581647566</v>
      </c>
      <c r="AJ521" s="193">
        <f>(((M521*'Appendix K'!$C$16*1000)-('Appendix K'!$E$42+'Appendix K'!$F$42+'Appendix K'!$H$42+'Appendix K'!$G$42))/((1+$Y$16)^AJ$34))</f>
        <v>-763270.31842307269</v>
      </c>
      <c r="AK521" s="193">
        <f>(((N521*'Appendix K'!$C$17*1000)-('Appendix K'!$E$43+'Appendix K'!$F$43+'Appendix K'!$H$43))/((1+$Y$16)^AK$34))</f>
        <v>-345851.61753223074</v>
      </c>
      <c r="AL521" s="193">
        <f>(((O521*'Appendix K'!$C$18*1000)-('Appendix K'!$E$44+'Appendix K'!$F$44+'Appendix K'!$H$44+'Appendix K'!$G$44))/((1+$Y$16)^AL$34))</f>
        <v>-741934.52149882156</v>
      </c>
      <c r="AM521" s="193">
        <f>(((P521*'Appendix K'!$C$19*1000)-('Appendix K'!$E$45+'Appendix K'!$F$45+'Appendix K'!$H$45+'Appendix K'!$G$45))/((1+$Y$16)^AM$34))</f>
        <v>-691974.56984439038</v>
      </c>
      <c r="AN521" s="193">
        <f>(((Q521*'Appendix K'!$C$20*1000)-('Appendix K'!$E$46+'Appendix K'!$F$46+'Appendix K'!$H$46+'Appendix K'!$G$46))/((1+$Y$16)^AN$34))</f>
        <v>-660089.92395105527</v>
      </c>
      <c r="AO521" s="193">
        <f>(((R521*'Appendix K'!$C$21*1000)-('Appendix K'!$E$47+'Appendix K'!$F$47+'Appendix K'!$H$47+'Appendix K'!$G$47))/((1+$Y$16)^AO$34))</f>
        <v>-571705.06443848892</v>
      </c>
      <c r="AP521" s="193">
        <f>(((S521*'Appendix K'!$C$22*1000)-('Appendix K'!$E$48+'Appendix K'!$F$48+'Appendix K'!$H$48+'Appendix K'!$G$48))/((1+$Y$16)^AP$34))</f>
        <v>-584864.24288095068</v>
      </c>
      <c r="AQ521" s="193">
        <f>(((T521*'Appendix K'!$C$23*1000)-('Appendix K'!$E$49+'Appendix K'!$F$49+'Appendix K'!$H$49+'Appendix K'!$G$49))/((1+$Y$16)^AQ$34))</f>
        <v>-542997.48233618774</v>
      </c>
      <c r="AR521" s="193">
        <f>(((U521*'Appendix K'!$C$24*1000)-('Appendix K'!$E$50+'Appendix K'!$F$50+'Appendix K'!$H$50+'Appendix K'!$G$50))/((1+$Y$16)^AR$34))</f>
        <v>-404060.843417725</v>
      </c>
      <c r="AS521" s="209">
        <f t="shared" si="30"/>
        <v>2415330.8617846221</v>
      </c>
      <c r="AU521" s="199">
        <f t="shared" si="29"/>
        <v>2.2776835238559354E-9</v>
      </c>
    </row>
    <row r="522" spans="1:47" x14ac:dyDescent="0.35">
      <c r="A522">
        <v>488</v>
      </c>
      <c r="B522" s="70">
        <v>56</v>
      </c>
      <c r="C522" s="70">
        <v>86.411521354589922</v>
      </c>
      <c r="D522" s="70">
        <v>36.390187942142205</v>
      </c>
      <c r="E522" s="70">
        <v>47.732100382976483</v>
      </c>
      <c r="F522" s="70">
        <v>69.577585261961403</v>
      </c>
      <c r="G522" s="70">
        <v>114.37921939739964</v>
      </c>
      <c r="H522" s="70">
        <v>163.33891829293421</v>
      </c>
      <c r="I522" s="70">
        <v>213.04155351991497</v>
      </c>
      <c r="J522" s="70">
        <v>339.74496495334108</v>
      </c>
      <c r="K522" s="70">
        <v>438.21340829807457</v>
      </c>
      <c r="L522" s="70">
        <v>423.71262040127453</v>
      </c>
      <c r="M522" s="70">
        <v>334.32297539804443</v>
      </c>
      <c r="N522" s="70">
        <v>500</v>
      </c>
      <c r="O522" s="70">
        <v>500</v>
      </c>
      <c r="P522" s="70">
        <v>500</v>
      </c>
      <c r="Q522" s="70">
        <v>500</v>
      </c>
      <c r="R522" s="70">
        <v>500</v>
      </c>
      <c r="S522" s="70">
        <v>399.62992485816926</v>
      </c>
      <c r="T522" s="70">
        <v>463.50593187066175</v>
      </c>
      <c r="U522" s="70">
        <v>449.75284865696733</v>
      </c>
      <c r="V522" s="70">
        <v>500</v>
      </c>
      <c r="X522" s="193">
        <f>((0-('Appendix K'!$I$30))/(1+$Y$16)^0)</f>
        <v>-33594902.4440751</v>
      </c>
      <c r="Y522" s="193">
        <f>(((B522*'Appendix K'!$C$5*1000)-('Appendix K'!$E$31+'Appendix K'!$F$31+'Appendix K'!$H$31+'Appendix K'!$G$31))/((1+$Y$16)^1))</f>
        <v>34971064.972647354</v>
      </c>
      <c r="Z522" s="193">
        <f>+(((C522*'Appendix K'!$C$6*1000)-('Appendix K'!$E$32+'Appendix K'!$F$32+'Appendix K'!$H$32+'Appendix K'!$G$32))/((1+$Y$16)^2))</f>
        <v>18341780.53125523</v>
      </c>
      <c r="AA522" s="193">
        <f>(((D522*'Appendix K'!$C$7*1000)-('Appendix K'!$E$33+'Appendix K'!$F$33+'Appendix K'!$H$33+'Appendix K'!$G$33))/((1+$Y$16)^3))</f>
        <v>1670297.4813096146</v>
      </c>
      <c r="AB522" s="193">
        <f>(((E522*'Appendix K'!$C$8*1000)-('Appendix K'!$E$34+'Appendix K'!$F$34+'Appendix K'!$H$34+'Appendix K'!$G$34))/((1+$Y$16)^4))</f>
        <v>7169231.5697710551</v>
      </c>
      <c r="AC522" s="193">
        <f>(((F522*'Appendix K'!$C$9*1000)-('Appendix K'!$E$35+'Appendix K'!$F$35+'Appendix K'!$H$35+'Appendix K'!$G$35))/((1+$Y$16)^AC$34))</f>
        <v>15509384.38705525</v>
      </c>
      <c r="AD522" s="193">
        <f>(((G522*'Appendix K'!$C$10*1000)-('Appendix K'!$E$36+'Appendix K'!$F$36+'Appendix K'!$H$36+'Appendix K'!$G$36))/((1+$Y$16)^AD$34))</f>
        <v>15446801.607728595</v>
      </c>
      <c r="AE522" s="193">
        <f>(((H522*'Appendix K'!$C$11*1000)-('Appendix K'!$E$37+'Appendix K'!$F$37+'Appendix K'!$H$37+'Appendix K'!$G$37))/((1+$Y$16)^AE$34))</f>
        <v>14071095.441862961</v>
      </c>
      <c r="AF522" s="193">
        <f>(((I522*'Appendix K'!$C$12*1000)-('Appendix K'!$E$38+'Appendix K'!$F$38+'Appendix K'!$H$38+'Appendix K'!$G$38))/((1+$Y$16)^AF$34))</f>
        <v>11992246.453639846</v>
      </c>
      <c r="AG522" s="193">
        <f>(((J522*'Appendix K'!$C$13*1000)-('Appendix K'!$E$39+'Appendix K'!$F$39+'Appendix K'!$H$39+'Appendix K'!$G$39))/((1+$Y$16)^AG$34))</f>
        <v>13819756.75939445</v>
      </c>
      <c r="AH522" s="193">
        <f>(((K522*'Appendix K'!$C$14*1000)-('Appendix K'!$E$40+'Appendix K'!$F$40+'Appendix K'!$H$40+'Appendix K'!$G$40))/((1+$Y$16)^AH$34))</f>
        <v>13137910.815645278</v>
      </c>
      <c r="AI522" s="193">
        <f>(((L522*'Appendix K'!$C$15*1000)-('Appendix K'!$E$41+'Appendix K'!$F$41+'Appendix K'!$H$41+'Appendix K'!$G$41))/((1+$Y$16)^AI$34))</f>
        <v>9585581.6526677962</v>
      </c>
      <c r="AJ522" s="193">
        <f>(((M522*'Appendix K'!$C$16*1000)-('Appendix K'!$E$42+'Appendix K'!$F$42+'Appendix K'!$H$42+'Appendix K'!$G$42))/((1+$Y$16)^AJ$34))</f>
        <v>5318905.6418914441</v>
      </c>
      <c r="AK522" s="193">
        <f>(((N522*'Appendix K'!$C$17*1000)-('Appendix K'!$E$43+'Appendix K'!$F$43+'Appendix K'!$H$43))/((1+$Y$16)^AK$34))</f>
        <v>6677690.1149291173</v>
      </c>
      <c r="AL522" s="193">
        <f>(((O522*'Appendix K'!$C$18*1000)-('Appendix K'!$E$44+'Appendix K'!$F$44+'Appendix K'!$H$44+'Appendix K'!$G$44))/((1+$Y$16)^AL$34))</f>
        <v>4792058.0003928225</v>
      </c>
      <c r="AM522" s="193">
        <f>(((P522*'Appendix K'!$C$19*1000)-('Appendix K'!$E$45+'Appendix K'!$F$45+'Appendix K'!$H$45+'Appendix K'!$G$45))/((1+$Y$16)^AM$34))</f>
        <v>3607599.9540230581</v>
      </c>
      <c r="AN522" s="193">
        <f>(((Q522*'Appendix K'!$C$20*1000)-('Appendix K'!$E$46+'Appendix K'!$F$46+'Appendix K'!$H$46+'Appendix K'!$G$46))/((1+$Y$16)^AN$34))</f>
        <v>2702399.606577659</v>
      </c>
      <c r="AO522" s="193">
        <f>(((R522*'Appendix K'!$C$21*1000)-('Appendix K'!$E$47+'Appendix K'!$F$47+'Appendix K'!$H$47+'Appendix K'!$G$47))/((1+$Y$16)^AO$34))</f>
        <v>2112056.3146391152</v>
      </c>
      <c r="AP522" s="193">
        <f>(((S522*'Appendix K'!$C$22*1000)-('Appendix K'!$E$48+'Appendix K'!$F$48+'Appendix K'!$H$48+'Appendix K'!$G$48))/((1+$Y$16)^AP$34))</f>
        <v>1149661.9477921254</v>
      </c>
      <c r="AQ522" s="193">
        <f>(((T522*'Appendix K'!$C$23*1000)-('Appendix K'!$E$49+'Appendix K'!$F$49+'Appendix K'!$H$49+'Appendix K'!$G$49))/((1+$Y$16)^AQ$34))</f>
        <v>1120557.9252682372</v>
      </c>
      <c r="AR522" s="193">
        <f>(((U522*'Appendix K'!$C$24*1000)-('Appendix K'!$E$50+'Appendix K'!$F$50+'Appendix K'!$H$50+'Appendix K'!$G$50))/((1+$Y$16)^AR$34))</f>
        <v>818927.90492858598</v>
      </c>
      <c r="AS522" s="209">
        <f t="shared" si="30"/>
        <v>150420106.63934448</v>
      </c>
      <c r="AU522" s="199">
        <f t="shared" si="29"/>
        <v>3.8107089427296342E-9</v>
      </c>
    </row>
    <row r="523" spans="1:47" x14ac:dyDescent="0.35">
      <c r="A523">
        <v>489</v>
      </c>
      <c r="B523" s="70">
        <v>56</v>
      </c>
      <c r="C523" s="70">
        <v>73.451631771344012</v>
      </c>
      <c r="D523" s="70">
        <v>72.979491864668887</v>
      </c>
      <c r="E523" s="70">
        <v>49.257329477807822</v>
      </c>
      <c r="F523" s="70">
        <v>41.542745921883117</v>
      </c>
      <c r="G523" s="70">
        <v>43.478896360482103</v>
      </c>
      <c r="H523" s="70">
        <v>68.545565899934942</v>
      </c>
      <c r="I523" s="70">
        <v>107.90107027333902</v>
      </c>
      <c r="J523" s="70">
        <v>104.13740072639966</v>
      </c>
      <c r="K523" s="70">
        <v>106.84948665382707</v>
      </c>
      <c r="L523" s="70">
        <v>135.23614965287925</v>
      </c>
      <c r="M523" s="70">
        <v>172.70805595977495</v>
      </c>
      <c r="N523" s="70">
        <v>176.1564342526035</v>
      </c>
      <c r="O523" s="70">
        <v>168.33876534205632</v>
      </c>
      <c r="P523" s="70">
        <v>224.64216764899118</v>
      </c>
      <c r="Q523" s="70">
        <v>279.21221032824764</v>
      </c>
      <c r="R523" s="70">
        <v>442.15649894894909</v>
      </c>
      <c r="S523" s="70">
        <v>500</v>
      </c>
      <c r="T523" s="70">
        <v>369.50237966689934</v>
      </c>
      <c r="U523" s="70">
        <v>360.03666066231494</v>
      </c>
      <c r="V523" s="70">
        <v>341.59282809943312</v>
      </c>
      <c r="X523" s="193">
        <f>((0-('Appendix K'!$I$30))/(1+$Y$16)^0)</f>
        <v>-33594902.4440751</v>
      </c>
      <c r="Y523" s="193">
        <f>(((B523*'Appendix K'!$C$5*1000)-('Appendix K'!$E$31+'Appendix K'!$F$31+'Appendix K'!$H$31+'Appendix K'!$G$31))/((1+$Y$16)^1))</f>
        <v>34971064.972647354</v>
      </c>
      <c r="Z523" s="193">
        <f>+(((C523*'Appendix K'!$C$6*1000)-('Appendix K'!$E$32+'Appendix K'!$F$32+'Appendix K'!$H$32+'Appendix K'!$G$32))/((1+$Y$16)^2))</f>
        <v>15067890.767927632</v>
      </c>
      <c r="AA523" s="193">
        <f>(((D523*'Appendix K'!$C$7*1000)-('Appendix K'!$E$33+'Appendix K'!$F$33+'Appendix K'!$H$33+'Appendix K'!$G$33))/((1+$Y$16)^3))</f>
        <v>6330855.3981264969</v>
      </c>
      <c r="AB523" s="193">
        <f>(((E523*'Appendix K'!$C$8*1000)-('Appendix K'!$E$34+'Appendix K'!$F$34+'Appendix K'!$H$34+'Appendix K'!$G$34))/((1+$Y$16)^4))</f>
        <v>7503547.8252295805</v>
      </c>
      <c r="AC523" s="193">
        <f>(((F523*'Appendix K'!$C$9*1000)-('Appendix K'!$E$35+'Appendix K'!$F$35+'Appendix K'!$H$35+'Appendix K'!$G$35))/((1+$Y$16)^AC$34))</f>
        <v>8057768.11306006</v>
      </c>
      <c r="AD523" s="193">
        <f>(((G523*'Appendix K'!$C$10*1000)-('Appendix K'!$E$36+'Appendix K'!$F$36+'Appendix K'!$H$36+'Appendix K'!$G$36))/((1+$Y$16)^AD$34))</f>
        <v>4312334.7142276205</v>
      </c>
      <c r="AE523" s="193">
        <f>(((H523*'Appendix K'!$C$11*1000)-('Appendix K'!$E$37+'Appendix K'!$F$37+'Appendix K'!$H$37+'Appendix K'!$G$37))/((1+$Y$16)^AE$34))</f>
        <v>4616631.244724052</v>
      </c>
      <c r="AF523" s="193">
        <f>(((I523*'Appendix K'!$C$12*1000)-('Appendix K'!$E$38+'Appendix K'!$F$38+'Appendix K'!$H$38+'Appendix K'!$G$38))/((1+$Y$16)^AF$34))</f>
        <v>5088467.1436123028</v>
      </c>
      <c r="AG523" s="193">
        <f>(((J523*'Appendix K'!$C$13*1000)-('Appendix K'!$E$39+'Appendix K'!$F$39+'Appendix K'!$H$39+'Appendix K'!$G$39))/((1+$Y$16)^AG$34))</f>
        <v>2977348.1501866546</v>
      </c>
      <c r="AH523" s="193">
        <f>(((K523*'Appendix K'!$C$14*1000)-('Appendix K'!$E$40+'Appendix K'!$F$40+'Appendix K'!$H$40+'Appendix K'!$G$40))/((1+$Y$16)^AH$34))</f>
        <v>1968783.9247189453</v>
      </c>
      <c r="AI523" s="193">
        <f>(((L523*'Appendix K'!$C$15*1000)-('Appendix K'!$E$41+'Appendix K'!$F$41+'Appendix K'!$H$41+'Appendix K'!$G$41))/((1+$Y$16)^AI$34))</f>
        <v>2026958.6654143224</v>
      </c>
      <c r="AJ523" s="193">
        <f>(((M523*'Appendix K'!$C$16*1000)-('Appendix K'!$E$42+'Appendix K'!$F$42+'Appendix K'!$H$42+'Appendix K'!$G$42))/((1+$Y$16)^AJ$34))</f>
        <v>2079840.9248578905</v>
      </c>
      <c r="AK523" s="193">
        <f>(((N523*'Appendix K'!$C$17*1000)-('Appendix K'!$E$43+'Appendix K'!$F$43+'Appendix K'!$H$43))/((1+$Y$16)^AK$34))</f>
        <v>1702190.7768556052</v>
      </c>
      <c r="AL523" s="193">
        <f>(((O523*'Appendix K'!$C$18*1000)-('Appendix K'!$E$44+'Appendix K'!$F$44+'Appendix K'!$H$44+'Appendix K'!$G$44))/((1+$Y$16)^AL$34))</f>
        <v>860779.79396879429</v>
      </c>
      <c r="AM523" s="193">
        <f>(((P523*'Appendix K'!$C$19*1000)-('Appendix K'!$E$45+'Appendix K'!$F$45+'Appendix K'!$H$45+'Appendix K'!$G$45))/((1+$Y$16)^AM$34))</f>
        <v>1055382.0590599948</v>
      </c>
      <c r="AN523" s="193">
        <f>(((Q523*'Appendix K'!$C$20*1000)-('Appendix K'!$E$46+'Appendix K'!$F$46+'Appendix K'!$H$46+'Appendix K'!$G$46))/((1+$Y$16)^AN$34))</f>
        <v>1104731.2736537582</v>
      </c>
      <c r="AO523" s="193">
        <f>(((R523*'Appendix K'!$C$21*1000)-('Appendix K'!$E$47+'Appendix K'!$F$47+'Appendix K'!$H$47+'Appendix K'!$G$47))/((1+$Y$16)^AO$34))</f>
        <v>1770194.8328750802</v>
      </c>
      <c r="AP523" s="193">
        <f>(((S523*'Appendix K'!$C$22*1000)-('Appendix K'!$E$48+'Appendix K'!$F$48+'Appendix K'!$H$48+'Appendix K'!$G$48))/((1+$Y$16)^AP$34))</f>
        <v>1630406.4380253027</v>
      </c>
      <c r="AQ523" s="193">
        <f>(((T523*'Appendix K'!$C$23*1000)-('Appendix K'!$E$49+'Appendix K'!$F$49+'Appendix K'!$H$49+'Appendix K'!$G$49))/((1+$Y$16)^AQ$34))</f>
        <v>752652.08746926324</v>
      </c>
      <c r="AR523" s="193">
        <f>(((U523*'Appendix K'!$C$24*1000)-('Appendix K'!$E$50+'Appendix K'!$F$50+'Appendix K'!$H$50+'Appendix K'!$G$50))/((1+$Y$16)^AR$34))</f>
        <v>530039.2658406226</v>
      </c>
      <c r="AS523" s="209">
        <f t="shared" si="30"/>
        <v>70812965.928406209</v>
      </c>
      <c r="AU523" s="199">
        <f t="shared" si="29"/>
        <v>6.7281651371339513E-9</v>
      </c>
    </row>
    <row r="524" spans="1:47" x14ac:dyDescent="0.35">
      <c r="A524">
        <v>490</v>
      </c>
      <c r="B524" s="70">
        <v>56</v>
      </c>
      <c r="C524" s="70">
        <v>43.122084801545924</v>
      </c>
      <c r="D524" s="70">
        <v>54.962726397894258</v>
      </c>
      <c r="E524" s="70">
        <v>64.328041194297469</v>
      </c>
      <c r="F524" s="70">
        <v>60.296905732203825</v>
      </c>
      <c r="G524" s="70">
        <v>79.823519072905327</v>
      </c>
      <c r="H524" s="70">
        <v>111.09620325681476</v>
      </c>
      <c r="I524" s="70">
        <v>107.82596827753682</v>
      </c>
      <c r="J524" s="70">
        <v>113.50049221937471</v>
      </c>
      <c r="K524" s="70">
        <v>55.496891370604615</v>
      </c>
      <c r="L524" s="70">
        <v>69.898067884598888</v>
      </c>
      <c r="M524" s="70">
        <v>101.29253928520407</v>
      </c>
      <c r="N524" s="70">
        <v>121.03910037083138</v>
      </c>
      <c r="O524" s="70">
        <v>133.66272402210697</v>
      </c>
      <c r="P524" s="70">
        <v>219.60120064800822</v>
      </c>
      <c r="Q524" s="70">
        <v>282.14276110470286</v>
      </c>
      <c r="R524" s="70">
        <v>249.57868163474723</v>
      </c>
      <c r="S524" s="70">
        <v>337.56812723193201</v>
      </c>
      <c r="T524" s="70">
        <v>429.27488610606844</v>
      </c>
      <c r="U524" s="70">
        <v>491.78382461320791</v>
      </c>
      <c r="V524" s="70">
        <v>500</v>
      </c>
      <c r="X524" s="193">
        <f>((0-('Appendix K'!$I$30))/(1+$Y$16)^0)</f>
        <v>-33594902.4440751</v>
      </c>
      <c r="Y524" s="193">
        <f>(((B524*'Appendix K'!$C$5*1000)-('Appendix K'!$E$31+'Appendix K'!$F$31+'Appendix K'!$H$31+'Appendix K'!$G$31))/((1+$Y$16)^1))</f>
        <v>34971064.972647354</v>
      </c>
      <c r="Z524" s="193">
        <f>+(((C524*'Appendix K'!$C$6*1000)-('Appendix K'!$E$32+'Appendix K'!$F$32+'Appendix K'!$H$32+'Appendix K'!$G$32))/((1+$Y$16)^2))</f>
        <v>7406128.4733513417</v>
      </c>
      <c r="AA524" s="193">
        <f>(((D524*'Appendix K'!$C$7*1000)-('Appendix K'!$E$33+'Appendix K'!$F$33+'Appendix K'!$H$33+'Appendix K'!$G$33))/((1+$Y$16)^3))</f>
        <v>4035972.1964836963</v>
      </c>
      <c r="AB524" s="193">
        <f>(((E524*'Appendix K'!$C$8*1000)-('Appendix K'!$E$34+'Appendix K'!$F$34+'Appendix K'!$H$34+'Appendix K'!$G$34))/((1+$Y$16)^4))</f>
        <v>10806909.874396959</v>
      </c>
      <c r="AC524" s="193">
        <f>(((F524*'Appendix K'!$C$9*1000)-('Appendix K'!$E$35+'Appendix K'!$F$35+'Appendix K'!$H$35+'Appendix K'!$G$35))/((1+$Y$16)^AC$34))</f>
        <v>13042594.341327725</v>
      </c>
      <c r="AD524" s="193">
        <f>(((G524*'Appendix K'!$C$10*1000)-('Appendix K'!$E$36+'Appendix K'!$F$36+'Appendix K'!$H$36+'Appendix K'!$G$36))/((1+$Y$16)^AD$34))</f>
        <v>10020037.881356288</v>
      </c>
      <c r="AE524" s="193">
        <f>(((H524*'Appendix K'!$C$11*1000)-('Appendix K'!$E$37+'Appendix K'!$F$37+'Appendix K'!$H$37+'Appendix K'!$G$37))/((1+$Y$16)^AE$34))</f>
        <v>8860530.9201803245</v>
      </c>
      <c r="AF524" s="193">
        <f>(((I524*'Appendix K'!$C$12*1000)-('Appendix K'!$E$38+'Appendix K'!$F$38+'Appendix K'!$H$38+'Appendix K'!$G$38))/((1+$Y$16)^AF$34))</f>
        <v>5083535.7642924534</v>
      </c>
      <c r="AG524" s="193">
        <f>(((J524*'Appendix K'!$C$13*1000)-('Appendix K'!$E$39+'Appendix K'!$F$39+'Appendix K'!$H$39+'Appendix K'!$G$39))/((1+$Y$16)^AG$34))</f>
        <v>3408227.6261717658</v>
      </c>
      <c r="AH524" s="193">
        <f>(((K524*'Appendix K'!$C$14*1000)-('Appendix K'!$E$40+'Appendix K'!$F$40+'Appendix K'!$H$40+'Appendix K'!$G$40))/((1+$Y$16)^AH$34))</f>
        <v>237866.29780700017</v>
      </c>
      <c r="AI524" s="193">
        <f>(((L524*'Appendix K'!$C$15*1000)-('Appendix K'!$E$41+'Appendix K'!$F$41+'Appendix K'!$H$41+'Appendix K'!$G$41))/((1+$Y$16)^AI$34))</f>
        <v>314978.74027334468</v>
      </c>
      <c r="AJ524" s="193">
        <f>(((M524*'Appendix K'!$C$16*1000)-('Appendix K'!$E$42+'Appendix K'!$F$42+'Appendix K'!$H$42+'Appendix K'!$G$42))/((1+$Y$16)^AJ$34))</f>
        <v>648540.63950472407</v>
      </c>
      <c r="AK524" s="193">
        <f>(((N524*'Appendix K'!$C$17*1000)-('Appendix K'!$E$43+'Appendix K'!$F$43+'Appendix K'!$H$43))/((1+$Y$16)^AK$34))</f>
        <v>855373.71068285021</v>
      </c>
      <c r="AL524" s="193">
        <f>(((O524*'Appendix K'!$C$18*1000)-('Appendix K'!$E$44+'Appendix K'!$F$44+'Appendix K'!$H$44+'Appendix K'!$G$44))/((1+$Y$16)^AL$34))</f>
        <v>449754.47270455357</v>
      </c>
      <c r="AM524" s="193">
        <f>(((P524*'Appendix K'!$C$19*1000)-('Appendix K'!$E$45+'Appendix K'!$F$45+'Appendix K'!$H$45+'Appendix K'!$G$45))/((1+$Y$16)^AM$34))</f>
        <v>1008658.6879541869</v>
      </c>
      <c r="AN524" s="193">
        <f>(((Q524*'Appendix K'!$C$20*1000)-('Appendix K'!$E$46+'Appendix K'!$F$46+'Appendix K'!$H$46+'Appendix K'!$G$46))/((1+$Y$16)^AN$34))</f>
        <v>1125937.3746819396</v>
      </c>
      <c r="AO524" s="193">
        <f>(((R524*'Appendix K'!$C$21*1000)-('Appendix K'!$E$47+'Appendix K'!$F$47+'Appendix K'!$H$47+'Appendix K'!$G$47))/((1+$Y$16)^AO$34))</f>
        <v>632038.65654314181</v>
      </c>
      <c r="AP524" s="193">
        <f>(((S524*'Appendix K'!$C$22*1000)-('Appendix K'!$E$48+'Appendix K'!$F$48+'Appendix K'!$H$48+'Appendix K'!$G$48))/((1+$Y$16)^AP$34))</f>
        <v>852403.35532201279</v>
      </c>
      <c r="AQ524" s="193">
        <f>(((T524*'Appendix K'!$C$23*1000)-('Appendix K'!$E$49+'Appendix K'!$F$49+'Appendix K'!$H$49+'Appendix K'!$G$49))/((1+$Y$16)^AQ$34))</f>
        <v>986586.37551808148</v>
      </c>
      <c r="AR524" s="193">
        <f>(((U524*'Appendix K'!$C$24*1000)-('Appendix K'!$E$50+'Appendix K'!$F$50+'Appendix K'!$H$50+'Appendix K'!$G$50))/((1+$Y$16)^AR$34))</f>
        <v>954268.82516765164</v>
      </c>
      <c r="AS524" s="209">
        <f t="shared" si="30"/>
        <v>72106506.742292285</v>
      </c>
      <c r="AU524" s="199">
        <f t="shared" si="29"/>
        <v>6.771968307105211E-9</v>
      </c>
    </row>
    <row r="525" spans="1:47" x14ac:dyDescent="0.35">
      <c r="A525">
        <v>491</v>
      </c>
      <c r="B525" s="70">
        <v>56</v>
      </c>
      <c r="C525" s="70">
        <v>38.556353136632922</v>
      </c>
      <c r="D525" s="70">
        <v>33.48032516302203</v>
      </c>
      <c r="E525" s="70">
        <v>37.540812927090755</v>
      </c>
      <c r="F525" s="70">
        <v>36.31687783029345</v>
      </c>
      <c r="G525" s="70">
        <v>42.890899976817636</v>
      </c>
      <c r="H525" s="70">
        <v>42.755621097221258</v>
      </c>
      <c r="I525" s="70">
        <v>19.651433639424937</v>
      </c>
      <c r="J525" s="70">
        <v>24.736887932074993</v>
      </c>
      <c r="K525" s="70">
        <v>21.955363329713297</v>
      </c>
      <c r="L525" s="70">
        <v>27.530273969913434</v>
      </c>
      <c r="M525" s="70">
        <v>28.444322811039857</v>
      </c>
      <c r="N525" s="70">
        <v>30.896839914816859</v>
      </c>
      <c r="O525" s="70">
        <v>56.231182481755127</v>
      </c>
      <c r="P525" s="70">
        <v>47.40281215206047</v>
      </c>
      <c r="Q525" s="70">
        <v>66.927152696546827</v>
      </c>
      <c r="R525" s="70">
        <v>51.200938832327793</v>
      </c>
      <c r="S525" s="70">
        <v>58.807569445127193</v>
      </c>
      <c r="T525" s="70">
        <v>84.112399933919733</v>
      </c>
      <c r="U525" s="70">
        <v>76.193559223527785</v>
      </c>
      <c r="V525" s="70">
        <v>55.371065887190944</v>
      </c>
      <c r="X525" s="193">
        <f>((0-('Appendix K'!$I$30))/(1+$Y$16)^0)</f>
        <v>-33594902.4440751</v>
      </c>
      <c r="Y525" s="193">
        <f>(((B525*'Appendix K'!$C$5*1000)-('Appendix K'!$E$31+'Appendix K'!$F$31+'Appendix K'!$H$31+'Appendix K'!$G$31))/((1+$Y$16)^1))</f>
        <v>34971064.972647354</v>
      </c>
      <c r="Z525" s="193">
        <f>+(((C525*'Appendix K'!$C$6*1000)-('Appendix K'!$E$32+'Appendix K'!$F$32+'Appendix K'!$H$32+'Appendix K'!$G$32))/((1+$Y$16)^2))</f>
        <v>6252746.5665191095</v>
      </c>
      <c r="AA525" s="193">
        <f>(((D525*'Appendix K'!$C$7*1000)-('Appendix K'!$E$33+'Appendix K'!$F$33+'Appendix K'!$H$33+'Appendix K'!$G$33))/((1+$Y$16)^3))</f>
        <v>1299654.0812385373</v>
      </c>
      <c r="AB525" s="193">
        <f>(((E525*'Appendix K'!$C$8*1000)-('Appendix K'!$E$34+'Appendix K'!$F$34+'Appendix K'!$H$34+'Appendix K'!$G$34))/((1+$Y$16)^4))</f>
        <v>4935394.6516981507</v>
      </c>
      <c r="AC525" s="193">
        <f>(((F525*'Appendix K'!$C$9*1000)-('Appendix K'!$E$35+'Appendix K'!$F$35+'Appendix K'!$H$35+'Appendix K'!$G$35))/((1+$Y$16)^AC$34))</f>
        <v>6668740.5804010136</v>
      </c>
      <c r="AD525" s="193">
        <f>(((G525*'Appendix K'!$C$10*1000)-('Appendix K'!$E$36+'Appendix K'!$F$36+'Appendix K'!$H$36+'Appendix K'!$G$36))/((1+$Y$16)^AD$34))</f>
        <v>4219993.4386596475</v>
      </c>
      <c r="AE525" s="193">
        <f>(((H525*'Appendix K'!$C$11*1000)-('Appendix K'!$E$37+'Appendix K'!$F$37+'Appendix K'!$H$37+'Appendix K'!$G$37))/((1+$Y$16)^AE$34))</f>
        <v>2044403.3022776078</v>
      </c>
      <c r="AF525" s="193">
        <f>(((I525*'Appendix K'!$C$12*1000)-('Appendix K'!$E$38+'Appendix K'!$F$38+'Appendix K'!$H$38+'Appendix K'!$G$38))/((1+$Y$16)^AF$34))</f>
        <v>-706218.18308374018</v>
      </c>
      <c r="AG525" s="193">
        <f>(((J525*'Appendix K'!$C$13*1000)-('Appendix K'!$E$39+'Appendix K'!$F$39+'Appendix K'!$H$39+'Appendix K'!$G$39))/((1+$Y$16)^AG$34))</f>
        <v>-676578.69346710865</v>
      </c>
      <c r="AH525" s="193">
        <f>(((K525*'Appendix K'!$C$14*1000)-('Appendix K'!$E$40+'Appendix K'!$F$40+'Appendix K'!$H$40+'Appendix K'!$G$40))/((1+$Y$16)^AH$34))</f>
        <v>-892702.11454563169</v>
      </c>
      <c r="AI525" s="193">
        <f>(((L525*'Appendix K'!$C$15*1000)-('Appendix K'!$E$41+'Appendix K'!$F$41+'Appendix K'!$H$41+'Appendix K'!$G$41))/((1+$Y$16)^AI$34))</f>
        <v>-795136.68845453125</v>
      </c>
      <c r="AJ525" s="193">
        <f>(((M525*'Appendix K'!$C$16*1000)-('Appendix K'!$E$42+'Appendix K'!$F$42+'Appendix K'!$H$42+'Appendix K'!$G$42))/((1+$Y$16)^AJ$34))</f>
        <v>-811473.62465122435</v>
      </c>
      <c r="AK525" s="193">
        <f>(((N525*'Appendix K'!$C$17*1000)-('Appendix K'!$E$43+'Appendix K'!$F$43+'Appendix K'!$H$43))/((1+$Y$16)^AK$34))</f>
        <v>-529562.7360124971</v>
      </c>
      <c r="AL525" s="193">
        <f>(((O525*'Appendix K'!$C$18*1000)-('Appendix K'!$E$44+'Appendix K'!$F$44+'Appendix K'!$H$44+'Appendix K'!$G$44))/((1+$Y$16)^AL$34))</f>
        <v>-468064.37356895767</v>
      </c>
      <c r="AM525" s="193">
        <f>(((P525*'Appendix K'!$C$19*1000)-('Appendix K'!$E$45+'Appendix K'!$F$45+'Appendix K'!$H$45+'Appendix K'!$G$45))/((1+$Y$16)^AM$34))</f>
        <v>-587401.99007631175</v>
      </c>
      <c r="AN525" s="193">
        <f>(((Q525*'Appendix K'!$C$20*1000)-('Appendix K'!$E$46+'Appendix K'!$F$46+'Appendix K'!$H$46+'Appendix K'!$G$46))/((1+$Y$16)^AN$34))</f>
        <v>-431409.44606325222</v>
      </c>
      <c r="AO525" s="193">
        <f>(((R525*'Appendix K'!$C$21*1000)-('Appendix K'!$E$47+'Appendix K'!$F$47+'Appendix K'!$H$47+'Appendix K'!$G$47))/((1+$Y$16)^AO$34))</f>
        <v>-540395.72020016389</v>
      </c>
      <c r="AP525" s="193">
        <f>(((S525*'Appendix K'!$C$22*1000)-('Appendix K'!$E$48+'Appendix K'!$F$48+'Appendix K'!$H$48+'Appendix K'!$G$48))/((1+$Y$16)^AP$34))</f>
        <v>-482781.4800082717</v>
      </c>
      <c r="AQ525" s="193">
        <f>(((T525*'Appendix K'!$C$23*1000)-('Appendix K'!$E$49+'Appendix K'!$F$49+'Appendix K'!$H$49+'Appendix K'!$G$49))/((1+$Y$16)^AQ$34))</f>
        <v>-364291.23149705556</v>
      </c>
      <c r="AR525" s="193">
        <f>(((U525*'Appendix K'!$C$24*1000)-('Appendix K'!$E$50+'Appendix K'!$F$50+'Appendix K'!$H$50+'Appendix K'!$G$50))/((1+$Y$16)^AR$34))</f>
        <v>-383943.47375198739</v>
      </c>
      <c r="AS525" s="209">
        <f t="shared" si="30"/>
        <v>26797095.149366319</v>
      </c>
      <c r="AU525" s="199">
        <f t="shared" si="29"/>
        <v>3.9585412117124666E-9</v>
      </c>
    </row>
    <row r="526" spans="1:47" x14ac:dyDescent="0.35">
      <c r="A526">
        <v>492</v>
      </c>
      <c r="B526" s="70">
        <v>56</v>
      </c>
      <c r="C526" s="70">
        <v>64.939872350562197</v>
      </c>
      <c r="D526" s="70">
        <v>58.402091620674717</v>
      </c>
      <c r="E526" s="70">
        <v>65.854365399743514</v>
      </c>
      <c r="F526" s="70">
        <v>69.184571716582411</v>
      </c>
      <c r="G526" s="70">
        <v>53.58362528460421</v>
      </c>
      <c r="H526" s="70">
        <v>49.564778637572587</v>
      </c>
      <c r="I526" s="70">
        <v>63.300904183433119</v>
      </c>
      <c r="J526" s="70">
        <v>57.716885191044931</v>
      </c>
      <c r="K526" s="70">
        <v>76.535046177250763</v>
      </c>
      <c r="L526" s="70">
        <v>62.45323928192024</v>
      </c>
      <c r="M526" s="70">
        <v>48.554256178001339</v>
      </c>
      <c r="N526" s="70">
        <v>54.091317948614694</v>
      </c>
      <c r="O526" s="70">
        <v>66.156267849673952</v>
      </c>
      <c r="P526" s="70">
        <v>100.03129194099577</v>
      </c>
      <c r="Q526" s="70">
        <v>104.69071348244897</v>
      </c>
      <c r="R526" s="70">
        <v>138.94729015069964</v>
      </c>
      <c r="S526" s="70">
        <v>157.84505918777293</v>
      </c>
      <c r="T526" s="70">
        <v>192.28408634814105</v>
      </c>
      <c r="U526" s="70">
        <v>212.60052228415591</v>
      </c>
      <c r="V526" s="70">
        <v>265.50023195008828</v>
      </c>
      <c r="X526" s="193">
        <f>((0-('Appendix K'!$I$30))/(1+$Y$16)^0)</f>
        <v>-33594902.4440751</v>
      </c>
      <c r="Y526" s="193">
        <f>(((B526*'Appendix K'!$C$5*1000)-('Appendix K'!$E$31+'Appendix K'!$F$31+'Appendix K'!$H$31+'Appendix K'!$G$31))/((1+$Y$16)^1))</f>
        <v>34971064.972647354</v>
      </c>
      <c r="Z526" s="193">
        <f>+(((C526*'Appendix K'!$C$6*1000)-('Appendix K'!$E$32+'Appendix K'!$F$32+'Appendix K'!$H$32+'Appendix K'!$G$32))/((1+$Y$16)^2))</f>
        <v>12917674.760560585</v>
      </c>
      <c r="AA526" s="193">
        <f>(((D526*'Appendix K'!$C$7*1000)-('Appendix K'!$E$33+'Appendix K'!$F$33+'Appendix K'!$H$33+'Appendix K'!$G$33))/((1+$Y$16)^3))</f>
        <v>4474060.9027294973</v>
      </c>
      <c r="AB526" s="193">
        <f>(((E526*'Appendix K'!$C$8*1000)-('Appendix K'!$E$34+'Appendix K'!$F$34+'Appendix K'!$H$34+'Appendix K'!$G$34))/((1+$Y$16)^4))</f>
        <v>11141466.168077458</v>
      </c>
      <c r="AC526" s="193">
        <f>(((F526*'Appendix K'!$C$9*1000)-('Appendix K'!$E$35+'Appendix K'!$F$35+'Appendix K'!$H$35+'Appendix K'!$G$35))/((1+$Y$16)^AC$34))</f>
        <v>15404922.003835529</v>
      </c>
      <c r="AD526" s="193">
        <f>(((G526*'Appendix K'!$C$10*1000)-('Appendix K'!$E$36+'Appendix K'!$F$36+'Appendix K'!$H$36+'Appendix K'!$G$36))/((1+$Y$16)^AD$34))</f>
        <v>5899221.2734729908</v>
      </c>
      <c r="AE526" s="193">
        <f>(((H526*'Appendix K'!$C$11*1000)-('Appendix K'!$E$37+'Appendix K'!$F$37+'Appendix K'!$H$37+'Appendix K'!$G$37))/((1+$Y$16)^AE$34))</f>
        <v>2723532.5297263088</v>
      </c>
      <c r="AF526" s="193">
        <f>(((I526*'Appendix K'!$C$12*1000)-('Appendix K'!$E$38+'Appendix K'!$F$38+'Appendix K'!$H$38+'Appendix K'!$G$38))/((1+$Y$16)^AF$34))</f>
        <v>2159911.9918048577</v>
      </c>
      <c r="AG526" s="193">
        <f>(((J526*'Appendix K'!$C$13*1000)-('Appendix K'!$E$39+'Appendix K'!$F$39+'Appendix K'!$H$39+'Appendix K'!$G$39))/((1+$Y$16)^AG$34))</f>
        <v>841125.57628152811</v>
      </c>
      <c r="AH526" s="193">
        <f>(((K526*'Appendix K'!$C$14*1000)-('Appendix K'!$E$40+'Appendix K'!$F$40+'Appendix K'!$H$40+'Appendix K'!$G$40))/((1+$Y$16)^AH$34))</f>
        <v>946989.42569735309</v>
      </c>
      <c r="AI526" s="193">
        <f>(((L526*'Appendix K'!$C$15*1000)-('Appendix K'!$E$41+'Appendix K'!$F$41+'Appendix K'!$H$41+'Appendix K'!$G$41))/((1+$Y$16)^AI$34))</f>
        <v>119910.30898541077</v>
      </c>
      <c r="AJ526" s="193">
        <f>(((M526*'Appendix K'!$C$16*1000)-('Appendix K'!$E$42+'Appendix K'!$F$42+'Appendix K'!$H$42+'Appendix K'!$G$42))/((1+$Y$16)^AJ$34))</f>
        <v>-408433.01517518738</v>
      </c>
      <c r="AK526" s="193">
        <f>(((N526*'Appendix K'!$C$17*1000)-('Appendix K'!$E$43+'Appendix K'!$F$43+'Appendix K'!$H$43))/((1+$Y$16)^AK$34))</f>
        <v>-173205.15380214399</v>
      </c>
      <c r="AL526" s="193">
        <f>(((O526*'Appendix K'!$C$18*1000)-('Appendix K'!$E$44+'Appendix K'!$F$44+'Appendix K'!$H$44+'Appendix K'!$G$44))/((1+$Y$16)^AL$34))</f>
        <v>-350419.41622554522</v>
      </c>
      <c r="AM526" s="193">
        <f>(((P526*'Appendix K'!$C$19*1000)-('Appendix K'!$E$45+'Appendix K'!$F$45+'Appendix K'!$H$45+'Appendix K'!$G$45))/((1+$Y$16)^AM$34))</f>
        <v>-99602.726277631256</v>
      </c>
      <c r="AN526" s="193">
        <f>(((Q526*'Appendix K'!$C$20*1000)-('Appendix K'!$E$46+'Appendix K'!$F$46+'Appendix K'!$H$46+'Appendix K'!$G$46))/((1+$Y$16)^AN$34))</f>
        <v>-158144.12964434447</v>
      </c>
      <c r="AO526" s="193">
        <f>(((R526*'Appendix K'!$C$21*1000)-('Appendix K'!$E$47+'Appendix K'!$F$47+'Appendix K'!$H$47+'Appendix K'!$G$47))/((1+$Y$16)^AO$34))</f>
        <v>-21805.089688162003</v>
      </c>
      <c r="AP526" s="193">
        <f>(((S526*'Appendix K'!$C$22*1000)-('Appendix K'!$E$48+'Appendix K'!$F$48+'Appendix K'!$H$48+'Appendix K'!$G$48))/((1+$Y$16)^AP$34))</f>
        <v>-8419.6998360177295</v>
      </c>
      <c r="AQ526" s="193">
        <f>(((T526*'Appendix K'!$C$23*1000)-('Appendix K'!$E$49+'Appendix K'!$F$49+'Appendix K'!$H$49+'Appendix K'!$G$49))/((1+$Y$16)^AQ$34))</f>
        <v>59065.056466274371</v>
      </c>
      <c r="AR526" s="193">
        <f>(((U526*'Appendix K'!$C$24*1000)-('Appendix K'!$E$50+'Appendix K'!$F$50+'Appendix K'!$H$50+'Appendix K'!$G$50))/((1+$Y$16)^AR$34))</f>
        <v>55290.76927064122</v>
      </c>
      <c r="AS526" s="209">
        <f t="shared" si="30"/>
        <v>58119333.295480706</v>
      </c>
      <c r="AU526" s="199">
        <f t="shared" si="29"/>
        <v>6.1414360757960818E-9</v>
      </c>
    </row>
    <row r="527" spans="1:47" x14ac:dyDescent="0.35">
      <c r="A527">
        <v>493</v>
      </c>
      <c r="B527" s="70">
        <v>56</v>
      </c>
      <c r="C527" s="70">
        <v>80.505661319796332</v>
      </c>
      <c r="D527" s="70">
        <v>64.924913405029173</v>
      </c>
      <c r="E527" s="70">
        <v>80.135106028119367</v>
      </c>
      <c r="F527" s="70">
        <v>75.620939612806197</v>
      </c>
      <c r="G527" s="70">
        <v>120.36786028004539</v>
      </c>
      <c r="H527" s="70">
        <v>119.24829945111591</v>
      </c>
      <c r="I527" s="70">
        <v>155.91592503526664</v>
      </c>
      <c r="J527" s="70">
        <v>219.45853014925154</v>
      </c>
      <c r="K527" s="70">
        <v>142.58882300284608</v>
      </c>
      <c r="L527" s="70">
        <v>193.15558925034898</v>
      </c>
      <c r="M527" s="70">
        <v>196.54208911361007</v>
      </c>
      <c r="N527" s="70">
        <v>210.79881613052476</v>
      </c>
      <c r="O527" s="70">
        <v>173.59646742685302</v>
      </c>
      <c r="P527" s="70">
        <v>232.39689028314808</v>
      </c>
      <c r="Q527" s="70">
        <v>361.83829584840748</v>
      </c>
      <c r="R527" s="70">
        <v>477.68635110497468</v>
      </c>
      <c r="S527" s="70">
        <v>500</v>
      </c>
      <c r="T527" s="70">
        <v>500</v>
      </c>
      <c r="U527" s="70">
        <v>221.50198442858664</v>
      </c>
      <c r="V527" s="70">
        <v>175.6345621990159</v>
      </c>
      <c r="X527" s="193">
        <f>((0-('Appendix K'!$I$30))/(1+$Y$16)^0)</f>
        <v>-33594902.4440751</v>
      </c>
      <c r="Y527" s="193">
        <f>(((B527*'Appendix K'!$C$5*1000)-('Appendix K'!$E$31+'Appendix K'!$F$31+'Appendix K'!$H$31+'Appendix K'!$G$31))/((1+$Y$16)^1))</f>
        <v>34971064.972647354</v>
      </c>
      <c r="Z527" s="193">
        <f>+(((C527*'Appendix K'!$C$6*1000)-('Appendix K'!$E$32+'Appendix K'!$F$32+'Appendix K'!$H$32+'Appendix K'!$G$32))/((1+$Y$16)^2))</f>
        <v>16849859.277809359</v>
      </c>
      <c r="AA527" s="193">
        <f>(((D527*'Appendix K'!$C$7*1000)-('Appendix K'!$E$33+'Appendix K'!$F$33+'Appendix K'!$H$33+'Appendix K'!$G$33))/((1+$Y$16)^3))</f>
        <v>5304904.4949286561</v>
      </c>
      <c r="AB527" s="193">
        <f>(((E527*'Appendix K'!$C$8*1000)-('Appendix K'!$E$34+'Appendix K'!$F$34+'Appendix K'!$H$34+'Appendix K'!$G$34))/((1+$Y$16)^4))</f>
        <v>14271673.786219567</v>
      </c>
      <c r="AC527" s="193">
        <f>(((F527*'Appendix K'!$C$9*1000)-('Appendix K'!$E$35+'Appendix K'!$F$35+'Appendix K'!$H$35+'Appendix K'!$G$35))/((1+$Y$16)^AC$34))</f>
        <v>17115698.483740527</v>
      </c>
      <c r="AD527" s="193">
        <f>(((G527*'Appendix K'!$C$10*1000)-('Appendix K'!$E$36+'Appendix K'!$F$36+'Appendix K'!$H$36+'Appendix K'!$G$36))/((1+$Y$16)^AD$34))</f>
        <v>16387281.436151456</v>
      </c>
      <c r="AE527" s="193">
        <f>(((H527*'Appendix K'!$C$11*1000)-('Appendix K'!$E$37+'Appendix K'!$F$37+'Appendix K'!$H$37+'Appendix K'!$G$37))/((1+$Y$16)^AE$34))</f>
        <v>9673601.6646468397</v>
      </c>
      <c r="AF527" s="193">
        <f>(((I527*'Appendix K'!$C$12*1000)-('Appendix K'!$E$38+'Appendix K'!$F$38+'Appendix K'!$H$38+'Appendix K'!$G$38))/((1+$Y$16)^AF$34))</f>
        <v>8241239.0412074048</v>
      </c>
      <c r="AG527" s="193">
        <f>(((J527*'Appendix K'!$C$13*1000)-('Appendix K'!$E$39+'Appendix K'!$F$39+'Appendix K'!$H$39+'Appendix K'!$G$39))/((1+$Y$16)^AG$34))</f>
        <v>8284303.4280466111</v>
      </c>
      <c r="AH527" s="193">
        <f>(((K527*'Appendix K'!$C$14*1000)-('Appendix K'!$E$40+'Appendix K'!$F$40+'Appendix K'!$H$40+'Appendix K'!$G$40))/((1+$Y$16)^AH$34))</f>
        <v>3173432.8216143833</v>
      </c>
      <c r="AI527" s="193">
        <f>(((L527*'Appendix K'!$C$15*1000)-('Appendix K'!$E$41+'Appendix K'!$F$41+'Appendix K'!$H$41+'Appendix K'!$G$41))/((1+$Y$16)^AI$34))</f>
        <v>3544556.2927511754</v>
      </c>
      <c r="AJ527" s="193">
        <f>(((M527*'Appendix K'!$C$16*1000)-('Appendix K'!$E$42+'Appendix K'!$F$42+'Appendix K'!$H$42+'Appendix K'!$G$42))/((1+$Y$16)^AJ$34))</f>
        <v>2557519.4468750525</v>
      </c>
      <c r="AK527" s="193">
        <f>(((N527*'Appendix K'!$C$17*1000)-('Appendix K'!$E$43+'Appendix K'!$F$43+'Appendix K'!$H$43))/((1+$Y$16)^AK$34))</f>
        <v>2234432.779889049</v>
      </c>
      <c r="AL527" s="193">
        <f>(((O527*'Appendix K'!$C$18*1000)-('Appendix K'!$E$44+'Appendix K'!$F$44+'Appendix K'!$H$44+'Appendix K'!$G$44))/((1+$Y$16)^AL$34))</f>
        <v>923100.88386990607</v>
      </c>
      <c r="AM527" s="193">
        <f>(((P527*'Appendix K'!$C$19*1000)-('Appendix K'!$E$45+'Appendix K'!$F$45+'Appendix K'!$H$45+'Appendix K'!$G$45))/((1+$Y$16)^AM$34))</f>
        <v>1127258.5032794606</v>
      </c>
      <c r="AN527" s="193">
        <f>(((Q527*'Appendix K'!$C$20*1000)-('Appendix K'!$E$46+'Appendix K'!$F$46+'Appendix K'!$H$46+'Appendix K'!$G$46))/((1+$Y$16)^AN$34))</f>
        <v>1702631.549322448</v>
      </c>
      <c r="AO527" s="193">
        <f>(((R527*'Appendix K'!$C$21*1000)-('Appendix K'!$E$47+'Appendix K'!$F$47+'Appendix K'!$H$47+'Appendix K'!$G$47))/((1+$Y$16)^AO$34))</f>
        <v>1980180.1844566872</v>
      </c>
      <c r="AP527" s="193">
        <f>(((S527*'Appendix K'!$C$22*1000)-('Appendix K'!$E$48+'Appendix K'!$F$48+'Appendix K'!$H$48+'Appendix K'!$G$48))/((1+$Y$16)^AP$34))</f>
        <v>1630406.4380253027</v>
      </c>
      <c r="AQ527" s="193">
        <f>(((T527*'Appendix K'!$C$23*1000)-('Appendix K'!$E$49+'Appendix K'!$F$49+'Appendix K'!$H$49+'Appendix K'!$G$49))/((1+$Y$16)^AQ$34))</f>
        <v>1263386.3652054211</v>
      </c>
      <c r="AR527" s="193">
        <f>(((U527*'Appendix K'!$C$24*1000)-('Appendix K'!$E$50+'Appendix K'!$F$50+'Appendix K'!$H$50+'Appendix K'!$G$50))/((1+$Y$16)^AR$34))</f>
        <v>83953.726784516839</v>
      </c>
      <c r="AS527" s="209">
        <f t="shared" si="30"/>
        <v>117725583.13339606</v>
      </c>
      <c r="AU527" s="199">
        <f t="shared" si="29"/>
        <v>6.1068188839393552E-9</v>
      </c>
    </row>
    <row r="528" spans="1:47" x14ac:dyDescent="0.35">
      <c r="A528">
        <v>494</v>
      </c>
      <c r="B528" s="70">
        <v>56</v>
      </c>
      <c r="C528" s="70">
        <v>35.867366947308113</v>
      </c>
      <c r="D528" s="70">
        <v>25.732404282948508</v>
      </c>
      <c r="E528" s="70">
        <v>28.685067089227914</v>
      </c>
      <c r="F528" s="70">
        <v>30.208892920338435</v>
      </c>
      <c r="G528" s="70">
        <v>56.965600693822878</v>
      </c>
      <c r="H528" s="70">
        <v>44.669840757533024</v>
      </c>
      <c r="I528" s="70">
        <v>40.859843692022508</v>
      </c>
      <c r="J528" s="70">
        <v>57.099810166676448</v>
      </c>
      <c r="K528" s="70">
        <v>58.228786110253395</v>
      </c>
      <c r="L528" s="70">
        <v>114.67605635336696</v>
      </c>
      <c r="M528" s="70">
        <v>87.529786410622108</v>
      </c>
      <c r="N528" s="70">
        <v>91.370184391042727</v>
      </c>
      <c r="O528" s="70">
        <v>137.78862661174679</v>
      </c>
      <c r="P528" s="70">
        <v>124.88072025962899</v>
      </c>
      <c r="Q528" s="70">
        <v>129.85194693079279</v>
      </c>
      <c r="R528" s="70">
        <v>182.98649206986417</v>
      </c>
      <c r="S528" s="70">
        <v>202.42412423222993</v>
      </c>
      <c r="T528" s="70">
        <v>102.62418807770847</v>
      </c>
      <c r="U528" s="70">
        <v>56.240782839319522</v>
      </c>
      <c r="V528" s="70">
        <v>58.699386035566611</v>
      </c>
      <c r="X528" s="193">
        <f>((0-('Appendix K'!$I$30))/(1+$Y$16)^0)</f>
        <v>-33594902.4440751</v>
      </c>
      <c r="Y528" s="193">
        <f>(((B528*'Appendix K'!$C$5*1000)-('Appendix K'!$E$31+'Appendix K'!$F$31+'Appendix K'!$H$31+'Appendix K'!$G$31))/((1+$Y$16)^1))</f>
        <v>34971064.972647354</v>
      </c>
      <c r="Z528" s="193">
        <f>+(((C528*'Appendix K'!$C$6*1000)-('Appendix K'!$E$32+'Appendix K'!$F$32+'Appendix K'!$H$32+'Appendix K'!$G$32))/((1+$Y$16)^2))</f>
        <v>5573462.6650312012</v>
      </c>
      <c r="AA528" s="193">
        <f>(((D528*'Appendix K'!$C$7*1000)-('Appendix K'!$E$33+'Appendix K'!$F$33+'Appendix K'!$H$33+'Appendix K'!$G$33))/((1+$Y$16)^3))</f>
        <v>312763.6480956935</v>
      </c>
      <c r="AB528" s="193">
        <f>(((E528*'Appendix K'!$C$8*1000)-('Appendix K'!$E$34+'Appendix K'!$F$34+'Appendix K'!$H$34+'Appendix K'!$G$34))/((1+$Y$16)^4))</f>
        <v>2994296.2305890769</v>
      </c>
      <c r="AC528" s="193">
        <f>(((F528*'Appendix K'!$C$9*1000)-('Appendix K'!$E$35+'Appendix K'!$F$35+'Appendix K'!$H$35+'Appendix K'!$G$35))/((1+$Y$16)^AC$34))</f>
        <v>5045247.7825924307</v>
      </c>
      <c r="AD528" s="193">
        <f>(((G528*'Appendix K'!$C$10*1000)-('Appendix K'!$E$36+'Appendix K'!$F$36+'Appendix K'!$H$36+'Appendix K'!$G$36))/((1+$Y$16)^AD$34))</f>
        <v>6430340.0556677068</v>
      </c>
      <c r="AE528" s="193">
        <f>(((H528*'Appendix K'!$C$11*1000)-('Appendix K'!$E$37+'Appendix K'!$F$37+'Appendix K'!$H$37+'Appendix K'!$G$37))/((1+$Y$16)^AE$34))</f>
        <v>2235323.0322692813</v>
      </c>
      <c r="AF528" s="193">
        <f>(((I528*'Appendix K'!$C$12*1000)-('Appendix K'!$E$38+'Appendix K'!$F$38+'Appendix K'!$H$38+'Appendix K'!$G$38))/((1+$Y$16)^AF$34))</f>
        <v>686377.49460895872</v>
      </c>
      <c r="AG528" s="193">
        <f>(((J528*'Appendix K'!$C$13*1000)-('Appendix K'!$E$39+'Appendix K'!$F$39+'Appendix K'!$H$39+'Appendix K'!$G$39))/((1+$Y$16)^AG$34))</f>
        <v>812728.44234954857</v>
      </c>
      <c r="AH528" s="193">
        <f>(((K528*'Appendix K'!$C$14*1000)-('Appendix K'!$E$40+'Appendix K'!$F$40+'Appendix K'!$H$40+'Appendix K'!$G$40))/((1+$Y$16)^AH$34))</f>
        <v>329948.98094397166</v>
      </c>
      <c r="AI528" s="193">
        <f>(((L528*'Appendix K'!$C$15*1000)-('Appendix K'!$E$41+'Appendix K'!$F$41+'Appendix K'!$H$41+'Appendix K'!$G$41))/((1+$Y$16)^AI$34))</f>
        <v>1488245.7734041014</v>
      </c>
      <c r="AJ528" s="193">
        <f>(((M528*'Appendix K'!$C$16*1000)-('Appendix K'!$E$42+'Appendix K'!$F$42+'Appendix K'!$H$42+'Appendix K'!$G$42))/((1+$Y$16)^AJ$34))</f>
        <v>372709.3771419829</v>
      </c>
      <c r="AK528" s="193">
        <f>(((N528*'Appendix K'!$C$17*1000)-('Appendix K'!$E$43+'Appendix K'!$F$43+'Appendix K'!$H$43))/((1+$Y$16)^AK$34))</f>
        <v>399543.52774217253</v>
      </c>
      <c r="AL528" s="193">
        <f>(((O528*'Appendix K'!$C$18*1000)-('Appendix K'!$E$44+'Appendix K'!$F$44+'Appendix K'!$H$44+'Appendix K'!$G$44))/((1+$Y$16)^AL$34))</f>
        <v>498660.01015516312</v>
      </c>
      <c r="AM528" s="193">
        <f>(((P528*'Appendix K'!$C$19*1000)-('Appendix K'!$E$45+'Appendix K'!$F$45+'Appendix K'!$H$45+'Appendix K'!$G$45))/((1+$Y$16)^AM$34))</f>
        <v>130719.95999908331</v>
      </c>
      <c r="AN528" s="193">
        <f>(((Q528*'Appendix K'!$C$20*1000)-('Appendix K'!$E$46+'Appendix K'!$F$46+'Appendix K'!$H$46+'Appendix K'!$G$46))/((1+$Y$16)^AN$34))</f>
        <v>23928.012830061969</v>
      </c>
      <c r="AO528" s="193">
        <f>(((R528*'Appendix K'!$C$21*1000)-('Appendix K'!$E$47+'Appendix K'!$F$47+'Appendix K'!$H$47+'Appendix K'!$G$47))/((1+$Y$16)^AO$34))</f>
        <v>238471.45910690044</v>
      </c>
      <c r="AP528" s="193">
        <f>(((S528*'Appendix K'!$C$22*1000)-('Appendix K'!$E$48+'Appendix K'!$F$48+'Appendix K'!$H$48+'Appendix K'!$G$48))/((1+$Y$16)^AP$34))</f>
        <v>205101.51024163986</v>
      </c>
      <c r="AQ528" s="193">
        <f>(((T528*'Appendix K'!$C$23*1000)-('Appendix K'!$E$49+'Appendix K'!$F$49+'Appendix K'!$H$49+'Appendix K'!$G$49))/((1+$Y$16)^AQ$34))</f>
        <v>-291840.83184157196</v>
      </c>
      <c r="AR528" s="193">
        <f>(((U528*'Appendix K'!$C$24*1000)-('Appendix K'!$E$50+'Appendix K'!$F$50+'Appendix K'!$H$50+'Appendix K'!$G$50))/((1+$Y$16)^AR$34))</f>
        <v>-448191.97276315762</v>
      </c>
      <c r="AS528" s="209">
        <f t="shared" si="30"/>
        <v>29154030.491341233</v>
      </c>
      <c r="AU528" s="199">
        <f t="shared" si="29"/>
        <v>4.1351423455897081E-9</v>
      </c>
    </row>
    <row r="529" spans="1:47" x14ac:dyDescent="0.35">
      <c r="A529">
        <v>495</v>
      </c>
      <c r="B529" s="70">
        <v>56</v>
      </c>
      <c r="C529" s="70">
        <v>88.609199770968956</v>
      </c>
      <c r="D529" s="70">
        <v>63.193221618787902</v>
      </c>
      <c r="E529" s="70">
        <v>65.327018624581058</v>
      </c>
      <c r="F529" s="70">
        <v>59.4709881103065</v>
      </c>
      <c r="G529" s="70">
        <v>32.532466057845454</v>
      </c>
      <c r="H529" s="70">
        <v>52.59854897850947</v>
      </c>
      <c r="I529" s="70">
        <v>40.211768360807362</v>
      </c>
      <c r="J529" s="70">
        <v>45.129693983750876</v>
      </c>
      <c r="K529" s="70">
        <v>25.216072825434473</v>
      </c>
      <c r="L529" s="70">
        <v>27.926340285271049</v>
      </c>
      <c r="M529" s="70">
        <v>37.575236200529154</v>
      </c>
      <c r="N529" s="70">
        <v>48.667743935868906</v>
      </c>
      <c r="O529" s="70">
        <v>58.848122550868531</v>
      </c>
      <c r="P529" s="70">
        <v>75.771970575185705</v>
      </c>
      <c r="Q529" s="70">
        <v>104.5179383083148</v>
      </c>
      <c r="R529" s="70">
        <v>105.34123117839357</v>
      </c>
      <c r="S529" s="70">
        <v>72.97372202316231</v>
      </c>
      <c r="T529" s="70">
        <v>66.995442122815561</v>
      </c>
      <c r="U529" s="70">
        <v>50.505549530760817</v>
      </c>
      <c r="V529" s="70">
        <v>43.678469542774792</v>
      </c>
      <c r="X529" s="193">
        <f>((0-('Appendix K'!$I$30))/(1+$Y$16)^0)</f>
        <v>-33594902.4440751</v>
      </c>
      <c r="Y529" s="193">
        <f>(((B529*'Appendix K'!$C$5*1000)-('Appendix K'!$E$31+'Appendix K'!$F$31+'Appendix K'!$H$31+'Appendix K'!$G$31))/((1+$Y$16)^1))</f>
        <v>34971064.972647354</v>
      </c>
      <c r="Z529" s="193">
        <f>+(((C529*'Appendix K'!$C$6*1000)-('Appendix K'!$E$32+'Appendix K'!$F$32+'Appendix K'!$H$32+'Appendix K'!$G$32))/((1+$Y$16)^2))</f>
        <v>18896951.686399229</v>
      </c>
      <c r="AA529" s="193">
        <f>(((D529*'Appendix K'!$C$7*1000)-('Appendix K'!$E$33+'Appendix K'!$F$33+'Appendix K'!$H$33+'Appendix K'!$G$33))/((1+$Y$16)^3))</f>
        <v>5084330.4746919731</v>
      </c>
      <c r="AB529" s="193">
        <f>(((E529*'Appendix K'!$C$8*1000)-('Appendix K'!$E$34+'Appendix K'!$F$34+'Appendix K'!$H$34+'Appendix K'!$G$34))/((1+$Y$16)^4))</f>
        <v>11025876.582356934</v>
      </c>
      <c r="AC529" s="193">
        <f>(((F529*'Appendix K'!$C$9*1000)-('Appendix K'!$E$35+'Appendix K'!$F$35+'Appendix K'!$H$35+'Appendix K'!$G$35))/((1+$Y$16)^AC$34))</f>
        <v>12823066.734350814</v>
      </c>
      <c r="AD529" s="193">
        <f>(((G529*'Appendix K'!$C$10*1000)-('Appendix K'!$E$36+'Appendix K'!$F$36+'Appendix K'!$H$36+'Appendix K'!$G$36))/((1+$Y$16)^AD$34))</f>
        <v>2593264.0445035952</v>
      </c>
      <c r="AE529" s="193">
        <f>(((H529*'Appendix K'!$C$11*1000)-('Appendix K'!$E$37+'Appendix K'!$F$37+'Appendix K'!$H$37+'Appendix K'!$G$37))/((1+$Y$16)^AE$34))</f>
        <v>3026113.5899658026</v>
      </c>
      <c r="AF529" s="193">
        <f>(((I529*'Appendix K'!$C$12*1000)-('Appendix K'!$E$38+'Appendix K'!$F$38+'Appendix K'!$H$38+'Appendix K'!$G$38))/((1+$Y$16)^AF$34))</f>
        <v>643823.29545724345</v>
      </c>
      <c r="AG529" s="193">
        <f>(((J529*'Appendix K'!$C$13*1000)-('Appendix K'!$E$39+'Appendix K'!$F$39+'Appendix K'!$H$39+'Appendix K'!$G$39))/((1+$Y$16)^AG$34))</f>
        <v>261876.4729706764</v>
      </c>
      <c r="AH529" s="193">
        <f>(((K529*'Appendix K'!$C$14*1000)-('Appendix K'!$E$40+'Appendix K'!$F$40+'Appendix K'!$H$40+'Appendix K'!$G$40))/((1+$Y$16)^AH$34))</f>
        <v>-782794.92268405645</v>
      </c>
      <c r="AI529" s="193">
        <f>(((L529*'Appendix K'!$C$15*1000)-('Appendix K'!$E$41+'Appendix K'!$F$41+'Appendix K'!$H$41+'Appendix K'!$G$41))/((1+$Y$16)^AI$34))</f>
        <v>-784759.01034452009</v>
      </c>
      <c r="AJ529" s="193">
        <f>(((M529*'Appendix K'!$C$16*1000)-('Appendix K'!$E$42+'Appendix K'!$F$42+'Appendix K'!$H$42+'Appendix K'!$G$42))/((1+$Y$16)^AJ$34))</f>
        <v>-628473.07311191678</v>
      </c>
      <c r="AK529" s="193">
        <f>(((N529*'Appendix K'!$C$17*1000)-('Appendix K'!$E$43+'Appendix K'!$F$43+'Appendix K'!$H$43))/((1+$Y$16)^AK$34))</f>
        <v>-256532.3888149221</v>
      </c>
      <c r="AL529" s="193">
        <f>(((O529*'Appendix K'!$C$18*1000)-('Appendix K'!$E$44+'Appendix K'!$F$44+'Appendix K'!$H$44+'Appendix K'!$G$44))/((1+$Y$16)^AL$34))</f>
        <v>-437045.01288957748</v>
      </c>
      <c r="AM529" s="193">
        <f>(((P529*'Appendix K'!$C$19*1000)-('Appendix K'!$E$45+'Appendix K'!$F$45+'Appendix K'!$H$45+'Appendix K'!$G$45))/((1+$Y$16)^AM$34))</f>
        <v>-324455.86947987293</v>
      </c>
      <c r="AN529" s="193">
        <f>(((Q529*'Appendix K'!$C$20*1000)-('Appendix K'!$E$46+'Appendix K'!$F$46+'Appendix K'!$H$46+'Appendix K'!$G$46))/((1+$Y$16)^AN$34))</f>
        <v>-159394.36827773985</v>
      </c>
      <c r="AO529" s="193">
        <f>(((R529*'Appendix K'!$C$21*1000)-('Appendix K'!$E$47+'Appendix K'!$F$47+'Appendix K'!$H$47+'Appendix K'!$G$47))/((1+$Y$16)^AO$34))</f>
        <v>-220420.61101323832</v>
      </c>
      <c r="AP529" s="193">
        <f>(((S529*'Appendix K'!$C$22*1000)-('Appendix K'!$E$48+'Appendix K'!$F$48+'Appendix K'!$H$48+'Appendix K'!$G$48))/((1+$Y$16)^AP$34))</f>
        <v>-414929.58500799973</v>
      </c>
      <c r="AQ529" s="193">
        <f>(((T529*'Appendix K'!$C$23*1000)-('Appendix K'!$E$49+'Appendix K'!$F$49+'Appendix K'!$H$49+'Appendix K'!$G$49))/((1+$Y$16)^AQ$34))</f>
        <v>-431282.6223161348</v>
      </c>
      <c r="AR529" s="193">
        <f>(((U529*'Appendix K'!$C$24*1000)-('Appendix K'!$E$50+'Appendix K'!$F$50+'Appendix K'!$H$50+'Appendix K'!$G$50))/((1+$Y$16)^AR$34))</f>
        <v>-466659.5847114076</v>
      </c>
      <c r="AS529" s="209">
        <f t="shared" si="30"/>
        <v>55731465.409268536</v>
      </c>
      <c r="AU529" s="199">
        <f t="shared" si="29"/>
        <v>6.0032645479200684E-9</v>
      </c>
    </row>
    <row r="530" spans="1:47" x14ac:dyDescent="0.35">
      <c r="A530">
        <v>496</v>
      </c>
      <c r="B530" s="70">
        <v>56</v>
      </c>
      <c r="C530" s="70">
        <v>66.318835136880651</v>
      </c>
      <c r="D530" s="70">
        <v>59.291058135758433</v>
      </c>
      <c r="E530" s="70">
        <v>93.295097702150613</v>
      </c>
      <c r="F530" s="70">
        <v>80.019945970653097</v>
      </c>
      <c r="G530" s="70">
        <v>77.58690041690555</v>
      </c>
      <c r="H530" s="70">
        <v>97.09119308177452</v>
      </c>
      <c r="I530" s="70">
        <v>98.765661164388405</v>
      </c>
      <c r="J530" s="70">
        <v>119.17103052663842</v>
      </c>
      <c r="K530" s="70">
        <v>154.6817166048387</v>
      </c>
      <c r="L530" s="70">
        <v>184.15093371564618</v>
      </c>
      <c r="M530" s="70">
        <v>281.82344953830057</v>
      </c>
      <c r="N530" s="70">
        <v>253.54787822760238</v>
      </c>
      <c r="O530" s="70">
        <v>229.59903967505741</v>
      </c>
      <c r="P530" s="70">
        <v>291.75348218130716</v>
      </c>
      <c r="Q530" s="70">
        <v>181.06456672893285</v>
      </c>
      <c r="R530" s="70">
        <v>174.61769903404678</v>
      </c>
      <c r="S530" s="70">
        <v>136.015314121671</v>
      </c>
      <c r="T530" s="70">
        <v>220.79398337599406</v>
      </c>
      <c r="U530" s="70">
        <v>271.91610619920186</v>
      </c>
      <c r="V530" s="70">
        <v>250.42791938990018</v>
      </c>
      <c r="X530" s="193">
        <f>((0-('Appendix K'!$I$30))/(1+$Y$16)^0)</f>
        <v>-33594902.4440751</v>
      </c>
      <c r="Y530" s="193">
        <f>(((B530*'Appendix K'!$C$5*1000)-('Appendix K'!$E$31+'Appendix K'!$F$31+'Appendix K'!$H$31+'Appendix K'!$G$31))/((1+$Y$16)^1))</f>
        <v>34971064.972647354</v>
      </c>
      <c r="Z530" s="193">
        <f>+(((C530*'Appendix K'!$C$6*1000)-('Appendix K'!$E$32+'Appendix K'!$F$32+'Appendix K'!$H$32+'Appendix K'!$G$32))/((1+$Y$16)^2))</f>
        <v>13266024.344956269</v>
      </c>
      <c r="AA530" s="193">
        <f>(((D530*'Appendix K'!$C$7*1000)-('Appendix K'!$E$33+'Appendix K'!$F$33+'Appendix K'!$H$33+'Appendix K'!$G$33))/((1+$Y$16)^3))</f>
        <v>4587292.8991192356</v>
      </c>
      <c r="AB530" s="193">
        <f>(((E530*'Appendix K'!$C$8*1000)-('Appendix K'!$E$34+'Appendix K'!$F$34+'Appendix K'!$H$34+'Appendix K'!$G$34))/((1+$Y$16)^4))</f>
        <v>17156223.493038539</v>
      </c>
      <c r="AC530" s="193">
        <f>(((F530*'Appendix K'!$C$9*1000)-('Appendix K'!$E$35+'Appendix K'!$F$35+'Appendix K'!$H$35+'Appendix K'!$G$35))/((1+$Y$16)^AC$34))</f>
        <v>18284947.465976667</v>
      </c>
      <c r="AD530" s="193">
        <f>(((G530*'Appendix K'!$C$10*1000)-('Appendix K'!$E$36+'Appendix K'!$F$36+'Appendix K'!$H$36+'Appendix K'!$G$36))/((1+$Y$16)^AD$34))</f>
        <v>9668790.4495829679</v>
      </c>
      <c r="AE530" s="193">
        <f>(((H530*'Appendix K'!$C$11*1000)-('Appendix K'!$E$37+'Appendix K'!$F$37+'Appendix K'!$H$37+'Appendix K'!$G$37))/((1+$Y$16)^AE$34))</f>
        <v>7463704.4134909911</v>
      </c>
      <c r="AF530" s="193">
        <f>(((I530*'Appendix K'!$C$12*1000)-('Appendix K'!$E$38+'Appendix K'!$F$38+'Appendix K'!$H$38+'Appendix K'!$G$38))/((1+$Y$16)^AF$34))</f>
        <v>4488614.0095240651</v>
      </c>
      <c r="AG530" s="193">
        <f>(((J530*'Appendix K'!$C$13*1000)-('Appendix K'!$E$39+'Appendix K'!$F$39+'Appendix K'!$H$39+'Appendix K'!$G$39))/((1+$Y$16)^AG$34))</f>
        <v>3669179.7461227952</v>
      </c>
      <c r="AH530" s="193">
        <f>(((K530*'Appendix K'!$C$14*1000)-('Appendix K'!$E$40+'Appendix K'!$F$40+'Appendix K'!$H$40+'Appendix K'!$G$40))/((1+$Y$16)^AH$34))</f>
        <v>3581042.2633692855</v>
      </c>
      <c r="AI530" s="193">
        <f>(((L530*'Appendix K'!$C$15*1000)-('Appendix K'!$E$41+'Appendix K'!$F$41+'Appendix K'!$H$41+'Appendix K'!$G$41))/((1+$Y$16)^AI$34))</f>
        <v>3308617.4789535422</v>
      </c>
      <c r="AJ530" s="193">
        <f>(((M530*'Appendix K'!$C$16*1000)-('Appendix K'!$E$42+'Appendix K'!$F$42+'Appendix K'!$H$42+'Appendix K'!$G$42))/((1+$Y$16)^AJ$34))</f>
        <v>4266717.1282051252</v>
      </c>
      <c r="AK530" s="193">
        <f>(((N530*'Appendix K'!$C$17*1000)-('Appendix K'!$E$43+'Appendix K'!$F$43+'Appendix K'!$H$43))/((1+$Y$16)^AK$34))</f>
        <v>2891224.9865718931</v>
      </c>
      <c r="AL530" s="193">
        <f>(((O530*'Appendix K'!$C$18*1000)-('Appendix K'!$E$44+'Appendix K'!$F$44+'Appendix K'!$H$44+'Appendix K'!$G$44))/((1+$Y$16)^AL$34))</f>
        <v>1586915.8516038205</v>
      </c>
      <c r="AM530" s="193">
        <f>(((P530*'Appendix K'!$C$19*1000)-('Appendix K'!$E$45+'Appendix K'!$F$45+'Appendix K'!$H$45+'Appendix K'!$G$45))/((1+$Y$16)^AM$34))</f>
        <v>1677418.8336868777</v>
      </c>
      <c r="AN530" s="193">
        <f>(((Q530*'Appendix K'!$C$20*1000)-('Appendix K'!$E$46+'Appendix K'!$F$46+'Appendix K'!$H$46+'Appendix K'!$G$46))/((1+$Y$16)^AN$34))</f>
        <v>394513.63723983505</v>
      </c>
      <c r="AO530" s="193">
        <f>(((R530*'Appendix K'!$C$21*1000)-('Appendix K'!$E$47+'Appendix K'!$F$47+'Appendix K'!$H$47+'Appendix K'!$G$47))/((1+$Y$16)^AO$34))</f>
        <v>189010.96768062821</v>
      </c>
      <c r="AP530" s="193">
        <f>(((S530*'Appendix K'!$C$22*1000)-('Appendix K'!$E$48+'Appendix K'!$F$48+'Appendix K'!$H$48+'Appendix K'!$G$48))/((1+$Y$16)^AP$34))</f>
        <v>-112978.05200317303</v>
      </c>
      <c r="AQ530" s="193">
        <f>(((T530*'Appendix K'!$C$23*1000)-('Appendix K'!$E$49+'Appendix K'!$F$49+'Appendix K'!$H$49+'Appendix K'!$G$49))/((1+$Y$16)^AQ$34))</f>
        <v>170645.49471246789</v>
      </c>
      <c r="AR530" s="193">
        <f>(((U530*'Appendix K'!$C$24*1000)-('Appendix K'!$E$50+'Appendix K'!$F$50+'Appendix K'!$H$50+'Appendix K'!$G$50))/((1+$Y$16)^AR$34))</f>
        <v>246288.61143204587</v>
      </c>
      <c r="AS530" s="209">
        <f t="shared" si="30"/>
        <v>98273334.603839308</v>
      </c>
      <c r="AU530" s="199">
        <f t="shared" si="29"/>
        <v>6.9068319402764146E-9</v>
      </c>
    </row>
    <row r="531" spans="1:47" x14ac:dyDescent="0.35">
      <c r="A531">
        <v>497</v>
      </c>
      <c r="B531" s="70">
        <v>56</v>
      </c>
      <c r="C531" s="70">
        <v>53.335197652785254</v>
      </c>
      <c r="D531" s="70">
        <v>41.991119427332677</v>
      </c>
      <c r="E531" s="70">
        <v>43.013737286204325</v>
      </c>
      <c r="F531" s="70">
        <v>56.576262364971932</v>
      </c>
      <c r="G531" s="70">
        <v>57.244732775759218</v>
      </c>
      <c r="H531" s="70">
        <v>89.671698691895699</v>
      </c>
      <c r="I531" s="70">
        <v>93.123235085476622</v>
      </c>
      <c r="J531" s="70">
        <v>59.139269891355852</v>
      </c>
      <c r="K531" s="70">
        <v>62.380567252491858</v>
      </c>
      <c r="L531" s="70">
        <v>73.291164807104224</v>
      </c>
      <c r="M531" s="70">
        <v>104.2581537090428</v>
      </c>
      <c r="N531" s="70">
        <v>99.590514562611233</v>
      </c>
      <c r="O531" s="70">
        <v>93.735929774596642</v>
      </c>
      <c r="P531" s="70">
        <v>119.49482147670882</v>
      </c>
      <c r="Q531" s="70">
        <v>169.33827810537883</v>
      </c>
      <c r="R531" s="70">
        <v>208.83452679617079</v>
      </c>
      <c r="S531" s="70">
        <v>187.90194175167957</v>
      </c>
      <c r="T531" s="70">
        <v>200.78271193239334</v>
      </c>
      <c r="U531" s="70">
        <v>91.399402461726027</v>
      </c>
      <c r="V531" s="70">
        <v>77.555628331703474</v>
      </c>
      <c r="X531" s="193">
        <f>((0-('Appendix K'!$I$30))/(1+$Y$16)^0)</f>
        <v>-33594902.4440751</v>
      </c>
      <c r="Y531" s="193">
        <f>(((B531*'Appendix K'!$C$5*1000)-('Appendix K'!$E$31+'Appendix K'!$F$31+'Appendix K'!$H$31+'Appendix K'!$G$31))/((1+$Y$16)^1))</f>
        <v>34971064.972647354</v>
      </c>
      <c r="Z531" s="193">
        <f>+(((C531*'Appendix K'!$C$6*1000)-('Appendix K'!$E$32+'Appendix K'!$F$32+'Appendix K'!$H$32+'Appendix K'!$G$32))/((1+$Y$16)^2))</f>
        <v>9986135.4557107929</v>
      </c>
      <c r="AA531" s="193">
        <f>(((D531*'Appendix K'!$C$7*1000)-('Appendix K'!$E$33+'Appendix K'!$F$33+'Appendix K'!$H$33+'Appendix K'!$G$33))/((1+$Y$16)^3))</f>
        <v>2383715.4143242538</v>
      </c>
      <c r="AB531" s="193">
        <f>(((E531*'Appendix K'!$C$8*1000)-('Appendix K'!$E$34+'Appendix K'!$F$34+'Appendix K'!$H$34+'Appendix K'!$G$34))/((1+$Y$16)^4))</f>
        <v>6135009.5714154607</v>
      </c>
      <c r="AC531" s="193">
        <f>(((F531*'Appendix K'!$C$9*1000)-('Appendix K'!$E$35+'Appendix K'!$F$35+'Appendix K'!$H$35+'Appendix K'!$G$35))/((1+$Y$16)^AC$34))</f>
        <v>12053653.176776001</v>
      </c>
      <c r="AD531" s="193">
        <f>(((G531*'Appendix K'!$C$10*1000)-('Appendix K'!$E$36+'Appendix K'!$F$36+'Appendix K'!$H$36+'Appendix K'!$G$36))/((1+$Y$16)^AD$34))</f>
        <v>6474176.0608099671</v>
      </c>
      <c r="AE531" s="193">
        <f>(((H531*'Appendix K'!$C$11*1000)-('Appendix K'!$E$37+'Appendix K'!$F$37+'Appendix K'!$H$37+'Appendix K'!$G$37))/((1+$Y$16)^AE$34))</f>
        <v>6723701.6358788889</v>
      </c>
      <c r="AF531" s="193">
        <f>(((I531*'Appendix K'!$C$12*1000)-('Appendix K'!$E$38+'Appendix K'!$F$38+'Appendix K'!$H$38+'Appendix K'!$G$38))/((1+$Y$16)^AF$34))</f>
        <v>4118118.6187943523</v>
      </c>
      <c r="AG531" s="193">
        <f>(((J531*'Appendix K'!$C$13*1000)-('Appendix K'!$E$39+'Appendix K'!$F$39+'Appendix K'!$H$39+'Appendix K'!$G$39))/((1+$Y$16)^AG$34))</f>
        <v>906582.20188206155</v>
      </c>
      <c r="AH531" s="193">
        <f>(((K531*'Appendix K'!$C$14*1000)-('Appendix K'!$E$40+'Appendix K'!$F$40+'Appendix K'!$H$40+'Appendix K'!$G$40))/((1+$Y$16)^AH$34))</f>
        <v>469891.1031005329</v>
      </c>
      <c r="AI531" s="193">
        <f>(((L531*'Appendix K'!$C$15*1000)-('Appendix K'!$E$41+'Appendix K'!$F$41+'Appendix K'!$H$41+'Appendix K'!$G$41))/((1+$Y$16)^AI$34))</f>
        <v>403884.22476534283</v>
      </c>
      <c r="AJ531" s="193">
        <f>(((M531*'Appendix K'!$C$16*1000)-('Appendix K'!$E$42+'Appendix K'!$F$42+'Appendix K'!$H$42+'Appendix K'!$G$42))/((1+$Y$16)^AJ$34))</f>
        <v>707977.08929518308</v>
      </c>
      <c r="AK531" s="193">
        <f>(((N531*'Appendix K'!$C$17*1000)-('Appendix K'!$E$43+'Appendix K'!$F$43+'Appendix K'!$H$43))/((1+$Y$16)^AK$34))</f>
        <v>525839.83760706498</v>
      </c>
      <c r="AL531" s="193">
        <f>(((O531*'Appendix K'!$C$18*1000)-('Appendix K'!$E$44+'Appendix K'!$F$44+'Appendix K'!$H$44+'Appendix K'!$G$44))/((1+$Y$16)^AL$34))</f>
        <v>-23509.568055279902</v>
      </c>
      <c r="AM531" s="193">
        <f>(((P531*'Appendix K'!$C$19*1000)-('Appendix K'!$E$45+'Appendix K'!$F$45+'Appendix K'!$H$45+'Appendix K'!$G$45))/((1+$Y$16)^AM$34))</f>
        <v>80799.508719869016</v>
      </c>
      <c r="AN531" s="193">
        <f>(((Q531*'Appendix K'!$C$20*1000)-('Appendix K'!$E$46+'Appendix K'!$F$46+'Appendix K'!$H$46+'Appendix K'!$G$46))/((1+$Y$16)^AN$34))</f>
        <v>309659.66943468072</v>
      </c>
      <c r="AO531" s="193">
        <f>(((R531*'Appendix K'!$C$21*1000)-('Appendix K'!$E$47+'Appendix K'!$F$47+'Appendix K'!$H$47+'Appendix K'!$G$47))/((1+$Y$16)^AO$34))</f>
        <v>391236.20003128913</v>
      </c>
      <c r="AP531" s="193">
        <f>(((S531*'Appendix K'!$C$22*1000)-('Appendix K'!$E$48+'Appendix K'!$F$48+'Appendix K'!$H$48+'Appendix K'!$G$48))/((1+$Y$16)^AP$34))</f>
        <v>135544.33193107272</v>
      </c>
      <c r="AQ531" s="193">
        <f>(((T531*'Appendix K'!$C$23*1000)-('Appendix K'!$E$49+'Appendix K'!$F$49+'Appendix K'!$H$49+'Appendix K'!$G$49))/((1+$Y$16)^AQ$34))</f>
        <v>92326.501299089898</v>
      </c>
      <c r="AR531" s="193">
        <f>(((U531*'Appendix K'!$C$24*1000)-('Appendix K'!$E$50+'Appendix K'!$F$50+'Appendix K'!$H$50+'Appendix K'!$G$50))/((1+$Y$16)^AR$34))</f>
        <v>-334980.23247461801</v>
      </c>
      <c r="AS531" s="209">
        <f t="shared" si="30"/>
        <v>53274413.130348168</v>
      </c>
      <c r="AU531" s="199">
        <f t="shared" si="29"/>
        <v>5.853506287366174E-9</v>
      </c>
    </row>
    <row r="532" spans="1:47" x14ac:dyDescent="0.35">
      <c r="A532">
        <v>498</v>
      </c>
      <c r="B532" s="70">
        <v>56</v>
      </c>
      <c r="C532" s="70">
        <v>73.558049734457072</v>
      </c>
      <c r="D532" s="70">
        <v>59.615968574450775</v>
      </c>
      <c r="E532" s="70">
        <v>72.666257970550177</v>
      </c>
      <c r="F532" s="70">
        <v>56.772946350042012</v>
      </c>
      <c r="G532" s="70">
        <v>36.175136074233734</v>
      </c>
      <c r="H532" s="70">
        <v>33.391601853579147</v>
      </c>
      <c r="I532" s="70">
        <v>26.92704972077853</v>
      </c>
      <c r="J532" s="70">
        <v>33.426848538954111</v>
      </c>
      <c r="K532" s="70">
        <v>15.484183853394708</v>
      </c>
      <c r="L532" s="70">
        <v>19.962859346400158</v>
      </c>
      <c r="M532" s="70">
        <v>28.361713978235635</v>
      </c>
      <c r="N532" s="70">
        <v>38.67667736987341</v>
      </c>
      <c r="O532" s="70">
        <v>33.454878811539544</v>
      </c>
      <c r="P532" s="70">
        <v>23.451660666069827</v>
      </c>
      <c r="Q532" s="70">
        <v>22.394938324830171</v>
      </c>
      <c r="R532" s="70">
        <v>39.144185287092476</v>
      </c>
      <c r="S532" s="70">
        <v>57.304916071845383</v>
      </c>
      <c r="T532" s="70">
        <v>63.462531376181083</v>
      </c>
      <c r="U532" s="70">
        <v>81.947215628346441</v>
      </c>
      <c r="V532" s="70">
        <v>126.21417768643946</v>
      </c>
      <c r="X532" s="193">
        <f>((0-('Appendix K'!$I$30))/(1+$Y$16)^0)</f>
        <v>-33594902.4440751</v>
      </c>
      <c r="Y532" s="193">
        <f>(((B532*'Appendix K'!$C$5*1000)-('Appendix K'!$E$31+'Appendix K'!$F$31+'Appendix K'!$H$31+'Appendix K'!$G$31))/((1+$Y$16)^1))</f>
        <v>34971064.972647354</v>
      </c>
      <c r="Z532" s="193">
        <f>+(((C532*'Appendix K'!$C$6*1000)-('Appendix K'!$E$32+'Appendix K'!$F$32+'Appendix K'!$H$32+'Appendix K'!$G$32))/((1+$Y$16)^2))</f>
        <v>15094773.765489619</v>
      </c>
      <c r="AA532" s="193">
        <f>(((D532*'Appendix K'!$C$7*1000)-('Appendix K'!$E$33+'Appendix K'!$F$33+'Appendix K'!$H$33+'Appendix K'!$G$33))/((1+$Y$16)^3))</f>
        <v>4628678.3247756055</v>
      </c>
      <c r="AB532" s="193">
        <f>(((E532*'Appendix K'!$C$8*1000)-('Appendix K'!$E$34+'Appendix K'!$F$34+'Appendix K'!$H$34+'Appendix K'!$G$34))/((1+$Y$16)^4))</f>
        <v>12634570.662723659</v>
      </c>
      <c r="AC532" s="193">
        <f>(((F532*'Appendix K'!$C$9*1000)-('Appendix K'!$E$35+'Appendix K'!$F$35+'Appendix K'!$H$35+'Appendix K'!$G$35))/((1+$Y$16)^AC$34))</f>
        <v>12105931.471158352</v>
      </c>
      <c r="AD532" s="193">
        <f>(((G532*'Appendix K'!$C$10*1000)-('Appendix K'!$E$36+'Appendix K'!$F$36+'Appendix K'!$H$36+'Appendix K'!$G$36))/((1+$Y$16)^AD$34))</f>
        <v>3165323.3379472219</v>
      </c>
      <c r="AE532" s="193">
        <f>(((H532*'Appendix K'!$C$11*1000)-('Appendix K'!$E$37+'Appendix K'!$F$37+'Appendix K'!$H$37+'Appendix K'!$G$37))/((1+$Y$16)^AE$34))</f>
        <v>1110458.226537545</v>
      </c>
      <c r="AF532" s="193">
        <f>(((I532*'Appendix K'!$C$12*1000)-('Appendix K'!$E$38+'Appendix K'!$F$38+'Appendix K'!$H$38+'Appendix K'!$G$38))/((1+$Y$16)^AF$34))</f>
        <v>-228483.57297780481</v>
      </c>
      <c r="AG532" s="193">
        <f>(((J532*'Appendix K'!$C$13*1000)-('Appendix K'!$E$39+'Appendix K'!$F$39+'Appendix K'!$H$39+'Appendix K'!$G$39))/((1+$Y$16)^AG$34))</f>
        <v>-276675.98233450559</v>
      </c>
      <c r="AH532" s="193">
        <f>(((K532*'Appendix K'!$C$14*1000)-('Appendix K'!$E$40+'Appendix K'!$F$40+'Appendix K'!$H$40+'Appendix K'!$G$40))/((1+$Y$16)^AH$34))</f>
        <v>-1110823.0987080464</v>
      </c>
      <c r="AI532" s="193">
        <f>(((L532*'Appendix K'!$C$15*1000)-('Appendix K'!$E$41+'Appendix K'!$F$41+'Appendix K'!$H$41+'Appendix K'!$G$41))/((1+$Y$16)^AI$34))</f>
        <v>-993417.10272531549</v>
      </c>
      <c r="AJ532" s="193">
        <f>(((M532*'Appendix K'!$C$16*1000)-('Appendix K'!$E$42+'Appendix K'!$F$42+'Appendix K'!$H$42+'Appendix K'!$G$42))/((1+$Y$16)^AJ$34))</f>
        <v>-813129.25988948997</v>
      </c>
      <c r="AK532" s="193">
        <f>(((N532*'Appendix K'!$C$17*1000)-('Appendix K'!$E$43+'Appendix K'!$F$43+'Appendix K'!$H$43))/((1+$Y$16)^AK$34))</f>
        <v>-410034.11107712716</v>
      </c>
      <c r="AL532" s="193">
        <f>(((O532*'Appendix K'!$C$18*1000)-('Appendix K'!$E$44+'Appendix K'!$F$44+'Appendix K'!$H$44+'Appendix K'!$G$44))/((1+$Y$16)^AL$34))</f>
        <v>-738038.60294780124</v>
      </c>
      <c r="AM532" s="193">
        <f>(((P532*'Appendix K'!$C$19*1000)-('Appendix K'!$E$45+'Appendix K'!$F$45+'Appendix K'!$H$45+'Appendix K'!$G$45))/((1+$Y$16)^AM$34))</f>
        <v>-809398.78931605013</v>
      </c>
      <c r="AN532" s="193">
        <f>(((Q532*'Appendix K'!$C$20*1000)-('Appendix K'!$E$46+'Appendix K'!$F$46+'Appendix K'!$H$46+'Appendix K'!$G$46))/((1+$Y$16)^AN$34))</f>
        <v>-753654.20788838039</v>
      </c>
      <c r="AO532" s="193">
        <f>(((R532*'Appendix K'!$C$21*1000)-('Appendix K'!$E$47+'Appendix K'!$F$47+'Appendix K'!$H$47+'Appendix K'!$G$47))/((1+$Y$16)^AO$34))</f>
        <v>-611652.46568312135</v>
      </c>
      <c r="AP532" s="193">
        <f>(((S532*'Appendix K'!$C$22*1000)-('Appendix K'!$E$48+'Appendix K'!$F$48+'Appendix K'!$H$48+'Appendix K'!$G$48))/((1+$Y$16)^AP$34))</f>
        <v>-489978.7679341273</v>
      </c>
      <c r="AQ532" s="193">
        <f>(((T532*'Appendix K'!$C$23*1000)-('Appendix K'!$E$49+'Appendix K'!$F$49+'Appendix K'!$H$49+'Appendix K'!$G$49))/((1+$Y$16)^AQ$34))</f>
        <v>-445109.53053011541</v>
      </c>
      <c r="AR532" s="193">
        <f>(((U532*'Appendix K'!$C$24*1000)-('Appendix K'!$E$50+'Appendix K'!$F$50+'Appendix K'!$H$50+'Appendix K'!$G$50))/((1+$Y$16)^AR$34))</f>
        <v>-365416.53891758632</v>
      </c>
      <c r="AS532" s="209">
        <f t="shared" si="30"/>
        <v>50115898.317204259</v>
      </c>
      <c r="AU532" s="199">
        <f t="shared" si="29"/>
        <v>5.6508869285553715E-9</v>
      </c>
    </row>
    <row r="533" spans="1:47" x14ac:dyDescent="0.35">
      <c r="A533">
        <v>499</v>
      </c>
      <c r="B533" s="70">
        <v>56</v>
      </c>
      <c r="C533" s="70">
        <v>47.543897069802796</v>
      </c>
      <c r="D533" s="70">
        <v>59.500614826183764</v>
      </c>
      <c r="E533" s="70">
        <v>51.592860700734569</v>
      </c>
      <c r="F533" s="70">
        <v>60.769447085431267</v>
      </c>
      <c r="G533" s="70">
        <v>52.201631011342258</v>
      </c>
      <c r="H533" s="70">
        <v>41.292240257010548</v>
      </c>
      <c r="I533" s="70">
        <v>28.470141607066122</v>
      </c>
      <c r="J533" s="70">
        <v>24.145889649074462</v>
      </c>
      <c r="K533" s="70">
        <v>39.976386959828659</v>
      </c>
      <c r="L533" s="70">
        <v>50.270151156356057</v>
      </c>
      <c r="M533" s="70">
        <v>39.240976709845718</v>
      </c>
      <c r="N533" s="70">
        <v>53.227334286742504</v>
      </c>
      <c r="O533" s="70">
        <v>46.49062162299186</v>
      </c>
      <c r="P533" s="70">
        <v>42.154414086644962</v>
      </c>
      <c r="Q533" s="70">
        <v>50.525563015079278</v>
      </c>
      <c r="R533" s="70">
        <v>88.103188087247133</v>
      </c>
      <c r="S533" s="70">
        <v>82.329594832383549</v>
      </c>
      <c r="T533" s="70">
        <v>84.673507697294738</v>
      </c>
      <c r="U533" s="70">
        <v>53.751052243188241</v>
      </c>
      <c r="V533" s="70">
        <v>71.116820844772263</v>
      </c>
      <c r="X533" s="193">
        <f>((0-('Appendix K'!$I$30))/(1+$Y$16)^0)</f>
        <v>-33594902.4440751</v>
      </c>
      <c r="Y533" s="193">
        <f>(((B533*'Appendix K'!$C$5*1000)-('Appendix K'!$E$31+'Appendix K'!$F$31+'Appendix K'!$H$31+'Appendix K'!$G$31))/((1+$Y$16)^1))</f>
        <v>34971064.972647354</v>
      </c>
      <c r="Z533" s="193">
        <f>+(((C533*'Appendix K'!$C$6*1000)-('Appendix K'!$E$32+'Appendix K'!$F$32+'Appendix K'!$H$32+'Appendix K'!$G$32))/((1+$Y$16)^2))</f>
        <v>8523153.8791169357</v>
      </c>
      <c r="AA533" s="193">
        <f>(((D533*'Appendix K'!$C$7*1000)-('Appendix K'!$E$33+'Appendix K'!$F$33+'Appendix K'!$H$33+'Appendix K'!$G$33))/((1+$Y$16)^3))</f>
        <v>4613985.1558140246</v>
      </c>
      <c r="AB533" s="193">
        <f>(((E533*'Appendix K'!$C$8*1000)-('Appendix K'!$E$34+'Appendix K'!$F$34+'Appendix K'!$H$34+'Appendix K'!$G$34))/((1+$Y$16)^4))</f>
        <v>8015474.8895645859</v>
      </c>
      <c r="AC533" s="193">
        <f>(((F533*'Appendix K'!$C$9*1000)-('Appendix K'!$E$35+'Appendix K'!$F$35+'Appendix K'!$H$35+'Appendix K'!$G$35))/((1+$Y$16)^AC$34))</f>
        <v>13168195.090992499</v>
      </c>
      <c r="AD533" s="193">
        <f>(((G533*'Appendix K'!$C$10*1000)-('Appendix K'!$E$36+'Appendix K'!$F$36+'Appendix K'!$H$36+'Appendix K'!$G$36))/((1+$Y$16)^AD$34))</f>
        <v>5682187.4318270115</v>
      </c>
      <c r="AE533" s="193">
        <f>(((H533*'Appendix K'!$C$11*1000)-('Appendix K'!$E$37+'Appendix K'!$F$37+'Appendix K'!$H$37+'Appendix K'!$G$37))/((1+$Y$16)^AE$34))</f>
        <v>1898449.1671902512</v>
      </c>
      <c r="AF533" s="193">
        <f>(((I533*'Appendix K'!$C$12*1000)-('Appendix K'!$E$38+'Appendix K'!$F$38+'Appendix K'!$H$38+'Appendix K'!$G$38))/((1+$Y$16)^AF$34))</f>
        <v>-127160.41457991343</v>
      </c>
      <c r="AG533" s="193">
        <f>(((J533*'Appendix K'!$C$13*1000)-('Appendix K'!$E$39+'Appendix K'!$F$39+'Appendix K'!$H$39+'Appendix K'!$G$39))/((1+$Y$16)^AG$34))</f>
        <v>-703775.80359664513</v>
      </c>
      <c r="AH533" s="193">
        <f>(((K533*'Appendix K'!$C$14*1000)-('Appendix K'!$E$40+'Appendix K'!$F$40+'Appendix K'!$H$40+'Appendix K'!$G$40))/((1+$Y$16)^AH$34))</f>
        <v>-285275.99938384362</v>
      </c>
      <c r="AI533" s="193">
        <f>(((L533*'Appendix K'!$C$15*1000)-('Appendix K'!$E$41+'Appendix K'!$F$41+'Appendix K'!$H$41+'Appendix K'!$G$41))/((1+$Y$16)^AI$34))</f>
        <v>-199309.38239088</v>
      </c>
      <c r="AJ533" s="193">
        <f>(((M533*'Appendix K'!$C$16*1000)-('Appendix K'!$E$42+'Appendix K'!$F$42+'Appendix K'!$H$42+'Appendix K'!$G$42))/((1+$Y$16)^AJ$34))</f>
        <v>-595088.52340441511</v>
      </c>
      <c r="AK533" s="193">
        <f>(((N533*'Appendix K'!$C$17*1000)-('Appendix K'!$E$43+'Appendix K'!$F$43+'Appendix K'!$H$43))/((1+$Y$16)^AK$34))</f>
        <v>-186479.31019253074</v>
      </c>
      <c r="AL533" s="193">
        <f>(((O533*'Appendix K'!$C$18*1000)-('Appendix K'!$E$44+'Appendix K'!$F$44+'Appendix K'!$H$44+'Appendix K'!$G$44))/((1+$Y$16)^AL$34))</f>
        <v>-583522.10760862019</v>
      </c>
      <c r="AM533" s="193">
        <f>(((P533*'Appendix K'!$C$19*1000)-('Appendix K'!$E$45+'Appendix K'!$F$45+'Appendix K'!$H$45+'Appendix K'!$G$45))/((1+$Y$16)^AM$34))</f>
        <v>-636047.98408373038</v>
      </c>
      <c r="AN533" s="193">
        <f>(((Q533*'Appendix K'!$C$20*1000)-('Appendix K'!$E$46+'Appendix K'!$F$46+'Appendix K'!$H$46+'Appendix K'!$G$46))/((1+$Y$16)^AN$34))</f>
        <v>-550094.90635365294</v>
      </c>
      <c r="AO533" s="193">
        <f>(((R533*'Appendix K'!$C$21*1000)-('Appendix K'!$E$47+'Appendix K'!$F$47+'Appendix K'!$H$47+'Appendix K'!$G$47))/((1+$Y$16)^AO$34))</f>
        <v>-322299.35014160798</v>
      </c>
      <c r="AP533" s="193">
        <f>(((S533*'Appendix K'!$C$22*1000)-('Appendix K'!$E$48+'Appendix K'!$F$48+'Appendix K'!$H$48+'Appendix K'!$G$48))/((1+$Y$16)^AP$34))</f>
        <v>-370117.58005533047</v>
      </c>
      <c r="AQ533" s="193">
        <f>(((T533*'Appendix K'!$C$23*1000)-('Appendix K'!$E$49+'Appendix K'!$F$49+'Appendix K'!$H$49+'Appendix K'!$G$49))/((1+$Y$16)^AQ$34))</f>
        <v>-362095.1993584772</v>
      </c>
      <c r="AR533" s="193">
        <f>(((U533*'Appendix K'!$C$24*1000)-('Appendix K'!$E$50+'Appendix K'!$F$50+'Appendix K'!$H$50+'Appendix K'!$G$50))/((1+$Y$16)^AR$34))</f>
        <v>-456208.97504210979</v>
      </c>
      <c r="AS533" s="209">
        <f t="shared" si="30"/>
        <v>43277608.14307756</v>
      </c>
      <c r="AU533" s="199">
        <f t="shared" si="29"/>
        <v>5.1806431658508458E-9</v>
      </c>
    </row>
    <row r="534" spans="1:47" x14ac:dyDescent="0.35">
      <c r="A534">
        <v>500</v>
      </c>
      <c r="B534" s="70">
        <v>56</v>
      </c>
      <c r="C534" s="70">
        <v>67.99777000655682</v>
      </c>
      <c r="D534" s="70">
        <v>116.65469851901274</v>
      </c>
      <c r="E534" s="70">
        <v>127.61113376300818</v>
      </c>
      <c r="F534" s="70">
        <v>135.50635485995355</v>
      </c>
      <c r="G534" s="70">
        <v>123.66667954398186</v>
      </c>
      <c r="H534" s="70">
        <v>136.76847142058796</v>
      </c>
      <c r="I534" s="70">
        <v>149.07303678960383</v>
      </c>
      <c r="J534" s="70">
        <v>204.53726235422309</v>
      </c>
      <c r="K534" s="70">
        <v>340.96986707977715</v>
      </c>
      <c r="L534" s="70">
        <v>280.87845479106863</v>
      </c>
      <c r="M534" s="70">
        <v>242.33274932356207</v>
      </c>
      <c r="N534" s="70">
        <v>166.01993975638879</v>
      </c>
      <c r="O534" s="70">
        <v>210.67411414192927</v>
      </c>
      <c r="P534" s="70">
        <v>237.74727437784486</v>
      </c>
      <c r="Q534" s="70">
        <v>297.1710595237879</v>
      </c>
      <c r="R534" s="70">
        <v>372.79365375326529</v>
      </c>
      <c r="S534" s="70">
        <v>500</v>
      </c>
      <c r="T534" s="70">
        <v>393.18641651478043</v>
      </c>
      <c r="U534" s="70">
        <v>489.20540684535598</v>
      </c>
      <c r="V534" s="70">
        <v>500</v>
      </c>
      <c r="X534" s="193">
        <f>((0-('Appendix K'!$I$30))/(1+$Y$16)^0)</f>
        <v>-33594902.4440751</v>
      </c>
      <c r="Y534" s="193">
        <f>(((B534*'Appendix K'!$C$5*1000)-('Appendix K'!$E$31+'Appendix K'!$F$31+'Appendix K'!$H$31+'Appendix K'!$G$31))/((1+$Y$16)^1))</f>
        <v>34971064.972647354</v>
      </c>
      <c r="Z534" s="193">
        <f>+(((C534*'Appendix K'!$C$6*1000)-('Appendix K'!$E$32+'Appendix K'!$F$32+'Appendix K'!$H$32+'Appendix K'!$G$32))/((1+$Y$16)^2))</f>
        <v>13690152.008067876</v>
      </c>
      <c r="AA534" s="193">
        <f>(((D534*'Appendix K'!$C$7*1000)-('Appendix K'!$E$33+'Appendix K'!$F$33+'Appendix K'!$H$33+'Appendix K'!$G$33))/((1+$Y$16)^3))</f>
        <v>11893979.270953087</v>
      </c>
      <c r="AB534" s="193">
        <f>(((E534*'Appendix K'!$C$8*1000)-('Appendix K'!$E$34+'Appendix K'!$F$34+'Appendix K'!$H$34+'Appendix K'!$G$34))/((1+$Y$16)^4))</f>
        <v>24677984.464503799</v>
      </c>
      <c r="AC534" s="193">
        <f>(((F534*'Appendix K'!$C$9*1000)-('Appendix K'!$E$35+'Appendix K'!$F$35+'Appendix K'!$H$35+'Appendix K'!$G$35))/((1+$Y$16)^AC$34))</f>
        <v>33033147.819455419</v>
      </c>
      <c r="AD534" s="193">
        <f>(((G534*'Appendix K'!$C$10*1000)-('Appendix K'!$E$36+'Appendix K'!$F$36+'Appendix K'!$H$36+'Appendix K'!$G$36))/((1+$Y$16)^AD$34))</f>
        <v>16905341.048698187</v>
      </c>
      <c r="AE534" s="193">
        <f>(((H534*'Appendix K'!$C$11*1000)-('Appendix K'!$E$37+'Appendix K'!$F$37+'Appendix K'!$H$37+'Appendix K'!$G$37))/((1+$Y$16)^AE$34))</f>
        <v>11421022.073689399</v>
      </c>
      <c r="AF534" s="193">
        <f>(((I534*'Appendix K'!$C$12*1000)-('Appendix K'!$E$38+'Appendix K'!$F$38+'Appendix K'!$H$38+'Appendix K'!$G$38))/((1+$Y$16)^AF$34))</f>
        <v>7791918.3910402777</v>
      </c>
      <c r="AG534" s="193">
        <f>(((J534*'Appendix K'!$C$13*1000)-('Appendix K'!$E$39+'Appendix K'!$F$39+'Appendix K'!$H$39+'Appendix K'!$G$39))/((1+$Y$16)^AG$34))</f>
        <v>7597642.6116507528</v>
      </c>
      <c r="AH534" s="193">
        <f>(((K534*'Appendix K'!$C$14*1000)-('Appendix K'!$E$40+'Appendix K'!$F$40+'Appendix K'!$H$40+'Appendix K'!$G$40))/((1+$Y$16)^AH$34))</f>
        <v>9860168.791707458</v>
      </c>
      <c r="AI534" s="193">
        <f>(((L534*'Appendix K'!$C$15*1000)-('Appendix K'!$E$41+'Appendix K'!$F$41+'Appendix K'!$H$41+'Appendix K'!$G$41))/((1+$Y$16)^AI$34))</f>
        <v>5843059.4124809764</v>
      </c>
      <c r="AJ534" s="193">
        <f>(((M534*'Appendix K'!$C$16*1000)-('Appendix K'!$E$42+'Appendix K'!$F$42+'Appendix K'!$H$42+'Appendix K'!$G$42))/((1+$Y$16)^AJ$34))</f>
        <v>3475249.7676353198</v>
      </c>
      <c r="AK534" s="193">
        <f>(((N534*'Appendix K'!$C$17*1000)-('Appendix K'!$E$43+'Appendix K'!$F$43+'Appendix K'!$H$43))/((1+$Y$16)^AK$34))</f>
        <v>1546454.7147853102</v>
      </c>
      <c r="AL534" s="193">
        <f>(((O534*'Appendix K'!$C$18*1000)-('Appendix K'!$E$44+'Appendix K'!$F$44+'Appendix K'!$H$44+'Appendix K'!$G$44))/((1+$Y$16)^AL$34))</f>
        <v>1362593.1405600794</v>
      </c>
      <c r="AM534" s="193">
        <f>(((P534*'Appendix K'!$C$19*1000)-('Appendix K'!$E$45+'Appendix K'!$F$45+'Appendix K'!$H$45+'Appendix K'!$G$45))/((1+$Y$16)^AM$34))</f>
        <v>1176849.7784388463</v>
      </c>
      <c r="AN534" s="193">
        <f>(((Q534*'Appendix K'!$C$20*1000)-('Appendix K'!$E$46+'Appendix K'!$F$46+'Appendix K'!$H$46+'Appendix K'!$G$46))/((1+$Y$16)^AN$34))</f>
        <v>1234685.4015433833</v>
      </c>
      <c r="AO534" s="193">
        <f>(((R534*'Appendix K'!$C$21*1000)-('Appendix K'!$E$47+'Appendix K'!$F$47+'Appendix K'!$H$47+'Appendix K'!$G$47))/((1+$Y$16)^AO$34))</f>
        <v>1360252.7545586608</v>
      </c>
      <c r="AP534" s="193">
        <f>(((S534*'Appendix K'!$C$22*1000)-('Appendix K'!$E$48+'Appendix K'!$F$48+'Appendix K'!$H$48+'Appendix K'!$G$48))/((1+$Y$16)^AP$34))</f>
        <v>1630406.4380253027</v>
      </c>
      <c r="AQ534" s="193">
        <f>(((T534*'Appendix K'!$C$23*1000)-('Appendix K'!$E$49+'Appendix K'!$F$49+'Appendix K'!$H$49+'Appendix K'!$G$49))/((1+$Y$16)^AQ$34))</f>
        <v>845345.34442293737</v>
      </c>
      <c r="AR534" s="193">
        <f>(((U534*'Appendix K'!$C$24*1000)-('Appendix K'!$E$50+'Appendix K'!$F$50+'Appendix K'!$H$50+'Appendix K'!$G$50))/((1+$Y$16)^AR$34))</f>
        <v>945966.24771084555</v>
      </c>
      <c r="AS534" s="209">
        <f t="shared" si="30"/>
        <v>157668382.00850016</v>
      </c>
      <c r="AU534" s="199">
        <f t="shared" si="29"/>
        <v>3.2815595585494913E-9</v>
      </c>
    </row>
    <row r="535" spans="1:47" x14ac:dyDescent="0.35">
      <c r="A535">
        <v>501</v>
      </c>
      <c r="B535" s="70">
        <v>56</v>
      </c>
      <c r="C535" s="70">
        <v>51.144599289441665</v>
      </c>
      <c r="D535" s="70">
        <v>42.469181148424965</v>
      </c>
      <c r="E535" s="70">
        <v>49.282593339744793</v>
      </c>
      <c r="F535" s="70">
        <v>66.651122537073434</v>
      </c>
      <c r="G535" s="70">
        <v>35.279683967796672</v>
      </c>
      <c r="H535" s="70">
        <v>44.683225564387897</v>
      </c>
      <c r="I535" s="70">
        <v>55.059847137815716</v>
      </c>
      <c r="J535" s="70">
        <v>95.617551603429675</v>
      </c>
      <c r="K535" s="70">
        <v>137.75264199395193</v>
      </c>
      <c r="L535" s="70">
        <v>131.20894477197393</v>
      </c>
      <c r="M535" s="70">
        <v>100.36911022164813</v>
      </c>
      <c r="N535" s="70">
        <v>138.15932891181075</v>
      </c>
      <c r="O535" s="70">
        <v>134.09113529247571</v>
      </c>
      <c r="P535" s="70">
        <v>161.37959761998744</v>
      </c>
      <c r="Q535" s="70">
        <v>138.36668062494567</v>
      </c>
      <c r="R535" s="70">
        <v>179.31511956649879</v>
      </c>
      <c r="S535" s="70">
        <v>163.15470282052812</v>
      </c>
      <c r="T535" s="70">
        <v>279.97049953672797</v>
      </c>
      <c r="U535" s="70">
        <v>231.65884343918964</v>
      </c>
      <c r="V535" s="70">
        <v>243.00193895650568</v>
      </c>
      <c r="X535" s="193">
        <f>((0-('Appendix K'!$I$30))/(1+$Y$16)^0)</f>
        <v>-33594902.4440751</v>
      </c>
      <c r="Y535" s="193">
        <f>(((B535*'Appendix K'!$C$5*1000)-('Appendix K'!$E$31+'Appendix K'!$F$31+'Appendix K'!$H$31+'Appendix K'!$G$31))/((1+$Y$16)^1))</f>
        <v>34971064.972647354</v>
      </c>
      <c r="Z535" s="193">
        <f>+(((C535*'Appendix K'!$C$6*1000)-('Appendix K'!$E$32+'Appendix K'!$F$32+'Appendix K'!$H$32+'Appendix K'!$G$32))/((1+$Y$16)^2))</f>
        <v>9432752.843054574</v>
      </c>
      <c r="AA535" s="193">
        <f>(((D535*'Appendix K'!$C$7*1000)-('Appendix K'!$E$33+'Appendix K'!$F$33+'Appendix K'!$H$33+'Appendix K'!$G$33))/((1+$Y$16)^3))</f>
        <v>2444608.4650278515</v>
      </c>
      <c r="AB535" s="193">
        <f>(((E535*'Appendix K'!$C$8*1000)-('Appendix K'!$E$34+'Appendix K'!$F$34+'Appendix K'!$H$34+'Appendix K'!$G$34))/((1+$Y$16)^4))</f>
        <v>7509085.4324977705</v>
      </c>
      <c r="AC535" s="193">
        <f>(((F535*'Appendix K'!$C$9*1000)-('Appendix K'!$E$35+'Appendix K'!$F$35+'Appendix K'!$H$35+'Appendix K'!$G$35))/((1+$Y$16)^AC$34))</f>
        <v>14731535.190151146</v>
      </c>
      <c r="AD535" s="193">
        <f>(((G535*'Appendix K'!$C$10*1000)-('Appendix K'!$E$36+'Appendix K'!$F$36+'Appendix K'!$H$36+'Appendix K'!$G$36))/((1+$Y$16)^AD$34))</f>
        <v>3024698.000758735</v>
      </c>
      <c r="AE535" s="193">
        <f>(((H535*'Appendix K'!$C$11*1000)-('Appendix K'!$E$37+'Appendix K'!$F$37+'Appendix K'!$H$37+'Appendix K'!$G$37))/((1+$Y$16)^AE$34))</f>
        <v>2236658.0011674208</v>
      </c>
      <c r="AF535" s="193">
        <f>(((I535*'Appendix K'!$C$12*1000)-('Appendix K'!$E$38+'Appendix K'!$F$38+'Appendix K'!$H$38+'Appendix K'!$G$38))/((1+$Y$16)^AF$34))</f>
        <v>1618784.1848224502</v>
      </c>
      <c r="AG535" s="193">
        <f>(((J535*'Appendix K'!$C$13*1000)-('Appendix K'!$E$39+'Appendix K'!$F$39+'Appendix K'!$H$39+'Appendix K'!$G$39))/((1+$Y$16)^AG$34))</f>
        <v>2585273.787960053</v>
      </c>
      <c r="AH535" s="193">
        <f>(((K535*'Appendix K'!$C$14*1000)-('Appendix K'!$E$40+'Appendix K'!$F$40+'Appendix K'!$H$40+'Appendix K'!$G$40))/((1+$Y$16)^AH$34))</f>
        <v>3010421.9570404836</v>
      </c>
      <c r="AI535" s="193">
        <f>(((L535*'Appendix K'!$C$15*1000)-('Appendix K'!$E$41+'Appendix K'!$F$41+'Appendix K'!$H$41+'Appendix K'!$G$41))/((1+$Y$16)^AI$34))</f>
        <v>1921438.3666245479</v>
      </c>
      <c r="AJ535" s="193">
        <f>(((M535*'Appendix K'!$C$16*1000)-('Appendix K'!$E$42+'Appendix K'!$F$42+'Appendix K'!$H$42+'Appendix K'!$G$42))/((1+$Y$16)^AJ$34))</f>
        <v>630033.39704936487</v>
      </c>
      <c r="AK535" s="193">
        <f>(((N535*'Appendix K'!$C$17*1000)-('Appendix K'!$E$43+'Appendix K'!$F$43+'Appendix K'!$H$43))/((1+$Y$16)^AK$34))</f>
        <v>1118407.1465231448</v>
      </c>
      <c r="AL535" s="193">
        <f>(((O535*'Appendix K'!$C$18*1000)-('Appendix K'!$E$44+'Appendix K'!$F$44+'Appendix K'!$H$44+'Appendix K'!$G$44))/((1+$Y$16)^AL$34))</f>
        <v>454832.55755316123</v>
      </c>
      <c r="AM535" s="193">
        <f>(((P535*'Appendix K'!$C$19*1000)-('Appendix K'!$E$45+'Appendix K'!$F$45+'Appendix K'!$H$45+'Appendix K'!$G$45))/((1+$Y$16)^AM$34))</f>
        <v>469018.26497129619</v>
      </c>
      <c r="AN535" s="193">
        <f>(((Q535*'Appendix K'!$C$20*1000)-('Appendix K'!$E$46+'Appendix K'!$F$46+'Appendix K'!$H$46+'Appendix K'!$G$46))/((1+$Y$16)^AN$34))</f>
        <v>85542.472609078788</v>
      </c>
      <c r="AO535" s="193">
        <f>(((R535*'Appendix K'!$C$21*1000)-('Appendix K'!$E$47+'Appendix K'!$F$47+'Appendix K'!$H$47+'Appendix K'!$G$47))/((1+$Y$16)^AO$34))</f>
        <v>216773.24199862924</v>
      </c>
      <c r="AP535" s="193">
        <f>(((S535*'Appendix K'!$C$22*1000)-('Appendix K'!$E$48+'Appendix K'!$F$48+'Appendix K'!$H$48+'Appendix K'!$G$48))/((1+$Y$16)^AP$34))</f>
        <v>17012.002969242996</v>
      </c>
      <c r="AQ535" s="193">
        <f>(((T535*'Appendix K'!$C$23*1000)-('Appendix K'!$E$49+'Appendix K'!$F$49+'Appendix K'!$H$49+'Appendix K'!$G$49))/((1+$Y$16)^AQ$34))</f>
        <v>402247.22938891494</v>
      </c>
      <c r="AR535" s="193">
        <f>(((U535*'Appendix K'!$C$24*1000)-('Appendix K'!$E$50+'Appendix K'!$F$50+'Appendix K'!$H$50+'Appendix K'!$G$50))/((1+$Y$16)^AR$34))</f>
        <v>116659.09738225474</v>
      </c>
      <c r="AS535" s="209">
        <f t="shared" si="30"/>
        <v>53401944.168122374</v>
      </c>
      <c r="AU535" s="199">
        <f t="shared" si="29"/>
        <v>5.8614569484851523E-9</v>
      </c>
    </row>
    <row r="536" spans="1:47" x14ac:dyDescent="0.35">
      <c r="A536">
        <v>502</v>
      </c>
      <c r="B536" s="70">
        <v>56</v>
      </c>
      <c r="C536" s="70">
        <v>57.088107281832094</v>
      </c>
      <c r="D536" s="70">
        <v>42.60115336427517</v>
      </c>
      <c r="E536" s="70">
        <v>33.212956493209418</v>
      </c>
      <c r="F536" s="70">
        <v>25.854999216791601</v>
      </c>
      <c r="G536" s="70">
        <v>32.380039155074741</v>
      </c>
      <c r="H536" s="70">
        <v>36.690327054219871</v>
      </c>
      <c r="I536" s="70">
        <v>38.617912842338882</v>
      </c>
      <c r="J536" s="70">
        <v>65.867790143187761</v>
      </c>
      <c r="K536" s="70">
        <v>82.743484699298023</v>
      </c>
      <c r="L536" s="70">
        <v>124.196944087009</v>
      </c>
      <c r="M536" s="70">
        <v>152.47647992134736</v>
      </c>
      <c r="N536" s="70">
        <v>241.17720218304555</v>
      </c>
      <c r="O536" s="70">
        <v>177.9670628751079</v>
      </c>
      <c r="P536" s="70">
        <v>207.81842782666286</v>
      </c>
      <c r="Q536" s="70">
        <v>218.98927482663686</v>
      </c>
      <c r="R536" s="70">
        <v>430.54209377020288</v>
      </c>
      <c r="S536" s="70">
        <v>500</v>
      </c>
      <c r="T536" s="70">
        <v>500</v>
      </c>
      <c r="U536" s="70">
        <v>500</v>
      </c>
      <c r="V536" s="70">
        <v>500</v>
      </c>
      <c r="X536" s="193">
        <f>((0-('Appendix K'!$I$30))/(1+$Y$16)^0)</f>
        <v>-33594902.4440751</v>
      </c>
      <c r="Y536" s="193">
        <f>(((B536*'Appendix K'!$C$5*1000)-('Appendix K'!$E$31+'Appendix K'!$F$31+'Appendix K'!$H$31+'Appendix K'!$G$31))/((1+$Y$16)^1))</f>
        <v>34971064.972647354</v>
      </c>
      <c r="Z536" s="193">
        <f>+(((C536*'Appendix K'!$C$6*1000)-('Appendix K'!$E$32+'Appendix K'!$F$32+'Appendix K'!$H$32+'Appendix K'!$G$32))/((1+$Y$16)^2))</f>
        <v>10934184.614487093</v>
      </c>
      <c r="AA536" s="193">
        <f>(((D536*'Appendix K'!$C$7*1000)-('Appendix K'!$E$33+'Appendix K'!$F$33+'Appendix K'!$H$33+'Appendix K'!$G$33))/((1+$Y$16)^3))</f>
        <v>2461418.4091766351</v>
      </c>
      <c r="AB536" s="193">
        <f>(((E536*'Appendix K'!$C$8*1000)-('Appendix K'!$E$34+'Appendix K'!$F$34+'Appendix K'!$H$34+'Appendix K'!$G$34))/((1+$Y$16)^4))</f>
        <v>3986768.1391037945</v>
      </c>
      <c r="AC536" s="193">
        <f>(((F536*'Appendix K'!$C$9*1000)-('Appendix K'!$E$35+'Appendix K'!$F$35+'Appendix K'!$H$35+'Appendix K'!$G$35))/((1+$Y$16)^AC$34))</f>
        <v>3887989.6730296668</v>
      </c>
      <c r="AD536" s="193">
        <f>(((G536*'Appendix K'!$C$10*1000)-('Appendix K'!$E$36+'Appendix K'!$F$36+'Appendix K'!$H$36+'Appendix K'!$G$36))/((1+$Y$16)^AD$34))</f>
        <v>2569326.3213750883</v>
      </c>
      <c r="AE536" s="193">
        <f>(((H536*'Appendix K'!$C$11*1000)-('Appendix K'!$E$37+'Appendix K'!$F$37+'Appendix K'!$H$37+'Appendix K'!$G$37))/((1+$Y$16)^AE$34))</f>
        <v>1439465.256232603</v>
      </c>
      <c r="AF536" s="193">
        <f>(((I536*'Appendix K'!$C$12*1000)-('Appendix K'!$E$38+'Appendix K'!$F$38+'Appendix K'!$H$38+'Appendix K'!$G$38))/((1+$Y$16)^AF$34))</f>
        <v>539166.87376503798</v>
      </c>
      <c r="AG536" s="193">
        <f>(((J536*'Appendix K'!$C$13*1000)-('Appendix K'!$E$39+'Appendix K'!$F$39+'Appendix K'!$H$39+'Appendix K'!$G$39))/((1+$Y$16)^AG$34))</f>
        <v>1216221.5215917688</v>
      </c>
      <c r="AH536" s="193">
        <f>(((K536*'Appendix K'!$C$14*1000)-('Appendix K'!$E$40+'Appendix K'!$F$40+'Appendix K'!$H$40+'Appendix K'!$G$40))/((1+$Y$16)^AH$34))</f>
        <v>1156254.3248546831</v>
      </c>
      <c r="AI536" s="193">
        <f>(((L536*'Appendix K'!$C$15*1000)-('Appendix K'!$E$41+'Appendix K'!$F$41+'Appendix K'!$H$41+'Appendix K'!$G$41))/((1+$Y$16)^AI$34))</f>
        <v>1737710.8361728883</v>
      </c>
      <c r="AJ536" s="193">
        <f>(((M536*'Appendix K'!$C$16*1000)-('Appendix K'!$E$42+'Appendix K'!$F$42+'Appendix K'!$H$42+'Appendix K'!$G$42))/((1+$Y$16)^AJ$34))</f>
        <v>1674362.3691414872</v>
      </c>
      <c r="AK536" s="193">
        <f>(((N536*'Appendix K'!$C$17*1000)-('Appendix K'!$E$43+'Appendix K'!$F$43+'Appendix K'!$H$43))/((1+$Y$16)^AK$34))</f>
        <v>2701163.1882799831</v>
      </c>
      <c r="AL536" s="193">
        <f>(((O536*'Appendix K'!$C$18*1000)-('Appendix K'!$E$44+'Appendix K'!$F$44+'Appendix K'!$H$44+'Appendix K'!$G$44))/((1+$Y$16)^AL$34))</f>
        <v>974906.83777507371</v>
      </c>
      <c r="AM536" s="193">
        <f>(((P536*'Appendix K'!$C$19*1000)-('Appendix K'!$E$45+'Appendix K'!$F$45+'Appendix K'!$H$45+'Appendix K'!$G$45))/((1+$Y$16)^AM$34))</f>
        <v>899447.32690385776</v>
      </c>
      <c r="AN536" s="193">
        <f>(((Q536*'Appendix K'!$C$20*1000)-('Appendix K'!$E$46+'Appendix K'!$F$46+'Appendix K'!$H$46+'Appendix K'!$G$46))/((1+$Y$16)^AN$34))</f>
        <v>668945.05055832409</v>
      </c>
      <c r="AO536" s="193">
        <f>(((R536*'Appendix K'!$C$21*1000)-('Appendix K'!$E$47+'Appendix K'!$F$47+'Appendix K'!$H$47+'Appendix K'!$G$47))/((1+$Y$16)^AO$34))</f>
        <v>1701552.4151087387</v>
      </c>
      <c r="AP536" s="193">
        <f>(((S536*'Appendix K'!$C$22*1000)-('Appendix K'!$E$48+'Appendix K'!$F$48+'Appendix K'!$H$48+'Appendix K'!$G$48))/((1+$Y$16)^AP$34))</f>
        <v>1630406.4380253027</v>
      </c>
      <c r="AQ536" s="193">
        <f>(((T536*'Appendix K'!$C$23*1000)-('Appendix K'!$E$49+'Appendix K'!$F$49+'Appendix K'!$H$49+'Appendix K'!$G$49))/((1+$Y$16)^AQ$34))</f>
        <v>1263386.3652054211</v>
      </c>
      <c r="AR536" s="193">
        <f>(((U536*'Appendix K'!$C$24*1000)-('Appendix K'!$E$50+'Appendix K'!$F$50+'Appendix K'!$H$50+'Appendix K'!$G$50))/((1+$Y$16)^AR$34))</f>
        <v>980725.14012097823</v>
      </c>
      <c r="AS536" s="209">
        <f t="shared" si="30"/>
        <v>43799563.629480682</v>
      </c>
      <c r="AU536" s="199">
        <f t="shared" si="29"/>
        <v>5.2177834934281588E-9</v>
      </c>
    </row>
    <row r="537" spans="1:47" x14ac:dyDescent="0.35">
      <c r="A537">
        <v>503</v>
      </c>
      <c r="B537" s="70">
        <v>56</v>
      </c>
      <c r="C537" s="70">
        <v>33.612935453143095</v>
      </c>
      <c r="D537" s="70">
        <v>53.198840048446833</v>
      </c>
      <c r="E537" s="70">
        <v>99.683378275436752</v>
      </c>
      <c r="F537" s="70">
        <v>104.32074472619271</v>
      </c>
      <c r="G537" s="70">
        <v>73.169359752026025</v>
      </c>
      <c r="H537" s="70">
        <v>117.18113988454884</v>
      </c>
      <c r="I537" s="70">
        <v>144.20051581555512</v>
      </c>
      <c r="J537" s="70">
        <v>105.04769272014804</v>
      </c>
      <c r="K537" s="70">
        <v>104.85312940860285</v>
      </c>
      <c r="L537" s="70">
        <v>107.56732104179088</v>
      </c>
      <c r="M537" s="70">
        <v>70.203751336049933</v>
      </c>
      <c r="N537" s="70">
        <v>46.370913743649858</v>
      </c>
      <c r="O537" s="70">
        <v>76.459669285981136</v>
      </c>
      <c r="P537" s="70">
        <v>114.70815640292651</v>
      </c>
      <c r="Q537" s="70">
        <v>152.4812331111203</v>
      </c>
      <c r="R537" s="70">
        <v>146.11266924305849</v>
      </c>
      <c r="S537" s="70">
        <v>166.57160970282607</v>
      </c>
      <c r="T537" s="70">
        <v>145.00489698417118</v>
      </c>
      <c r="U537" s="70">
        <v>118.62212336229967</v>
      </c>
      <c r="V537" s="70">
        <v>101.75910810153668</v>
      </c>
      <c r="X537" s="193">
        <f>((0-('Appendix K'!$I$30))/(1+$Y$16)^0)</f>
        <v>-33594902.4440751</v>
      </c>
      <c r="Y537" s="193">
        <f>(((B537*'Appendix K'!$C$5*1000)-('Appendix K'!$E$31+'Appendix K'!$F$31+'Appendix K'!$H$31+'Appendix K'!$G$31))/((1+$Y$16)^1))</f>
        <v>34971064.972647354</v>
      </c>
      <c r="Z537" s="193">
        <f>+(((C537*'Appendix K'!$C$6*1000)-('Appendix K'!$E$32+'Appendix K'!$F$32+'Appendix K'!$H$32+'Appendix K'!$G$32))/((1+$Y$16)^2))</f>
        <v>5003954.7117835302</v>
      </c>
      <c r="AA537" s="193">
        <f>(((D537*'Appendix K'!$C$7*1000)-('Appendix K'!$E$33+'Appendix K'!$F$33+'Appendix K'!$H$33+'Appendix K'!$G$33))/((1+$Y$16)^3))</f>
        <v>3811297.3978679944</v>
      </c>
      <c r="AB537" s="193">
        <f>(((E537*'Appendix K'!$C$8*1000)-('Appendix K'!$E$34+'Appendix K'!$F$34+'Appendix K'!$H$34+'Appendix K'!$G$34))/((1+$Y$16)^4))</f>
        <v>18556476.115622841</v>
      </c>
      <c r="AC537" s="193">
        <f>(((F537*'Appendix K'!$C$9*1000)-('Appendix K'!$E$35+'Appendix K'!$F$35+'Appendix K'!$H$35+'Appendix K'!$G$35))/((1+$Y$16)^AC$34))</f>
        <v>24744061.616097406</v>
      </c>
      <c r="AD537" s="193">
        <f>(((G537*'Appendix K'!$C$10*1000)-('Appendix K'!$E$36+'Appendix K'!$F$36+'Appendix K'!$H$36+'Appendix K'!$G$36))/((1+$Y$16)^AD$34))</f>
        <v>8975042.4075862654</v>
      </c>
      <c r="AE537" s="193">
        <f>(((H537*'Appendix K'!$C$11*1000)-('Appendix K'!$E$37+'Appendix K'!$F$37+'Appendix K'!$H$37+'Appendix K'!$G$37))/((1+$Y$16)^AE$34))</f>
        <v>9467428.0710507892</v>
      </c>
      <c r="AF537" s="193">
        <f>(((I537*'Appendix K'!$C$12*1000)-('Appendix K'!$E$38+'Appendix K'!$F$38+'Appendix K'!$H$38+'Appendix K'!$G$38))/((1+$Y$16)^AF$34))</f>
        <v>7471976.8380856188</v>
      </c>
      <c r="AG537" s="193">
        <f>(((J537*'Appendix K'!$C$13*1000)-('Appendix K'!$E$39+'Appendix K'!$F$39+'Appendix K'!$H$39+'Appendix K'!$G$39))/((1+$Y$16)^AG$34))</f>
        <v>3019238.8160585007</v>
      </c>
      <c r="AH537" s="193">
        <f>(((K537*'Appendix K'!$C$14*1000)-('Appendix K'!$E$40+'Appendix K'!$F$40+'Appendix K'!$H$40+'Appendix K'!$G$40))/((1+$Y$16)^AH$34))</f>
        <v>1901493.6558179511</v>
      </c>
      <c r="AI537" s="193">
        <f>(((L537*'Appendix K'!$C$15*1000)-('Appendix K'!$E$41+'Appendix K'!$F$41+'Appendix K'!$H$41+'Appendix K'!$G$41))/((1+$Y$16)^AI$34))</f>
        <v>1301983.6148405911</v>
      </c>
      <c r="AJ537" s="193">
        <f>(((M537*'Appendix K'!$C$16*1000)-('Appendix K'!$E$42+'Appendix K'!$F$42+'Appendix K'!$H$42+'Appendix K'!$G$42))/((1+$Y$16)^AJ$34))</f>
        <v>25463.286922148418</v>
      </c>
      <c r="AK537" s="193">
        <f>(((N537*'Appendix K'!$C$17*1000)-('Appendix K'!$E$43+'Appendix K'!$F$43+'Appendix K'!$H$43))/((1+$Y$16)^AK$34))</f>
        <v>-291820.65237723448</v>
      </c>
      <c r="AL537" s="193">
        <f>(((O537*'Appendix K'!$C$18*1000)-('Appendix K'!$E$44+'Appendix K'!$F$44+'Appendix K'!$H$44+'Appendix K'!$G$44))/((1+$Y$16)^AL$34))</f>
        <v>-228290.16720321809</v>
      </c>
      <c r="AM537" s="193">
        <f>(((P537*'Appendix K'!$C$19*1000)-('Appendix K'!$E$45+'Appendix K'!$F$45+'Appendix K'!$H$45+'Appendix K'!$G$45))/((1+$Y$16)^AM$34))</f>
        <v>36433.193971542067</v>
      </c>
      <c r="AN537" s="193">
        <f>(((Q537*'Appendix K'!$C$20*1000)-('Appendix K'!$E$46+'Appendix K'!$F$46+'Appendix K'!$H$46+'Appendix K'!$G$46))/((1+$Y$16)^AN$34))</f>
        <v>187678.43571681861</v>
      </c>
      <c r="AO537" s="193">
        <f>(((R537*'Appendix K'!$C$21*1000)-('Appendix K'!$E$47+'Appendix K'!$F$47+'Appendix K'!$H$47+'Appendix K'!$G$47))/((1+$Y$16)^AO$34))</f>
        <v>20543.092379049198</v>
      </c>
      <c r="AP537" s="193">
        <f>(((S537*'Appendix K'!$C$22*1000)-('Appendix K'!$E$48+'Appendix K'!$F$48+'Appendix K'!$H$48+'Appendix K'!$G$48))/((1+$Y$16)^AP$34))</f>
        <v>33378.027952121251</v>
      </c>
      <c r="AQ537" s="193">
        <f>(((T537*'Appendix K'!$C$23*1000)-('Appendix K'!$E$49+'Appendix K'!$F$49+'Appendix K'!$H$49+'Appendix K'!$G$49))/((1+$Y$16)^AQ$34))</f>
        <v>-125973.58692141103</v>
      </c>
      <c r="AR537" s="193">
        <f>(((U537*'Appendix K'!$C$24*1000)-('Appendix K'!$E$50+'Appendix K'!$F$50+'Appendix K'!$H$50+'Appendix K'!$G$50))/((1+$Y$16)^AR$34))</f>
        <v>-247322.30842520401</v>
      </c>
      <c r="AS537" s="209">
        <f t="shared" si="30"/>
        <v>85932611.810325414</v>
      </c>
      <c r="AU537" s="199">
        <f t="shared" si="29"/>
        <v>7.0265779722270306E-9</v>
      </c>
    </row>
    <row r="538" spans="1:47" x14ac:dyDescent="0.35">
      <c r="A538">
        <v>504</v>
      </c>
      <c r="B538" s="70">
        <v>56</v>
      </c>
      <c r="C538" s="70">
        <v>70.393709994479536</v>
      </c>
      <c r="D538" s="70">
        <v>76.088899858907141</v>
      </c>
      <c r="E538" s="70">
        <v>50.319797911177517</v>
      </c>
      <c r="F538" s="70">
        <v>77.275542716759006</v>
      </c>
      <c r="G538" s="70">
        <v>65.412616614800072</v>
      </c>
      <c r="H538" s="70">
        <v>65.338778443616434</v>
      </c>
      <c r="I538" s="70">
        <v>67.06928807162403</v>
      </c>
      <c r="J538" s="70">
        <v>56.210216383018626</v>
      </c>
      <c r="K538" s="70">
        <v>64.57056515610482</v>
      </c>
      <c r="L538" s="70">
        <v>57.173750912319463</v>
      </c>
      <c r="M538" s="70">
        <v>69.613751765363816</v>
      </c>
      <c r="N538" s="70">
        <v>63.899262065487363</v>
      </c>
      <c r="O538" s="70">
        <v>57.708928935107423</v>
      </c>
      <c r="P538" s="70">
        <v>75.800359074693887</v>
      </c>
      <c r="Q538" s="70">
        <v>47.614003962732447</v>
      </c>
      <c r="R538" s="70">
        <v>41.767263760023575</v>
      </c>
      <c r="S538" s="70">
        <v>61.910494345237751</v>
      </c>
      <c r="T538" s="70">
        <v>49.963499367788238</v>
      </c>
      <c r="U538" s="70">
        <v>54.479723623152736</v>
      </c>
      <c r="V538" s="70">
        <v>73.570233181505827</v>
      </c>
      <c r="X538" s="193">
        <f>((0-('Appendix K'!$I$30))/(1+$Y$16)^0)</f>
        <v>-33594902.4440751</v>
      </c>
      <c r="Y538" s="193">
        <f>(((B538*'Appendix K'!$C$5*1000)-('Appendix K'!$E$31+'Appendix K'!$F$31+'Appendix K'!$H$31+'Appendix K'!$G$31))/((1+$Y$16)^1))</f>
        <v>34971064.972647354</v>
      </c>
      <c r="Z538" s="193">
        <f>+(((C538*'Appendix K'!$C$6*1000)-('Appendix K'!$E$32+'Appendix K'!$F$32+'Appendix K'!$H$32+'Appendix K'!$G$32))/((1+$Y$16)^2))</f>
        <v>14295407.42707607</v>
      </c>
      <c r="AA538" s="193">
        <f>(((D538*'Appendix K'!$C$7*1000)-('Appendix K'!$E$33+'Appendix K'!$F$33+'Appendix K'!$H$33+'Appendix K'!$G$33))/((1+$Y$16)^3))</f>
        <v>6726915.8445029836</v>
      </c>
      <c r="AB538" s="193">
        <f>(((E538*'Appendix K'!$C$8*1000)-('Appendix K'!$E$34+'Appendix K'!$F$34+'Appendix K'!$H$34+'Appendix K'!$G$34))/((1+$Y$16)^4))</f>
        <v>7736431.1798618389</v>
      </c>
      <c r="AC538" s="193">
        <f>(((F538*'Appendix K'!$C$9*1000)-('Appendix K'!$E$35+'Appendix K'!$F$35+'Appendix K'!$H$35+'Appendix K'!$G$35))/((1+$Y$16)^AC$34))</f>
        <v>17555489.390578069</v>
      </c>
      <c r="AD538" s="193">
        <f>(((G538*'Appendix K'!$C$10*1000)-('Appendix K'!$E$36+'Appendix K'!$F$36+'Appendix K'!$H$36+'Appendix K'!$G$36))/((1+$Y$16)^AD$34))</f>
        <v>7756892.8144192174</v>
      </c>
      <c r="AE538" s="193">
        <f>(((H538*'Appendix K'!$C$11*1000)-('Appendix K'!$E$37+'Appendix K'!$F$37+'Appendix K'!$H$37+'Appendix K'!$G$37))/((1+$Y$16)^AE$34))</f>
        <v>4296793.8676482672</v>
      </c>
      <c r="AF538" s="193">
        <f>(((I538*'Appendix K'!$C$12*1000)-('Appendix K'!$E$38+'Appendix K'!$F$38+'Appendix K'!$H$38+'Appendix K'!$G$38))/((1+$Y$16)^AF$34))</f>
        <v>2407353.2239182815</v>
      </c>
      <c r="AG538" s="193">
        <f>(((J538*'Appendix K'!$C$13*1000)-('Appendix K'!$E$39+'Appendix K'!$F$39+'Appendix K'!$H$39+'Appendix K'!$G$39))/((1+$Y$16)^AG$34))</f>
        <v>771790.28601200914</v>
      </c>
      <c r="AH538" s="193">
        <f>(((K538*'Appendix K'!$C$14*1000)-('Appendix K'!$E$40+'Appendix K'!$F$40+'Appendix K'!$H$40+'Appendix K'!$G$40))/((1+$Y$16)^AH$34))</f>
        <v>543708.32603458699</v>
      </c>
      <c r="AI538" s="193">
        <f>(((L538*'Appendix K'!$C$15*1000)-('Appendix K'!$E$41+'Appendix K'!$F$41+'Appendix K'!$H$41+'Appendix K'!$G$41))/((1+$Y$16)^AI$34))</f>
        <v>-18422.15898979166</v>
      </c>
      <c r="AJ538" s="193">
        <f>(((M538*'Appendix K'!$C$16*1000)-('Appendix K'!$E$42+'Appendix K'!$F$42+'Appendix K'!$H$42+'Appendix K'!$G$42))/((1+$Y$16)^AJ$34))</f>
        <v>13638.594009411263</v>
      </c>
      <c r="AK538" s="193">
        <f>(((N538*'Appendix K'!$C$17*1000)-('Appendix K'!$E$43+'Appendix K'!$F$43+'Appendix K'!$H$43))/((1+$Y$16)^AK$34))</f>
        <v>-22516.906071366619</v>
      </c>
      <c r="AL538" s="193">
        <f>(((O538*'Appendix K'!$C$18*1000)-('Appendix K'!$E$44+'Appendix K'!$F$44+'Appendix K'!$H$44+'Appendix K'!$G$44))/((1+$Y$16)^AL$34))</f>
        <v>-450548.21002733731</v>
      </c>
      <c r="AM538" s="193">
        <f>(((P538*'Appendix K'!$C$19*1000)-('Appendix K'!$E$45+'Appendix K'!$F$45+'Appendix K'!$H$45+'Appendix K'!$G$45))/((1+$Y$16)^AM$34))</f>
        <v>-324192.74409194646</v>
      </c>
      <c r="AN538" s="193">
        <f>(((Q538*'Appendix K'!$C$20*1000)-('Appendix K'!$E$46+'Appendix K'!$F$46+'Appendix K'!$H$46+'Appendix K'!$G$46))/((1+$Y$16)^AN$34))</f>
        <v>-571163.57914705423</v>
      </c>
      <c r="AO538" s="193">
        <f>(((R538*'Appendix K'!$C$21*1000)-('Appendix K'!$E$47+'Appendix K'!$F$47+'Appendix K'!$H$47+'Appendix K'!$G$47))/((1+$Y$16)^AO$34))</f>
        <v>-596149.78211028338</v>
      </c>
      <c r="AP538" s="193">
        <f>(((S538*'Appendix K'!$C$22*1000)-('Appendix K'!$E$48+'Appendix K'!$F$48+'Appendix K'!$H$48+'Appendix K'!$G$48))/((1+$Y$16)^AP$34))</f>
        <v>-467919.34059841686</v>
      </c>
      <c r="AQ538" s="193">
        <f>(((T538*'Appendix K'!$C$23*1000)-('Appendix K'!$E$49+'Appendix K'!$F$49+'Appendix K'!$H$49+'Appendix K'!$G$49))/((1+$Y$16)^AQ$34))</f>
        <v>-497941.28597014182</v>
      </c>
      <c r="AR538" s="193">
        <f>(((U538*'Appendix K'!$C$24*1000)-('Appendix K'!$E$50+'Appendix K'!$F$50+'Appendix K'!$H$50+'Appendix K'!$G$50))/((1+$Y$16)^AR$34))</f>
        <v>-453862.63278208376</v>
      </c>
      <c r="AS538" s="209">
        <f t="shared" si="30"/>
        <v>63480583.482633017</v>
      </c>
      <c r="AU538" s="199">
        <f t="shared" si="29"/>
        <v>6.4218032590206359E-9</v>
      </c>
    </row>
    <row r="539" spans="1:47" x14ac:dyDescent="0.35">
      <c r="A539">
        <v>505</v>
      </c>
      <c r="B539" s="70">
        <v>56</v>
      </c>
      <c r="C539" s="70">
        <v>46.886871419040205</v>
      </c>
      <c r="D539" s="70">
        <v>41.760365933482312</v>
      </c>
      <c r="E539" s="70">
        <v>54.157318958152587</v>
      </c>
      <c r="F539" s="70">
        <v>69.75403983046219</v>
      </c>
      <c r="G539" s="70">
        <v>84.854229208324256</v>
      </c>
      <c r="H539" s="70">
        <v>117.91995741537556</v>
      </c>
      <c r="I539" s="70">
        <v>244.98988252295356</v>
      </c>
      <c r="J539" s="70">
        <v>196.66125437827068</v>
      </c>
      <c r="K539" s="70">
        <v>320.54382482324024</v>
      </c>
      <c r="L539" s="70">
        <v>296.70993659910863</v>
      </c>
      <c r="M539" s="70">
        <v>391.81219302078108</v>
      </c>
      <c r="N539" s="70">
        <v>328.29852448608415</v>
      </c>
      <c r="O539" s="70">
        <v>333.17893065103283</v>
      </c>
      <c r="P539" s="70">
        <v>368.45816003402831</v>
      </c>
      <c r="Q539" s="70">
        <v>284.20220932761453</v>
      </c>
      <c r="R539" s="70">
        <v>391.83675239086568</v>
      </c>
      <c r="S539" s="70">
        <v>302.88944690123037</v>
      </c>
      <c r="T539" s="70">
        <v>280.49012215547043</v>
      </c>
      <c r="U539" s="70">
        <v>200.36786851129298</v>
      </c>
      <c r="V539" s="70">
        <v>284.92358356890793</v>
      </c>
      <c r="X539" s="193">
        <f>((0-('Appendix K'!$I$30))/(1+$Y$16)^0)</f>
        <v>-33594902.4440751</v>
      </c>
      <c r="Y539" s="193">
        <f>(((B539*'Appendix K'!$C$5*1000)-('Appendix K'!$E$31+'Appendix K'!$F$31+'Appendix K'!$H$31+'Appendix K'!$G$31))/((1+$Y$16)^1))</f>
        <v>34971064.972647354</v>
      </c>
      <c r="Z539" s="193">
        <f>+(((C539*'Appendix K'!$C$6*1000)-('Appendix K'!$E$32+'Appendix K'!$F$32+'Appendix K'!$H$32+'Appendix K'!$G$32))/((1+$Y$16)^2))</f>
        <v>8357177.962543074</v>
      </c>
      <c r="AA539" s="193">
        <f>(((D539*'Appendix K'!$C$7*1000)-('Appendix K'!$E$33+'Appendix K'!$F$33+'Appendix K'!$H$33+'Appendix K'!$G$33))/((1+$Y$16)^3))</f>
        <v>2354323.2174987937</v>
      </c>
      <c r="AB539" s="193">
        <f>(((E539*'Appendix K'!$C$8*1000)-('Appendix K'!$E$34+'Appendix K'!$F$34+'Appendix K'!$H$34+'Appendix K'!$G$34))/((1+$Y$16)^4))</f>
        <v>8577580.6642347798</v>
      </c>
      <c r="AC539" s="193">
        <f>(((F539*'Appendix K'!$C$9*1000)-('Appendix K'!$E$35+'Appendix K'!$F$35+'Appendix K'!$H$35+'Appendix K'!$G$35))/((1+$Y$16)^AC$34))</f>
        <v>15556285.734279364</v>
      </c>
      <c r="AD539" s="193">
        <f>(((G539*'Appendix K'!$C$10*1000)-('Appendix K'!$E$36+'Appendix K'!$F$36+'Appendix K'!$H$36+'Appendix K'!$G$36))/((1+$Y$16)^AD$34))</f>
        <v>10810080.479955669</v>
      </c>
      <c r="AE539" s="193">
        <f>(((H539*'Appendix K'!$C$11*1000)-('Appendix K'!$E$37+'Appendix K'!$F$37+'Appendix K'!$H$37+'Appendix K'!$G$37))/((1+$Y$16)^AE$34))</f>
        <v>9541115.9797182716</v>
      </c>
      <c r="AF539" s="193">
        <f>(((I539*'Appendix K'!$C$12*1000)-('Appendix K'!$E$38+'Appendix K'!$F$38+'Appendix K'!$H$38+'Appendix K'!$G$38))/((1+$Y$16)^AF$34))</f>
        <v>14090051.275821066</v>
      </c>
      <c r="AG539" s="193">
        <f>(((J539*'Appendix K'!$C$13*1000)-('Appendix K'!$E$39+'Appendix K'!$F$39+'Appendix K'!$H$39+'Appendix K'!$G$39))/((1+$Y$16)^AG$34))</f>
        <v>7235197.1317492593</v>
      </c>
      <c r="AH539" s="193">
        <f>(((K539*'Appendix K'!$C$14*1000)-('Appendix K'!$E$40+'Appendix K'!$F$40+'Appendix K'!$H$40+'Appendix K'!$G$40))/((1+$Y$16)^AH$34))</f>
        <v>9171677.8518651407</v>
      </c>
      <c r="AI539" s="193">
        <f>(((L539*'Appendix K'!$C$15*1000)-('Appendix K'!$E$41+'Appendix K'!$F$41+'Appendix K'!$H$41+'Appendix K'!$G$41))/((1+$Y$16)^AI$34))</f>
        <v>6257873.8408677736</v>
      </c>
      <c r="AJ539" s="193">
        <f>(((M539*'Appendix K'!$C$16*1000)-('Appendix K'!$E$42+'Appendix K'!$F$42+'Appendix K'!$H$42+'Appendix K'!$G$42))/((1+$Y$16)^AJ$34))</f>
        <v>6471096.8941526273</v>
      </c>
      <c r="AK539" s="193">
        <f>(((N539*'Appendix K'!$C$17*1000)-('Appendix K'!$E$43+'Appendix K'!$F$43+'Appendix K'!$H$43))/((1+$Y$16)^AK$34))</f>
        <v>4039686.2509520794</v>
      </c>
      <c r="AL539" s="193">
        <f>(((O539*'Appendix K'!$C$18*1000)-('Appendix K'!$E$44+'Appendix K'!$F$44+'Appendix K'!$H$44+'Appendix K'!$G$44))/((1+$Y$16)^AL$34))</f>
        <v>2814678.7779451921</v>
      </c>
      <c r="AM539" s="193">
        <f>(((P539*'Appendix K'!$C$19*1000)-('Appendix K'!$E$45+'Appendix K'!$F$45+'Appendix K'!$H$45+'Appendix K'!$G$45))/((1+$Y$16)^AM$34))</f>
        <v>2388373.9199164221</v>
      </c>
      <c r="AN539" s="193">
        <f>(((Q539*'Appendix K'!$C$20*1000)-('Appendix K'!$E$46+'Appendix K'!$F$46+'Appendix K'!$H$46+'Appendix K'!$G$46))/((1+$Y$16)^AN$34))</f>
        <v>1140839.9886984762</v>
      </c>
      <c r="AO539" s="193">
        <f>(((R539*'Appendix K'!$C$21*1000)-('Appendix K'!$E$47+'Appendix K'!$F$47+'Appendix K'!$H$47+'Appendix K'!$G$47))/((1+$Y$16)^AO$34))</f>
        <v>1472799.5713891827</v>
      </c>
      <c r="AP539" s="193">
        <f>(((S539*'Appendix K'!$C$22*1000)-('Appendix K'!$E$48+'Appendix K'!$F$48+'Appendix K'!$H$48+'Appendix K'!$G$48))/((1+$Y$16)^AP$34))</f>
        <v>686302.20939794939</v>
      </c>
      <c r="AQ539" s="193">
        <f>(((T539*'Appendix K'!$C$23*1000)-('Appendix K'!$E$49+'Appendix K'!$F$49+'Appendix K'!$H$49+'Appendix K'!$G$49))/((1+$Y$16)^AQ$34))</f>
        <v>404280.89929187088</v>
      </c>
      <c r="AR539" s="193">
        <f>(((U539*'Appendix K'!$C$24*1000)-('Appendix K'!$E$50+'Appendix K'!$F$50+'Appendix K'!$H$50+'Appendix K'!$G$50))/((1+$Y$16)^AR$34))</f>
        <v>15901.28137702652</v>
      </c>
      <c r="AS539" s="209">
        <f t="shared" si="30"/>
        <v>112761486.46022624</v>
      </c>
      <c r="AU539" s="199">
        <f t="shared" si="29"/>
        <v>6.3724693323230732E-9</v>
      </c>
    </row>
    <row r="540" spans="1:47" x14ac:dyDescent="0.35">
      <c r="A540">
        <v>506</v>
      </c>
      <c r="B540" s="70">
        <v>56</v>
      </c>
      <c r="C540" s="70">
        <v>25.535316152910731</v>
      </c>
      <c r="D540" s="70">
        <v>35.89799492724174</v>
      </c>
      <c r="E540" s="70">
        <v>41.078698302000731</v>
      </c>
      <c r="F540" s="70">
        <v>42.545640979709333</v>
      </c>
      <c r="G540" s="70">
        <v>48.369039703391962</v>
      </c>
      <c r="H540" s="70">
        <v>74.078551117356284</v>
      </c>
      <c r="I540" s="70">
        <v>68.243419359561088</v>
      </c>
      <c r="J540" s="70">
        <v>58.810484065753982</v>
      </c>
      <c r="K540" s="70">
        <v>79.140950581761089</v>
      </c>
      <c r="L540" s="70">
        <v>105.24286241797724</v>
      </c>
      <c r="M540" s="70">
        <v>113.75871803034711</v>
      </c>
      <c r="N540" s="70">
        <v>91.317187287864442</v>
      </c>
      <c r="O540" s="70">
        <v>99.97760018338343</v>
      </c>
      <c r="P540" s="70">
        <v>127.05752754651596</v>
      </c>
      <c r="Q540" s="70">
        <v>85.614946244074019</v>
      </c>
      <c r="R540" s="70">
        <v>105.6721719875038</v>
      </c>
      <c r="S540" s="70">
        <v>119.30194163247097</v>
      </c>
      <c r="T540" s="70">
        <v>78.145829358691998</v>
      </c>
      <c r="U540" s="70">
        <v>92.941645732433301</v>
      </c>
      <c r="V540" s="70">
        <v>110.49481858744954</v>
      </c>
      <c r="X540" s="193">
        <f>((0-('Appendix K'!$I$30))/(1+$Y$16)^0)</f>
        <v>-33594902.4440751</v>
      </c>
      <c r="Y540" s="193">
        <f>(((B540*'Appendix K'!$C$5*1000)-('Appendix K'!$E$31+'Appendix K'!$F$31+'Appendix K'!$H$31+'Appendix K'!$G$31))/((1+$Y$16)^1))</f>
        <v>34971064.972647354</v>
      </c>
      <c r="Z540" s="193">
        <f>+(((C540*'Appendix K'!$C$6*1000)-('Appendix K'!$E$32+'Appendix K'!$F$32+'Appendix K'!$H$32+'Appendix K'!$G$32))/((1+$Y$16)^2))</f>
        <v>2963409.9240196254</v>
      </c>
      <c r="AA540" s="193">
        <f>(((D540*'Appendix K'!$C$7*1000)-('Appendix K'!$E$33+'Appendix K'!$F$33+'Appendix K'!$H$33+'Appendix K'!$G$33))/((1+$Y$16)^3))</f>
        <v>1607604.4588609403</v>
      </c>
      <c r="AB540" s="193">
        <f>(((E540*'Appendix K'!$C$8*1000)-('Appendix K'!$E$34+'Appendix K'!$F$34+'Appendix K'!$H$34+'Appendix K'!$G$34))/((1+$Y$16)^4))</f>
        <v>5710866.7396549955</v>
      </c>
      <c r="AC540" s="193">
        <f>(((F540*'Appendix K'!$C$9*1000)-('Appendix K'!$E$35+'Appendix K'!$F$35+'Appendix K'!$H$35+'Appendix K'!$G$35))/((1+$Y$16)^AC$34))</f>
        <v>8324336.0446024258</v>
      </c>
      <c r="AD540" s="193">
        <f>(((G540*'Appendix K'!$C$10*1000)-('Appendix K'!$E$36+'Appendix K'!$F$36+'Appendix K'!$H$36+'Appendix K'!$G$36))/((1+$Y$16)^AD$34))</f>
        <v>5080302.1482794033</v>
      </c>
      <c r="AE540" s="193">
        <f>(((H540*'Appendix K'!$C$11*1000)-('Appendix K'!$E$37+'Appendix K'!$F$37+'Appendix K'!$H$37+'Appendix K'!$G$37))/((1+$Y$16)^AE$34))</f>
        <v>5168478.0706969704</v>
      </c>
      <c r="AF540" s="193">
        <f>(((I540*'Appendix K'!$C$12*1000)-('Appendix K'!$E$38+'Appendix K'!$F$38+'Appendix K'!$H$38+'Appendix K'!$G$38))/((1+$Y$16)^AF$34))</f>
        <v>2484449.5339467004</v>
      </c>
      <c r="AG540" s="193">
        <f>(((J540*'Appendix K'!$C$13*1000)-('Appendix K'!$E$39+'Appendix K'!$F$39+'Appendix K'!$H$39+'Appendix K'!$G$39))/((1+$Y$16)^AG$34))</f>
        <v>891451.82914641581</v>
      </c>
      <c r="AH540" s="193">
        <f>(((K540*'Appendix K'!$C$14*1000)-('Appendix K'!$E$40+'Appendix K'!$F$40+'Appendix K'!$H$40+'Appendix K'!$G$40))/((1+$Y$16)^AH$34))</f>
        <v>1034825.4122319627</v>
      </c>
      <c r="AI540" s="193">
        <f>(((L540*'Appendix K'!$C$15*1000)-('Appendix K'!$E$41+'Appendix K'!$F$41+'Appendix K'!$H$41+'Appendix K'!$G$41))/((1+$Y$16)^AI$34))</f>
        <v>1241078.4521377326</v>
      </c>
      <c r="AJ540" s="193">
        <f>(((M540*'Appendix K'!$C$16*1000)-('Appendix K'!$E$42+'Appendix K'!$F$42+'Appendix K'!$H$42+'Appendix K'!$G$42))/((1+$Y$16)^AJ$34))</f>
        <v>898386.13563820184</v>
      </c>
      <c r="AK540" s="193">
        <f>(((N540*'Appendix K'!$C$17*1000)-('Appendix K'!$E$43+'Appendix K'!$F$43+'Appendix K'!$H$43))/((1+$Y$16)^AK$34))</f>
        <v>398729.2856831252</v>
      </c>
      <c r="AL540" s="193">
        <f>(((O540*'Appendix K'!$C$18*1000)-('Appendix K'!$E$44+'Appendix K'!$F$44+'Appendix K'!$H$44+'Appendix K'!$G$44))/((1+$Y$16)^AL$34))</f>
        <v>50474.787924858094</v>
      </c>
      <c r="AM540" s="193">
        <f>(((P540*'Appendix K'!$C$19*1000)-('Appendix K'!$E$45+'Appendix K'!$F$45+'Appendix K'!$H$45+'Appendix K'!$G$45))/((1+$Y$16)^AM$34))</f>
        <v>150896.20290470324</v>
      </c>
      <c r="AN540" s="193">
        <f>(((Q540*'Appendix K'!$C$20*1000)-('Appendix K'!$E$46+'Appendix K'!$F$46+'Appendix K'!$H$46+'Appendix K'!$G$46))/((1+$Y$16)^AN$34))</f>
        <v>-296180.51874126418</v>
      </c>
      <c r="AO540" s="193">
        <f>(((R540*'Appendix K'!$C$21*1000)-('Appendix K'!$E$47+'Appendix K'!$F$47+'Appendix K'!$H$47+'Appendix K'!$G$47))/((1+$Y$16)^AO$34))</f>
        <v>-218464.71426904295</v>
      </c>
      <c r="AP540" s="193">
        <f>(((S540*'Appendix K'!$C$22*1000)-('Appendix K'!$E$48+'Appendix K'!$F$48+'Appendix K'!$H$48+'Appendix K'!$G$48))/((1+$Y$16)^AP$34))</f>
        <v>-193030.41547947595</v>
      </c>
      <c r="AQ540" s="193">
        <f>(((T540*'Appendix K'!$C$23*1000)-('Appendix K'!$E$49+'Appendix K'!$F$49+'Appendix K'!$H$49+'Appendix K'!$G$49))/((1+$Y$16)^AQ$34))</f>
        <v>-387642.86124725564</v>
      </c>
      <c r="AR540" s="193">
        <f>(((U540*'Appendix K'!$C$24*1000)-('Appendix K'!$E$50+'Appendix K'!$F$50+'Appendix K'!$H$50+'Appendix K'!$G$50))/((1+$Y$16)^AR$34))</f>
        <v>-330014.1659310445</v>
      </c>
      <c r="AS540" s="209">
        <f t="shared" si="30"/>
        <v>37381451.554300331</v>
      </c>
      <c r="AU540" s="199">
        <f t="shared" si="29"/>
        <v>4.7510211706338375E-9</v>
      </c>
    </row>
    <row r="541" spans="1:47" x14ac:dyDescent="0.35">
      <c r="A541">
        <v>507</v>
      </c>
      <c r="B541" s="70">
        <v>56</v>
      </c>
      <c r="C541" s="70">
        <v>66.577926411714714</v>
      </c>
      <c r="D541" s="70">
        <v>60.704098514992822</v>
      </c>
      <c r="E541" s="70">
        <v>45.132977628740122</v>
      </c>
      <c r="F541" s="70">
        <v>29.386866888960029</v>
      </c>
      <c r="G541" s="70">
        <v>13.454867854791713</v>
      </c>
      <c r="H541" s="70">
        <v>9.8148514093149686</v>
      </c>
      <c r="I541" s="70">
        <v>9.3122602671435448</v>
      </c>
      <c r="J541" s="70">
        <v>12.16108635399311</v>
      </c>
      <c r="K541" s="70">
        <v>12.32427914591409</v>
      </c>
      <c r="L541" s="70">
        <v>11.611322106977589</v>
      </c>
      <c r="M541" s="70">
        <v>5.9046510470609848</v>
      </c>
      <c r="N541" s="70">
        <v>4.876900512396583</v>
      </c>
      <c r="O541" s="70">
        <v>5.1924096161286704</v>
      </c>
      <c r="P541" s="70">
        <v>2.7265352026878862</v>
      </c>
      <c r="Q541" s="70">
        <v>3.075291081137856</v>
      </c>
      <c r="R541" s="70">
        <v>5.5656939994064771</v>
      </c>
      <c r="S541" s="70">
        <v>4.3959737546434337</v>
      </c>
      <c r="T541" s="70">
        <v>4.0095284589082727</v>
      </c>
      <c r="U541" s="70">
        <v>3.9280913396357136</v>
      </c>
      <c r="V541" s="70">
        <v>2.8564254666376256</v>
      </c>
      <c r="X541" s="193">
        <f>((0-('Appendix K'!$I$30))/(1+$Y$16)^0)</f>
        <v>-33594902.4440751</v>
      </c>
      <c r="Y541" s="193">
        <f>(((B541*'Appendix K'!$C$5*1000)-('Appendix K'!$E$31+'Appendix K'!$F$31+'Appendix K'!$H$31+'Appendix K'!$G$31))/((1+$Y$16)^1))</f>
        <v>34971064.972647354</v>
      </c>
      <c r="Z541" s="193">
        <f>+(((C541*'Appendix K'!$C$6*1000)-('Appendix K'!$E$32+'Appendix K'!$F$32+'Appendix K'!$H$32+'Appendix K'!$G$32))/((1+$Y$16)^2))</f>
        <v>13331475.232249573</v>
      </c>
      <c r="AA541" s="193">
        <f>(((D541*'Appendix K'!$C$7*1000)-('Appendix K'!$E$33+'Appendix K'!$F$33+'Appendix K'!$H$33+'Appendix K'!$G$33))/((1+$Y$16)^3))</f>
        <v>4767278.7370615713</v>
      </c>
      <c r="AB541" s="193">
        <f>(((E541*'Appendix K'!$C$8*1000)-('Appendix K'!$E$34+'Appendix K'!$F$34+'Appendix K'!$H$34+'Appendix K'!$G$34))/((1+$Y$16)^4))</f>
        <v>6599527.6547212061</v>
      </c>
      <c r="AC541" s="193">
        <f>(((F541*'Appendix K'!$C$9*1000)-('Appendix K'!$E$35+'Appendix K'!$F$35+'Appendix K'!$H$35+'Appendix K'!$G$35))/((1+$Y$16)^AC$34))</f>
        <v>4826754.5542645548</v>
      </c>
      <c r="AD541" s="193">
        <f>(((G541*'Appendix K'!$C$10*1000)-('Appendix K'!$E$36+'Appendix K'!$F$36+'Appendix K'!$H$36+'Appendix K'!$G$36))/((1+$Y$16)^AD$34))</f>
        <v>-402757.36274457496</v>
      </c>
      <c r="AE541" s="193">
        <f>(((H541*'Appendix K'!$C$11*1000)-('Appendix K'!$E$37+'Appendix K'!$F$37+'Appendix K'!$H$37+'Appendix K'!$G$37))/((1+$Y$16)^AE$34))</f>
        <v>-1241030.9584428642</v>
      </c>
      <c r="AF541" s="193">
        <f>(((I541*'Appendix K'!$C$12*1000)-('Appendix K'!$E$38+'Appendix K'!$F$38+'Appendix K'!$H$38+'Appendix K'!$G$38))/((1+$Y$16)^AF$34))</f>
        <v>-1385113.4002851367</v>
      </c>
      <c r="AG541" s="193">
        <f>(((J541*'Appendix K'!$C$13*1000)-('Appendix K'!$E$39+'Appendix K'!$F$39+'Appendix K'!$H$39+'Appendix K'!$G$39))/((1+$Y$16)^AG$34))</f>
        <v>-1255303.6581993415</v>
      </c>
      <c r="AH541" s="193">
        <f>(((K541*'Appendix K'!$C$14*1000)-('Appendix K'!$E$40+'Appendix K'!$F$40+'Appendix K'!$H$40+'Appendix K'!$G$40))/((1+$Y$16)^AH$34))</f>
        <v>-1217332.5112776423</v>
      </c>
      <c r="AI541" s="193">
        <f>(((L541*'Appendix K'!$C$15*1000)-('Appendix K'!$E$41+'Appendix K'!$F$41+'Appendix K'!$H$41+'Appendix K'!$G$41))/((1+$Y$16)^AI$34))</f>
        <v>-1212242.9958494047</v>
      </c>
      <c r="AJ541" s="193">
        <f>(((M541*'Appendix K'!$C$16*1000)-('Appendix K'!$E$42+'Appendix K'!$F$42+'Appendix K'!$H$42+'Appendix K'!$G$42))/((1+$Y$16)^AJ$34))</f>
        <v>-1263210.727871496</v>
      </c>
      <c r="AK541" s="193">
        <f>(((N541*'Appendix K'!$C$17*1000)-('Appendix K'!$E$43+'Appendix K'!$F$43+'Appendix K'!$H$43))/((1+$Y$16)^AK$34))</f>
        <v>-929330.41697497061</v>
      </c>
      <c r="AL541" s="193">
        <f>(((O541*'Appendix K'!$C$18*1000)-('Appendix K'!$E$44+'Appendix K'!$F$44+'Appendix K'!$H$44+'Appendix K'!$G$44))/((1+$Y$16)^AL$34))</f>
        <v>-1073041.9666126543</v>
      </c>
      <c r="AM541" s="193">
        <f>(((P541*'Appendix K'!$C$19*1000)-('Appendix K'!$E$45+'Appendix K'!$F$45+'Appendix K'!$H$45+'Appendix K'!$G$45))/((1+$Y$16)^AM$34))</f>
        <v>-1001494.4185973366</v>
      </c>
      <c r="AN541" s="193">
        <f>(((Q541*'Appendix K'!$C$20*1000)-('Appendix K'!$E$46+'Appendix K'!$F$46+'Appendix K'!$H$46+'Appendix K'!$G$46))/((1+$Y$16)^AN$34))</f>
        <v>-893455.36559912667</v>
      </c>
      <c r="AO541" s="193">
        <f>(((R541*'Appendix K'!$C$21*1000)-('Appendix K'!$E$47+'Appendix K'!$F$47+'Appendix K'!$H$47+'Appendix K'!$G$47))/((1+$Y$16)^AO$34))</f>
        <v>-810105.05894641415</v>
      </c>
      <c r="AP541" s="193">
        <f>(((S541*'Appendix K'!$C$22*1000)-('Appendix K'!$E$48+'Appendix K'!$F$48+'Appendix K'!$H$48+'Appendix K'!$G$48))/((1+$Y$16)^AP$34))</f>
        <v>-743397.75229891157</v>
      </c>
      <c r="AQ541" s="193">
        <f>(((T541*'Appendix K'!$C$23*1000)-('Appendix K'!$E$49+'Appendix K'!$F$49+'Appendix K'!$H$49+'Appendix K'!$G$49))/((1+$Y$16)^AQ$34))</f>
        <v>-677793.36358923069</v>
      </c>
      <c r="AR541" s="193">
        <f>(((U541*'Appendix K'!$C$24*1000)-('Appendix K'!$E$50+'Appendix K'!$F$50+'Appendix K'!$H$50+'Appendix K'!$G$50))/((1+$Y$16)^AR$34))</f>
        <v>-616640.30513404415</v>
      </c>
      <c r="AS541" s="209">
        <f t="shared" si="30"/>
        <v>30901198.706869163</v>
      </c>
      <c r="AU541" s="199">
        <f t="shared" si="29"/>
        <v>4.2663682778301243E-9</v>
      </c>
    </row>
    <row r="542" spans="1:47" x14ac:dyDescent="0.35">
      <c r="A542">
        <v>508</v>
      </c>
      <c r="B542" s="70">
        <v>56</v>
      </c>
      <c r="C542" s="70">
        <v>77.428630460372389</v>
      </c>
      <c r="D542" s="70">
        <v>65.277092041629459</v>
      </c>
      <c r="E542" s="70">
        <v>62.830420349750376</v>
      </c>
      <c r="F542" s="70">
        <v>60.220452680931913</v>
      </c>
      <c r="G542" s="70">
        <v>55.955921713615396</v>
      </c>
      <c r="H542" s="70">
        <v>28.639462425073226</v>
      </c>
      <c r="I542" s="70">
        <v>18.915454399764826</v>
      </c>
      <c r="J542" s="70">
        <v>33.066558348002573</v>
      </c>
      <c r="K542" s="70">
        <v>44.363769705050629</v>
      </c>
      <c r="L542" s="70">
        <v>54.299489449264769</v>
      </c>
      <c r="M542" s="70">
        <v>69.920012948394117</v>
      </c>
      <c r="N542" s="70">
        <v>77.455612363706493</v>
      </c>
      <c r="O542" s="70">
        <v>82.940198717028721</v>
      </c>
      <c r="P542" s="70">
        <v>96.442615014995482</v>
      </c>
      <c r="Q542" s="70">
        <v>58.319955740825719</v>
      </c>
      <c r="R542" s="70">
        <v>51.206596749813052</v>
      </c>
      <c r="S542" s="70">
        <v>42.619740998237432</v>
      </c>
      <c r="T542" s="70">
        <v>54.660225501738076</v>
      </c>
      <c r="U542" s="70">
        <v>80.905209815737521</v>
      </c>
      <c r="V542" s="70">
        <v>77.982532407195691</v>
      </c>
      <c r="X542" s="193">
        <f>((0-('Appendix K'!$I$30))/(1+$Y$16)^0)</f>
        <v>-33594902.4440751</v>
      </c>
      <c r="Y542" s="193">
        <f>(((B542*'Appendix K'!$C$5*1000)-('Appendix K'!$E$31+'Appendix K'!$F$31+'Appendix K'!$H$31+'Appendix K'!$G$31))/((1+$Y$16)^1))</f>
        <v>34971064.972647354</v>
      </c>
      <c r="Z542" s="193">
        <f>+(((C542*'Appendix K'!$C$6*1000)-('Appendix K'!$E$32+'Appendix K'!$F$32+'Appendix K'!$H$32+'Appendix K'!$G$32))/((1+$Y$16)^2))</f>
        <v>16072548.655878266</v>
      </c>
      <c r="AA542" s="193">
        <f>(((D542*'Appendix K'!$C$7*1000)-('Appendix K'!$E$33+'Appendix K'!$F$33+'Appendix K'!$H$33+'Appendix K'!$G$33))/((1+$Y$16)^3))</f>
        <v>5349763.203812995</v>
      </c>
      <c r="AB542" s="193">
        <f>(((E542*'Appendix K'!$C$8*1000)-('Appendix K'!$E$34+'Appendix K'!$F$34+'Appendix K'!$H$34+'Appendix K'!$G$34))/((1+$Y$16)^4))</f>
        <v>10478645.094671533</v>
      </c>
      <c r="AC542" s="193">
        <f>(((F542*'Appendix K'!$C$9*1000)-('Appendix K'!$E$35+'Appendix K'!$F$35+'Appendix K'!$H$35+'Appendix K'!$G$35))/((1+$Y$16)^AC$34))</f>
        <v>13022273.240352483</v>
      </c>
      <c r="AD542" s="193">
        <f>(((G542*'Appendix K'!$C$10*1000)-('Appendix K'!$E$36+'Appendix K'!$F$36+'Appendix K'!$H$36+'Appendix K'!$G$36))/((1+$Y$16)^AD$34))</f>
        <v>6271776.078852958</v>
      </c>
      <c r="AE542" s="193">
        <f>(((H542*'Appendix K'!$C$11*1000)-('Appendix K'!$E$37+'Appendix K'!$F$37+'Appendix K'!$H$37+'Appendix K'!$G$37))/((1+$Y$16)^AE$34))</f>
        <v>636491.10803800449</v>
      </c>
      <c r="AF542" s="193">
        <f>(((I542*'Appendix K'!$C$12*1000)-('Appendix K'!$E$38+'Appendix K'!$F$38+'Appendix K'!$H$38+'Appendix K'!$G$38))/((1+$Y$16)^AF$34))</f>
        <v>-754544.36621016916</v>
      </c>
      <c r="AG542" s="193">
        <f>(((J542*'Appendix K'!$C$13*1000)-('Appendix K'!$E$39+'Appendix K'!$F$39+'Appendix K'!$H$39+'Appendix K'!$G$39))/((1+$Y$16)^AG$34))</f>
        <v>-293256.15233457979</v>
      </c>
      <c r="AH542" s="193">
        <f>(((K542*'Appendix K'!$C$14*1000)-('Appendix K'!$E$40+'Appendix K'!$F$40+'Appendix K'!$H$40+'Appendix K'!$G$40))/((1+$Y$16)^AH$34))</f>
        <v>-137392.56549252593</v>
      </c>
      <c r="AI542" s="193">
        <f>(((L542*'Appendix K'!$C$15*1000)-('Appendix K'!$E$41+'Appendix K'!$F$41+'Appendix K'!$H$41+'Appendix K'!$G$41))/((1+$Y$16)^AI$34))</f>
        <v>-93733.184217116461</v>
      </c>
      <c r="AJ542" s="193">
        <f>(((M542*'Appendix K'!$C$16*1000)-('Appendix K'!$E$42+'Appendix K'!$F$42+'Appendix K'!$H$42+'Appendix K'!$G$42))/((1+$Y$16)^AJ$34))</f>
        <v>19776.639900213206</v>
      </c>
      <c r="AK542" s="193">
        <f>(((N542*'Appendix K'!$C$17*1000)-('Appendix K'!$E$43+'Appendix K'!$F$43+'Appendix K'!$H$43))/((1+$Y$16)^AK$34))</f>
        <v>185761.46987788347</v>
      </c>
      <c r="AL542" s="193">
        <f>(((O542*'Appendix K'!$C$18*1000)-('Appendix K'!$E$44+'Appendix K'!$F$44+'Appendix K'!$H$44+'Appendix K'!$G$44))/((1+$Y$16)^AL$34))</f>
        <v>-151474.54494744816</v>
      </c>
      <c r="AM542" s="193">
        <f>(((P542*'Appendix K'!$C$19*1000)-('Appendix K'!$E$45+'Appendix K'!$F$45+'Appendix K'!$H$45+'Appendix K'!$G$45))/((1+$Y$16)^AM$34))</f>
        <v>-132865.21019384527</v>
      </c>
      <c r="AN542" s="193">
        <f>(((Q542*'Appendix K'!$C$20*1000)-('Appendix K'!$E$46+'Appendix K'!$F$46+'Appendix K'!$H$46+'Appendix K'!$G$46))/((1+$Y$16)^AN$34))</f>
        <v>-493692.99005741527</v>
      </c>
      <c r="AO542" s="193">
        <f>(((R542*'Appendix K'!$C$21*1000)-('Appendix K'!$E$47+'Appendix K'!$F$47+'Appendix K'!$H$47+'Appendix K'!$G$47))/((1+$Y$16)^AO$34))</f>
        <v>-540362.28128273902</v>
      </c>
      <c r="AP542" s="193">
        <f>(((S542*'Appendix K'!$C$22*1000)-('Appendix K'!$E$48+'Appendix K'!$F$48+'Appendix K'!$H$48+'Appendix K'!$G$48))/((1+$Y$16)^AP$34))</f>
        <v>-560316.6350202139</v>
      </c>
      <c r="AQ542" s="193">
        <f>(((T542*'Appendix K'!$C$23*1000)-('Appendix K'!$E$49+'Appendix K'!$F$49+'Appendix K'!$H$49+'Appendix K'!$G$49))/((1+$Y$16)^AQ$34))</f>
        <v>-479559.50227458915</v>
      </c>
      <c r="AR542" s="193">
        <f>(((U542*'Appendix K'!$C$24*1000)-('Appendix K'!$E$50+'Appendix K'!$F$50+'Appendix K'!$H$50+'Appendix K'!$G$50))/((1+$Y$16)^AR$34))</f>
        <v>-368771.82683000056</v>
      </c>
      <c r="AS542" s="209">
        <f t="shared" si="30"/>
        <v>53413198.019956581</v>
      </c>
      <c r="AU542" s="199">
        <f t="shared" si="29"/>
        <v>5.862157643706089E-9</v>
      </c>
    </row>
    <row r="543" spans="1:47" x14ac:dyDescent="0.35">
      <c r="A543">
        <v>509</v>
      </c>
      <c r="B543" s="70">
        <v>56</v>
      </c>
      <c r="C543" s="70">
        <v>41.558658551893281</v>
      </c>
      <c r="D543" s="70">
        <v>54.412228625508021</v>
      </c>
      <c r="E543" s="70">
        <v>47.267434037063666</v>
      </c>
      <c r="F543" s="70">
        <v>36.926514542177181</v>
      </c>
      <c r="G543" s="70">
        <v>27.131149016256032</v>
      </c>
      <c r="H543" s="70">
        <v>20.911448705838772</v>
      </c>
      <c r="I543" s="70">
        <v>26.000409237649148</v>
      </c>
      <c r="J543" s="70">
        <v>32.024492398390379</v>
      </c>
      <c r="K543" s="70">
        <v>53.78586322396356</v>
      </c>
      <c r="L543" s="70">
        <v>42.612364714891122</v>
      </c>
      <c r="M543" s="70">
        <v>55.931824896539943</v>
      </c>
      <c r="N543" s="70">
        <v>66.693262611778408</v>
      </c>
      <c r="O543" s="70">
        <v>113.41898664443175</v>
      </c>
      <c r="P543" s="70">
        <v>94.389002055922504</v>
      </c>
      <c r="Q543" s="70">
        <v>114.74070900224429</v>
      </c>
      <c r="R543" s="70">
        <v>157.4186468388055</v>
      </c>
      <c r="S543" s="70">
        <v>209.65414965903599</v>
      </c>
      <c r="T543" s="70">
        <v>160.39705623937115</v>
      </c>
      <c r="U543" s="70">
        <v>91.870841864371656</v>
      </c>
      <c r="V543" s="70">
        <v>96.467887955085629</v>
      </c>
      <c r="X543" s="193">
        <f>((0-('Appendix K'!$I$30))/(1+$Y$16)^0)</f>
        <v>-33594902.4440751</v>
      </c>
      <c r="Y543" s="193">
        <f>(((B543*'Appendix K'!$C$5*1000)-('Appendix K'!$E$31+'Appendix K'!$F$31+'Appendix K'!$H$31+'Appendix K'!$G$31))/((1+$Y$16)^1))</f>
        <v>34971064.972647354</v>
      </c>
      <c r="Z543" s="193">
        <f>+(((C543*'Appendix K'!$C$6*1000)-('Appendix K'!$E$32+'Appendix K'!$F$32+'Appendix K'!$H$32+'Appendix K'!$G$32))/((1+$Y$16)^2))</f>
        <v>7011180.2632159367</v>
      </c>
      <c r="AA543" s="193">
        <f>(((D543*'Appendix K'!$C$7*1000)-('Appendix K'!$E$33+'Appendix K'!$F$33+'Appendix K'!$H$33+'Appendix K'!$G$33))/((1+$Y$16)^3))</f>
        <v>3965852.6129923807</v>
      </c>
      <c r="AB543" s="193">
        <f>(((E543*'Appendix K'!$C$8*1000)-('Appendix K'!$E$34+'Appendix K'!$F$34+'Appendix K'!$H$34+'Appendix K'!$G$34))/((1+$Y$16)^4))</f>
        <v>7067380.960357951</v>
      </c>
      <c r="AC543" s="193">
        <f>(((F543*'Appendix K'!$C$9*1000)-('Appendix K'!$E$35+'Appendix K'!$F$35+'Appendix K'!$H$35+'Appendix K'!$G$35))/((1+$Y$16)^AC$34))</f>
        <v>6830781.0611182833</v>
      </c>
      <c r="AD543" s="193">
        <f>(((G543*'Appendix K'!$C$10*1000)-('Appendix K'!$E$36+'Appendix K'!$F$36+'Appendix K'!$H$36+'Appendix K'!$G$36))/((1+$Y$16)^AD$34))</f>
        <v>1745019.8728999626</v>
      </c>
      <c r="AE543" s="193">
        <f>(((H543*'Appendix K'!$C$11*1000)-('Appendix K'!$E$37+'Appendix K'!$F$37+'Appendix K'!$H$37+'Appendix K'!$G$37))/((1+$Y$16)^AE$34))</f>
        <v>-134282.65593425091</v>
      </c>
      <c r="AF543" s="193">
        <f>(((I543*'Appendix K'!$C$12*1000)-('Appendix K'!$E$38+'Appendix K'!$F$38+'Appendix K'!$H$38+'Appendix K'!$G$38))/((1+$Y$16)^AF$34))</f>
        <v>-289329.03609270719</v>
      </c>
      <c r="AG543" s="193">
        <f>(((J543*'Appendix K'!$C$13*1000)-('Appendix K'!$E$39+'Appendix K'!$F$39+'Appendix K'!$H$39+'Appendix K'!$G$39))/((1+$Y$16)^AG$34))</f>
        <v>-341210.91499472351</v>
      </c>
      <c r="AH543" s="193">
        <f>(((K543*'Appendix K'!$C$14*1000)-('Appendix K'!$E$40+'Appendix K'!$F$40+'Appendix K'!$H$40+'Appendix K'!$G$40))/((1+$Y$16)^AH$34))</f>
        <v>180193.4818017089</v>
      </c>
      <c r="AI543" s="193">
        <f>(((L543*'Appendix K'!$C$15*1000)-('Appendix K'!$E$41+'Appendix K'!$F$41+'Appendix K'!$H$41+'Appendix K'!$G$41))/((1+$Y$16)^AI$34))</f>
        <v>-399957.70728812582</v>
      </c>
      <c r="AJ543" s="193">
        <f>(((M543*'Appendix K'!$C$16*1000)-('Appendix K'!$E$42+'Appendix K'!$F$42+'Appendix K'!$H$42+'Appendix K'!$G$42))/((1+$Y$16)^AJ$34))</f>
        <v>-260572.76429756748</v>
      </c>
      <c r="AK543" s="193">
        <f>(((N543*'Appendix K'!$C$17*1000)-('Appendix K'!$E$43+'Appendix K'!$F$43+'Appendix K'!$H$43))/((1+$Y$16)^AK$34))</f>
        <v>20409.831832364212</v>
      </c>
      <c r="AL543" s="193">
        <f>(((O543*'Appendix K'!$C$18*1000)-('Appendix K'!$E$44+'Appendix K'!$F$44+'Appendix K'!$H$44+'Appendix K'!$G$44))/((1+$Y$16)^AL$34))</f>
        <v>209799.49680420689</v>
      </c>
      <c r="AM543" s="193">
        <f>(((P543*'Appendix K'!$C$19*1000)-('Appendix K'!$E$45+'Appendix K'!$F$45+'Appendix K'!$H$45+'Appendix K'!$G$45))/((1+$Y$16)^AM$34))</f>
        <v>-151899.59791662794</v>
      </c>
      <c r="AN543" s="193">
        <f>(((Q543*'Appendix K'!$C$20*1000)-('Appendix K'!$E$46+'Appendix K'!$F$46+'Appendix K'!$H$46+'Appendix K'!$G$46))/((1+$Y$16)^AN$34))</f>
        <v>-85420.182310682969</v>
      </c>
      <c r="AO543" s="193">
        <f>(((R543*'Appendix K'!$C$21*1000)-('Appendix K'!$E$47+'Appendix K'!$F$47+'Appendix K'!$H$47+'Appendix K'!$G$47))/((1+$Y$16)^AO$34))</f>
        <v>87362.669054773738</v>
      </c>
      <c r="AP543" s="193">
        <f>(((S543*'Appendix K'!$C$22*1000)-('Appendix K'!$E$48+'Appendix K'!$F$48+'Appendix K'!$H$48+'Appendix K'!$G$48))/((1+$Y$16)^AP$34))</f>
        <v>239731.30286928554</v>
      </c>
      <c r="AQ543" s="193">
        <f>(((T543*'Appendix K'!$C$23*1000)-('Appendix K'!$E$49+'Appendix K'!$F$49+'Appendix K'!$H$49+'Appendix K'!$G$49))/((1+$Y$16)^AQ$34))</f>
        <v>-65732.616090386175</v>
      </c>
      <c r="AR543" s="193">
        <f>(((U543*'Appendix K'!$C$24*1000)-('Appendix K'!$E$50+'Appendix K'!$F$50+'Appendix K'!$H$50+'Appendix K'!$G$50))/((1+$Y$16)^AR$34))</f>
        <v>-333462.18438890512</v>
      </c>
      <c r="AS543" s="209">
        <f t="shared" si="30"/>
        <v>28733874.081519112</v>
      </c>
      <c r="AU543" s="199">
        <f t="shared" si="29"/>
        <v>4.1036119434351632E-9</v>
      </c>
    </row>
    <row r="544" spans="1:47" x14ac:dyDescent="0.35">
      <c r="A544">
        <v>510</v>
      </c>
      <c r="B544" s="70">
        <v>56</v>
      </c>
      <c r="C544" s="70">
        <v>68.838571481450828</v>
      </c>
      <c r="D544" s="70">
        <v>93.80397348036071</v>
      </c>
      <c r="E544" s="70">
        <v>97.792745451128127</v>
      </c>
      <c r="F544" s="70">
        <v>85.454163005879181</v>
      </c>
      <c r="G544" s="70">
        <v>45.492334319848446</v>
      </c>
      <c r="H544" s="70">
        <v>60.924550923514886</v>
      </c>
      <c r="I544" s="70">
        <v>41.678416792757453</v>
      </c>
      <c r="J544" s="70">
        <v>38.148893866243576</v>
      </c>
      <c r="K544" s="70">
        <v>23.100698976639745</v>
      </c>
      <c r="L544" s="70">
        <v>24.785307388848061</v>
      </c>
      <c r="M544" s="70">
        <v>35.310542540256122</v>
      </c>
      <c r="N544" s="70">
        <v>32.872151943923541</v>
      </c>
      <c r="O544" s="70">
        <v>32.299805709123753</v>
      </c>
      <c r="P544" s="70">
        <v>24.938398016260763</v>
      </c>
      <c r="Q544" s="70">
        <v>34.515438720588563</v>
      </c>
      <c r="R544" s="70">
        <v>37.933081647797977</v>
      </c>
      <c r="S544" s="70">
        <v>51.894088896333948</v>
      </c>
      <c r="T544" s="70">
        <v>43.872697382004574</v>
      </c>
      <c r="U544" s="70">
        <v>33.630223158242977</v>
      </c>
      <c r="V544" s="70">
        <v>47.217182217531672</v>
      </c>
      <c r="X544" s="193">
        <f>((0-('Appendix K'!$I$30))/(1+$Y$16)^0)</f>
        <v>-33594902.4440751</v>
      </c>
      <c r="Y544" s="193">
        <f>(((B544*'Appendix K'!$C$5*1000)-('Appendix K'!$E$31+'Appendix K'!$F$31+'Appendix K'!$H$31+'Appendix K'!$G$31))/((1+$Y$16)^1))</f>
        <v>34971064.972647354</v>
      </c>
      <c r="Z544" s="193">
        <f>+(((C544*'Appendix K'!$C$6*1000)-('Appendix K'!$E$32+'Appendix K'!$F$32+'Appendix K'!$H$32+'Appendix K'!$G$32))/((1+$Y$16)^2))</f>
        <v>13902552.840958059</v>
      </c>
      <c r="AA544" s="193">
        <f>(((D544*'Appendix K'!$C$7*1000)-('Appendix K'!$E$33+'Appendix K'!$F$33+'Appendix K'!$H$33+'Appendix K'!$G$33))/((1+$Y$16)^3))</f>
        <v>8983371.0858564265</v>
      </c>
      <c r="AB544" s="193">
        <f>(((E544*'Appendix K'!$C$8*1000)-('Appendix K'!$E$34+'Appendix K'!$F$34+'Appendix K'!$H$34+'Appendix K'!$G$34))/((1+$Y$16)^4))</f>
        <v>18142066.707612086</v>
      </c>
      <c r="AC544" s="193">
        <f>(((F544*'Appendix K'!$C$9*1000)-('Appendix K'!$E$35+'Appendix K'!$F$35+'Appendix K'!$H$35+'Appendix K'!$G$35))/((1+$Y$16)^AC$34))</f>
        <v>19729353.820687726</v>
      </c>
      <c r="AD544" s="193">
        <f>(((G544*'Appendix K'!$C$10*1000)-('Appendix K'!$E$36+'Appendix K'!$F$36+'Appendix K'!$H$36+'Appendix K'!$G$36))/((1+$Y$16)^AD$34))</f>
        <v>4628532.9674994629</v>
      </c>
      <c r="AE544" s="193">
        <f>(((H544*'Appendix K'!$C$11*1000)-('Appendix K'!$E$37+'Appendix K'!$F$37+'Appendix K'!$H$37+'Appendix K'!$G$37))/((1+$Y$16)^AE$34))</f>
        <v>3856529.2816485893</v>
      </c>
      <c r="AF544" s="193">
        <f>(((I544*'Appendix K'!$C$12*1000)-('Appendix K'!$E$38+'Appendix K'!$F$38+'Appendix K'!$H$38+'Appendix K'!$G$38))/((1+$Y$16)^AF$34))</f>
        <v>740126.99111208622</v>
      </c>
      <c r="AG544" s="193">
        <f>(((J544*'Appendix K'!$C$13*1000)-('Appendix K'!$E$39+'Appendix K'!$F$39+'Appendix K'!$H$39+'Appendix K'!$G$39))/((1+$Y$16)^AG$34))</f>
        <v>-59372.496864244589</v>
      </c>
      <c r="AH544" s="193">
        <f>(((K544*'Appendix K'!$C$14*1000)-('Appendix K'!$E$40+'Appendix K'!$F$40+'Appendix K'!$H$40+'Appendix K'!$G$40))/((1+$Y$16)^AH$34))</f>
        <v>-854096.82791772694</v>
      </c>
      <c r="AI544" s="193">
        <f>(((L544*'Appendix K'!$C$15*1000)-('Appendix K'!$E$41+'Appendix K'!$F$41+'Appendix K'!$H$41+'Appendix K'!$G$41))/((1+$Y$16)^AI$34))</f>
        <v>-867059.945991121</v>
      </c>
      <c r="AJ544" s="193">
        <f>(((M544*'Appendix K'!$C$16*1000)-('Appendix K'!$E$42+'Appendix K'!$F$42+'Appendix K'!$H$42+'Appendix K'!$G$42))/((1+$Y$16)^AJ$34))</f>
        <v>-673861.76219691068</v>
      </c>
      <c r="AK544" s="193">
        <f>(((N544*'Appendix K'!$C$17*1000)-('Appendix K'!$E$43+'Appendix K'!$F$43+'Appendix K'!$H$43))/((1+$Y$16)^AK$34))</f>
        <v>-499214.24454061448</v>
      </c>
      <c r="AL544" s="193">
        <f>(((O544*'Appendix K'!$C$18*1000)-('Appendix K'!$E$44+'Appendix K'!$F$44+'Appendix K'!$H$44+'Appendix K'!$G$44))/((1+$Y$16)^AL$34))</f>
        <v>-751730.02431345184</v>
      </c>
      <c r="AM544" s="193">
        <f>(((P544*'Appendix K'!$C$19*1000)-('Appendix K'!$E$45+'Appendix K'!$F$45+'Appendix K'!$H$45+'Appendix K'!$G$45))/((1+$Y$16)^AM$34))</f>
        <v>-795618.61957157624</v>
      </c>
      <c r="AN544" s="193">
        <f>(((Q544*'Appendix K'!$C$20*1000)-('Appendix K'!$E$46+'Appendix K'!$F$46+'Appendix K'!$H$46+'Appendix K'!$G$46))/((1+$Y$16)^AN$34))</f>
        <v>-665947.63819861505</v>
      </c>
      <c r="AO544" s="193">
        <f>(((R544*'Appendix K'!$C$21*1000)-('Appendix K'!$E$47+'Appendix K'!$F$47+'Appendix K'!$H$47+'Appendix K'!$G$47))/((1+$Y$16)^AO$34))</f>
        <v>-618810.22199413064</v>
      </c>
      <c r="AP544" s="193">
        <f>(((S544*'Appendix K'!$C$22*1000)-('Appendix K'!$E$48+'Appendix K'!$F$48+'Appendix K'!$H$48+'Appendix K'!$G$48))/((1+$Y$16)^AP$34))</f>
        <v>-515895.1115111878</v>
      </c>
      <c r="AQ544" s="193">
        <f>(((T544*'Appendix K'!$C$23*1000)-('Appendix K'!$E$49+'Appendix K'!$F$49+'Appendix K'!$H$49+'Appendix K'!$G$49))/((1+$Y$16)^AQ$34))</f>
        <v>-521779.12565720105</v>
      </c>
      <c r="AR544" s="193">
        <f>(((U544*'Appendix K'!$C$24*1000)-('Appendix K'!$E$50+'Appendix K'!$F$50+'Appendix K'!$H$50+'Appendix K'!$G$50))/((1+$Y$16)^AR$34))</f>
        <v>-520998.60845829803</v>
      </c>
      <c r="AS544" s="209">
        <f t="shared" si="30"/>
        <v>71358696.223946691</v>
      </c>
      <c r="AU544" s="199">
        <f t="shared" si="29"/>
        <v>6.7470379963525947E-9</v>
      </c>
    </row>
    <row r="545" spans="1:47" x14ac:dyDescent="0.35">
      <c r="A545">
        <v>511</v>
      </c>
      <c r="B545" s="70">
        <v>56</v>
      </c>
      <c r="C545" s="70">
        <v>59.717092442099144</v>
      </c>
      <c r="D545" s="70">
        <v>57.692338080484241</v>
      </c>
      <c r="E545" s="70">
        <v>88.362381818303561</v>
      </c>
      <c r="F545" s="70">
        <v>122.64135488860343</v>
      </c>
      <c r="G545" s="70">
        <v>81.926284314563929</v>
      </c>
      <c r="H545" s="70">
        <v>107.92299225142008</v>
      </c>
      <c r="I545" s="70">
        <v>88.259564065297326</v>
      </c>
      <c r="J545" s="70">
        <v>52.358541861461575</v>
      </c>
      <c r="K545" s="70">
        <v>49.311385069050772</v>
      </c>
      <c r="L545" s="70">
        <v>61.472683693903264</v>
      </c>
      <c r="M545" s="70">
        <v>74.865509378150591</v>
      </c>
      <c r="N545" s="70">
        <v>92.519601088336202</v>
      </c>
      <c r="O545" s="70">
        <v>76.481644922175377</v>
      </c>
      <c r="P545" s="70">
        <v>100.34623257780721</v>
      </c>
      <c r="Q545" s="70">
        <v>56.258696330789739</v>
      </c>
      <c r="R545" s="70">
        <v>58.639513650831951</v>
      </c>
      <c r="S545" s="70">
        <v>74.697004322241085</v>
      </c>
      <c r="T545" s="70">
        <v>80.757468823783014</v>
      </c>
      <c r="U545" s="70">
        <v>110.04443387376266</v>
      </c>
      <c r="V545" s="70">
        <v>107.74446947935509</v>
      </c>
      <c r="X545" s="193">
        <f>((0-('Appendix K'!$I$30))/(1+$Y$16)^0)</f>
        <v>-33594902.4440751</v>
      </c>
      <c r="Y545" s="193">
        <f>(((B545*'Appendix K'!$C$5*1000)-('Appendix K'!$E$31+'Appendix K'!$F$31+'Appendix K'!$H$31+'Appendix K'!$G$31))/((1+$Y$16)^1))</f>
        <v>34971064.972647354</v>
      </c>
      <c r="Z545" s="193">
        <f>+(((C545*'Appendix K'!$C$6*1000)-('Appendix K'!$E$32+'Appendix K'!$F$32+'Appendix K'!$H$32+'Appendix K'!$G$32))/((1+$Y$16)^2))</f>
        <v>11598311.229829965</v>
      </c>
      <c r="AA545" s="193">
        <f>(((D545*'Appendix K'!$C$7*1000)-('Appendix K'!$E$33+'Appendix K'!$F$33+'Appendix K'!$H$33+'Appendix K'!$G$33))/((1+$Y$16)^3))</f>
        <v>4383656.1361417677</v>
      </c>
      <c r="AB545" s="193">
        <f>(((E545*'Appendix K'!$C$8*1000)-('Appendix K'!$E$34+'Appendix K'!$F$34+'Appendix K'!$H$34+'Appendix K'!$G$34))/((1+$Y$16)^4))</f>
        <v>16075017.325967029</v>
      </c>
      <c r="AC545" s="193">
        <f>(((F545*'Appendix K'!$C$9*1000)-('Appendix K'!$E$35+'Appendix K'!$F$35+'Appendix K'!$H$35+'Appendix K'!$G$35))/((1+$Y$16)^AC$34))</f>
        <v>29613651.028745707</v>
      </c>
      <c r="AD545" s="193">
        <f>(((G545*'Appendix K'!$C$10*1000)-('Appendix K'!$E$36+'Appendix K'!$F$36+'Appendix K'!$H$36+'Appendix K'!$G$36))/((1+$Y$16)^AD$34))</f>
        <v>10350264.444017522</v>
      </c>
      <c r="AE545" s="193">
        <f>(((H545*'Appendix K'!$C$11*1000)-('Appendix K'!$E$37+'Appendix K'!$F$37+'Appendix K'!$H$37+'Appendix K'!$G$37))/((1+$Y$16)^AE$34))</f>
        <v>8544042.3787044249</v>
      </c>
      <c r="AF545" s="193">
        <f>(((I545*'Appendix K'!$C$12*1000)-('Appendix K'!$E$38+'Appendix K'!$F$38+'Appendix K'!$H$38+'Appendix K'!$G$38))/((1+$Y$16)^AF$34))</f>
        <v>3798758.1752899429</v>
      </c>
      <c r="AG545" s="193">
        <f>(((J545*'Appendix K'!$C$13*1000)-('Appendix K'!$E$39+'Appendix K'!$F$39+'Appendix K'!$H$39+'Appendix K'!$G$39))/((1+$Y$16)^AG$34))</f>
        <v>594540.33595450141</v>
      </c>
      <c r="AH545" s="193">
        <f>(((K545*'Appendix K'!$C$14*1000)-('Appendix K'!$E$40+'Appendix K'!$F$40+'Appendix K'!$H$40+'Appendix K'!$G$40))/((1+$Y$16)^AH$34))</f>
        <v>29374.364153309511</v>
      </c>
      <c r="AI545" s="193">
        <f>(((L545*'Appendix K'!$C$15*1000)-('Appendix K'!$E$41+'Appendix K'!$F$41+'Appendix K'!$H$41+'Appendix K'!$G$41))/((1+$Y$16)^AI$34))</f>
        <v>94217.918931425098</v>
      </c>
      <c r="AJ545" s="193">
        <f>(((M545*'Appendix K'!$C$16*1000)-('Appendix K'!$E$42+'Appendix K'!$F$42+'Appendix K'!$H$42+'Appendix K'!$G$42))/((1+$Y$16)^AJ$34))</f>
        <v>118893.62148530866</v>
      </c>
      <c r="AK545" s="193">
        <f>(((N545*'Appendix K'!$C$17*1000)-('Appendix K'!$E$43+'Appendix K'!$F$43+'Appendix K'!$H$43))/((1+$Y$16)^AK$34))</f>
        <v>417203.0480212174</v>
      </c>
      <c r="AL545" s="193">
        <f>(((O545*'Appendix K'!$C$18*1000)-('Appendix K'!$E$44+'Appendix K'!$F$44+'Appendix K'!$H$44+'Appendix K'!$G$44))/((1+$Y$16)^AL$34))</f>
        <v>-228029.68352103018</v>
      </c>
      <c r="AM545" s="193">
        <f>(((P545*'Appendix K'!$C$19*1000)-('Appendix K'!$E$45+'Appendix K'!$F$45+'Appendix K'!$H$45+'Appendix K'!$G$45))/((1+$Y$16)^AM$34))</f>
        <v>-96683.625984538434</v>
      </c>
      <c r="AN545" s="193">
        <f>(((Q545*'Appendix K'!$C$20*1000)-('Appendix K'!$E$46+'Appendix K'!$F$46+'Appendix K'!$H$46+'Appendix K'!$G$46))/((1+$Y$16)^AN$34))</f>
        <v>-508608.71021681337</v>
      </c>
      <c r="AO545" s="193">
        <f>(((R545*'Appendix K'!$C$21*1000)-('Appendix K'!$E$47+'Appendix K'!$F$47+'Appendix K'!$H$47+'Appendix K'!$G$47))/((1+$Y$16)^AO$34))</f>
        <v>-496432.92120875901</v>
      </c>
      <c r="AP545" s="193">
        <f>(((S545*'Appendix K'!$C$22*1000)-('Appendix K'!$E$48+'Appendix K'!$F$48+'Appendix K'!$H$48+'Appendix K'!$G$48))/((1+$Y$16)^AP$34))</f>
        <v>-406675.54644891922</v>
      </c>
      <c r="AQ545" s="193">
        <f>(((T545*'Appendix K'!$C$23*1000)-('Appendix K'!$E$49+'Appendix K'!$F$49+'Appendix K'!$H$49+'Appendix K'!$G$49))/((1+$Y$16)^AQ$34))</f>
        <v>-377421.57297773939</v>
      </c>
      <c r="AR545" s="193">
        <f>(((U545*'Appendix K'!$C$24*1000)-('Appendix K'!$E$50+'Appendix K'!$F$50+'Appendix K'!$H$50+'Appendix K'!$G$50))/((1+$Y$16)^AR$34))</f>
        <v>-274942.70891536179</v>
      </c>
      <c r="AS545" s="209">
        <f t="shared" si="30"/>
        <v>86994092.535814375</v>
      </c>
      <c r="AU545" s="199">
        <f t="shared" si="29"/>
        <v>7.0292502027929877E-9</v>
      </c>
    </row>
    <row r="546" spans="1:47" x14ac:dyDescent="0.35">
      <c r="A546">
        <v>512</v>
      </c>
      <c r="B546" s="70">
        <v>56</v>
      </c>
      <c r="C546" s="70">
        <v>73.275131988614589</v>
      </c>
      <c r="D546" s="70">
        <v>77.785693105321613</v>
      </c>
      <c r="E546" s="70">
        <v>111.14844580809299</v>
      </c>
      <c r="F546" s="70">
        <v>123.78310920456593</v>
      </c>
      <c r="G546" s="70">
        <v>138.98776983639758</v>
      </c>
      <c r="H546" s="70">
        <v>152.14234185692334</v>
      </c>
      <c r="I546" s="70">
        <v>187.68132736465634</v>
      </c>
      <c r="J546" s="70">
        <v>259.12819772568736</v>
      </c>
      <c r="K546" s="70">
        <v>315.21876047956096</v>
      </c>
      <c r="L546" s="70">
        <v>169.76678307012099</v>
      </c>
      <c r="M546" s="70">
        <v>249.07573931219059</v>
      </c>
      <c r="N546" s="70">
        <v>380.1392044762365</v>
      </c>
      <c r="O546" s="70">
        <v>200.6166005023133</v>
      </c>
      <c r="P546" s="70">
        <v>269.85631729000863</v>
      </c>
      <c r="Q546" s="70">
        <v>234.40858052717934</v>
      </c>
      <c r="R546" s="70">
        <v>237.6917255142848</v>
      </c>
      <c r="S546" s="70">
        <v>287.28144830389061</v>
      </c>
      <c r="T546" s="70">
        <v>351.05468497403064</v>
      </c>
      <c r="U546" s="70">
        <v>493.52748810641413</v>
      </c>
      <c r="V546" s="70">
        <v>500</v>
      </c>
      <c r="X546" s="193">
        <f>((0-('Appendix K'!$I$30))/(1+$Y$16)^0)</f>
        <v>-33594902.4440751</v>
      </c>
      <c r="Y546" s="193">
        <f>(((B546*'Appendix K'!$C$5*1000)-('Appendix K'!$E$31+'Appendix K'!$F$31+'Appendix K'!$H$31+'Appendix K'!$G$31))/((1+$Y$16)^1))</f>
        <v>34971064.972647354</v>
      </c>
      <c r="Z546" s="193">
        <f>+(((C546*'Appendix K'!$C$6*1000)-('Appendix K'!$E$32+'Appendix K'!$F$32+'Appendix K'!$H$32+'Appendix K'!$G$32))/((1+$Y$16)^2))</f>
        <v>15023303.904112494</v>
      </c>
      <c r="AA546" s="193">
        <f>(((D546*'Appendix K'!$C$7*1000)-('Appendix K'!$E$33+'Appendix K'!$F$33+'Appendix K'!$H$33+'Appendix K'!$G$33))/((1+$Y$16)^3))</f>
        <v>6943044.6676837299</v>
      </c>
      <c r="AB546" s="193">
        <f>(((E546*'Appendix K'!$C$8*1000)-('Appendix K'!$E$34+'Appendix K'!$F$34+'Appendix K'!$H$34+'Appendix K'!$G$34))/((1+$Y$16)^4))</f>
        <v>21069513.966189556</v>
      </c>
      <c r="AC546" s="193">
        <f>(((F546*'Appendix K'!$C$9*1000)-('Appendix K'!$E$35+'Appendix K'!$F$35+'Appendix K'!$H$35+'Appendix K'!$G$35))/((1+$Y$16)^AC$34))</f>
        <v>29917127.533052526</v>
      </c>
      <c r="AD546" s="193">
        <f>(((G546*'Appendix K'!$C$10*1000)-('Appendix K'!$E$36+'Appendix K'!$F$36+'Appendix K'!$H$36+'Appendix K'!$G$36))/((1+$Y$16)^AD$34))</f>
        <v>19311425.609757457</v>
      </c>
      <c r="AE546" s="193">
        <f>(((H546*'Appendix K'!$C$11*1000)-('Appendix K'!$E$37+'Appendix K'!$F$37+'Appendix K'!$H$37+'Appendix K'!$G$37))/((1+$Y$16)^AE$34))</f>
        <v>12954375.457048798</v>
      </c>
      <c r="AF546" s="193">
        <f>(((I546*'Appendix K'!$C$12*1000)-('Appendix K'!$E$38+'Appendix K'!$F$38+'Appendix K'!$H$38+'Appendix K'!$G$38))/((1+$Y$16)^AF$34))</f>
        <v>10327032.454026662</v>
      </c>
      <c r="AG546" s="193">
        <f>(((J546*'Appendix K'!$C$13*1000)-('Appendix K'!$E$39+'Appendix K'!$F$39+'Appendix K'!$H$39+'Appendix K'!$G$39))/((1+$Y$16)^AG$34))</f>
        <v>10109859.184995335</v>
      </c>
      <c r="AH546" s="193">
        <f>(((K546*'Appendix K'!$C$14*1000)-('Appendix K'!$E$40+'Appendix K'!$F$40+'Appendix K'!$H$40+'Appendix K'!$G$40))/((1+$Y$16)^AH$34))</f>
        <v>8992188.4280866645</v>
      </c>
      <c r="AI546" s="193">
        <f>(((L546*'Appendix K'!$C$15*1000)-('Appendix K'!$E$41+'Appendix K'!$F$41+'Appendix K'!$H$41+'Appendix K'!$G$41))/((1+$Y$16)^AI$34))</f>
        <v>2931725.8335471787</v>
      </c>
      <c r="AJ546" s="193">
        <f>(((M546*'Appendix K'!$C$16*1000)-('Appendix K'!$E$42+'Appendix K'!$F$42+'Appendix K'!$H$42+'Appendix K'!$G$42))/((1+$Y$16)^AJ$34))</f>
        <v>3610391.8760210467</v>
      </c>
      <c r="AK546" s="193">
        <f>(((N546*'Appendix K'!$C$17*1000)-('Appendix K'!$E$43+'Appendix K'!$F$43+'Appendix K'!$H$43))/((1+$Y$16)^AK$34))</f>
        <v>4836161.1427134816</v>
      </c>
      <c r="AL546" s="193">
        <f>(((O546*'Appendix K'!$C$18*1000)-('Appendix K'!$E$44+'Appendix K'!$F$44+'Appendix K'!$H$44+'Appendix K'!$G$44))/((1+$Y$16)^AL$34))</f>
        <v>1243378.4719449403</v>
      </c>
      <c r="AM546" s="193">
        <f>(((P546*'Appendix K'!$C$19*1000)-('Appendix K'!$E$45+'Appendix K'!$F$45+'Appendix K'!$H$45+'Appendix K'!$G$45))/((1+$Y$16)^AM$34))</f>
        <v>1474459.8852982637</v>
      </c>
      <c r="AN546" s="193">
        <f>(((Q546*'Appendix K'!$C$20*1000)-('Appendix K'!$E$46+'Appendix K'!$F$46+'Appendix K'!$H$46+'Appendix K'!$G$46))/((1+$Y$16)^AN$34))</f>
        <v>780522.49091430893</v>
      </c>
      <c r="AO546" s="193">
        <f>(((R546*'Appendix K'!$C$21*1000)-('Appendix K'!$E$47+'Appendix K'!$F$47+'Appendix K'!$H$47+'Appendix K'!$G$47))/((1+$Y$16)^AO$34))</f>
        <v>561785.43259981833</v>
      </c>
      <c r="AP546" s="193">
        <f>(((S546*'Appendix K'!$C$22*1000)-('Appendix K'!$E$48+'Appendix K'!$F$48+'Appendix K'!$H$48+'Appendix K'!$G$48))/((1+$Y$16)^AP$34))</f>
        <v>611544.27663128288</v>
      </c>
      <c r="AQ546" s="193">
        <f>(((T546*'Appendix K'!$C$23*1000)-('Appendix K'!$E$49+'Appendix K'!$F$49+'Appendix K'!$H$49+'Appendix K'!$G$49))/((1+$Y$16)^AQ$34))</f>
        <v>680452.53317233641</v>
      </c>
      <c r="AR546" s="193">
        <f>(((U546*'Appendix K'!$C$24*1000)-('Appendix K'!$E$50+'Appendix K'!$F$50+'Appendix K'!$H$50+'Appendix K'!$G$50))/((1+$Y$16)^AR$34))</f>
        <v>959883.47047123639</v>
      </c>
      <c r="AS546" s="209">
        <f t="shared" si="30"/>
        <v>153714339.14683938</v>
      </c>
      <c r="AU546" s="199">
        <f t="shared" si="29"/>
        <v>3.5676014477325987E-9</v>
      </c>
    </row>
    <row r="547" spans="1:47" x14ac:dyDescent="0.35">
      <c r="A547">
        <v>513</v>
      </c>
      <c r="B547" s="70">
        <v>56</v>
      </c>
      <c r="C547" s="70">
        <v>80.908645107085221</v>
      </c>
      <c r="D547" s="70">
        <v>68.494889758407098</v>
      </c>
      <c r="E547" s="70">
        <v>62.252677917706087</v>
      </c>
      <c r="F547" s="70">
        <v>70.079595278328028</v>
      </c>
      <c r="G547" s="70">
        <v>91.090783457415881</v>
      </c>
      <c r="H547" s="70">
        <v>82.515301710541195</v>
      </c>
      <c r="I547" s="70">
        <v>75.856344022290699</v>
      </c>
      <c r="J547" s="70">
        <v>92.146124309982298</v>
      </c>
      <c r="K547" s="70">
        <v>99.883647487668782</v>
      </c>
      <c r="L547" s="70">
        <v>96.161052658360688</v>
      </c>
      <c r="M547" s="70">
        <v>112.71138361728458</v>
      </c>
      <c r="N547" s="70">
        <v>212.73650767472878</v>
      </c>
      <c r="O547" s="70">
        <v>121.27392928272211</v>
      </c>
      <c r="P547" s="70">
        <v>185.31722597095336</v>
      </c>
      <c r="Q547" s="70">
        <v>225.7340864463672</v>
      </c>
      <c r="R547" s="70">
        <v>314.91755877348862</v>
      </c>
      <c r="S547" s="70">
        <v>335.57957556653531</v>
      </c>
      <c r="T547" s="70">
        <v>288.4295196675161</v>
      </c>
      <c r="U547" s="70">
        <v>279.31335954329825</v>
      </c>
      <c r="V547" s="70">
        <v>242.38417217480918</v>
      </c>
      <c r="X547" s="193">
        <f>((0-('Appendix K'!$I$30))/(1+$Y$16)^0)</f>
        <v>-33594902.4440751</v>
      </c>
      <c r="Y547" s="193">
        <f>(((B547*'Appendix K'!$C$5*1000)-('Appendix K'!$E$31+'Appendix K'!$F$31+'Appendix K'!$H$31+'Appendix K'!$G$31))/((1+$Y$16)^1))</f>
        <v>34971064.972647354</v>
      </c>
      <c r="Z547" s="193">
        <f>+(((C547*'Appendix K'!$C$6*1000)-('Appendix K'!$E$32+'Appendix K'!$F$32+'Appendix K'!$H$32+'Appendix K'!$G$32))/((1+$Y$16)^2))</f>
        <v>16951659.874760251</v>
      </c>
      <c r="AA547" s="193">
        <f>(((D547*'Appendix K'!$C$7*1000)-('Appendix K'!$E$33+'Appendix K'!$F$33+'Appendix K'!$H$33+'Appendix K'!$G$33))/((1+$Y$16)^3))</f>
        <v>5759629.7772629037</v>
      </c>
      <c r="AB547" s="193">
        <f>(((E547*'Appendix K'!$C$8*1000)-('Appendix K'!$E$34+'Appendix K'!$F$34+'Appendix K'!$H$34+'Appendix K'!$G$34))/((1+$Y$16)^4))</f>
        <v>10352009.242290352</v>
      </c>
      <c r="AC547" s="193">
        <f>(((F547*'Appendix K'!$C$9*1000)-('Appendix K'!$E$35+'Appendix K'!$F$35+'Appendix K'!$H$35+'Appendix K'!$G$35))/((1+$Y$16)^AC$34))</f>
        <v>15642817.861108316</v>
      </c>
      <c r="AD547" s="193">
        <f>(((G547*'Appendix K'!$C$10*1000)-('Appendix K'!$E$36+'Appendix K'!$F$36+'Appendix K'!$H$36+'Appendix K'!$G$36))/((1+$Y$16)^AD$34))</f>
        <v>11789493.603078902</v>
      </c>
      <c r="AE547" s="193">
        <f>(((H547*'Appendix K'!$C$11*1000)-('Appendix K'!$E$37+'Appendix K'!$F$37+'Appendix K'!$H$37+'Appendix K'!$G$37))/((1+$Y$16)^AE$34))</f>
        <v>6009939.5699460264</v>
      </c>
      <c r="AF547" s="193">
        <f>(((I547*'Appendix K'!$C$12*1000)-('Appendix K'!$E$38+'Appendix K'!$F$38+'Appendix K'!$H$38+'Appendix K'!$G$38))/((1+$Y$16)^AF$34))</f>
        <v>2984332.6441668803</v>
      </c>
      <c r="AG547" s="193">
        <f>(((J547*'Appendix K'!$C$13*1000)-('Appendix K'!$E$39+'Appendix K'!$F$39+'Appendix K'!$H$39+'Appendix K'!$G$39))/((1+$Y$16)^AG$34))</f>
        <v>2425522.4094497324</v>
      </c>
      <c r="AH547" s="193">
        <f>(((K547*'Appendix K'!$C$14*1000)-('Appendix K'!$E$40+'Appendix K'!$F$40+'Appendix K'!$H$40+'Appendix K'!$G$40))/((1+$Y$16)^AH$34))</f>
        <v>1733989.6804857573</v>
      </c>
      <c r="AI547" s="193">
        <f>(((L547*'Appendix K'!$C$15*1000)-('Appendix K'!$E$41+'Appendix K'!$F$41+'Appendix K'!$H$41+'Appendix K'!$G$41))/((1+$Y$16)^AI$34))</f>
        <v>1003118.0533682525</v>
      </c>
      <c r="AJ547" s="193">
        <f>(((M547*'Appendix K'!$C$16*1000)-('Appendix K'!$E$42+'Appendix K'!$F$42+'Appendix K'!$H$42+'Appendix K'!$G$42))/((1+$Y$16)^AJ$34))</f>
        <v>877395.59865017526</v>
      </c>
      <c r="AK547" s="193">
        <f>(((N547*'Appendix K'!$C$17*1000)-('Appendix K'!$E$43+'Appendix K'!$F$43+'Appendix K'!$H$43))/((1+$Y$16)^AK$34))</f>
        <v>2264203.274088393</v>
      </c>
      <c r="AL547" s="193">
        <f>(((O547*'Appendix K'!$C$18*1000)-('Appendix K'!$E$44+'Appendix K'!$F$44+'Appendix K'!$H$44+'Appendix K'!$G$44))/((1+$Y$16)^AL$34))</f>
        <v>302906.44322943356</v>
      </c>
      <c r="AM547" s="193">
        <f>(((P547*'Appendix K'!$C$19*1000)-('Appendix K'!$E$45+'Appendix K'!$F$45+'Appendix K'!$H$45+'Appendix K'!$G$45))/((1+$Y$16)^AM$34))</f>
        <v>690889.7218995</v>
      </c>
      <c r="AN547" s="193">
        <f>(((Q547*'Appendix K'!$C$20*1000)-('Appendix K'!$E$46+'Appendix K'!$F$46+'Appendix K'!$H$46+'Appendix K'!$G$46))/((1+$Y$16)^AN$34))</f>
        <v>717751.97032685403</v>
      </c>
      <c r="AO547" s="193">
        <f>(((R547*'Appendix K'!$C$21*1000)-('Appendix K'!$E$47+'Appendix K'!$F$47+'Appendix K'!$H$47+'Appendix K'!$G$47))/((1+$Y$16)^AO$34))</f>
        <v>1018198.6390748791</v>
      </c>
      <c r="AP547" s="193">
        <f>(((S547*'Appendix K'!$C$22*1000)-('Appendix K'!$E$48+'Appendix K'!$F$48+'Appendix K'!$H$48+'Appendix K'!$G$48))/((1+$Y$16)^AP$34))</f>
        <v>842878.75094832305</v>
      </c>
      <c r="AQ547" s="193">
        <f>(((T547*'Appendix K'!$C$23*1000)-('Appendix K'!$E$49+'Appendix K'!$F$49+'Appendix K'!$H$49+'Appendix K'!$G$49))/((1+$Y$16)^AQ$34))</f>
        <v>435353.66861612769</v>
      </c>
      <c r="AR547" s="193">
        <f>(((U547*'Appendix K'!$C$24*1000)-('Appendix K'!$E$50+'Appendix K'!$F$50+'Appendix K'!$H$50+'Appendix K'!$G$50))/((1+$Y$16)^AR$34))</f>
        <v>270107.97446263133</v>
      </c>
      <c r="AS547" s="209">
        <f t="shared" si="30"/>
        <v>83448361.285785943</v>
      </c>
      <c r="AU547" s="199">
        <f t="shared" ref="AU547:AU610" si="31">_xlfn.NORM.DIST(AS547,$Y$17,$Y$19,FALSE)</f>
        <v>7.0107343456554609E-9</v>
      </c>
    </row>
    <row r="548" spans="1:47" x14ac:dyDescent="0.35">
      <c r="A548">
        <v>514</v>
      </c>
      <c r="B548" s="70">
        <v>56</v>
      </c>
      <c r="C548" s="70">
        <v>61.958442580505057</v>
      </c>
      <c r="D548" s="70">
        <v>74.718524305526856</v>
      </c>
      <c r="E548" s="70">
        <v>56.11263739861279</v>
      </c>
      <c r="F548" s="70">
        <v>64.161668472325999</v>
      </c>
      <c r="G548" s="70">
        <v>87.540477966400701</v>
      </c>
      <c r="H548" s="70">
        <v>113.89225023044563</v>
      </c>
      <c r="I548" s="70">
        <v>94.03221342162081</v>
      </c>
      <c r="J548" s="70">
        <v>90.321127497301248</v>
      </c>
      <c r="K548" s="70">
        <v>136.78745286347009</v>
      </c>
      <c r="L548" s="70">
        <v>134.97543006239215</v>
      </c>
      <c r="M548" s="70">
        <v>197.72855832174062</v>
      </c>
      <c r="N548" s="70">
        <v>250.60621958909587</v>
      </c>
      <c r="O548" s="70">
        <v>217.70890907760378</v>
      </c>
      <c r="P548" s="70">
        <v>330.35141009792449</v>
      </c>
      <c r="Q548" s="70">
        <v>473.12571080862193</v>
      </c>
      <c r="R548" s="70">
        <v>500</v>
      </c>
      <c r="S548" s="70">
        <v>500</v>
      </c>
      <c r="T548" s="70">
        <v>500</v>
      </c>
      <c r="U548" s="70">
        <v>296.4800682041423</v>
      </c>
      <c r="V548" s="70">
        <v>298.76650150677347</v>
      </c>
      <c r="X548" s="193">
        <f>((0-('Appendix K'!$I$30))/(1+$Y$16)^0)</f>
        <v>-33594902.4440751</v>
      </c>
      <c r="Y548" s="193">
        <f>(((B548*'Appendix K'!$C$5*1000)-('Appendix K'!$E$31+'Appendix K'!$F$31+'Appendix K'!$H$31+'Appendix K'!$G$31))/((1+$Y$16)^1))</f>
        <v>34971064.972647354</v>
      </c>
      <c r="Z548" s="193">
        <f>+(((C548*'Appendix K'!$C$6*1000)-('Appendix K'!$E$32+'Appendix K'!$F$32+'Appendix K'!$H$32+'Appendix K'!$G$32))/((1+$Y$16)^2))</f>
        <v>12164514.608880838</v>
      </c>
      <c r="AA548" s="193">
        <f>(((D548*'Appendix K'!$C$7*1000)-('Appendix K'!$E$33+'Appendix K'!$F$33+'Appendix K'!$H$33+'Appendix K'!$G$33))/((1+$Y$16)^3))</f>
        <v>6552364.43330801</v>
      </c>
      <c r="AB548" s="193">
        <f>(((E548*'Appendix K'!$C$8*1000)-('Appendix K'!$E$34+'Appendix K'!$F$34+'Appendix K'!$H$34+'Appendix K'!$G$34))/((1+$Y$16)^4))</f>
        <v>9006168.5671661422</v>
      </c>
      <c r="AC548" s="193">
        <f>(((F548*'Appendix K'!$C$9*1000)-('Appendix K'!$E$35+'Appendix K'!$F$35+'Appendix K'!$H$35+'Appendix K'!$G$35))/((1+$Y$16)^AC$34))</f>
        <v>14069842.208885655</v>
      </c>
      <c r="AD548" s="193">
        <f>(((G548*'Appendix K'!$C$10*1000)-('Appendix K'!$E$36+'Appendix K'!$F$36+'Appendix K'!$H$36+'Appendix K'!$G$36))/((1+$Y$16)^AD$34))</f>
        <v>11231939.599679798</v>
      </c>
      <c r="AE548" s="193">
        <f>(((H548*'Appendix K'!$C$11*1000)-('Appendix K'!$E$37+'Appendix K'!$F$37+'Appendix K'!$H$37+'Appendix K'!$G$37))/((1+$Y$16)^AE$34))</f>
        <v>9139402.0154456906</v>
      </c>
      <c r="AF548" s="193">
        <f>(((I548*'Appendix K'!$C$12*1000)-('Appendix K'!$E$38+'Appendix K'!$F$38+'Appendix K'!$H$38+'Appendix K'!$G$38))/((1+$Y$16)^AF$34))</f>
        <v>4177804.3424714855</v>
      </c>
      <c r="AG548" s="193">
        <f>(((J548*'Appendix K'!$C$13*1000)-('Appendix K'!$E$39+'Appendix K'!$F$39+'Appendix K'!$H$39+'Appendix K'!$G$39))/((1+$Y$16)^AG$34))</f>
        <v>2341538.0042014765</v>
      </c>
      <c r="AH548" s="193">
        <f>(((K548*'Appendix K'!$C$14*1000)-('Appendix K'!$E$40+'Appendix K'!$F$40+'Appendix K'!$H$40+'Appendix K'!$G$40))/((1+$Y$16)^AH$34))</f>
        <v>2977888.7837891472</v>
      </c>
      <c r="AI548" s="193">
        <f>(((L548*'Appendix K'!$C$15*1000)-('Appendix K'!$E$41+'Appendix K'!$F$41+'Appendix K'!$H$41+'Appendix K'!$G$41))/((1+$Y$16)^AI$34))</f>
        <v>2020127.3245955354</v>
      </c>
      <c r="AJ548" s="193">
        <f>(((M548*'Appendix K'!$C$16*1000)-('Appendix K'!$E$42+'Appendix K'!$F$42+'Appendix K'!$H$42+'Appendix K'!$G$42))/((1+$Y$16)^AJ$34))</f>
        <v>2581298.5049178363</v>
      </c>
      <c r="AK548" s="193">
        <f>(((N548*'Appendix K'!$C$17*1000)-('Appendix K'!$E$43+'Appendix K'!$F$43+'Appendix K'!$H$43))/((1+$Y$16)^AK$34))</f>
        <v>2846029.6448798366</v>
      </c>
      <c r="AL548" s="193">
        <f>(((O548*'Appendix K'!$C$18*1000)-('Appendix K'!$E$44+'Appendix K'!$F$44+'Appendix K'!$H$44+'Appendix K'!$G$44))/((1+$Y$16)^AL$34))</f>
        <v>1445978.6349359956</v>
      </c>
      <c r="AM548" s="193">
        <f>(((P548*'Appendix K'!$C$19*1000)-('Appendix K'!$E$45+'Appendix K'!$F$45+'Appendix K'!$H$45+'Appendix K'!$G$45))/((1+$Y$16)^AM$34))</f>
        <v>2035172.6752834746</v>
      </c>
      <c r="AN548" s="193">
        <f>(((Q548*'Appendix K'!$C$20*1000)-('Appendix K'!$E$46+'Appendix K'!$F$46+'Appendix K'!$H$46+'Appendix K'!$G$46))/((1+$Y$16)^AN$34))</f>
        <v>2507931.4212004808</v>
      </c>
      <c r="AO548" s="193">
        <f>(((R548*'Appendix K'!$C$21*1000)-('Appendix K'!$E$47+'Appendix K'!$F$47+'Appendix K'!$H$47+'Appendix K'!$G$47))/((1+$Y$16)^AO$34))</f>
        <v>2112056.3146391152</v>
      </c>
      <c r="AP548" s="193">
        <f>(((S548*'Appendix K'!$C$22*1000)-('Appendix K'!$E$48+'Appendix K'!$F$48+'Appendix K'!$H$48+'Appendix K'!$G$48))/((1+$Y$16)^AP$34))</f>
        <v>1630406.4380253027</v>
      </c>
      <c r="AQ548" s="193">
        <f>(((T548*'Appendix K'!$C$23*1000)-('Appendix K'!$E$49+'Appendix K'!$F$49+'Appendix K'!$H$49+'Appendix K'!$G$49))/((1+$Y$16)^AQ$34))</f>
        <v>1263386.3652054211</v>
      </c>
      <c r="AR548" s="193">
        <f>(((U548*'Appendix K'!$C$24*1000)-('Appendix K'!$E$50+'Appendix K'!$F$50+'Appendix K'!$H$50+'Appendix K'!$G$50))/((1+$Y$16)^AR$34))</f>
        <v>325385.2573421314</v>
      </c>
      <c r="AS548" s="209">
        <f t="shared" ref="AS548:AS611" si="32">SUMIF(Y548:AR548,"&gt;0")+X548</f>
        <v>91805397.673425615</v>
      </c>
      <c r="AU548" s="199">
        <f t="shared" si="31"/>
        <v>7.0105552026517305E-9</v>
      </c>
    </row>
    <row r="549" spans="1:47" x14ac:dyDescent="0.35">
      <c r="A549">
        <v>515</v>
      </c>
      <c r="B549" s="70">
        <v>56</v>
      </c>
      <c r="C549" s="70">
        <v>84.898745464704163</v>
      </c>
      <c r="D549" s="70">
        <v>90.166524236956292</v>
      </c>
      <c r="E549" s="70">
        <v>83.86408932330437</v>
      </c>
      <c r="F549" s="70">
        <v>113.01956361107207</v>
      </c>
      <c r="G549" s="70">
        <v>151.81700417673736</v>
      </c>
      <c r="H549" s="70">
        <v>140.74724334583431</v>
      </c>
      <c r="I549" s="70">
        <v>144.94550786970484</v>
      </c>
      <c r="J549" s="70">
        <v>133.40346893412934</v>
      </c>
      <c r="K549" s="70">
        <v>211.72505731434211</v>
      </c>
      <c r="L549" s="70">
        <v>267.89953519238384</v>
      </c>
      <c r="M549" s="70">
        <v>420.20945850658887</v>
      </c>
      <c r="N549" s="70">
        <v>383.69607881036575</v>
      </c>
      <c r="O549" s="70">
        <v>489.02069896015115</v>
      </c>
      <c r="P549" s="70">
        <v>293.24644808931976</v>
      </c>
      <c r="Q549" s="70">
        <v>381.2809996257912</v>
      </c>
      <c r="R549" s="70">
        <v>500</v>
      </c>
      <c r="S549" s="70">
        <v>257.05618742419892</v>
      </c>
      <c r="T549" s="70">
        <v>291.53880527181877</v>
      </c>
      <c r="U549" s="70">
        <v>319.30519056635467</v>
      </c>
      <c r="V549" s="70">
        <v>203.40835771068586</v>
      </c>
      <c r="X549" s="193">
        <f>((0-('Appendix K'!$I$30))/(1+$Y$16)^0)</f>
        <v>-33594902.4440751</v>
      </c>
      <c r="Y549" s="193">
        <f>(((B549*'Appendix K'!$C$5*1000)-('Appendix K'!$E$31+'Appendix K'!$F$31+'Appendix K'!$H$31+'Appendix K'!$G$31))/((1+$Y$16)^1))</f>
        <v>34971064.972647354</v>
      </c>
      <c r="Z549" s="193">
        <f>+(((C549*'Appendix K'!$C$6*1000)-('Appendix K'!$E$32+'Appendix K'!$F$32+'Appendix K'!$H$32+'Appendix K'!$G$32))/((1+$Y$16)^2))</f>
        <v>17959627.468276326</v>
      </c>
      <c r="AA549" s="193">
        <f>(((D549*'Appendix K'!$C$7*1000)-('Appendix K'!$E$33+'Appendix K'!$F$33+'Appendix K'!$H$33+'Appendix K'!$G$33))/((1+$Y$16)^3))</f>
        <v>8520051.4527673945</v>
      </c>
      <c r="AB549" s="193">
        <f>(((E549*'Appendix K'!$C$8*1000)-('Appendix K'!$E$34+'Appendix K'!$F$34+'Appendix K'!$H$34+'Appendix K'!$G$34))/((1+$Y$16)^4))</f>
        <v>15089032.788967611</v>
      </c>
      <c r="AC549" s="193">
        <f>(((F549*'Appendix K'!$C$9*1000)-('Appendix K'!$E$35+'Appendix K'!$F$35+'Appendix K'!$H$35+'Appendix K'!$G$35))/((1+$Y$16)^AC$34))</f>
        <v>27056194.016101472</v>
      </c>
      <c r="AD549" s="193">
        <f>(((G549*'Appendix K'!$C$10*1000)-('Appendix K'!$E$36+'Appendix K'!$F$36+'Appendix K'!$H$36+'Appendix K'!$G$36))/((1+$Y$16)^AD$34))</f>
        <v>21326179.265493263</v>
      </c>
      <c r="AE549" s="193">
        <f>(((H549*'Appendix K'!$C$11*1000)-('Appendix K'!$E$37+'Appendix K'!$F$37+'Appendix K'!$H$37+'Appendix K'!$G$37))/((1+$Y$16)^AE$34))</f>
        <v>11817855.351194637</v>
      </c>
      <c r="AF549" s="193">
        <f>(((I549*'Appendix K'!$C$12*1000)-('Appendix K'!$E$38+'Appendix K'!$F$38+'Appendix K'!$H$38+'Appendix K'!$G$38))/((1+$Y$16)^AF$34))</f>
        <v>7520894.8244858887</v>
      </c>
      <c r="AG549" s="193">
        <f>(((J549*'Appendix K'!$C$13*1000)-('Appendix K'!$E$39+'Appendix K'!$F$39+'Appendix K'!$H$39+'Appendix K'!$G$39))/((1+$Y$16)^AG$34))</f>
        <v>4324141.369386984</v>
      </c>
      <c r="AH549" s="193">
        <f>(((K549*'Appendix K'!$C$14*1000)-('Appendix K'!$E$40+'Appendix K'!$F$40+'Appendix K'!$H$40+'Appendix K'!$G$40))/((1+$Y$16)^AH$34))</f>
        <v>5503775.1532546375</v>
      </c>
      <c r="AI549" s="193">
        <f>(((L549*'Appendix K'!$C$15*1000)-('Appendix K'!$E$41+'Appendix K'!$F$41+'Appendix K'!$H$41+'Appendix K'!$G$41))/((1+$Y$16)^AI$34))</f>
        <v>5502987.4482967723</v>
      </c>
      <c r="AJ549" s="193">
        <f>(((M549*'Appendix K'!$C$16*1000)-('Appendix K'!$E$42+'Appendix K'!$F$42+'Appendix K'!$H$42+'Appendix K'!$G$42))/((1+$Y$16)^AJ$34))</f>
        <v>7040231.1115566567</v>
      </c>
      <c r="AK549" s="193">
        <f>(((N549*'Appendix K'!$C$17*1000)-('Appendix K'!$E$43+'Appendix K'!$F$43+'Appendix K'!$H$43))/((1+$Y$16)^AK$34))</f>
        <v>4890808.5952704819</v>
      </c>
      <c r="AL549" s="193">
        <f>(((O549*'Appendix K'!$C$18*1000)-('Appendix K'!$E$44+'Appendix K'!$F$44+'Appendix K'!$H$44+'Appendix K'!$G$44))/((1+$Y$16)^AL$34))</f>
        <v>4661917.1144848224</v>
      </c>
      <c r="AM549" s="193">
        <f>(((P549*'Appendix K'!$C$19*1000)-('Appendix K'!$E$45+'Appendix K'!$F$45+'Appendix K'!$H$45+'Appendix K'!$G$45))/((1+$Y$16)^AM$34))</f>
        <v>1691256.7342632532</v>
      </c>
      <c r="AN549" s="193">
        <f>(((Q549*'Appendix K'!$C$20*1000)-('Appendix K'!$E$46+'Appendix K'!$F$46+'Appendix K'!$H$46+'Appendix K'!$G$46))/((1+$Y$16)^AN$34))</f>
        <v>1843323.1708008256</v>
      </c>
      <c r="AO549" s="193">
        <f>(((R549*'Appendix K'!$C$21*1000)-('Appendix K'!$E$47+'Appendix K'!$F$47+'Appendix K'!$H$47+'Appendix K'!$G$47))/((1+$Y$16)^AO$34))</f>
        <v>2112056.3146391152</v>
      </c>
      <c r="AP549" s="193">
        <f>(((S549*'Appendix K'!$C$22*1000)-('Appendix K'!$E$48+'Appendix K'!$F$48+'Appendix K'!$H$48+'Appendix K'!$G$48))/((1+$Y$16)^AP$34))</f>
        <v>466773.75998835667</v>
      </c>
      <c r="AQ549" s="193">
        <f>(((T549*'Appendix K'!$C$23*1000)-('Appendix K'!$E$49+'Appendix K'!$F$49+'Appendix K'!$H$49+'Appendix K'!$G$49))/((1+$Y$16)^AQ$34))</f>
        <v>447522.61647383939</v>
      </c>
      <c r="AR549" s="193">
        <f>(((U549*'Appendix K'!$C$24*1000)-('Appendix K'!$E$50+'Appendix K'!$F$50+'Appendix K'!$H$50+'Appendix K'!$G$50))/((1+$Y$16)^AR$34))</f>
        <v>398882.7908823305</v>
      </c>
      <c r="AS549" s="209">
        <f t="shared" si="32"/>
        <v>149549673.87515691</v>
      </c>
      <c r="AU549" s="199">
        <f t="shared" si="31"/>
        <v>3.8754854230975371E-9</v>
      </c>
    </row>
    <row r="550" spans="1:47" x14ac:dyDescent="0.35">
      <c r="A550">
        <v>516</v>
      </c>
      <c r="B550" s="70">
        <v>56</v>
      </c>
      <c r="C550" s="70">
        <v>56.147684710071111</v>
      </c>
      <c r="D550" s="70">
        <v>79.87531038349573</v>
      </c>
      <c r="E550" s="70">
        <v>69.619643538151308</v>
      </c>
      <c r="F550" s="70">
        <v>99.065503737022084</v>
      </c>
      <c r="G550" s="70">
        <v>60.098203110054044</v>
      </c>
      <c r="H550" s="70">
        <v>64.340104119479776</v>
      </c>
      <c r="I550" s="70">
        <v>69.3255627859063</v>
      </c>
      <c r="J550" s="70">
        <v>66.277014942045071</v>
      </c>
      <c r="K550" s="70">
        <v>55.744276655301007</v>
      </c>
      <c r="L550" s="70">
        <v>72.451962606041064</v>
      </c>
      <c r="M550" s="70">
        <v>58.241646278820525</v>
      </c>
      <c r="N550" s="70">
        <v>91.148968103824899</v>
      </c>
      <c r="O550" s="70">
        <v>102.00965485122654</v>
      </c>
      <c r="P550" s="70">
        <v>117.04435145164089</v>
      </c>
      <c r="Q550" s="70">
        <v>116.03550152466161</v>
      </c>
      <c r="R550" s="70">
        <v>113.57603302017677</v>
      </c>
      <c r="S550" s="70">
        <v>188.58364687015035</v>
      </c>
      <c r="T550" s="70">
        <v>189.15002645395037</v>
      </c>
      <c r="U550" s="70">
        <v>242.52790244018331</v>
      </c>
      <c r="V550" s="70">
        <v>305.75243475264324</v>
      </c>
      <c r="X550" s="193">
        <f>((0-('Appendix K'!$I$30))/(1+$Y$16)^0)</f>
        <v>-33594902.4440751</v>
      </c>
      <c r="Y550" s="193">
        <f>(((B550*'Appendix K'!$C$5*1000)-('Appendix K'!$E$31+'Appendix K'!$F$31+'Appendix K'!$H$31+'Appendix K'!$G$31))/((1+$Y$16)^1))</f>
        <v>34971064.972647354</v>
      </c>
      <c r="Z550" s="193">
        <f>+(((C550*'Appendix K'!$C$6*1000)-('Appendix K'!$E$32+'Appendix K'!$F$32+'Appendix K'!$H$32+'Appendix K'!$G$32))/((1+$Y$16)^2))</f>
        <v>10696617.788696334</v>
      </c>
      <c r="AA550" s="193">
        <f>(((D550*'Appendix K'!$C$7*1000)-('Appendix K'!$E$33+'Appendix K'!$F$33+'Appendix K'!$H$33+'Appendix K'!$G$33))/((1+$Y$16)^3))</f>
        <v>7209209.4017692003</v>
      </c>
      <c r="AB550" s="193">
        <f>(((E550*'Appendix K'!$C$8*1000)-('Appendix K'!$E$34+'Appendix K'!$F$34+'Appendix K'!$H$34+'Appendix K'!$G$34))/((1+$Y$16)^4))</f>
        <v>11966780.668212624</v>
      </c>
      <c r="AC550" s="193">
        <f>(((F550*'Appendix K'!$C$9*1000)-('Appendix K'!$E$35+'Appendix K'!$F$35+'Appendix K'!$H$35+'Appendix K'!$G$35))/((1+$Y$16)^AC$34))</f>
        <v>23347226.813385062</v>
      </c>
      <c r="AD550" s="193">
        <f>(((G550*'Appendix K'!$C$10*1000)-('Appendix K'!$E$36+'Appendix K'!$F$36+'Appendix K'!$H$36+'Appendix K'!$G$36))/((1+$Y$16)^AD$34))</f>
        <v>6922296.3176422147</v>
      </c>
      <c r="AE550" s="193">
        <f>(((H550*'Appendix K'!$C$11*1000)-('Appendix K'!$E$37+'Appendix K'!$F$37+'Appendix K'!$H$37+'Appendix K'!$G$37))/((1+$Y$16)^AE$34))</f>
        <v>4197188.4585789992</v>
      </c>
      <c r="AF550" s="193">
        <f>(((I550*'Appendix K'!$C$12*1000)-('Appendix K'!$E$38+'Appendix K'!$F$38+'Appendix K'!$H$38+'Appendix K'!$G$38))/((1+$Y$16)^AF$34))</f>
        <v>2555505.6977248676</v>
      </c>
      <c r="AG550" s="193">
        <f>(((J550*'Appendix K'!$C$13*1000)-('Appendix K'!$E$39+'Appendix K'!$F$39+'Appendix K'!$H$39+'Appendix K'!$G$39))/((1+$Y$16)^AG$34))</f>
        <v>1235053.6100129965</v>
      </c>
      <c r="AH550" s="193">
        <f>(((K550*'Appendix K'!$C$14*1000)-('Appendix K'!$E$40+'Appendix K'!$F$40+'Appendix K'!$H$40+'Appendix K'!$G$40))/((1+$Y$16)^AH$34))</f>
        <v>246204.79652469838</v>
      </c>
      <c r="AI550" s="193">
        <f>(((L550*'Appendix K'!$C$15*1000)-('Appendix K'!$E$41+'Appendix K'!$F$41+'Appendix K'!$H$41+'Appendix K'!$G$41))/((1+$Y$16)^AI$34))</f>
        <v>381895.55778167676</v>
      </c>
      <c r="AJ550" s="193">
        <f>(((M550*'Appendix K'!$C$16*1000)-('Appendix K'!$E$42+'Appendix K'!$F$42+'Appendix K'!$H$42+'Appendix K'!$G$42))/((1+$Y$16)^AJ$34))</f>
        <v>-214279.63141108051</v>
      </c>
      <c r="AK550" s="193">
        <f>(((N550*'Appendix K'!$C$17*1000)-('Appendix K'!$E$43+'Appendix K'!$F$43+'Appendix K'!$H$43))/((1+$Y$16)^AK$34))</f>
        <v>396144.78338829539</v>
      </c>
      <c r="AL550" s="193">
        <f>(((O550*'Appendix K'!$C$18*1000)-('Appendix K'!$E$44+'Appendix K'!$F$44+'Appendix K'!$H$44+'Appendix K'!$G$44))/((1+$Y$16)^AL$34))</f>
        <v>74561.329839208571</v>
      </c>
      <c r="AM550" s="193">
        <f>(((P550*'Appendix K'!$C$19*1000)-('Appendix K'!$E$45+'Appendix K'!$F$45+'Appendix K'!$H$45+'Appendix K'!$G$45))/((1+$Y$16)^AM$34))</f>
        <v>58086.759292511015</v>
      </c>
      <c r="AN550" s="193">
        <f>(((Q550*'Appendix K'!$C$20*1000)-('Appendix K'!$E$46+'Appendix K'!$F$46+'Appendix K'!$H$46+'Appendix K'!$G$46))/((1+$Y$16)^AN$34))</f>
        <v>-76050.782789775083</v>
      </c>
      <c r="AO550" s="193">
        <f>(((R550*'Appendix K'!$C$21*1000)-('Appendix K'!$E$47+'Appendix K'!$F$47+'Appendix K'!$H$47+'Appendix K'!$G$47))/((1+$Y$16)^AO$34))</f>
        <v>-171752.02234706079</v>
      </c>
      <c r="AP550" s="193">
        <f>(((S550*'Appendix K'!$C$22*1000)-('Appendix K'!$E$48+'Appendix K'!$F$48+'Appendix K'!$H$48+'Appendix K'!$G$48))/((1+$Y$16)^AP$34))</f>
        <v>138809.50812233772</v>
      </c>
      <c r="AQ550" s="193">
        <f>(((T550*'Appendix K'!$C$23*1000)-('Appendix K'!$E$49+'Appendix K'!$F$49+'Appendix K'!$H$49+'Appendix K'!$G$49))/((1+$Y$16)^AQ$34))</f>
        <v>46799.148380321967</v>
      </c>
      <c r="AR550" s="193">
        <f>(((U550*'Appendix K'!$C$24*1000)-('Appendix K'!$E$50+'Appendix K'!$F$50+'Appendix K'!$H$50+'Appendix K'!$G$50))/((1+$Y$16)^AR$34))</f>
        <v>151657.77190408134</v>
      </c>
      <c r="AS550" s="209">
        <f t="shared" si="32"/>
        <v>71000200.93982771</v>
      </c>
      <c r="AU550" s="199">
        <f t="shared" si="31"/>
        <v>6.7347044628576281E-9</v>
      </c>
    </row>
    <row r="551" spans="1:47" x14ac:dyDescent="0.35">
      <c r="A551">
        <v>517</v>
      </c>
      <c r="B551" s="70">
        <v>56</v>
      </c>
      <c r="C551" s="70">
        <v>60.209642441344549</v>
      </c>
      <c r="D551" s="70">
        <v>51.32590508031177</v>
      </c>
      <c r="E551" s="70">
        <v>63.837605835807842</v>
      </c>
      <c r="F551" s="70">
        <v>88.386767083127125</v>
      </c>
      <c r="G551" s="70">
        <v>86.667297886107335</v>
      </c>
      <c r="H551" s="70">
        <v>92.385979526107562</v>
      </c>
      <c r="I551" s="70">
        <v>106.64236979389565</v>
      </c>
      <c r="J551" s="70">
        <v>112.42039927185289</v>
      </c>
      <c r="K551" s="70">
        <v>148.21007471182872</v>
      </c>
      <c r="L551" s="70">
        <v>115.66525305506309</v>
      </c>
      <c r="M551" s="70">
        <v>90.195333487262957</v>
      </c>
      <c r="N551" s="70">
        <v>145.96551035710343</v>
      </c>
      <c r="O551" s="70">
        <v>173.79493354611711</v>
      </c>
      <c r="P551" s="70">
        <v>309.09543592136384</v>
      </c>
      <c r="Q551" s="70">
        <v>500</v>
      </c>
      <c r="R551" s="70">
        <v>500</v>
      </c>
      <c r="S551" s="70">
        <v>379.60896442488183</v>
      </c>
      <c r="T551" s="70">
        <v>500</v>
      </c>
      <c r="U551" s="70">
        <v>500</v>
      </c>
      <c r="V551" s="70">
        <v>500</v>
      </c>
      <c r="X551" s="193">
        <f>((0-('Appendix K'!$I$30))/(1+$Y$16)^0)</f>
        <v>-33594902.4440751</v>
      </c>
      <c r="Y551" s="193">
        <f>(((B551*'Appendix K'!$C$5*1000)-('Appendix K'!$E$31+'Appendix K'!$F$31+'Appendix K'!$H$31+'Appendix K'!$G$31))/((1+$Y$16)^1))</f>
        <v>34971064.972647354</v>
      </c>
      <c r="Z551" s="193">
        <f>+(((C551*'Appendix K'!$C$6*1000)-('Appendix K'!$E$32+'Appendix K'!$F$32+'Appendix K'!$H$32+'Appendix K'!$G$32))/((1+$Y$16)^2))</f>
        <v>11722737.783783112</v>
      </c>
      <c r="AA551" s="193">
        <f>(((D551*'Appendix K'!$C$7*1000)-('Appendix K'!$E$33+'Appendix K'!$F$33+'Appendix K'!$H$33+'Appendix K'!$G$33))/((1+$Y$16)^3))</f>
        <v>3572732.5453660856</v>
      </c>
      <c r="AB551" s="193">
        <f>(((E551*'Appendix K'!$C$8*1000)-('Appendix K'!$E$34+'Appendix K'!$F$34+'Appendix K'!$H$34+'Appendix K'!$G$34))/((1+$Y$16)^4))</f>
        <v>10699410.933319623</v>
      </c>
      <c r="AC551" s="193">
        <f>(((F551*'Appendix K'!$C$9*1000)-('Appendix K'!$E$35+'Appendix K'!$F$35+'Appendix K'!$H$35+'Appendix K'!$G$35))/((1+$Y$16)^AC$34))</f>
        <v>20508835.379405458</v>
      </c>
      <c r="AD551" s="193">
        <f>(((G551*'Appendix K'!$C$10*1000)-('Appendix K'!$E$36+'Appendix K'!$F$36+'Appendix K'!$H$36+'Appendix K'!$G$36))/((1+$Y$16)^AD$34))</f>
        <v>11094811.94948519</v>
      </c>
      <c r="AE551" s="193">
        <f>(((H551*'Appendix K'!$C$11*1000)-('Appendix K'!$E$37+'Appendix K'!$F$37+'Appendix K'!$H$37+'Appendix K'!$G$37))/((1+$Y$16)^AE$34))</f>
        <v>6994417.5702794911</v>
      </c>
      <c r="AF551" s="193">
        <f>(((I551*'Appendix K'!$C$12*1000)-('Appendix K'!$E$38+'Appendix K'!$F$38+'Appendix K'!$H$38+'Appendix K'!$G$38))/((1+$Y$16)^AF$34))</f>
        <v>5005817.8152168505</v>
      </c>
      <c r="AG551" s="193">
        <f>(((J551*'Appendix K'!$C$13*1000)-('Appendix K'!$E$39+'Appendix K'!$F$39+'Appendix K'!$H$39+'Appendix K'!$G$39))/((1+$Y$16)^AG$34))</f>
        <v>3358522.9016592912</v>
      </c>
      <c r="AH551" s="193">
        <f>(((K551*'Appendix K'!$C$14*1000)-('Appendix K'!$E$40+'Appendix K'!$F$40+'Appendix K'!$H$40+'Appendix K'!$G$40))/((1+$Y$16)^AH$34))</f>
        <v>3362905.6927462905</v>
      </c>
      <c r="AI551" s="193">
        <f>(((L551*'Appendix K'!$C$15*1000)-('Appendix K'!$E$41+'Appendix K'!$F$41+'Appendix K'!$H$41+'Appendix K'!$G$41))/((1+$Y$16)^AI$34))</f>
        <v>1514164.5767954427</v>
      </c>
      <c r="AJ551" s="193">
        <f>(((M551*'Appendix K'!$C$16*1000)-('Appendix K'!$E$42+'Appendix K'!$F$42+'Appendix K'!$H$42+'Appendix K'!$G$42))/((1+$Y$16)^AJ$34))</f>
        <v>426131.91707547655</v>
      </c>
      <c r="AK551" s="193">
        <f>(((N551*'Appendix K'!$C$17*1000)-('Appendix K'!$E$43+'Appendix K'!$F$43+'Appendix K'!$H$43))/((1+$Y$16)^AK$34))</f>
        <v>1238340.5178232593</v>
      </c>
      <c r="AL551" s="193">
        <f>(((O551*'Appendix K'!$C$18*1000)-('Appendix K'!$E$44+'Appendix K'!$F$44+'Appendix K'!$H$44+'Appendix K'!$G$44))/((1+$Y$16)^AL$34))</f>
        <v>925453.36118062085</v>
      </c>
      <c r="AM551" s="193">
        <f>(((P551*'Appendix K'!$C$19*1000)-('Appendix K'!$E$45+'Appendix K'!$F$45+'Appendix K'!$H$45+'Appendix K'!$G$45))/((1+$Y$16)^AM$34))</f>
        <v>1838156.7516574617</v>
      </c>
      <c r="AN551" s="193">
        <f>(((Q551*'Appendix K'!$C$20*1000)-('Appendix K'!$E$46+'Appendix K'!$F$46+'Appendix K'!$H$46+'Appendix K'!$G$46))/((1+$Y$16)^AN$34))</f>
        <v>2702399.606577659</v>
      </c>
      <c r="AO551" s="193">
        <f>(((R551*'Appendix K'!$C$21*1000)-('Appendix K'!$E$47+'Appendix K'!$F$47+'Appendix K'!$H$47+'Appendix K'!$G$47))/((1+$Y$16)^AO$34))</f>
        <v>2112056.3146391152</v>
      </c>
      <c r="AP551" s="193">
        <f>(((S551*'Appendix K'!$C$22*1000)-('Appendix K'!$E$48+'Appendix K'!$F$48+'Appendix K'!$H$48+'Appendix K'!$G$48))/((1+$Y$16)^AP$34))</f>
        <v>1053767.166365704</v>
      </c>
      <c r="AQ551" s="193">
        <f>(((T551*'Appendix K'!$C$23*1000)-('Appendix K'!$E$49+'Appendix K'!$F$49+'Appendix K'!$H$49+'Appendix K'!$G$49))/((1+$Y$16)^AQ$34))</f>
        <v>1263386.3652054211</v>
      </c>
      <c r="AR551" s="193">
        <f>(((U551*'Appendix K'!$C$24*1000)-('Appendix K'!$E$50+'Appendix K'!$F$50+'Appendix K'!$H$50+'Appendix K'!$G$50))/((1+$Y$16)^AR$34))</f>
        <v>980725.14012097823</v>
      </c>
      <c r="AS551" s="209">
        <f t="shared" si="32"/>
        <v>91750936.817274779</v>
      </c>
      <c r="AU551" s="199">
        <f t="shared" si="31"/>
        <v>7.0110485061802771E-9</v>
      </c>
    </row>
    <row r="552" spans="1:47" x14ac:dyDescent="0.35">
      <c r="A552">
        <v>518</v>
      </c>
      <c r="B552" s="70">
        <v>56</v>
      </c>
      <c r="C552" s="70">
        <v>73.316892633032353</v>
      </c>
      <c r="D552" s="70">
        <v>122.69299188012243</v>
      </c>
      <c r="E552" s="70">
        <v>166.30955426717441</v>
      </c>
      <c r="F552" s="70">
        <v>175.48104924226325</v>
      </c>
      <c r="G552" s="70">
        <v>121.08495780571667</v>
      </c>
      <c r="H552" s="70">
        <v>135.1184620231387</v>
      </c>
      <c r="I552" s="70">
        <v>111.3892051805675</v>
      </c>
      <c r="J552" s="70">
        <v>162.30925945354437</v>
      </c>
      <c r="K552" s="70">
        <v>217.04925690547773</v>
      </c>
      <c r="L552" s="70">
        <v>206.79929589857849</v>
      </c>
      <c r="M552" s="70">
        <v>120.52136404730764</v>
      </c>
      <c r="N552" s="70">
        <v>145.08925785186977</v>
      </c>
      <c r="O552" s="70">
        <v>199.80862398719952</v>
      </c>
      <c r="P552" s="70">
        <v>281.12039963234963</v>
      </c>
      <c r="Q552" s="70">
        <v>217.97731386005393</v>
      </c>
      <c r="R552" s="70">
        <v>259.07921255690559</v>
      </c>
      <c r="S552" s="70">
        <v>334.67621387054282</v>
      </c>
      <c r="T552" s="70">
        <v>369.49368248948747</v>
      </c>
      <c r="U552" s="70">
        <v>500</v>
      </c>
      <c r="V552" s="70">
        <v>500</v>
      </c>
      <c r="X552" s="193">
        <f>((0-('Appendix K'!$I$30))/(1+$Y$16)^0)</f>
        <v>-33594902.4440751</v>
      </c>
      <c r="Y552" s="193">
        <f>(((B552*'Appendix K'!$C$5*1000)-('Appendix K'!$E$31+'Appendix K'!$F$31+'Appendix K'!$H$31+'Appendix K'!$G$31))/((1+$Y$16)^1))</f>
        <v>34971064.972647354</v>
      </c>
      <c r="Z552" s="193">
        <f>+(((C552*'Appendix K'!$C$6*1000)-('Appendix K'!$E$32+'Appendix K'!$F$32+'Appendix K'!$H$32+'Appendix K'!$G$32))/((1+$Y$16)^2))</f>
        <v>15033853.357129902</v>
      </c>
      <c r="AA552" s="193">
        <f>(((D552*'Appendix K'!$C$7*1000)-('Appendix K'!$E$33+'Appendix K'!$F$33+'Appendix K'!$H$33+'Appendix K'!$G$33))/((1+$Y$16)^3))</f>
        <v>12663106.117087396</v>
      </c>
      <c r="AB552" s="193">
        <f>(((E552*'Appendix K'!$C$8*1000)-('Appendix K'!$E$34+'Appendix K'!$F$34+'Appendix K'!$H$34+'Appendix K'!$G$34))/((1+$Y$16)^4))</f>
        <v>33160323.989074003</v>
      </c>
      <c r="AC552" s="193">
        <f>(((F552*'Appendix K'!$C$9*1000)-('Appendix K'!$E$35+'Appendix K'!$F$35+'Appendix K'!$H$35+'Appendix K'!$G$35))/((1+$Y$16)^AC$34))</f>
        <v>43658358.81473881</v>
      </c>
      <c r="AD552" s="193">
        <f>(((G552*'Appendix K'!$C$10*1000)-('Appendix K'!$E$36+'Appendix K'!$F$36+'Appendix K'!$H$36+'Appendix K'!$G$36))/((1+$Y$16)^AD$34))</f>
        <v>16499897.265205448</v>
      </c>
      <c r="AE552" s="193">
        <f>(((H552*'Appendix K'!$C$11*1000)-('Appendix K'!$E$37+'Appendix K'!$F$37+'Appendix K'!$H$37+'Appendix K'!$G$37))/((1+$Y$16)^AE$34))</f>
        <v>11256454.048829893</v>
      </c>
      <c r="AF552" s="193">
        <f>(((I552*'Appendix K'!$C$12*1000)-('Appendix K'!$E$38+'Appendix K'!$F$38+'Appendix K'!$H$38+'Appendix K'!$G$38))/((1+$Y$16)^AF$34))</f>
        <v>5317506.547460516</v>
      </c>
      <c r="AG552" s="193">
        <f>(((J552*'Appendix K'!$C$13*1000)-('Appendix K'!$E$39+'Appendix K'!$F$39+'Appendix K'!$H$39+'Appendix K'!$G$39))/((1+$Y$16)^AG$34))</f>
        <v>5654354.9939452438</v>
      </c>
      <c r="AH552" s="193">
        <f>(((K552*'Appendix K'!$C$14*1000)-('Appendix K'!$E$40+'Appendix K'!$F$40+'Appendix K'!$H$40+'Appendix K'!$G$40))/((1+$Y$16)^AH$34))</f>
        <v>5683235.4292283598</v>
      </c>
      <c r="AI552" s="193">
        <f>(((L552*'Appendix K'!$C$15*1000)-('Appendix K'!$E$41+'Appendix K'!$F$41+'Appendix K'!$H$41+'Appendix K'!$G$41))/((1+$Y$16)^AI$34))</f>
        <v>3902046.920791328</v>
      </c>
      <c r="AJ552" s="193">
        <f>(((M552*'Appendix K'!$C$16*1000)-('Appendix K'!$E$42+'Appendix K'!$F$42+'Appendix K'!$H$42+'Appendix K'!$G$42))/((1+$Y$16)^AJ$34))</f>
        <v>1033922.1875290732</v>
      </c>
      <c r="AK552" s="193">
        <f>(((N552*'Appendix K'!$C$17*1000)-('Appendix K'!$E$43+'Appendix K'!$F$43+'Appendix K'!$H$43))/((1+$Y$16)^AK$34))</f>
        <v>1224877.864181482</v>
      </c>
      <c r="AL552" s="193">
        <f>(((O552*'Appendix K'!$C$18*1000)-('Appendix K'!$E$44+'Appendix K'!$F$44+'Appendix K'!$H$44+'Appendix K'!$G$44))/((1+$Y$16)^AL$34))</f>
        <v>1233801.2885624892</v>
      </c>
      <c r="AM552" s="193">
        <f>(((P552*'Appendix K'!$C$19*1000)-('Appendix K'!$E$45+'Appendix K'!$F$45+'Appendix K'!$H$45+'Appendix K'!$G$45))/((1+$Y$16)^AM$34))</f>
        <v>1578863.6434154962</v>
      </c>
      <c r="AN552" s="193">
        <f>(((Q552*'Appendix K'!$C$20*1000)-('Appendix K'!$E$46+'Appendix K'!$F$46+'Appendix K'!$H$46+'Appendix K'!$G$46))/((1+$Y$16)^AN$34))</f>
        <v>661622.28151902033</v>
      </c>
      <c r="AO552" s="193">
        <f>(((R552*'Appendix K'!$C$21*1000)-('Appendix K'!$E$47+'Appendix K'!$F$47+'Appendix K'!$H$47+'Appendix K'!$G$47))/((1+$Y$16)^AO$34))</f>
        <v>688187.84391213628</v>
      </c>
      <c r="AP552" s="193">
        <f>(((S552*'Appendix K'!$C$22*1000)-('Appendix K'!$E$48+'Appendix K'!$F$48+'Appendix K'!$H$48+'Appendix K'!$G$48))/((1+$Y$16)^AP$34))</f>
        <v>838551.90196049062</v>
      </c>
      <c r="AQ552" s="193">
        <f>(((T552*'Appendix K'!$C$23*1000)-('Appendix K'!$E$49+'Appendix K'!$F$49+'Appendix K'!$H$49+'Appendix K'!$G$49))/((1+$Y$16)^AQ$34))</f>
        <v>752618.0489434076</v>
      </c>
      <c r="AR552" s="193">
        <f>(((U552*'Appendix K'!$C$24*1000)-('Appendix K'!$E$50+'Appendix K'!$F$50+'Appendix K'!$H$50+'Appendix K'!$G$50))/((1+$Y$16)^AR$34))</f>
        <v>980725.14012097823</v>
      </c>
      <c r="AS552" s="209">
        <f t="shared" si="32"/>
        <v>163198470.21220773</v>
      </c>
      <c r="AU552" s="199">
        <f t="shared" si="31"/>
        <v>2.8958816049962563E-9</v>
      </c>
    </row>
    <row r="553" spans="1:47" x14ac:dyDescent="0.35">
      <c r="A553">
        <v>519</v>
      </c>
      <c r="B553" s="70">
        <v>56</v>
      </c>
      <c r="C553" s="70">
        <v>79.218996618605473</v>
      </c>
      <c r="D553" s="70">
        <v>95.22742938012847</v>
      </c>
      <c r="E553" s="70">
        <v>128.36964698916898</v>
      </c>
      <c r="F553" s="70">
        <v>135.08768113421536</v>
      </c>
      <c r="G553" s="70">
        <v>185.01554664590788</v>
      </c>
      <c r="H553" s="70">
        <v>203.9746513952785</v>
      </c>
      <c r="I553" s="70">
        <v>144.84180586372008</v>
      </c>
      <c r="J553" s="70">
        <v>147.29998832585451</v>
      </c>
      <c r="K553" s="70">
        <v>157.48389873964589</v>
      </c>
      <c r="L553" s="70">
        <v>162.85427061283949</v>
      </c>
      <c r="M553" s="70">
        <v>199.81816677100792</v>
      </c>
      <c r="N553" s="70">
        <v>238.35206008214976</v>
      </c>
      <c r="O553" s="70">
        <v>239.9852140143449</v>
      </c>
      <c r="P553" s="70">
        <v>222.85855873105913</v>
      </c>
      <c r="Q553" s="70">
        <v>289.57868174153242</v>
      </c>
      <c r="R553" s="70">
        <v>407.68724369507208</v>
      </c>
      <c r="S553" s="70">
        <v>350.15226264399195</v>
      </c>
      <c r="T553" s="70">
        <v>327.55669572401536</v>
      </c>
      <c r="U553" s="70">
        <v>364.74181585117259</v>
      </c>
      <c r="V553" s="70">
        <v>286.36792442168769</v>
      </c>
      <c r="X553" s="193">
        <f>((0-('Appendix K'!$I$30))/(1+$Y$16)^0)</f>
        <v>-33594902.4440751</v>
      </c>
      <c r="Y553" s="193">
        <f>(((B553*'Appendix K'!$C$5*1000)-('Appendix K'!$E$31+'Appendix K'!$F$31+'Appendix K'!$H$31+'Appendix K'!$G$31))/((1+$Y$16)^1))</f>
        <v>34971064.972647354</v>
      </c>
      <c r="Z553" s="193">
        <f>+(((C553*'Appendix K'!$C$6*1000)-('Appendix K'!$E$32+'Appendix K'!$F$32+'Appendix K'!$H$32+'Appendix K'!$G$32))/((1+$Y$16)^2))</f>
        <v>16524825.768302508</v>
      </c>
      <c r="AA553" s="193">
        <f>(((D553*'Appendix K'!$C$7*1000)-('Appendix K'!$E$33+'Appendix K'!$F$33+'Appendix K'!$H$33+'Appendix K'!$G$33))/((1+$Y$16)^3))</f>
        <v>9164683.5993972458</v>
      </c>
      <c r="AB553" s="193">
        <f>(((E553*'Appendix K'!$C$8*1000)-('Appendix K'!$E$34+'Appendix K'!$F$34+'Appendix K'!$H$34+'Appendix K'!$G$34))/((1+$Y$16)^4))</f>
        <v>24844243.620157976</v>
      </c>
      <c r="AC553" s="193">
        <f>(((F553*'Appendix K'!$C$9*1000)-('Appendix K'!$E$35+'Appendix K'!$F$35+'Appendix K'!$H$35+'Appendix K'!$G$35))/((1+$Y$16)^AC$34))</f>
        <v>32921865.000589933</v>
      </c>
      <c r="AD553" s="193">
        <f>(((G553*'Appendix K'!$C$10*1000)-('Appendix K'!$E$36+'Appendix K'!$F$36+'Appendix K'!$H$36+'Appendix K'!$G$36))/((1+$Y$16)^AD$34))</f>
        <v>26539809.559434101</v>
      </c>
      <c r="AE553" s="193">
        <f>(((H553*'Appendix K'!$C$11*1000)-('Appendix K'!$E$37+'Appendix K'!$F$37+'Appendix K'!$H$37+'Appendix K'!$G$37))/((1+$Y$16)^AE$34))</f>
        <v>18124007.107522972</v>
      </c>
      <c r="AF553" s="193">
        <f>(((I553*'Appendix K'!$C$12*1000)-('Appendix K'!$E$38+'Appendix K'!$F$38+'Appendix K'!$H$38+'Appendix K'!$G$38))/((1+$Y$16)^AF$34))</f>
        <v>7514085.4990841113</v>
      </c>
      <c r="AG553" s="193">
        <f>(((J553*'Appendix K'!$C$13*1000)-('Appendix K'!$E$39+'Appendix K'!$F$39+'Appendix K'!$H$39+'Appendix K'!$G$39))/((1+$Y$16)^AG$34))</f>
        <v>4963644.3581184251</v>
      </c>
      <c r="AH553" s="193">
        <f>(((K553*'Appendix K'!$C$14*1000)-('Appendix K'!$E$40+'Appendix K'!$F$40+'Appendix K'!$H$40+'Appendix K'!$G$40))/((1+$Y$16)^AH$34))</f>
        <v>3675494.0904717841</v>
      </c>
      <c r="AI553" s="193">
        <f>(((L553*'Appendix K'!$C$15*1000)-('Appendix K'!$E$41+'Appendix K'!$F$41+'Appendix K'!$H$41+'Appendix K'!$G$41))/((1+$Y$16)^AI$34))</f>
        <v>2750605.080704723</v>
      </c>
      <c r="AJ553" s="193">
        <f>(((M553*'Appendix K'!$C$16*1000)-('Appendix K'!$E$42+'Appendix K'!$F$42+'Appendix K'!$H$42+'Appendix K'!$G$42))/((1+$Y$16)^AJ$34))</f>
        <v>2623178.1594940466</v>
      </c>
      <c r="AK553" s="193">
        <f>(((N553*'Appendix K'!$C$17*1000)-('Appendix K'!$E$43+'Appendix K'!$F$43+'Appendix K'!$H$43))/((1+$Y$16)^AK$34))</f>
        <v>2657757.994724479</v>
      </c>
      <c r="AL553" s="193">
        <f>(((O553*'Appendix K'!$C$18*1000)-('Appendix K'!$E$44+'Appendix K'!$F$44+'Appendix K'!$H$44+'Appendix K'!$G$44))/((1+$Y$16)^AL$34))</f>
        <v>1710026.2322012759</v>
      </c>
      <c r="AM553" s="193">
        <f>(((P553*'Appendix K'!$C$19*1000)-('Appendix K'!$E$45+'Appendix K'!$F$45+'Appendix K'!$H$45+'Appendix K'!$G$45))/((1+$Y$16)^AM$34))</f>
        <v>1038850.2663773773</v>
      </c>
      <c r="AN553" s="193">
        <f>(((Q553*'Appendix K'!$C$20*1000)-('Appendix K'!$E$46+'Appendix K'!$F$46+'Appendix K'!$H$46+'Appendix K'!$G$46))/((1+$Y$16)^AN$34))</f>
        <v>1179745.3091934463</v>
      </c>
      <c r="AO553" s="193">
        <f>(((R553*'Appendix K'!$C$21*1000)-('Appendix K'!$E$47+'Appendix K'!$F$47+'Appendix K'!$H$47+'Appendix K'!$G$47))/((1+$Y$16)^AO$34))</f>
        <v>1566477.7261599598</v>
      </c>
      <c r="AP553" s="193">
        <f>(((S553*'Appendix K'!$C$22*1000)-('Appendix K'!$E$48+'Appendix K'!$F$48+'Appendix K'!$H$48+'Appendix K'!$G$48))/((1+$Y$16)^AP$34))</f>
        <v>912677.83210353646</v>
      </c>
      <c r="AQ553" s="193">
        <f>(((T553*'Appendix K'!$C$23*1000)-('Appendix K'!$E$49+'Appendix K'!$F$49+'Appendix K'!$H$49+'Appendix K'!$G$49))/((1+$Y$16)^AQ$34))</f>
        <v>588487.41888730251</v>
      </c>
      <c r="AR553" s="193">
        <f>(((U553*'Appendix K'!$C$24*1000)-('Appendix K'!$E$50+'Appendix K'!$F$50+'Appendix K'!$H$50+'Appendix K'!$G$50))/((1+$Y$16)^AR$34))</f>
        <v>545189.99738182209</v>
      </c>
      <c r="AS553" s="209">
        <f t="shared" si="32"/>
        <v>161221817.14887929</v>
      </c>
      <c r="AU553" s="199">
        <f t="shared" si="31"/>
        <v>3.0315376606924238E-9</v>
      </c>
    </row>
    <row r="554" spans="1:47" x14ac:dyDescent="0.35">
      <c r="A554">
        <v>520</v>
      </c>
      <c r="B554" s="70">
        <v>56</v>
      </c>
      <c r="C554" s="70">
        <v>39.702815400695499</v>
      </c>
      <c r="D554" s="70">
        <v>49.474977051243421</v>
      </c>
      <c r="E554" s="70">
        <v>79.073099674597486</v>
      </c>
      <c r="F554" s="70">
        <v>77.539397292394312</v>
      </c>
      <c r="G554" s="70">
        <v>118.95306335294174</v>
      </c>
      <c r="H554" s="70">
        <v>148.07291838083756</v>
      </c>
      <c r="I554" s="70">
        <v>129.3337430263565</v>
      </c>
      <c r="J554" s="70">
        <v>96.125067871408149</v>
      </c>
      <c r="K554" s="70">
        <v>99.997142083009635</v>
      </c>
      <c r="L554" s="70">
        <v>78.980734322730228</v>
      </c>
      <c r="M554" s="70">
        <v>80.029761813926953</v>
      </c>
      <c r="N554" s="70">
        <v>47.678862202011125</v>
      </c>
      <c r="O554" s="70">
        <v>54.940896655291468</v>
      </c>
      <c r="P554" s="70">
        <v>55.025945773158561</v>
      </c>
      <c r="Q554" s="70">
        <v>36.978498023691841</v>
      </c>
      <c r="R554" s="70">
        <v>41.106268294569759</v>
      </c>
      <c r="S554" s="70">
        <v>51.212169066403568</v>
      </c>
      <c r="T554" s="70">
        <v>74.430855019562131</v>
      </c>
      <c r="U554" s="70">
        <v>112.71071403257665</v>
      </c>
      <c r="V554" s="70">
        <v>104.50111719406333</v>
      </c>
      <c r="X554" s="193">
        <f>((0-('Appendix K'!$I$30))/(1+$Y$16)^0)</f>
        <v>-33594902.4440751</v>
      </c>
      <c r="Y554" s="193">
        <f>(((B554*'Appendix K'!$C$5*1000)-('Appendix K'!$E$31+'Appendix K'!$F$31+'Appendix K'!$H$31+'Appendix K'!$G$31))/((1+$Y$16)^1))</f>
        <v>34971064.972647354</v>
      </c>
      <c r="Z554" s="193">
        <f>+(((C554*'Appendix K'!$C$6*1000)-('Appendix K'!$E$32+'Appendix K'!$F$32+'Appendix K'!$H$32+'Appendix K'!$G$32))/((1+$Y$16)^2))</f>
        <v>6542362.5425076783</v>
      </c>
      <c r="AA554" s="193">
        <f>(((D554*'Appendix K'!$C$7*1000)-('Appendix K'!$E$33+'Appendix K'!$F$33+'Appendix K'!$H$33+'Appendix K'!$G$33))/((1+$Y$16)^3))</f>
        <v>3336970.8239188036</v>
      </c>
      <c r="AB554" s="193">
        <f>(((E554*'Appendix K'!$C$8*1000)-('Appendix K'!$E$34+'Appendix K'!$F$34+'Appendix K'!$H$34+'Appendix K'!$G$34))/((1+$Y$16)^4))</f>
        <v>14038891.715260018</v>
      </c>
      <c r="AC554" s="193">
        <f>(((F554*'Appendix K'!$C$9*1000)-('Appendix K'!$E$35+'Appendix K'!$F$35+'Appendix K'!$H$35+'Appendix K'!$G$35))/((1+$Y$16)^AC$34))</f>
        <v>17625621.522455897</v>
      </c>
      <c r="AD554" s="193">
        <f>(((G554*'Appendix K'!$C$10*1000)-('Appendix K'!$E$36+'Appendix K'!$F$36+'Appendix K'!$H$36+'Appendix K'!$G$36))/((1+$Y$16)^AD$34))</f>
        <v>16165096.136125956</v>
      </c>
      <c r="AE554" s="193">
        <f>(((H554*'Appendix K'!$C$11*1000)-('Appendix K'!$E$37+'Appendix K'!$F$37+'Appendix K'!$H$37+'Appendix K'!$G$37))/((1+$Y$16)^AE$34))</f>
        <v>12548500.808812482</v>
      </c>
      <c r="AF554" s="193">
        <f>(((I554*'Appendix K'!$C$12*1000)-('Appendix K'!$E$38+'Appendix K'!$F$38+'Appendix K'!$H$38+'Appendix K'!$G$38))/((1+$Y$16)^AF$34))</f>
        <v>6495788.4545089006</v>
      </c>
      <c r="AG554" s="193">
        <f>(((J554*'Appendix K'!$C$13*1000)-('Appendix K'!$E$39+'Appendix K'!$F$39+'Appendix K'!$H$39+'Appendix K'!$G$39))/((1+$Y$16)^AG$34))</f>
        <v>2608629.1448701667</v>
      </c>
      <c r="AH554" s="193">
        <f>(((K554*'Appendix K'!$C$14*1000)-('Appendix K'!$E$40+'Appendix K'!$F$40+'Appendix K'!$H$40+'Appendix K'!$G$40))/((1+$Y$16)^AH$34))</f>
        <v>1737815.1891002932</v>
      </c>
      <c r="AI554" s="193">
        <f>(((L554*'Appendix K'!$C$15*1000)-('Appendix K'!$E$41+'Appendix K'!$F$41+'Appendix K'!$H$41+'Appendix K'!$G$41))/((1+$Y$16)^AI$34))</f>
        <v>552961.58562190959</v>
      </c>
      <c r="AJ554" s="193">
        <f>(((M554*'Appendix K'!$C$16*1000)-('Appendix K'!$E$42+'Appendix K'!$F$42+'Appendix K'!$H$42+'Appendix K'!$G$42))/((1+$Y$16)^AJ$34))</f>
        <v>222394.88184368171</v>
      </c>
      <c r="AK554" s="193">
        <f>(((N554*'Appendix K'!$C$17*1000)-('Appendix K'!$E$43+'Appendix K'!$F$43+'Appendix K'!$H$43))/((1+$Y$16)^AK$34))</f>
        <v>-271725.46637657483</v>
      </c>
      <c r="AL554" s="193">
        <f>(((O554*'Appendix K'!$C$18*1000)-('Appendix K'!$E$44+'Appendix K'!$F$44+'Appendix K'!$H$44+'Appendix K'!$G$44))/((1+$Y$16)^AL$34))</f>
        <v>-483358.51113937912</v>
      </c>
      <c r="AM554" s="193">
        <f>(((P554*'Appendix K'!$C$19*1000)-('Appendix K'!$E$45+'Appendix K'!$F$45+'Appendix K'!$H$45+'Appendix K'!$G$45))/((1+$Y$16)^AM$34))</f>
        <v>-516745.20912569773</v>
      </c>
      <c r="AN554" s="193">
        <f>(((Q554*'Appendix K'!$C$20*1000)-('Appendix K'!$E$46+'Appendix K'!$F$46+'Appendix K'!$H$46+'Appendix K'!$G$46))/((1+$Y$16)^AN$34))</f>
        <v>-648124.40686624765</v>
      </c>
      <c r="AO554" s="193">
        <f>(((R554*'Appendix K'!$C$21*1000)-('Appendix K'!$E$47+'Appendix K'!$F$47+'Appendix K'!$H$47+'Appendix K'!$G$47))/((1+$Y$16)^AO$34))</f>
        <v>-600056.33833792107</v>
      </c>
      <c r="AP554" s="193">
        <f>(((S554*'Appendix K'!$C$22*1000)-('Appendix K'!$E$48+'Appendix K'!$F$48+'Appendix K'!$H$48+'Appendix K'!$G$48))/((1+$Y$16)^AP$34))</f>
        <v>-519161.31611008372</v>
      </c>
      <c r="AQ554" s="193">
        <f>(((T554*'Appendix K'!$C$23*1000)-('Appendix K'!$E$49+'Appendix K'!$F$49+'Appendix K'!$H$49+'Appendix K'!$G$49))/((1+$Y$16)^AQ$34))</f>
        <v>-402182.31975278817</v>
      </c>
      <c r="AR554" s="193">
        <f>(((U554*'Appendix K'!$C$24*1000)-('Appendix K'!$E$50+'Appendix K'!$F$50+'Appendix K'!$H$50+'Appendix K'!$G$50))/((1+$Y$16)^AR$34))</f>
        <v>-266357.21209785406</v>
      </c>
      <c r="AS554" s="209">
        <f t="shared" si="32"/>
        <v>83251195.333598047</v>
      </c>
      <c r="AU554" s="199">
        <f t="shared" si="31"/>
        <v>7.008903139095545E-9</v>
      </c>
    </row>
    <row r="555" spans="1:47" x14ac:dyDescent="0.35">
      <c r="A555">
        <v>521</v>
      </c>
      <c r="B555" s="70">
        <v>56</v>
      </c>
      <c r="C555" s="70">
        <v>61.820350253467247</v>
      </c>
      <c r="D555" s="70">
        <v>65.262079054070256</v>
      </c>
      <c r="E555" s="70">
        <v>55.138425268307273</v>
      </c>
      <c r="F555" s="70">
        <v>75.016107214103329</v>
      </c>
      <c r="G555" s="70">
        <v>87.01153805242302</v>
      </c>
      <c r="H555" s="70">
        <v>71.455958882713318</v>
      </c>
      <c r="I555" s="70">
        <v>42.802054892514747</v>
      </c>
      <c r="J555" s="70">
        <v>49.200987273863298</v>
      </c>
      <c r="K555" s="70">
        <v>77.076414226546902</v>
      </c>
      <c r="L555" s="70">
        <v>88.973253459350346</v>
      </c>
      <c r="M555" s="70">
        <v>70.205501531710382</v>
      </c>
      <c r="N555" s="70">
        <v>69.698839085592368</v>
      </c>
      <c r="O555" s="70">
        <v>65.10036693308183</v>
      </c>
      <c r="P555" s="70">
        <v>70.701318871715173</v>
      </c>
      <c r="Q555" s="70">
        <v>50.503922380470144</v>
      </c>
      <c r="R555" s="70">
        <v>70.698150900362435</v>
      </c>
      <c r="S555" s="70">
        <v>113.73267594709188</v>
      </c>
      <c r="T555" s="70">
        <v>151.31510393317583</v>
      </c>
      <c r="U555" s="70">
        <v>150.47830672421034</v>
      </c>
      <c r="V555" s="70">
        <v>134.07783902643743</v>
      </c>
      <c r="X555" s="193">
        <f>((0-('Appendix K'!$I$30))/(1+$Y$16)^0)</f>
        <v>-33594902.4440751</v>
      </c>
      <c r="Y555" s="193">
        <f>(((B555*'Appendix K'!$C$5*1000)-('Appendix K'!$E$31+'Appendix K'!$F$31+'Appendix K'!$H$31+'Appendix K'!$G$31))/((1+$Y$16)^1))</f>
        <v>34971064.972647354</v>
      </c>
      <c r="Z555" s="193">
        <f>+(((C555*'Appendix K'!$C$6*1000)-('Appendix K'!$E$32+'Appendix K'!$F$32+'Appendix K'!$H$32+'Appendix K'!$G$32))/((1+$Y$16)^2))</f>
        <v>12129630.12526088</v>
      </c>
      <c r="AA555" s="193">
        <f>(((D555*'Appendix K'!$C$7*1000)-('Appendix K'!$E$33+'Appendix K'!$F$33+'Appendix K'!$H$33+'Appendix K'!$G$33))/((1+$Y$16)^3))</f>
        <v>5347850.926438923</v>
      </c>
      <c r="AB555" s="193">
        <f>(((E555*'Appendix K'!$C$8*1000)-('Appendix K'!$E$34+'Appendix K'!$F$34+'Appendix K'!$H$34+'Appendix K'!$G$34))/((1+$Y$16)^4))</f>
        <v>8792630.1862568595</v>
      </c>
      <c r="AC555" s="193">
        <f>(((F555*'Appendix K'!$C$9*1000)-('Appendix K'!$E$35+'Appendix K'!$F$35+'Appendix K'!$H$35+'Appendix K'!$G$35))/((1+$Y$16)^AC$34))</f>
        <v>16954934.981922608</v>
      </c>
      <c r="AD555" s="193">
        <f>(((G555*'Appendix K'!$C$10*1000)-('Appendix K'!$E$36+'Appendix K'!$F$36+'Appendix K'!$H$36+'Appendix K'!$G$36))/((1+$Y$16)^AD$34))</f>
        <v>11148872.78547404</v>
      </c>
      <c r="AE555" s="193">
        <f>(((H555*'Appendix K'!$C$11*1000)-('Appendix K'!$E$37+'Appendix K'!$F$37+'Appendix K'!$H$37+'Appendix K'!$G$37))/((1+$Y$16)^AE$34))</f>
        <v>4906906.9398087068</v>
      </c>
      <c r="AF555" s="193">
        <f>(((I555*'Appendix K'!$C$12*1000)-('Appendix K'!$E$38+'Appendix K'!$F$38+'Appendix K'!$H$38+'Appendix K'!$G$38))/((1+$Y$16)^AF$34))</f>
        <v>813907.79585568339</v>
      </c>
      <c r="AG555" s="193">
        <f>(((J555*'Appendix K'!$C$13*1000)-('Appendix K'!$E$39+'Appendix K'!$F$39+'Appendix K'!$H$39+'Appendix K'!$G$39))/((1+$Y$16)^AG$34))</f>
        <v>449233.0443276377</v>
      </c>
      <c r="AH555" s="193">
        <f>(((K555*'Appendix K'!$C$14*1000)-('Appendix K'!$E$40+'Appendix K'!$F$40+'Appendix K'!$H$40+'Appendix K'!$G$40))/((1+$Y$16)^AH$34))</f>
        <v>965237.06233588106</v>
      </c>
      <c r="AI555" s="193">
        <f>(((L555*'Appendix K'!$C$15*1000)-('Appendix K'!$E$41+'Appendix K'!$F$41+'Appendix K'!$H$41+'Appendix K'!$G$41))/((1+$Y$16)^AI$34))</f>
        <v>814784.27310376952</v>
      </c>
      <c r="AJ555" s="193">
        <f>(((M555*'Appendix K'!$C$16*1000)-('Appendix K'!$E$42+'Appendix K'!$F$42+'Appendix K'!$H$42+'Appendix K'!$G$42))/((1+$Y$16)^AJ$34))</f>
        <v>25498.364110760802</v>
      </c>
      <c r="AK555" s="193">
        <f>(((N555*'Appendix K'!$C$17*1000)-('Appendix K'!$E$43+'Appendix K'!$F$43+'Appendix K'!$H$43))/((1+$Y$16)^AK$34))</f>
        <v>66587.2005921167</v>
      </c>
      <c r="AL555" s="193">
        <f>(((O555*'Appendix K'!$C$18*1000)-('Appendix K'!$E$44+'Appendix K'!$F$44+'Appendix K'!$H$44+'Appendix K'!$G$44))/((1+$Y$16)^AL$34))</f>
        <v>-362935.3204910013</v>
      </c>
      <c r="AM555" s="193">
        <f>(((P555*'Appendix K'!$C$19*1000)-('Appendix K'!$E$45+'Appendix K'!$F$45+'Appendix K'!$H$45+'Appendix K'!$G$45))/((1+$Y$16)^AM$34))</f>
        <v>-371454.38013137132</v>
      </c>
      <c r="AN555" s="193">
        <f>(((Q555*'Appendix K'!$C$20*1000)-('Appendix K'!$E$46+'Appendix K'!$F$46+'Appendix K'!$H$46+'Appendix K'!$G$46))/((1+$Y$16)^AN$34))</f>
        <v>-550251.50267934112</v>
      </c>
      <c r="AO555" s="193">
        <f>(((R555*'Appendix K'!$C$21*1000)-('Appendix K'!$E$47+'Appendix K'!$F$47+'Appendix K'!$H$47+'Appendix K'!$G$47))/((1+$Y$16)^AO$34))</f>
        <v>-425165.04282530537</v>
      </c>
      <c r="AP555" s="193">
        <f>(((S555*'Appendix K'!$C$22*1000)-('Appendix K'!$E$48+'Appendix K'!$F$48+'Appendix K'!$H$48+'Appendix K'!$G$48))/((1+$Y$16)^AP$34))</f>
        <v>-219705.63505171737</v>
      </c>
      <c r="AQ555" s="193">
        <f>(((T555*'Appendix K'!$C$23*1000)-('Appendix K'!$E$49+'Appendix K'!$F$49+'Appendix K'!$H$49+'Appendix K'!$G$49))/((1+$Y$16)^AQ$34))</f>
        <v>-101277.05237741598</v>
      </c>
      <c r="AR555" s="193">
        <f>(((U555*'Appendix K'!$C$24*1000)-('Appendix K'!$E$50+'Appendix K'!$F$50+'Appendix K'!$H$50+'Appendix K'!$G$50))/((1+$Y$16)^AR$34))</f>
        <v>-144744.50542595549</v>
      </c>
      <c r="AS555" s="209">
        <f t="shared" si="32"/>
        <v>63792236.214060135</v>
      </c>
      <c r="AU555" s="199">
        <f t="shared" si="31"/>
        <v>6.4367223568322298E-9</v>
      </c>
    </row>
    <row r="556" spans="1:47" x14ac:dyDescent="0.35">
      <c r="A556">
        <v>522</v>
      </c>
      <c r="B556" s="70">
        <v>56</v>
      </c>
      <c r="C556" s="70">
        <v>73.882053826543427</v>
      </c>
      <c r="D556" s="70">
        <v>50.748020949499036</v>
      </c>
      <c r="E556" s="70">
        <v>55.424801202117614</v>
      </c>
      <c r="F556" s="70">
        <v>86.627993695558686</v>
      </c>
      <c r="G556" s="70">
        <v>105.20552949474589</v>
      </c>
      <c r="H556" s="70">
        <v>81.439421374040592</v>
      </c>
      <c r="I556" s="70">
        <v>77.132101108136396</v>
      </c>
      <c r="J556" s="70">
        <v>96.972436952942928</v>
      </c>
      <c r="K556" s="70">
        <v>127.59468106629271</v>
      </c>
      <c r="L556" s="70">
        <v>124.2984048345533</v>
      </c>
      <c r="M556" s="70">
        <v>169.60831613068973</v>
      </c>
      <c r="N556" s="70">
        <v>248.44612758697752</v>
      </c>
      <c r="O556" s="70">
        <v>264.97150630260103</v>
      </c>
      <c r="P556" s="70">
        <v>260.89305123280451</v>
      </c>
      <c r="Q556" s="70">
        <v>317.98888172924256</v>
      </c>
      <c r="R556" s="70">
        <v>332.44547335478876</v>
      </c>
      <c r="S556" s="70">
        <v>263.7380089401164</v>
      </c>
      <c r="T556" s="70">
        <v>133.82732441093827</v>
      </c>
      <c r="U556" s="70">
        <v>220.23128940296021</v>
      </c>
      <c r="V556" s="70">
        <v>149.90828144014984</v>
      </c>
      <c r="X556" s="193">
        <f>((0-('Appendix K'!$I$30))/(1+$Y$16)^0)</f>
        <v>-33594902.4440751</v>
      </c>
      <c r="Y556" s="193">
        <f>(((B556*'Appendix K'!$C$5*1000)-('Appendix K'!$E$31+'Appendix K'!$F$31+'Appendix K'!$H$31+'Appendix K'!$G$31))/((1+$Y$16)^1))</f>
        <v>34971064.972647354</v>
      </c>
      <c r="Z556" s="193">
        <f>+(((C556*'Appendix K'!$C$6*1000)-('Appendix K'!$E$32+'Appendix K'!$F$32+'Appendix K'!$H$32+'Appendix K'!$G$32))/((1+$Y$16)^2))</f>
        <v>15176622.740632823</v>
      </c>
      <c r="AA556" s="193">
        <f>(((D556*'Appendix K'!$C$7*1000)-('Appendix K'!$E$33+'Appendix K'!$F$33+'Appendix K'!$H$33+'Appendix K'!$G$33))/((1+$Y$16)^3))</f>
        <v>3499124.6279658335</v>
      </c>
      <c r="AB556" s="193">
        <f>(((E556*'Appendix K'!$C$8*1000)-('Appendix K'!$E$34+'Appendix K'!$F$34+'Appendix K'!$H$34+'Appendix K'!$G$34))/((1+$Y$16)^4))</f>
        <v>8855401.1694287322</v>
      </c>
      <c r="AC556" s="193">
        <f>(((F556*'Appendix K'!$C$9*1000)-('Appendix K'!$E$35+'Appendix K'!$F$35+'Appendix K'!$H$35+'Appendix K'!$G$35))/((1+$Y$16)^AC$34))</f>
        <v>20041356.174759585</v>
      </c>
      <c r="AD556" s="193">
        <f>(((G556*'Appendix K'!$C$10*1000)-('Appendix K'!$E$36+'Appendix K'!$F$36+'Appendix K'!$H$36+'Appendix K'!$G$36))/((1+$Y$16)^AD$34))</f>
        <v>14006129.095430501</v>
      </c>
      <c r="AE556" s="193">
        <f>(((H556*'Appendix K'!$C$11*1000)-('Appendix K'!$E$37+'Appendix K'!$F$37+'Appendix K'!$H$37+'Appendix K'!$G$37))/((1+$Y$16)^AE$34))</f>
        <v>5902633.8162716581</v>
      </c>
      <c r="AF556" s="193">
        <f>(((I556*'Appendix K'!$C$12*1000)-('Appendix K'!$E$38+'Appendix K'!$F$38+'Appendix K'!$H$38+'Appendix K'!$G$38))/((1+$Y$16)^AF$34))</f>
        <v>3068101.9507357599</v>
      </c>
      <c r="AG556" s="193">
        <f>(((J556*'Appendix K'!$C$13*1000)-('Appendix K'!$E$39+'Appendix K'!$F$39+'Appendix K'!$H$39+'Appendix K'!$G$39))/((1+$Y$16)^AG$34))</f>
        <v>2647624.1654882636</v>
      </c>
      <c r="AH556" s="193">
        <f>(((K556*'Appendix K'!$C$14*1000)-('Appendix K'!$E$40+'Appendix K'!$F$40+'Appendix K'!$H$40+'Appendix K'!$G$40))/((1+$Y$16)^AH$34))</f>
        <v>2668032.375244359</v>
      </c>
      <c r="AI556" s="193">
        <f>(((L556*'Appendix K'!$C$15*1000)-('Appendix K'!$E$41+'Appendix K'!$F$41+'Appendix K'!$H$41+'Appendix K'!$G$41))/((1+$Y$16)^AI$34))</f>
        <v>1740369.2974910769</v>
      </c>
      <c r="AJ556" s="193">
        <f>(((M556*'Appendix K'!$C$16*1000)-('Appendix K'!$E$42+'Appendix K'!$F$42+'Appendix K'!$H$42+'Appendix K'!$G$42))/((1+$Y$16)^AJ$34))</f>
        <v>2017716.3515371175</v>
      </c>
      <c r="AK556" s="193">
        <f>(((N556*'Appendix K'!$C$17*1000)-('Appendix K'!$E$43+'Appendix K'!$F$43+'Appendix K'!$H$43))/((1+$Y$16)^AK$34))</f>
        <v>2812842.2128494559</v>
      </c>
      <c r="AL556" s="193">
        <f>(((O556*'Appendix K'!$C$18*1000)-('Appendix K'!$E$44+'Appendix K'!$F$44+'Appendix K'!$H$44+'Appendix K'!$G$44))/((1+$Y$16)^AL$34))</f>
        <v>2006196.1069636031</v>
      </c>
      <c r="AM556" s="193">
        <f>(((P556*'Appendix K'!$C$19*1000)-('Appendix K'!$E$45+'Appendix K'!$F$45+'Appendix K'!$H$45+'Appendix K'!$G$45))/((1+$Y$16)^AM$34))</f>
        <v>1391381.7762312579</v>
      </c>
      <c r="AN556" s="193">
        <f>(((Q556*'Appendix K'!$C$20*1000)-('Appendix K'!$E$46+'Appendix K'!$F$46+'Appendix K'!$H$46+'Appendix K'!$G$46))/((1+$Y$16)^AN$34))</f>
        <v>1385327.6782179351</v>
      </c>
      <c r="AO556" s="193">
        <f>(((R556*'Appendix K'!$C$21*1000)-('Appendix K'!$E$47+'Appendix K'!$F$47+'Appendix K'!$H$47+'Appendix K'!$G$47))/((1+$Y$16)^AO$34))</f>
        <v>1121790.5507350708</v>
      </c>
      <c r="AP556" s="193">
        <f>(((S556*'Appendix K'!$C$22*1000)-('Appendix K'!$E$48+'Appendix K'!$F$48+'Appendix K'!$H$48+'Appendix K'!$G$48))/((1+$Y$16)^AP$34))</f>
        <v>498777.80974083178</v>
      </c>
      <c r="AQ556" s="193">
        <f>(((T556*'Appendix K'!$C$23*1000)-('Appendix K'!$E$49+'Appendix K'!$F$49+'Appendix K'!$H$49+'Appendix K'!$G$49))/((1+$Y$16)^AQ$34))</f>
        <v>-169719.74444107857</v>
      </c>
      <c r="AR556" s="193">
        <f>(((U556*'Appendix K'!$C$24*1000)-('Appendix K'!$E$50+'Appendix K'!$F$50+'Appendix K'!$H$50+'Appendix K'!$G$50))/((1+$Y$16)^AR$34))</f>
        <v>79862.053198575726</v>
      </c>
      <c r="AS556" s="209">
        <f t="shared" si="32"/>
        <v>90295452.481494695</v>
      </c>
      <c r="AU556" s="199">
        <f t="shared" si="31"/>
        <v>7.021848920809265E-9</v>
      </c>
    </row>
    <row r="557" spans="1:47" x14ac:dyDescent="0.35">
      <c r="A557">
        <v>523</v>
      </c>
      <c r="B557" s="70">
        <v>56</v>
      </c>
      <c r="C557" s="70">
        <v>41.085610517922433</v>
      </c>
      <c r="D557" s="70">
        <v>52.523716528581119</v>
      </c>
      <c r="E557" s="70">
        <v>72.32603866407031</v>
      </c>
      <c r="F557" s="70">
        <v>87.843535764818853</v>
      </c>
      <c r="G557" s="70">
        <v>116.38168323526151</v>
      </c>
      <c r="H557" s="70">
        <v>141.11226881754533</v>
      </c>
      <c r="I557" s="70">
        <v>168.95459345671529</v>
      </c>
      <c r="J557" s="70">
        <v>189.20771233014702</v>
      </c>
      <c r="K557" s="70">
        <v>240.2534707538311</v>
      </c>
      <c r="L557" s="70">
        <v>295.84954119945002</v>
      </c>
      <c r="M557" s="70">
        <v>161.29203638722007</v>
      </c>
      <c r="N557" s="70">
        <v>143.83409528771733</v>
      </c>
      <c r="O557" s="70">
        <v>215.20056814803138</v>
      </c>
      <c r="P557" s="70">
        <v>151.08898119677883</v>
      </c>
      <c r="Q557" s="70">
        <v>131.58162242114537</v>
      </c>
      <c r="R557" s="70">
        <v>177.75027130995937</v>
      </c>
      <c r="S557" s="70">
        <v>125.38732154814728</v>
      </c>
      <c r="T557" s="70">
        <v>156.08147023515136</v>
      </c>
      <c r="U557" s="70">
        <v>171.47984492764897</v>
      </c>
      <c r="V557" s="70">
        <v>180.05305392383187</v>
      </c>
      <c r="X557" s="193">
        <f>((0-('Appendix K'!$I$30))/(1+$Y$16)^0)</f>
        <v>-33594902.4440751</v>
      </c>
      <c r="Y557" s="193">
        <f>(((B557*'Appendix K'!$C$5*1000)-('Appendix K'!$E$31+'Appendix K'!$F$31+'Appendix K'!$H$31+'Appendix K'!$G$31))/((1+$Y$16)^1))</f>
        <v>34971064.972647354</v>
      </c>
      <c r="Z557" s="193">
        <f>+(((C557*'Appendix K'!$C$6*1000)-('Appendix K'!$E$32+'Appendix K'!$F$32+'Appendix K'!$H$32+'Appendix K'!$G$32))/((1+$Y$16)^2))</f>
        <v>6891680.2392356768</v>
      </c>
      <c r="AA557" s="193">
        <f>(((D557*'Appendix K'!$C$7*1000)-('Appendix K'!$E$33+'Appendix K'!$F$33+'Appendix K'!$H$33+'Appendix K'!$G$33))/((1+$Y$16)^3))</f>
        <v>3725303.6256989008</v>
      </c>
      <c r="AB557" s="193">
        <f>(((E557*'Appendix K'!$C$8*1000)-('Appendix K'!$E$34+'Appendix K'!$F$34+'Appendix K'!$H$34+'Appendix K'!$G$34))/((1+$Y$16)^4))</f>
        <v>12559997.705151265</v>
      </c>
      <c r="AC557" s="193">
        <f>(((F557*'Appendix K'!$C$9*1000)-('Appendix K'!$E$35+'Appendix K'!$F$35+'Appendix K'!$H$35+'Appendix K'!$G$35))/((1+$Y$16)^AC$34))</f>
        <v>20364445.348025367</v>
      </c>
      <c r="AD557" s="193">
        <f>(((G557*'Appendix K'!$C$10*1000)-('Appendix K'!$E$36+'Appendix K'!$F$36+'Appendix K'!$H$36+'Appendix K'!$G$36))/((1+$Y$16)^AD$34))</f>
        <v>15761276.441594951</v>
      </c>
      <c r="AE557" s="193">
        <f>(((H557*'Appendix K'!$C$11*1000)-('Appendix K'!$E$37+'Appendix K'!$F$37+'Appendix K'!$H$37+'Appendix K'!$G$37))/((1+$Y$16)^AE$34))</f>
        <v>11854262.126208013</v>
      </c>
      <c r="AF557" s="193">
        <f>(((I557*'Appendix K'!$C$12*1000)-('Appendix K'!$E$38+'Appendix K'!$F$38+'Appendix K'!$H$38+'Appendix K'!$G$38))/((1+$Y$16)^AF$34))</f>
        <v>9097389.6551169939</v>
      </c>
      <c r="AG557" s="193">
        <f>(((J557*'Appendix K'!$C$13*1000)-('Appendix K'!$E$39+'Appendix K'!$F$39+'Appendix K'!$H$39+'Appendix K'!$G$39))/((1+$Y$16)^AG$34))</f>
        <v>6892193.0828901716</v>
      </c>
      <c r="AH557" s="193">
        <f>(((K557*'Appendix K'!$C$14*1000)-('Appendix K'!$E$40+'Appendix K'!$F$40+'Appendix K'!$H$40+'Appendix K'!$G$40))/((1+$Y$16)^AH$34))</f>
        <v>6465368.88416343</v>
      </c>
      <c r="AI557" s="193">
        <f>(((L557*'Appendix K'!$C$15*1000)-('Appendix K'!$E$41+'Appendix K'!$F$41+'Appendix K'!$H$41+'Appendix K'!$G$41))/((1+$Y$16)^AI$34))</f>
        <v>6235329.8724494306</v>
      </c>
      <c r="AJ557" s="193">
        <f>(((M557*'Appendix K'!$C$16*1000)-('Appendix K'!$E$42+'Appendix K'!$F$42+'Appendix K'!$H$42+'Appendix K'!$G$42))/((1+$Y$16)^AJ$34))</f>
        <v>1851042.5791670964</v>
      </c>
      <c r="AK557" s="193">
        <f>(((N557*'Appendix K'!$C$17*1000)-('Appendix K'!$E$43+'Appendix K'!$F$43+'Appendix K'!$H$43))/((1+$Y$16)^AK$34))</f>
        <v>1205593.6752469197</v>
      </c>
      <c r="AL557" s="193">
        <f>(((O557*'Appendix K'!$C$18*1000)-('Appendix K'!$E$44+'Appendix K'!$F$44+'Appendix K'!$H$44+'Appendix K'!$G$44))/((1+$Y$16)^AL$34))</f>
        <v>1416246.5318131226</v>
      </c>
      <c r="AM557" s="193">
        <f>(((P557*'Appendix K'!$C$19*1000)-('Appendix K'!$E$45+'Appendix K'!$F$45+'Appendix K'!$H$45+'Appendix K'!$G$45))/((1+$Y$16)^AM$34))</f>
        <v>373637.30136742024</v>
      </c>
      <c r="AN557" s="193">
        <f>(((Q557*'Appendix K'!$C$20*1000)-('Appendix K'!$E$46+'Appendix K'!$F$46+'Appendix K'!$H$46+'Appendix K'!$G$46))/((1+$Y$16)^AN$34))</f>
        <v>36444.319829101012</v>
      </c>
      <c r="AO557" s="193">
        <f>(((R557*'Appendix K'!$C$21*1000)-('Appendix K'!$E$47+'Appendix K'!$F$47+'Appendix K'!$H$47+'Appendix K'!$G$47))/((1+$Y$16)^AO$34))</f>
        <v>207524.81591798284</v>
      </c>
      <c r="AP557" s="193">
        <f>(((S557*'Appendix K'!$C$22*1000)-('Appendix K'!$E$48+'Appendix K'!$F$48+'Appendix K'!$H$48+'Appendix K'!$G$48))/((1+$Y$16)^AP$34))</f>
        <v>-163883.15359586134</v>
      </c>
      <c r="AQ557" s="193">
        <f>(((T557*'Appendix K'!$C$23*1000)-('Appendix K'!$E$49+'Appendix K'!$F$49+'Appendix K'!$H$49+'Appendix K'!$G$49))/((1+$Y$16)^AQ$34))</f>
        <v>-82622.714892551026</v>
      </c>
      <c r="AR557" s="193">
        <f>(((U557*'Appendix K'!$C$24*1000)-('Appendix K'!$E$50+'Appendix K'!$F$50+'Appendix K'!$H$50+'Appendix K'!$G$50))/((1+$Y$16)^AR$34))</f>
        <v>-77118.963971754376</v>
      </c>
      <c r="AS557" s="209">
        <f t="shared" si="32"/>
        <v>106313898.7324481</v>
      </c>
      <c r="AU557" s="199">
        <f t="shared" si="31"/>
        <v>6.658342163420705E-9</v>
      </c>
    </row>
    <row r="558" spans="1:47" x14ac:dyDescent="0.35">
      <c r="A558">
        <v>524</v>
      </c>
      <c r="B558" s="70">
        <v>56</v>
      </c>
      <c r="C558" s="70">
        <v>54.421048564591104</v>
      </c>
      <c r="D558" s="70">
        <v>62.79745095205805</v>
      </c>
      <c r="E558" s="70">
        <v>51.76353288738013</v>
      </c>
      <c r="F558" s="70">
        <v>43.46770141099033</v>
      </c>
      <c r="G558" s="70">
        <v>45.053093459869828</v>
      </c>
      <c r="H558" s="70">
        <v>43.717466852235354</v>
      </c>
      <c r="I558" s="70">
        <v>58.733372724060892</v>
      </c>
      <c r="J558" s="70">
        <v>56.499124542957546</v>
      </c>
      <c r="K558" s="70">
        <v>81.388410884841136</v>
      </c>
      <c r="L558" s="70">
        <v>126.03951631033931</v>
      </c>
      <c r="M558" s="70">
        <v>152.1677299205752</v>
      </c>
      <c r="N558" s="70">
        <v>261.10739962314966</v>
      </c>
      <c r="O558" s="70">
        <v>286.06239908264024</v>
      </c>
      <c r="P558" s="70">
        <v>375.42475617158777</v>
      </c>
      <c r="Q558" s="70">
        <v>335.74647179844862</v>
      </c>
      <c r="R558" s="70">
        <v>500</v>
      </c>
      <c r="S558" s="70">
        <v>443.63252096270344</v>
      </c>
      <c r="T558" s="70">
        <v>368.5480585128372</v>
      </c>
      <c r="U558" s="70">
        <v>368.19712261950417</v>
      </c>
      <c r="V558" s="70">
        <v>500</v>
      </c>
      <c r="X558" s="193">
        <f>((0-('Appendix K'!$I$30))/(1+$Y$16)^0)</f>
        <v>-33594902.4440751</v>
      </c>
      <c r="Y558" s="193">
        <f>(((B558*'Appendix K'!$C$5*1000)-('Appendix K'!$E$31+'Appendix K'!$F$31+'Appendix K'!$H$31+'Appendix K'!$G$31))/((1+$Y$16)^1))</f>
        <v>34971064.972647354</v>
      </c>
      <c r="Z558" s="193">
        <f>+(((C558*'Appendix K'!$C$6*1000)-('Appendix K'!$E$32+'Appendix K'!$F$32+'Appendix K'!$H$32+'Appendix K'!$G$32))/((1+$Y$16)^2))</f>
        <v>10260439.967475835</v>
      </c>
      <c r="AA558" s="193">
        <f>(((D558*'Appendix K'!$C$7*1000)-('Appendix K'!$E$33+'Appendix K'!$F$33+'Appendix K'!$H$33+'Appendix K'!$G$33))/((1+$Y$16)^3))</f>
        <v>5033919.2365340348</v>
      </c>
      <c r="AB558" s="193">
        <f>(((E558*'Appendix K'!$C$8*1000)-('Appendix K'!$E$34+'Appendix K'!$F$34+'Appendix K'!$H$34+'Appendix K'!$G$34))/((1+$Y$16)^4))</f>
        <v>8052884.6705238</v>
      </c>
      <c r="AC558" s="193">
        <f>(((F558*'Appendix K'!$C$9*1000)-('Appendix K'!$E$35+'Appendix K'!$F$35+'Appendix K'!$H$35+'Appendix K'!$G$35))/((1+$Y$16)^AC$34))</f>
        <v>8569418.2593422141</v>
      </c>
      <c r="AD558" s="193">
        <f>(((G558*'Appendix K'!$C$10*1000)-('Appendix K'!$E$36+'Appendix K'!$F$36+'Appendix K'!$H$36+'Appendix K'!$G$36))/((1+$Y$16)^AD$34))</f>
        <v>4559552.8471809961</v>
      </c>
      <c r="AE558" s="193">
        <f>(((H558*'Appendix K'!$C$11*1000)-('Appendix K'!$E$37+'Appendix K'!$F$37+'Appendix K'!$H$37+'Appendix K'!$G$37))/((1+$Y$16)^AE$34))</f>
        <v>2140335.5171891497</v>
      </c>
      <c r="AF558" s="193">
        <f>(((I558*'Appendix K'!$C$12*1000)-('Appendix K'!$E$38+'Appendix K'!$F$38+'Appendix K'!$H$38+'Appendix K'!$G$38))/((1+$Y$16)^AF$34))</f>
        <v>1859996.790605315</v>
      </c>
      <c r="AG558" s="193">
        <f>(((J558*'Appendix K'!$C$13*1000)-('Appendix K'!$E$39+'Appendix K'!$F$39+'Appendix K'!$H$39+'Appendix K'!$G$39))/((1+$Y$16)^AG$34))</f>
        <v>785085.53114078974</v>
      </c>
      <c r="AH558" s="193">
        <f>(((K558*'Appendix K'!$C$14*1000)-('Appendix K'!$E$40+'Appendix K'!$F$40+'Appendix K'!$H$40+'Appendix K'!$G$40))/((1+$Y$16)^AH$34))</f>
        <v>1110579.4930711272</v>
      </c>
      <c r="AI558" s="193">
        <f>(((L558*'Appendix K'!$C$15*1000)-('Appendix K'!$E$41+'Appendix K'!$F$41+'Appendix K'!$H$41+'Appendix K'!$G$41))/((1+$Y$16)^AI$34))</f>
        <v>1785989.6740510953</v>
      </c>
      <c r="AJ558" s="193">
        <f>(((M558*'Appendix K'!$C$16*1000)-('Appendix K'!$E$42+'Appendix K'!$F$42+'Appendix K'!$H$42+'Appendix K'!$G$42))/((1+$Y$16)^AJ$34))</f>
        <v>1668174.4426965702</v>
      </c>
      <c r="AK558" s="193">
        <f>(((N558*'Appendix K'!$C$17*1000)-('Appendix K'!$E$43+'Appendix K'!$F$43+'Appendix K'!$H$43))/((1+$Y$16)^AK$34))</f>
        <v>3007368.6981595927</v>
      </c>
      <c r="AL558" s="193">
        <f>(((O558*'Appendix K'!$C$18*1000)-('Appendix K'!$E$44+'Appendix K'!$F$44+'Appendix K'!$H$44+'Appendix K'!$G$44))/((1+$Y$16)^AL$34))</f>
        <v>2256192.6651254487</v>
      </c>
      <c r="AM558" s="193">
        <f>(((P558*'Appendix K'!$C$19*1000)-('Appendix K'!$E$45+'Appendix K'!$F$45+'Appendix K'!$H$45+'Appendix K'!$G$45))/((1+$Y$16)^AM$34))</f>
        <v>2452945.431020543</v>
      </c>
      <c r="AN558" s="193">
        <f>(((Q558*'Appendix K'!$C$20*1000)-('Appendix K'!$E$46+'Appendix K'!$F$46+'Appendix K'!$H$46+'Appendix K'!$G$46))/((1+$Y$16)^AN$34))</f>
        <v>1513825.451418136</v>
      </c>
      <c r="AO558" s="193">
        <f>(((R558*'Appendix K'!$C$21*1000)-('Appendix K'!$E$47+'Appendix K'!$F$47+'Appendix K'!$H$47+'Appendix K'!$G$47))/((1+$Y$16)^AO$34))</f>
        <v>2112056.3146391152</v>
      </c>
      <c r="AP558" s="193">
        <f>(((S558*'Appendix K'!$C$22*1000)-('Appendix K'!$E$48+'Appendix K'!$F$48+'Appendix K'!$H$48+'Appendix K'!$G$48))/((1+$Y$16)^AP$34))</f>
        <v>1360422.0334383545</v>
      </c>
      <c r="AQ558" s="193">
        <f>(((T558*'Appendix K'!$C$23*1000)-('Appendix K'!$E$49+'Appendix K'!$F$49+'Appendix K'!$H$49+'Appendix K'!$G$49))/((1+$Y$16)^AQ$34))</f>
        <v>748917.11878474511</v>
      </c>
      <c r="AR558" s="193">
        <f>(((U558*'Appendix K'!$C$24*1000)-('Appendix K'!$E$50+'Appendix K'!$F$50+'Appendix K'!$H$50+'Appendix K'!$G$50))/((1+$Y$16)^AR$34))</f>
        <v>556316.18198960123</v>
      </c>
      <c r="AS558" s="209">
        <f t="shared" si="32"/>
        <v>61210582.852958702</v>
      </c>
      <c r="AU558" s="199">
        <f t="shared" si="31"/>
        <v>6.308432441075157E-9</v>
      </c>
    </row>
    <row r="559" spans="1:47" x14ac:dyDescent="0.35">
      <c r="A559">
        <v>525</v>
      </c>
      <c r="B559" s="70">
        <v>56</v>
      </c>
      <c r="C559" s="70">
        <v>80.970332971430082</v>
      </c>
      <c r="D559" s="70">
        <v>96.270763309409659</v>
      </c>
      <c r="E559" s="70">
        <v>143.55999924128866</v>
      </c>
      <c r="F559" s="70">
        <v>102.3614225398338</v>
      </c>
      <c r="G559" s="70">
        <v>104.21016986893119</v>
      </c>
      <c r="H559" s="70">
        <v>73.492035985505922</v>
      </c>
      <c r="I559" s="70">
        <v>103.81962207674536</v>
      </c>
      <c r="J559" s="70">
        <v>101.70011568900129</v>
      </c>
      <c r="K559" s="70">
        <v>98.133425324313919</v>
      </c>
      <c r="L559" s="70">
        <v>98.219737897650532</v>
      </c>
      <c r="M559" s="70">
        <v>91.203886677327418</v>
      </c>
      <c r="N559" s="70">
        <v>96.864878677813053</v>
      </c>
      <c r="O559" s="70">
        <v>130.18972157347039</v>
      </c>
      <c r="P559" s="70">
        <v>104.84468333718236</v>
      </c>
      <c r="Q559" s="70">
        <v>150.49593624774587</v>
      </c>
      <c r="R559" s="70">
        <v>162.29461270615369</v>
      </c>
      <c r="S559" s="70">
        <v>170.76597775300306</v>
      </c>
      <c r="T559" s="70">
        <v>172.67166809236551</v>
      </c>
      <c r="U559" s="70">
        <v>180.82550227750028</v>
      </c>
      <c r="V559" s="70">
        <v>117.54535152294798</v>
      </c>
      <c r="X559" s="193">
        <f>((0-('Appendix K'!$I$30))/(1+$Y$16)^0)</f>
        <v>-33594902.4440751</v>
      </c>
      <c r="Y559" s="193">
        <f>(((B559*'Appendix K'!$C$5*1000)-('Appendix K'!$E$31+'Appendix K'!$F$31+'Appendix K'!$H$31+'Appendix K'!$G$31))/((1+$Y$16)^1))</f>
        <v>34971064.972647354</v>
      </c>
      <c r="Z559" s="193">
        <f>+(((C559*'Appendix K'!$C$6*1000)-('Appendix K'!$E$32+'Appendix K'!$F$32+'Appendix K'!$H$32+'Appendix K'!$G$32))/((1+$Y$16)^2))</f>
        <v>16967243.284348961</v>
      </c>
      <c r="AA559" s="193">
        <f>(((D559*'Appendix K'!$C$7*1000)-('Appendix K'!$E$33+'Appendix K'!$F$33+'Appendix K'!$H$33+'Appendix K'!$G$33))/((1+$Y$16)^3))</f>
        <v>9297578.1254666932</v>
      </c>
      <c r="AB559" s="193">
        <f>(((E559*'Appendix K'!$C$8*1000)-('Appendix K'!$E$34+'Appendix K'!$F$34+'Appendix K'!$H$34+'Appendix K'!$G$34))/((1+$Y$16)^4))</f>
        <v>28173829.779531769</v>
      </c>
      <c r="AC559" s="193">
        <f>(((F559*'Appendix K'!$C$9*1000)-('Appendix K'!$E$35+'Appendix K'!$F$35+'Appendix K'!$H$35+'Appendix K'!$G$35))/((1+$Y$16)^AC$34))</f>
        <v>24223276.855651148</v>
      </c>
      <c r="AD559" s="193">
        <f>(((G559*'Appendix K'!$C$10*1000)-('Appendix K'!$E$36+'Appendix K'!$F$36+'Appendix K'!$H$36+'Appendix K'!$G$36))/((1+$Y$16)^AD$34))</f>
        <v>13849813.886612756</v>
      </c>
      <c r="AE559" s="193">
        <f>(((H559*'Appendix K'!$C$11*1000)-('Appendix K'!$E$37+'Appendix K'!$F$37+'Appendix K'!$H$37+'Appendix K'!$G$37))/((1+$Y$16)^AE$34))</f>
        <v>5109980.4421694977</v>
      </c>
      <c r="AF559" s="193">
        <f>(((I559*'Appendix K'!$C$12*1000)-('Appendix K'!$E$38+'Appendix K'!$F$38+'Appendix K'!$H$38+'Appendix K'!$G$38))/((1+$Y$16)^AF$34))</f>
        <v>4820469.3491898561</v>
      </c>
      <c r="AG559" s="193">
        <f>(((J559*'Appendix K'!$C$13*1000)-('Appendix K'!$E$39+'Appendix K'!$F$39+'Appendix K'!$H$39+'Appendix K'!$G$39))/((1+$Y$16)^AG$34))</f>
        <v>2865186.8944167532</v>
      </c>
      <c r="AH559" s="193">
        <f>(((K559*'Appendix K'!$C$14*1000)-('Appendix K'!$E$40+'Appendix K'!$F$40+'Appendix K'!$H$40+'Appendix K'!$G$40))/((1+$Y$16)^AH$34))</f>
        <v>1674995.7703074205</v>
      </c>
      <c r="AI559" s="193">
        <f>(((L559*'Appendix K'!$C$15*1000)-('Appendix K'!$E$41+'Appendix K'!$F$41+'Appendix K'!$H$41+'Appendix K'!$G$41))/((1+$Y$16)^AI$34))</f>
        <v>1057059.4563979208</v>
      </c>
      <c r="AJ559" s="193">
        <f>(((M559*'Appendix K'!$C$16*1000)-('Appendix K'!$E$42+'Appendix K'!$F$42+'Appendix K'!$H$42+'Appendix K'!$G$42))/((1+$Y$16)^AJ$34))</f>
        <v>446345.20595093333</v>
      </c>
      <c r="AK559" s="193">
        <f>(((N559*'Appendix K'!$C$17*1000)-('Appendix K'!$E$43+'Appendix K'!$F$43+'Appendix K'!$H$43))/((1+$Y$16)^AK$34))</f>
        <v>483963.44735257747</v>
      </c>
      <c r="AL559" s="193">
        <f>(((O559*'Appendix K'!$C$18*1000)-('Appendix K'!$E$44+'Appendix K'!$F$44+'Appendix K'!$H$44+'Appendix K'!$G$44))/((1+$Y$16)^AL$34))</f>
        <v>408587.95274250983</v>
      </c>
      <c r="AM559" s="193">
        <f>(((P559*'Appendix K'!$C$19*1000)-('Appendix K'!$E$45+'Appendix K'!$F$45+'Appendix K'!$H$45+'Appendix K'!$G$45))/((1+$Y$16)^AM$34))</f>
        <v>-54988.692415145139</v>
      </c>
      <c r="AN559" s="193">
        <f>(((Q559*'Appendix K'!$C$20*1000)-('Appendix K'!$E$46+'Appendix K'!$F$46+'Appendix K'!$H$46+'Appendix K'!$G$46))/((1+$Y$16)^AN$34))</f>
        <v>173312.39702064733</v>
      </c>
      <c r="AO559" s="193">
        <f>(((R559*'Appendix K'!$C$21*1000)-('Appendix K'!$E$47+'Appendix K'!$F$47+'Appendix K'!$H$47+'Appendix K'!$G$47))/((1+$Y$16)^AO$34))</f>
        <v>116180.1660277069</v>
      </c>
      <c r="AP559" s="193">
        <f>(((S559*'Appendix K'!$C$22*1000)-('Appendix K'!$E$48+'Appendix K'!$F$48+'Appendix K'!$H$48+'Appendix K'!$G$48))/((1+$Y$16)^AP$34))</f>
        <v>53467.87372819848</v>
      </c>
      <c r="AQ559" s="193">
        <f>(((T559*'Appendix K'!$C$23*1000)-('Appendix K'!$E$49+'Appendix K'!$F$49+'Appendix K'!$H$49+'Appendix K'!$G$49))/((1+$Y$16)^AQ$34))</f>
        <v>-17692.927678990651</v>
      </c>
      <c r="AR559" s="193">
        <f>(((U559*'Appendix K'!$C$24*1000)-('Appendix K'!$E$50+'Appendix K'!$F$50+'Appendix K'!$H$50+'Appendix K'!$G$50))/((1+$Y$16)^AR$34))</f>
        <v>-47025.685450581645</v>
      </c>
      <c r="AS559" s="209">
        <f t="shared" si="32"/>
        <v>111097453.41548759</v>
      </c>
      <c r="AU559" s="199">
        <f t="shared" si="31"/>
        <v>6.4530218207035361E-9</v>
      </c>
    </row>
    <row r="560" spans="1:47" x14ac:dyDescent="0.35">
      <c r="A560">
        <v>526</v>
      </c>
      <c r="B560" s="70">
        <v>56</v>
      </c>
      <c r="C560" s="70">
        <v>63.197692519240363</v>
      </c>
      <c r="D560" s="70">
        <v>49.77277733583707</v>
      </c>
      <c r="E560" s="70">
        <v>54.108521332207701</v>
      </c>
      <c r="F560" s="70">
        <v>53.753380936579291</v>
      </c>
      <c r="G560" s="70">
        <v>34.978722394463027</v>
      </c>
      <c r="H560" s="70">
        <v>43.623865852650816</v>
      </c>
      <c r="I560" s="70">
        <v>34.927469415376116</v>
      </c>
      <c r="J560" s="70">
        <v>53.289886037373478</v>
      </c>
      <c r="K560" s="70">
        <v>60.576475416602328</v>
      </c>
      <c r="L560" s="70">
        <v>85.028218743234333</v>
      </c>
      <c r="M560" s="70">
        <v>51.775152053956084</v>
      </c>
      <c r="N560" s="70">
        <v>64.577164446104177</v>
      </c>
      <c r="O560" s="70">
        <v>123.24074014378198</v>
      </c>
      <c r="P560" s="70">
        <v>92.471764566336574</v>
      </c>
      <c r="Q560" s="70">
        <v>103.94949723803238</v>
      </c>
      <c r="R560" s="70">
        <v>70.85196779351844</v>
      </c>
      <c r="S560" s="70">
        <v>15.994192973652382</v>
      </c>
      <c r="T560" s="70">
        <v>19.311449370114907</v>
      </c>
      <c r="U560" s="70">
        <v>31.920804762714514</v>
      </c>
      <c r="V560" s="70">
        <v>51.186085151374812</v>
      </c>
      <c r="X560" s="193">
        <f>((0-('Appendix K'!$I$30))/(1+$Y$16)^0)</f>
        <v>-33594902.4440751</v>
      </c>
      <c r="Y560" s="193">
        <f>(((B560*'Appendix K'!$C$5*1000)-('Appendix K'!$E$31+'Appendix K'!$F$31+'Appendix K'!$H$31+'Appendix K'!$G$31))/((1+$Y$16)^1))</f>
        <v>34971064.972647354</v>
      </c>
      <c r="Z560" s="193">
        <f>+(((C560*'Appendix K'!$C$6*1000)-('Appendix K'!$E$32+'Appendix K'!$F$32+'Appendix K'!$H$32+'Appendix K'!$G$32))/((1+$Y$16)^2))</f>
        <v>12477570.338450853</v>
      </c>
      <c r="AA560" s="193">
        <f>(((D560*'Appendix K'!$C$7*1000)-('Appendix K'!$E$33+'Appendix K'!$F$33+'Appendix K'!$H$33+'Appendix K'!$G$33))/((1+$Y$16)^3))</f>
        <v>3374903.0971572334</v>
      </c>
      <c r="AB560" s="193">
        <f>(((E560*'Appendix K'!$C$8*1000)-('Appendix K'!$E$34+'Appendix K'!$F$34+'Appendix K'!$H$34+'Appendix K'!$G$34))/((1+$Y$16)^4))</f>
        <v>8566884.6713269316</v>
      </c>
      <c r="AC560" s="193">
        <f>(((F560*'Appendix K'!$C$9*1000)-('Appendix K'!$E$35+'Appendix K'!$F$35+'Appendix K'!$H$35+'Appendix K'!$G$35))/((1+$Y$16)^AC$34))</f>
        <v>11303335.725828532</v>
      </c>
      <c r="AD560" s="193">
        <f>(((G560*'Appendix K'!$C$10*1000)-('Appendix K'!$E$36+'Appendix K'!$F$36+'Appendix K'!$H$36+'Appendix K'!$G$36))/((1+$Y$16)^AD$34))</f>
        <v>2977433.8060278511</v>
      </c>
      <c r="AE560" s="193">
        <f>(((H560*'Appendix K'!$C$11*1000)-('Appendix K'!$E$37+'Appendix K'!$F$37+'Appendix K'!$H$37+'Appendix K'!$G$37))/((1+$Y$16)^AE$34))</f>
        <v>2130999.9754338637</v>
      </c>
      <c r="AF560" s="193">
        <f>(((I560*'Appendix K'!$C$12*1000)-('Appendix K'!$E$38+'Appendix K'!$F$38+'Appendix K'!$H$38+'Appendix K'!$G$38))/((1+$Y$16)^AF$34))</f>
        <v>296843.40150039608</v>
      </c>
      <c r="AG560" s="193">
        <f>(((J560*'Appendix K'!$C$13*1000)-('Appendix K'!$E$39+'Appendix K'!$F$39+'Appendix K'!$H$39+'Appendix K'!$G$39))/((1+$Y$16)^AG$34))</f>
        <v>637399.80077760923</v>
      </c>
      <c r="AH560" s="193">
        <f>(((K560*'Appendix K'!$C$14*1000)-('Appendix K'!$E$40+'Appendix K'!$F$40+'Appendix K'!$H$40+'Appendix K'!$G$40))/((1+$Y$16)^AH$34))</f>
        <v>409081.43336356129</v>
      </c>
      <c r="AI560" s="193">
        <f>(((L560*'Appendix K'!$C$15*1000)-('Appendix K'!$E$41+'Appendix K'!$F$41+'Appendix K'!$H$41+'Appendix K'!$G$41))/((1+$Y$16)^AI$34))</f>
        <v>711416.98629043682</v>
      </c>
      <c r="AJ560" s="193">
        <f>(((M560*'Appendix K'!$C$16*1000)-('Appendix K'!$E$42+'Appendix K'!$F$42+'Appendix K'!$H$42+'Appendix K'!$G$42))/((1+$Y$16)^AJ$34))</f>
        <v>-343880.24847948155</v>
      </c>
      <c r="AK560" s="193">
        <f>(((N560*'Appendix K'!$C$17*1000)-('Appendix K'!$E$43+'Appendix K'!$F$43+'Appendix K'!$H$43))/((1+$Y$16)^AK$34))</f>
        <v>-12101.6834059013</v>
      </c>
      <c r="AL560" s="193">
        <f>(((O560*'Appendix K'!$C$18*1000)-('Appendix K'!$E$44+'Appendix K'!$F$44+'Appendix K'!$H$44+'Appendix K'!$G$44))/((1+$Y$16)^AL$34))</f>
        <v>326219.63110385381</v>
      </c>
      <c r="AM560" s="193">
        <f>(((P560*'Appendix K'!$C$19*1000)-('Appendix K'!$E$45+'Appendix K'!$F$45+'Appendix K'!$H$45+'Appendix K'!$G$45))/((1+$Y$16)^AM$34))</f>
        <v>-169669.95798968992</v>
      </c>
      <c r="AN560" s="193">
        <f>(((Q560*'Appendix K'!$C$20*1000)-('Appendix K'!$E$46+'Appendix K'!$F$46+'Appendix K'!$H$46+'Appendix K'!$G$46))/((1+$Y$16)^AN$34))</f>
        <v>-163507.73115199019</v>
      </c>
      <c r="AO560" s="193">
        <f>(((R560*'Appendix K'!$C$21*1000)-('Appendix K'!$E$47+'Appendix K'!$F$47+'Appendix K'!$H$47+'Appendix K'!$G$47))/((1+$Y$16)^AO$34))</f>
        <v>-424255.96799305681</v>
      </c>
      <c r="AP560" s="193">
        <f>(((S560*'Appendix K'!$C$22*1000)-('Appendix K'!$E$48+'Appendix K'!$F$48+'Appendix K'!$H$48+'Appendix K'!$G$48))/((1+$Y$16)^AP$34))</f>
        <v>-687845.53737652476</v>
      </c>
      <c r="AQ560" s="193">
        <f>(((T560*'Appendix K'!$C$23*1000)-('Appendix K'!$E$49+'Appendix K'!$F$49+'Appendix K'!$H$49+'Appendix K'!$G$49))/((1+$Y$16)^AQ$34))</f>
        <v>-617905.56253498723</v>
      </c>
      <c r="AR560" s="193">
        <f>(((U560*'Appendix K'!$C$24*1000)-('Appendix K'!$E$50+'Appendix K'!$F$50+'Appendix K'!$H$50+'Appendix K'!$G$50))/((1+$Y$16)^AR$34))</f>
        <v>-526502.98358785198</v>
      </c>
      <c r="AS560" s="209">
        <f t="shared" si="32"/>
        <v>44588251.395833366</v>
      </c>
      <c r="AU560" s="199">
        <f t="shared" si="31"/>
        <v>5.273562850846206E-9</v>
      </c>
    </row>
    <row r="561" spans="1:47" x14ac:dyDescent="0.35">
      <c r="A561">
        <v>527</v>
      </c>
      <c r="B561" s="70">
        <v>56</v>
      </c>
      <c r="C561" s="70">
        <v>36.146700032916243</v>
      </c>
      <c r="D561" s="70">
        <v>50.306033790936709</v>
      </c>
      <c r="E561" s="70">
        <v>55.865790319377474</v>
      </c>
      <c r="F561" s="70">
        <v>36.956438093952087</v>
      </c>
      <c r="G561" s="70">
        <v>32.318945694949164</v>
      </c>
      <c r="H561" s="70">
        <v>38.581553893972767</v>
      </c>
      <c r="I561" s="70">
        <v>19.850093667029345</v>
      </c>
      <c r="J561" s="70">
        <v>15.799876936738052</v>
      </c>
      <c r="K561" s="70">
        <v>14.216460645645824</v>
      </c>
      <c r="L561" s="70">
        <v>23.392677175902474</v>
      </c>
      <c r="M561" s="70">
        <v>33.364473376142705</v>
      </c>
      <c r="N561" s="70">
        <v>29.644561637222836</v>
      </c>
      <c r="O561" s="70">
        <v>43.823598650254908</v>
      </c>
      <c r="P561" s="70">
        <v>35.225507537598695</v>
      </c>
      <c r="Q561" s="70">
        <v>41.332784846835878</v>
      </c>
      <c r="R561" s="70">
        <v>58.561946470025219</v>
      </c>
      <c r="S561" s="70">
        <v>56.559949237946313</v>
      </c>
      <c r="T561" s="70">
        <v>61.353724653669559</v>
      </c>
      <c r="U561" s="70">
        <v>49.177781663383989</v>
      </c>
      <c r="V561" s="70">
        <v>49.789536052587913</v>
      </c>
      <c r="X561" s="193">
        <f>((0-('Appendix K'!$I$30))/(1+$Y$16)^0)</f>
        <v>-33594902.4440751</v>
      </c>
      <c r="Y561" s="193">
        <f>(((B561*'Appendix K'!$C$5*1000)-('Appendix K'!$E$31+'Appendix K'!$F$31+'Appendix K'!$H$31+'Appendix K'!$G$31))/((1+$Y$16)^1))</f>
        <v>34971064.972647354</v>
      </c>
      <c r="Z561" s="193">
        <f>+(((C561*'Appendix K'!$C$6*1000)-('Appendix K'!$E$32+'Appendix K'!$F$32+'Appendix K'!$H$32+'Appendix K'!$G$32))/((1+$Y$16)^2))</f>
        <v>5644026.9799242401</v>
      </c>
      <c r="AA561" s="193">
        <f>(((D561*'Appendix K'!$C$7*1000)-('Appendix K'!$E$33+'Appendix K'!$F$33+'Appendix K'!$H$33+'Appendix K'!$G$33))/((1+$Y$16)^3))</f>
        <v>3442826.5700598764</v>
      </c>
      <c r="AB561" s="193">
        <f>(((E561*'Appendix K'!$C$8*1000)-('Appendix K'!$E$34+'Appendix K'!$F$34+'Appendix K'!$H$34+'Appendix K'!$G$34))/((1+$Y$16)^4))</f>
        <v>8952061.9470652752</v>
      </c>
      <c r="AC561" s="193">
        <f>(((F561*'Appendix K'!$C$9*1000)-('Appendix K'!$E$35+'Appendix K'!$F$35+'Appendix K'!$H$35+'Appendix K'!$G$35))/((1+$Y$16)^AC$34))</f>
        <v>6838734.6941916468</v>
      </c>
      <c r="AD561" s="193">
        <f>(((G561*'Appendix K'!$C$10*1000)-('Appendix K'!$E$36+'Appendix K'!$F$36+'Appendix K'!$H$36+'Appendix K'!$G$36))/((1+$Y$16)^AD$34))</f>
        <v>2559731.962985164</v>
      </c>
      <c r="AE561" s="193">
        <f>(((H561*'Appendix K'!$C$11*1000)-('Appendix K'!$E$37+'Appendix K'!$F$37+'Appendix K'!$H$37+'Appendix K'!$G$37))/((1+$Y$16)^AE$34))</f>
        <v>1628091.7368214724</v>
      </c>
      <c r="AF561" s="193">
        <f>(((I561*'Appendix K'!$C$12*1000)-('Appendix K'!$E$38+'Appendix K'!$F$38+'Appendix K'!$H$38+'Appendix K'!$G$38))/((1+$Y$16)^AF$34))</f>
        <v>-693173.68351559236</v>
      </c>
      <c r="AG561" s="193">
        <f>(((J561*'Appendix K'!$C$13*1000)-('Appendix K'!$E$39+'Appendix K'!$F$39+'Appendix K'!$H$39+'Appendix K'!$G$39))/((1+$Y$16)^AG$34))</f>
        <v>-1087850.3997655169</v>
      </c>
      <c r="AH561" s="193">
        <f>(((K561*'Appendix K'!$C$14*1000)-('Appendix K'!$E$40+'Appendix K'!$F$40+'Appendix K'!$H$40+'Appendix K'!$G$40))/((1+$Y$16)^AH$34))</f>
        <v>-1153553.644929433</v>
      </c>
      <c r="AI561" s="193">
        <f>(((L561*'Appendix K'!$C$15*1000)-('Appendix K'!$E$41+'Appendix K'!$F$41+'Appendix K'!$H$41+'Appendix K'!$G$41))/((1+$Y$16)^AI$34))</f>
        <v>-903549.46180156339</v>
      </c>
      <c r="AJ561" s="193">
        <f>(((M561*'Appendix K'!$C$16*1000)-('Appendix K'!$E$42+'Appendix K'!$F$42+'Appendix K'!$H$42+'Appendix K'!$G$42))/((1+$Y$16)^AJ$34))</f>
        <v>-712864.62151395809</v>
      </c>
      <c r="AK561" s="193">
        <f>(((N561*'Appendix K'!$C$17*1000)-('Appendix K'!$E$43+'Appendix K'!$F$43+'Appendix K'!$H$43))/((1+$Y$16)^AK$34))</f>
        <v>-548802.61106412311</v>
      </c>
      <c r="AL561" s="193">
        <f>(((O561*'Appendix K'!$C$18*1000)-('Appendix K'!$E$44+'Appendix K'!$F$44+'Appendix K'!$H$44+'Appendix K'!$G$44))/((1+$Y$16)^AL$34))</f>
        <v>-615135.11568165116</v>
      </c>
      <c r="AM561" s="193">
        <f>(((P561*'Appendix K'!$C$19*1000)-('Appendix K'!$E$45+'Appendix K'!$F$45+'Appendix K'!$H$45+'Appendix K'!$G$45))/((1+$Y$16)^AM$34))</f>
        <v>-700270.16050056124</v>
      </c>
      <c r="AN561" s="193">
        <f>(((Q561*'Appendix K'!$C$20*1000)-('Appendix K'!$E$46+'Appendix K'!$F$46+'Appendix K'!$H$46+'Appendix K'!$G$46))/((1+$Y$16)^AN$34))</f>
        <v>-616615.84300885478</v>
      </c>
      <c r="AO561" s="193">
        <f>(((R561*'Appendix K'!$C$21*1000)-('Appendix K'!$E$47+'Appendix K'!$F$47+'Appendix K'!$H$47+'Appendix K'!$G$47))/((1+$Y$16)^AO$34))</f>
        <v>-496891.35181695211</v>
      </c>
      <c r="AP561" s="193">
        <f>(((S561*'Appendix K'!$C$22*1000)-('Appendix K'!$E$48+'Appendix K'!$F$48+'Appendix K'!$H$48+'Appendix K'!$G$48))/((1+$Y$16)^AP$34))</f>
        <v>-493546.94998736732</v>
      </c>
      <c r="AQ561" s="193">
        <f>(((T561*'Appendix K'!$C$23*1000)-('Appendix K'!$E$49+'Appendix K'!$F$49+'Appendix K'!$H$49+'Appendix K'!$G$49))/((1+$Y$16)^AQ$34))</f>
        <v>-453362.86017365893</v>
      </c>
      <c r="AR561" s="193">
        <f>(((U561*'Appendix K'!$C$24*1000)-('Appendix K'!$E$50+'Appendix K'!$F$50+'Appendix K'!$H$50+'Appendix K'!$G$50))/((1+$Y$16)^AR$34))</f>
        <v>-470935.03444690106</v>
      </c>
      <c r="AS561" s="209">
        <f t="shared" si="32"/>
        <v>30441636.419619933</v>
      </c>
      <c r="AU561" s="199">
        <f t="shared" si="31"/>
        <v>4.2318419849981742E-9</v>
      </c>
    </row>
    <row r="562" spans="1:47" x14ac:dyDescent="0.35">
      <c r="A562">
        <v>528</v>
      </c>
      <c r="B562" s="70">
        <v>56</v>
      </c>
      <c r="C562" s="70">
        <v>83.628375566662541</v>
      </c>
      <c r="D562" s="70">
        <v>113.33895280032245</v>
      </c>
      <c r="E562" s="70">
        <v>102.18136385389758</v>
      </c>
      <c r="F562" s="70">
        <v>106.4433519092199</v>
      </c>
      <c r="G562" s="70">
        <v>59.760997810333564</v>
      </c>
      <c r="H562" s="70">
        <v>76.518181832356419</v>
      </c>
      <c r="I562" s="70">
        <v>52.928313410847984</v>
      </c>
      <c r="J562" s="70">
        <v>51.64214040671984</v>
      </c>
      <c r="K562" s="70">
        <v>81.023649222801325</v>
      </c>
      <c r="L562" s="70">
        <v>133.29828348404266</v>
      </c>
      <c r="M562" s="70">
        <v>105.82193144107252</v>
      </c>
      <c r="N562" s="70">
        <v>68.242880182095305</v>
      </c>
      <c r="O562" s="70">
        <v>65.240670904004418</v>
      </c>
      <c r="P562" s="70">
        <v>76.582327272891064</v>
      </c>
      <c r="Q562" s="70">
        <v>65.988544687581765</v>
      </c>
      <c r="R562" s="70">
        <v>55.219825411951447</v>
      </c>
      <c r="S562" s="70">
        <v>52.687557169024323</v>
      </c>
      <c r="T562" s="70">
        <v>92.695145044238615</v>
      </c>
      <c r="U562" s="70">
        <v>83.025484963462773</v>
      </c>
      <c r="V562" s="70">
        <v>48.438591260310154</v>
      </c>
      <c r="X562" s="193">
        <f>((0-('Appendix K'!$I$30))/(1+$Y$16)^0)</f>
        <v>-33594902.4440751</v>
      </c>
      <c r="Y562" s="193">
        <f>(((B562*'Appendix K'!$C$5*1000)-('Appendix K'!$E$31+'Appendix K'!$F$31+'Appendix K'!$H$31+'Appendix K'!$G$31))/((1+$Y$16)^1))</f>
        <v>34971064.972647354</v>
      </c>
      <c r="Z562" s="193">
        <f>+(((C562*'Appendix K'!$C$6*1000)-('Appendix K'!$E$32+'Appendix K'!$F$32+'Appendix K'!$H$32+'Appendix K'!$G$32))/((1+$Y$16)^2))</f>
        <v>17638710.304737013</v>
      </c>
      <c r="AA562" s="193">
        <f>(((D562*'Appendix K'!$C$7*1000)-('Appendix K'!$E$33+'Appendix K'!$F$33+'Appendix K'!$H$33+'Appendix K'!$G$33))/((1+$Y$16)^3))</f>
        <v>11471636.583261786</v>
      </c>
      <c r="AB562" s="193">
        <f>(((E562*'Appendix K'!$C$8*1000)-('Appendix K'!$E$34+'Appendix K'!$F$34+'Appendix K'!$H$34+'Appendix K'!$G$34))/((1+$Y$16)^4))</f>
        <v>19104011.687564433</v>
      </c>
      <c r="AC562" s="193">
        <f>(((F562*'Appendix K'!$C$9*1000)-('Appendix K'!$E$35+'Appendix K'!$F$35+'Appendix K'!$H$35+'Appendix K'!$G$35))/((1+$Y$16)^AC$34))</f>
        <v>25308247.272254627</v>
      </c>
      <c r="AD562" s="193">
        <f>(((G562*'Appendix K'!$C$10*1000)-('Appendix K'!$E$36+'Appendix K'!$F$36+'Appendix K'!$H$36+'Appendix K'!$G$36))/((1+$Y$16)^AD$34))</f>
        <v>6869340.2649018662</v>
      </c>
      <c r="AE562" s="193">
        <f>(((H562*'Appendix K'!$C$11*1000)-('Appendix K'!$E$37+'Appendix K'!$F$37+'Appendix K'!$H$37+'Appendix K'!$G$37))/((1+$Y$16)^AE$34))</f>
        <v>5411801.0534477364</v>
      </c>
      <c r="AF562" s="193">
        <f>(((I562*'Appendix K'!$C$12*1000)-('Appendix K'!$E$38+'Appendix K'!$F$38+'Appendix K'!$H$38+'Appendix K'!$G$38))/((1+$Y$16)^AF$34))</f>
        <v>1478822.5069941818</v>
      </c>
      <c r="AG562" s="193">
        <f>(((J562*'Appendix K'!$C$13*1000)-('Appendix K'!$E$39+'Appendix K'!$F$39+'Appendix K'!$H$39+'Appendix K'!$G$39))/((1+$Y$16)^AG$34))</f>
        <v>561572.30572157132</v>
      </c>
      <c r="AH562" s="193">
        <f>(((K562*'Appendix K'!$C$14*1000)-('Appendix K'!$E$40+'Appendix K'!$F$40+'Appendix K'!$H$40+'Appendix K'!$G$40))/((1+$Y$16)^AH$34))</f>
        <v>1098284.6443499627</v>
      </c>
      <c r="AI562" s="193">
        <f>(((L562*'Appendix K'!$C$15*1000)-('Appendix K'!$E$41+'Appendix K'!$F$41+'Appendix K'!$H$41+'Appendix K'!$G$41))/((1+$Y$16)^AI$34))</f>
        <v>1976182.9479632985</v>
      </c>
      <c r="AJ562" s="193">
        <f>(((M562*'Appendix K'!$C$16*1000)-('Appendix K'!$E$42+'Appendix K'!$F$42+'Appendix K'!$H$42+'Appendix K'!$G$42))/((1+$Y$16)^AJ$34))</f>
        <v>739318.11458359985</v>
      </c>
      <c r="AK562" s="193">
        <f>(((N562*'Appendix K'!$C$17*1000)-('Appendix K'!$E$43+'Appendix K'!$F$43+'Appendix K'!$H$43))/((1+$Y$16)^AK$34))</f>
        <v>44217.997288993429</v>
      </c>
      <c r="AL562" s="193">
        <f>(((O562*'Appendix K'!$C$18*1000)-('Appendix K'!$E$44+'Appendix K'!$F$44+'Appendix K'!$H$44+'Appendix K'!$G$44))/((1+$Y$16)^AL$34))</f>
        <v>-361272.25623891415</v>
      </c>
      <c r="AM562" s="193">
        <f>(((P562*'Appendix K'!$C$19*1000)-('Appendix K'!$E$45+'Appendix K'!$F$45+'Appendix K'!$H$45+'Appendix K'!$G$45))/((1+$Y$16)^AM$34))</f>
        <v>-316944.89059277013</v>
      </c>
      <c r="AN562" s="193">
        <f>(((Q562*'Appendix K'!$C$20*1000)-('Appendix K'!$E$46+'Appendix K'!$F$46+'Appendix K'!$H$46+'Appendix K'!$G$46))/((1+$Y$16)^AN$34))</f>
        <v>-438201.41719164513</v>
      </c>
      <c r="AO562" s="193">
        <f>(((R562*'Appendix K'!$C$21*1000)-('Appendix K'!$E$47+'Appendix K'!$F$47+'Appendix K'!$H$47+'Appendix K'!$G$47))/((1+$Y$16)^AO$34))</f>
        <v>-516643.656507837</v>
      </c>
      <c r="AP562" s="193">
        <f>(((S562*'Appendix K'!$C$22*1000)-('Appendix K'!$E$48+'Appendix K'!$F$48+'Appendix K'!$H$48+'Appendix K'!$G$48))/((1+$Y$16)^AP$34))</f>
        <v>-512094.62117846962</v>
      </c>
      <c r="AQ562" s="193">
        <f>(((T562*'Appendix K'!$C$23*1000)-('Appendix K'!$E$49+'Appendix K'!$F$49+'Appendix K'!$H$49+'Appendix K'!$G$49))/((1+$Y$16)^AQ$34))</f>
        <v>-330700.56437436648</v>
      </c>
      <c r="AR562" s="193">
        <f>(((U562*'Appendix K'!$C$24*1000)-('Appendix K'!$E$50+'Appendix K'!$F$50+'Appendix K'!$H$50+'Appendix K'!$G$50))/((1+$Y$16)^AR$34))</f>
        <v>-361944.48144663568</v>
      </c>
      <c r="AS562" s="209">
        <f t="shared" si="32"/>
        <v>93078308.211641312</v>
      </c>
      <c r="AU562" s="199">
        <f t="shared" si="31"/>
        <v>6.9971994701828203E-9</v>
      </c>
    </row>
    <row r="563" spans="1:47" x14ac:dyDescent="0.35">
      <c r="A563">
        <v>529</v>
      </c>
      <c r="B563" s="70">
        <v>56</v>
      </c>
      <c r="C563" s="70">
        <v>83.11738446839513</v>
      </c>
      <c r="D563" s="70">
        <v>142.89681355967528</v>
      </c>
      <c r="E563" s="70">
        <v>123.64849117639349</v>
      </c>
      <c r="F563" s="70">
        <v>135.44679637568987</v>
      </c>
      <c r="G563" s="70">
        <v>125.62582909364205</v>
      </c>
      <c r="H563" s="70">
        <v>156.51877132740469</v>
      </c>
      <c r="I563" s="70">
        <v>208.46084955662684</v>
      </c>
      <c r="J563" s="70">
        <v>278.80534525436985</v>
      </c>
      <c r="K563" s="70">
        <v>385.49607176210452</v>
      </c>
      <c r="L563" s="70">
        <v>314.70905053230098</v>
      </c>
      <c r="M563" s="70">
        <v>164.10632833882195</v>
      </c>
      <c r="N563" s="70">
        <v>168.02408555856476</v>
      </c>
      <c r="O563" s="70">
        <v>167.48629620205671</v>
      </c>
      <c r="P563" s="70">
        <v>214.37679079583216</v>
      </c>
      <c r="Q563" s="70">
        <v>204.67341730179419</v>
      </c>
      <c r="R563" s="70">
        <v>189.96904085570472</v>
      </c>
      <c r="S563" s="70">
        <v>117.41137075411733</v>
      </c>
      <c r="T563" s="70">
        <v>77.502895273440515</v>
      </c>
      <c r="U563" s="70">
        <v>112.72386832056259</v>
      </c>
      <c r="V563" s="70">
        <v>127.99564485384444</v>
      </c>
      <c r="X563" s="193">
        <f>((0-('Appendix K'!$I$30))/(1+$Y$16)^0)</f>
        <v>-33594902.4440751</v>
      </c>
      <c r="Y563" s="193">
        <f>(((B563*'Appendix K'!$C$5*1000)-('Appendix K'!$E$31+'Appendix K'!$F$31+'Appendix K'!$H$31+'Appendix K'!$G$31))/((1+$Y$16)^1))</f>
        <v>34971064.972647354</v>
      </c>
      <c r="Z563" s="193">
        <f>+(((C563*'Appendix K'!$C$6*1000)-('Appendix K'!$E$32+'Appendix K'!$F$32+'Appendix K'!$H$32+'Appendix K'!$G$32))/((1+$Y$16)^2))</f>
        <v>17509625.213770509</v>
      </c>
      <c r="AA563" s="193">
        <f>(((D563*'Appendix K'!$C$7*1000)-('Appendix K'!$E$33+'Appendix K'!$F$33+'Appendix K'!$H$33+'Appendix K'!$G$33))/((1+$Y$16)^3))</f>
        <v>15236565.324673608</v>
      </c>
      <c r="AB563" s="193">
        <f>(((E563*'Appendix K'!$C$8*1000)-('Appendix K'!$E$34+'Appendix K'!$F$34+'Appendix K'!$H$34+'Appendix K'!$G$34))/((1+$Y$16)^4))</f>
        <v>23809409.484019306</v>
      </c>
      <c r="AC563" s="193">
        <f>(((F563*'Appendix K'!$C$9*1000)-('Appendix K'!$E$35+'Appendix K'!$F$35+'Appendix K'!$H$35+'Appendix K'!$G$35))/((1+$Y$16)^AC$34))</f>
        <v>33017317.267861743</v>
      </c>
      <c r="AD563" s="193">
        <f>(((G563*'Appendix K'!$C$10*1000)-('Appendix K'!$E$36+'Appendix K'!$F$36+'Appendix K'!$H$36+'Appendix K'!$G$36))/((1+$Y$16)^AD$34))</f>
        <v>17213013.635588244</v>
      </c>
      <c r="AE563" s="193">
        <f>(((H563*'Appendix K'!$C$11*1000)-('Appendix K'!$E$37+'Appendix K'!$F$37+'Appendix K'!$H$37+'Appendix K'!$G$37))/((1+$Y$16)^AE$34))</f>
        <v>13390870.155204711</v>
      </c>
      <c r="AF563" s="193">
        <f>(((I563*'Appendix K'!$C$12*1000)-('Appendix K'!$E$38+'Appendix K'!$F$38+'Appendix K'!$H$38+'Appendix K'!$G$38))/((1+$Y$16)^AF$34))</f>
        <v>11691466.313863004</v>
      </c>
      <c r="AG563" s="193">
        <f>(((J563*'Appendix K'!$C$13*1000)-('Appendix K'!$E$39+'Appendix K'!$F$39+'Appendix K'!$H$39+'Appendix K'!$G$39))/((1+$Y$16)^AG$34))</f>
        <v>11015380.510126216</v>
      </c>
      <c r="AH563" s="193">
        <f>(((K563*'Appendix K'!$C$14*1000)-('Appendix K'!$E$40+'Appendix K'!$F$40+'Appendix K'!$H$40+'Appendix K'!$G$40))/((1+$Y$16)^AH$34))</f>
        <v>11360992.501182368</v>
      </c>
      <c r="AI563" s="193">
        <f>(((L563*'Appendix K'!$C$15*1000)-('Appendix K'!$E$41+'Appendix K'!$F$41+'Appendix K'!$H$41+'Appendix K'!$G$41))/((1+$Y$16)^AI$34))</f>
        <v>6729484.2844255138</v>
      </c>
      <c r="AJ563" s="193">
        <f>(((M563*'Appendix K'!$C$16*1000)-('Appendix K'!$E$42+'Appendix K'!$F$42+'Appendix K'!$H$42+'Appendix K'!$G$42))/((1+$Y$16)^AJ$34))</f>
        <v>1907446.2440982107</v>
      </c>
      <c r="AK563" s="193">
        <f>(((N563*'Appendix K'!$C$17*1000)-('Appendix K'!$E$43+'Appendix K'!$F$43+'Appendix K'!$H$43))/((1+$Y$16)^AK$34))</f>
        <v>1577246.2053900906</v>
      </c>
      <c r="AL563" s="193">
        <f>(((O563*'Appendix K'!$C$18*1000)-('Appendix K'!$E$44+'Appendix K'!$F$44+'Appendix K'!$H$44+'Appendix K'!$G$44))/((1+$Y$16)^AL$34))</f>
        <v>850675.22641152213</v>
      </c>
      <c r="AM563" s="193">
        <f>(((P563*'Appendix K'!$C$19*1000)-('Appendix K'!$E$45+'Appendix K'!$F$45+'Appendix K'!$H$45+'Appendix K'!$G$45))/((1+$Y$16)^AM$34))</f>
        <v>960235.03426146065</v>
      </c>
      <c r="AN563" s="193">
        <f>(((Q563*'Appendix K'!$C$20*1000)-('Appendix K'!$E$46+'Appendix K'!$F$46+'Appendix K'!$H$46+'Appendix K'!$G$46))/((1+$Y$16)^AN$34))</f>
        <v>565352.40052955423</v>
      </c>
      <c r="AO563" s="193">
        <f>(((R563*'Appendix K'!$C$21*1000)-('Appendix K'!$E$47+'Appendix K'!$F$47+'Appendix K'!$H$47+'Appendix K'!$G$47))/((1+$Y$16)^AO$34))</f>
        <v>279739.0938634887</v>
      </c>
      <c r="AP563" s="193">
        <f>(((S563*'Appendix K'!$C$22*1000)-('Appendix K'!$E$48+'Appendix K'!$F$48+'Appendix K'!$H$48+'Appendix K'!$G$48))/((1+$Y$16)^AP$34))</f>
        <v>-202085.71938235237</v>
      </c>
      <c r="AQ563" s="193">
        <f>(((T563*'Appendix K'!$C$23*1000)-('Appendix K'!$E$49+'Appendix K'!$F$49+'Appendix K'!$H$49+'Appendix K'!$G$49))/((1+$Y$16)^AQ$34))</f>
        <v>-390159.14066158287</v>
      </c>
      <c r="AR563" s="193">
        <f>(((U563*'Appendix K'!$C$24*1000)-('Appendix K'!$E$50+'Appendix K'!$F$50+'Appendix K'!$H$50+'Appendix K'!$G$50))/((1+$Y$16)^AR$34))</f>
        <v>-266314.85492197121</v>
      </c>
      <c r="AS563" s="209">
        <f t="shared" si="32"/>
        <v>168490981.42384183</v>
      </c>
      <c r="AU563" s="199">
        <f t="shared" si="31"/>
        <v>2.5465499005107493E-9</v>
      </c>
    </row>
    <row r="564" spans="1:47" x14ac:dyDescent="0.35">
      <c r="A564">
        <v>530</v>
      </c>
      <c r="B564" s="70">
        <v>56</v>
      </c>
      <c r="C564" s="70">
        <v>42.907976478504636</v>
      </c>
      <c r="D564" s="70">
        <v>49.653491391651642</v>
      </c>
      <c r="E564" s="70">
        <v>56.625846102617793</v>
      </c>
      <c r="F564" s="70">
        <v>64.94226208172087</v>
      </c>
      <c r="G564" s="70">
        <v>98.362175646086712</v>
      </c>
      <c r="H564" s="70">
        <v>87.400285073071899</v>
      </c>
      <c r="I564" s="70">
        <v>56.94908169083412</v>
      </c>
      <c r="J564" s="70">
        <v>81.417308642313245</v>
      </c>
      <c r="K564" s="70">
        <v>71.918413648998907</v>
      </c>
      <c r="L564" s="70">
        <v>77.361627372650545</v>
      </c>
      <c r="M564" s="70">
        <v>96.130721952523999</v>
      </c>
      <c r="N564" s="70">
        <v>121.97591825566752</v>
      </c>
      <c r="O564" s="70">
        <v>155.66004482443623</v>
      </c>
      <c r="P564" s="70">
        <v>111.01027125601071</v>
      </c>
      <c r="Q564" s="70">
        <v>104.40842378252262</v>
      </c>
      <c r="R564" s="70">
        <v>150.93501202676063</v>
      </c>
      <c r="S564" s="70">
        <v>199.74107845851225</v>
      </c>
      <c r="T564" s="70">
        <v>171.96846540500695</v>
      </c>
      <c r="U564" s="70">
        <v>205.36567577962643</v>
      </c>
      <c r="V564" s="70">
        <v>108.77888818563238</v>
      </c>
      <c r="X564" s="193">
        <f>((0-('Appendix K'!$I$30))/(1+$Y$16)^0)</f>
        <v>-33594902.4440751</v>
      </c>
      <c r="Y564" s="193">
        <f>(((B564*'Appendix K'!$C$5*1000)-('Appendix K'!$E$31+'Appendix K'!$F$31+'Appendix K'!$H$31+'Appendix K'!$G$31))/((1+$Y$16)^1))</f>
        <v>34971064.972647354</v>
      </c>
      <c r="Z564" s="193">
        <f>+(((C564*'Appendix K'!$C$6*1000)-('Appendix K'!$E$32+'Appendix K'!$F$32+'Appendix K'!$H$32+'Appendix K'!$G$32))/((1+$Y$16)^2))</f>
        <v>7352041.0490298951</v>
      </c>
      <c r="AA564" s="193">
        <f>(((D564*'Appendix K'!$C$7*1000)-('Appendix K'!$E$33+'Appendix K'!$F$33+'Appendix K'!$H$33+'Appendix K'!$G$33))/((1+$Y$16)^3))</f>
        <v>3359709.0652424544</v>
      </c>
      <c r="AB564" s="193">
        <f>(((E564*'Appendix K'!$C$8*1000)-('Appendix K'!$E$34+'Appendix K'!$F$34+'Appendix K'!$H$34+'Appendix K'!$G$34))/((1+$Y$16)^4))</f>
        <v>9118659.2171105333</v>
      </c>
      <c r="AC564" s="193">
        <f>(((F564*'Appendix K'!$C$9*1000)-('Appendix K'!$E$35+'Appendix K'!$F$35+'Appendix K'!$H$35+'Appendix K'!$G$35))/((1+$Y$16)^AC$34))</f>
        <v>14277322.764510883</v>
      </c>
      <c r="AD564" s="193">
        <f>(((G564*'Appendix K'!$C$10*1000)-('Appendix K'!$E$36+'Appendix K'!$F$36+'Appendix K'!$H$36+'Appendix K'!$G$36))/((1+$Y$16)^AD$34))</f>
        <v>12931421.765412657</v>
      </c>
      <c r="AE564" s="193">
        <f>(((H564*'Appendix K'!$C$11*1000)-('Appendix K'!$E$37+'Appendix K'!$F$37+'Appendix K'!$H$37+'Appendix K'!$G$37))/((1+$Y$16)^AE$34))</f>
        <v>6497156.2274305075</v>
      </c>
      <c r="AF564" s="193">
        <f>(((I564*'Appendix K'!$C$12*1000)-('Appendix K'!$E$38+'Appendix K'!$F$38+'Appendix K'!$H$38+'Appendix K'!$G$38))/((1+$Y$16)^AF$34))</f>
        <v>1742835.910819652</v>
      </c>
      <c r="AG564" s="193">
        <f>(((J564*'Appendix K'!$C$13*1000)-('Appendix K'!$E$39+'Appendix K'!$F$39+'Appendix K'!$H$39+'Appendix K'!$G$39))/((1+$Y$16)^AG$34))</f>
        <v>1931793.7647713679</v>
      </c>
      <c r="AH564" s="193">
        <f>(((K564*'Appendix K'!$C$14*1000)-('Appendix K'!$E$40+'Appendix K'!$F$40+'Appendix K'!$H$40+'Appendix K'!$G$40))/((1+$Y$16)^AH$34))</f>
        <v>791378.77786049549</v>
      </c>
      <c r="AI564" s="193">
        <f>(((L564*'Appendix K'!$C$15*1000)-('Appendix K'!$E$41+'Appendix K'!$F$41+'Appendix K'!$H$41+'Appendix K'!$G$41))/((1+$Y$16)^AI$34))</f>
        <v>510537.95578497858</v>
      </c>
      <c r="AJ564" s="193">
        <f>(((M564*'Appendix K'!$C$16*1000)-('Appendix K'!$E$42+'Appendix K'!$F$42+'Appendix K'!$H$42+'Appendix K'!$G$42))/((1+$Y$16)^AJ$34))</f>
        <v>545088.18315868464</v>
      </c>
      <c r="AK564" s="193">
        <f>(((N564*'Appendix K'!$C$17*1000)-('Appendix K'!$E$43+'Appendix K'!$F$43+'Appendix K'!$H$43))/((1+$Y$16)^AK$34))</f>
        <v>869766.88460662507</v>
      </c>
      <c r="AL564" s="193">
        <f>(((O564*'Appendix K'!$C$18*1000)-('Appendix K'!$E$44+'Appendix K'!$F$44+'Appendix K'!$H$44+'Appendix K'!$G$44))/((1+$Y$16)^AL$34))</f>
        <v>710495.18893297552</v>
      </c>
      <c r="AM564" s="193">
        <f>(((P564*'Appendix K'!$C$19*1000)-('Appendix K'!$E$45+'Appendix K'!$F$45+'Appendix K'!$H$45+'Appendix K'!$G$45))/((1+$Y$16)^AM$34))</f>
        <v>2158.4883461509917</v>
      </c>
      <c r="AN564" s="193">
        <f>(((Q564*'Appendix K'!$C$20*1000)-('Appendix K'!$E$46+'Appendix K'!$F$46+'Appendix K'!$H$46+'Appendix K'!$G$46))/((1+$Y$16)^AN$34))</f>
        <v>-160186.83913907444</v>
      </c>
      <c r="AO564" s="193">
        <f>(((R564*'Appendix K'!$C$21*1000)-('Appendix K'!$E$47+'Appendix K'!$F$47+'Appendix K'!$H$47+'Appendix K'!$G$47))/((1+$Y$16)^AO$34))</f>
        <v>49043.671003353658</v>
      </c>
      <c r="AP564" s="193">
        <f>(((S564*'Appendix K'!$C$22*1000)-('Appendix K'!$E$48+'Appendix K'!$F$48+'Appendix K'!$H$48+'Appendix K'!$G$48))/((1+$Y$16)^AP$34))</f>
        <v>192250.47400463893</v>
      </c>
      <c r="AQ564" s="193">
        <f>(((T564*'Appendix K'!$C$23*1000)-('Appendix K'!$E$49+'Appendix K'!$F$49+'Appendix K'!$H$49+'Appendix K'!$G$49))/((1+$Y$16)^AQ$34))</f>
        <v>-20445.082972807108</v>
      </c>
      <c r="AR564" s="193">
        <f>(((U564*'Appendix K'!$C$24*1000)-('Appendix K'!$E$50+'Appendix K'!$F$50+'Appendix K'!$H$50+'Appendix K'!$G$50))/((1+$Y$16)^AR$34))</f>
        <v>31994.360813915322</v>
      </c>
      <c r="AS564" s="209">
        <f t="shared" si="32"/>
        <v>62289816.27741202</v>
      </c>
      <c r="AU564" s="199">
        <f t="shared" si="31"/>
        <v>6.3633503301616559E-9</v>
      </c>
    </row>
    <row r="565" spans="1:47" x14ac:dyDescent="0.35">
      <c r="A565">
        <v>531</v>
      </c>
      <c r="B565" s="70">
        <v>56</v>
      </c>
      <c r="C565" s="70">
        <v>55.838536056872137</v>
      </c>
      <c r="D565" s="70">
        <v>54.889387645957164</v>
      </c>
      <c r="E565" s="70">
        <v>82.279815929248016</v>
      </c>
      <c r="F565" s="70">
        <v>78.741695599497845</v>
      </c>
      <c r="G565" s="70">
        <v>85.463808210015202</v>
      </c>
      <c r="H565" s="70">
        <v>59.430976320584243</v>
      </c>
      <c r="I565" s="70">
        <v>76.738313840225572</v>
      </c>
      <c r="J565" s="70">
        <v>92.598664444288119</v>
      </c>
      <c r="K565" s="70">
        <v>121.62019849412245</v>
      </c>
      <c r="L565" s="70">
        <v>86.45384109413699</v>
      </c>
      <c r="M565" s="70">
        <v>132.61897461237953</v>
      </c>
      <c r="N565" s="70">
        <v>95.964139881504735</v>
      </c>
      <c r="O565" s="70">
        <v>115.10983570451049</v>
      </c>
      <c r="P565" s="70">
        <v>145.51430270541982</v>
      </c>
      <c r="Q565" s="70">
        <v>189.11346936442237</v>
      </c>
      <c r="R565" s="70">
        <v>211.73616928324293</v>
      </c>
      <c r="S565" s="70">
        <v>256.18718379127819</v>
      </c>
      <c r="T565" s="70">
        <v>228.41389742873801</v>
      </c>
      <c r="U565" s="70">
        <v>206.35512854874366</v>
      </c>
      <c r="V565" s="70">
        <v>234.87752705539282</v>
      </c>
      <c r="X565" s="193">
        <f>((0-('Appendix K'!$I$30))/(1+$Y$16)^0)</f>
        <v>-33594902.4440751</v>
      </c>
      <c r="Y565" s="193">
        <f>(((B565*'Appendix K'!$C$5*1000)-('Appendix K'!$E$31+'Appendix K'!$F$31+'Appendix K'!$H$31+'Appendix K'!$G$31))/((1+$Y$16)^1))</f>
        <v>34971064.972647354</v>
      </c>
      <c r="Z565" s="193">
        <f>+(((C565*'Appendix K'!$C$6*1000)-('Appendix K'!$E$32+'Appendix K'!$F$32+'Appendix K'!$H$32+'Appendix K'!$G$32))/((1+$Y$16)^2))</f>
        <v>10618521.551490493</v>
      </c>
      <c r="AA565" s="193">
        <f>(((D565*'Appendix K'!$C$7*1000)-('Appendix K'!$E$33+'Appendix K'!$F$33+'Appendix K'!$H$33+'Appendix K'!$G$33))/((1+$Y$16)^3))</f>
        <v>4026630.682316782</v>
      </c>
      <c r="AB565" s="193">
        <f>(((E565*'Appendix K'!$C$8*1000)-('Appendix K'!$E$34+'Appendix K'!$F$34+'Appendix K'!$H$34+'Appendix K'!$G$34))/((1+$Y$16)^4))</f>
        <v>14741774.563617498</v>
      </c>
      <c r="AC565" s="193">
        <f>(((F565*'Appendix K'!$C$9*1000)-('Appendix K'!$E$35+'Appendix K'!$F$35+'Appendix K'!$H$35+'Appendix K'!$G$35))/((1+$Y$16)^AC$34))</f>
        <v>17945190.524536882</v>
      </c>
      <c r="AD565" s="193">
        <f>(((G565*'Appendix K'!$C$10*1000)-('Appendix K'!$E$36+'Appendix K'!$F$36+'Appendix K'!$H$36+'Appendix K'!$G$36))/((1+$Y$16)^AD$34))</f>
        <v>10905811.175142588</v>
      </c>
      <c r="AE565" s="193">
        <f>(((H565*'Appendix K'!$C$11*1000)-('Appendix K'!$E$37+'Appendix K'!$F$37+'Appendix K'!$H$37+'Appendix K'!$G$37))/((1+$Y$16)^AE$34))</f>
        <v>3707563.6922618952</v>
      </c>
      <c r="AF565" s="193">
        <f>(((I565*'Appendix K'!$C$12*1000)-('Appendix K'!$E$38+'Appendix K'!$F$38+'Appendix K'!$H$38+'Appendix K'!$G$38))/((1+$Y$16)^AF$34))</f>
        <v>3042244.9229876632</v>
      </c>
      <c r="AG565" s="193">
        <f>(((J565*'Appendix K'!$C$13*1000)-('Appendix K'!$E$39+'Appendix K'!$F$39+'Appendix K'!$H$39+'Appendix K'!$G$39))/((1+$Y$16)^AG$34))</f>
        <v>2446347.8233718565</v>
      </c>
      <c r="AH565" s="193">
        <f>(((K565*'Appendix K'!$C$14*1000)-('Appendix K'!$E$40+'Appendix K'!$F$40+'Appendix K'!$H$40+'Appendix K'!$G$40))/((1+$Y$16)^AH$34))</f>
        <v>2466653.3185713198</v>
      </c>
      <c r="AI565" s="193">
        <f>(((L565*'Appendix K'!$C$15*1000)-('Appendix K'!$E$41+'Appendix K'!$F$41+'Appendix K'!$H$41+'Appendix K'!$G$41))/((1+$Y$16)^AI$34))</f>
        <v>748770.95781095501</v>
      </c>
      <c r="AJ565" s="193">
        <f>(((M565*'Appendix K'!$C$16*1000)-('Appendix K'!$E$42+'Appendix K'!$F$42+'Appendix K'!$H$42+'Appendix K'!$G$42))/((1+$Y$16)^AJ$34))</f>
        <v>1276380.8892252606</v>
      </c>
      <c r="AK565" s="193">
        <f>(((N565*'Appendix K'!$C$17*1000)-('Appendix K'!$E$43+'Appendix K'!$F$43+'Appendix K'!$H$43))/((1+$Y$16)^AK$34))</f>
        <v>470124.58884548926</v>
      </c>
      <c r="AL565" s="193">
        <f>(((O565*'Appendix K'!$C$18*1000)-('Appendix K'!$E$44+'Appendix K'!$F$44+'Appendix K'!$H$44+'Appendix K'!$G$44))/((1+$Y$16)^AL$34))</f>
        <v>229841.62824925093</v>
      </c>
      <c r="AM565" s="193">
        <f>(((P565*'Appendix K'!$C$19*1000)-('Appendix K'!$E$45+'Appendix K'!$F$45+'Appendix K'!$H$45+'Appendix K'!$G$45))/((1+$Y$16)^AM$34))</f>
        <v>321967.10160286265</v>
      </c>
      <c r="AN565" s="193">
        <f>(((Q565*'Appendix K'!$C$20*1000)-('Appendix K'!$E$46+'Appendix K'!$F$46+'Appendix K'!$H$46+'Appendix K'!$G$46))/((1+$Y$16)^AN$34))</f>
        <v>452757.24244385283</v>
      </c>
      <c r="AO565" s="193">
        <f>(((R565*'Appendix K'!$C$21*1000)-('Appendix K'!$E$47+'Appendix K'!$F$47+'Appendix K'!$H$47+'Appendix K'!$G$47))/((1+$Y$16)^AO$34))</f>
        <v>408385.22770346416</v>
      </c>
      <c r="AP565" s="193">
        <f>(((S565*'Appendix K'!$C$22*1000)-('Appendix K'!$E$48+'Appendix K'!$F$48+'Appendix K'!$H$48+'Appendix K'!$G$48))/((1+$Y$16)^AP$34))</f>
        <v>462611.47647976194</v>
      </c>
      <c r="AQ565" s="193">
        <f>(((T565*'Appendix K'!$C$23*1000)-('Appendix K'!$E$49+'Appendix K'!$F$49+'Appendix K'!$H$49+'Appendix K'!$G$49))/((1+$Y$16)^AQ$34))</f>
        <v>200467.88756688096</v>
      </c>
      <c r="AR565" s="193">
        <f>(((U565*'Appendix K'!$C$24*1000)-('Appendix K'!$E$50+'Appendix K'!$F$50+'Appendix K'!$H$50+'Appendix K'!$G$50))/((1+$Y$16)^AR$34))</f>
        <v>35180.426453809901</v>
      </c>
      <c r="AS565" s="209">
        <f t="shared" si="32"/>
        <v>75883388.209250838</v>
      </c>
      <c r="AU565" s="199">
        <f t="shared" si="31"/>
        <v>6.881015745243966E-9</v>
      </c>
    </row>
    <row r="566" spans="1:47" x14ac:dyDescent="0.35">
      <c r="A566">
        <v>532</v>
      </c>
      <c r="B566" s="70">
        <v>56</v>
      </c>
      <c r="C566" s="70">
        <v>69.064777837556505</v>
      </c>
      <c r="D566" s="70">
        <v>71.00207737703073</v>
      </c>
      <c r="E566" s="70">
        <v>43.551001166621603</v>
      </c>
      <c r="F566" s="70">
        <v>32.624110793843514</v>
      </c>
      <c r="G566" s="70">
        <v>29.793971750759251</v>
      </c>
      <c r="H566" s="70">
        <v>20.694341018991178</v>
      </c>
      <c r="I566" s="70">
        <v>12.533345970777503</v>
      </c>
      <c r="J566" s="70">
        <v>14.590674010350671</v>
      </c>
      <c r="K566" s="70">
        <v>21.056827807174933</v>
      </c>
      <c r="L566" s="70">
        <v>30.310263507528518</v>
      </c>
      <c r="M566" s="70">
        <v>43.847321398109628</v>
      </c>
      <c r="N566" s="70">
        <v>30.599227039015538</v>
      </c>
      <c r="O566" s="70">
        <v>32.568458679347167</v>
      </c>
      <c r="P566" s="70">
        <v>45.538090639599623</v>
      </c>
      <c r="Q566" s="70">
        <v>58.542953746280247</v>
      </c>
      <c r="R566" s="70">
        <v>66.877385076985362</v>
      </c>
      <c r="S566" s="70">
        <v>86.52205852846771</v>
      </c>
      <c r="T566" s="70">
        <v>57.069205044180038</v>
      </c>
      <c r="U566" s="70">
        <v>57.487677091046024</v>
      </c>
      <c r="V566" s="70">
        <v>90.05766877840702</v>
      </c>
      <c r="X566" s="193">
        <f>((0-('Appendix K'!$I$30))/(1+$Y$16)^0)</f>
        <v>-33594902.4440751</v>
      </c>
      <c r="Y566" s="193">
        <f>(((B566*'Appendix K'!$C$5*1000)-('Appendix K'!$E$31+'Appendix K'!$F$31+'Appendix K'!$H$31+'Appendix K'!$G$31))/((1+$Y$16)^1))</f>
        <v>34971064.972647354</v>
      </c>
      <c r="Z566" s="193">
        <f>+(((C566*'Appendix K'!$C$6*1000)-('Appendix K'!$E$32+'Appendix K'!$F$32+'Appendix K'!$H$32+'Appendix K'!$G$32))/((1+$Y$16)^2))</f>
        <v>13959696.435345732</v>
      </c>
      <c r="AA566" s="193">
        <f>(((D566*'Appendix K'!$C$7*1000)-('Appendix K'!$E$33+'Appendix K'!$F$33+'Appendix K'!$H$33+'Appendix K'!$G$33))/((1+$Y$16)^3))</f>
        <v>6078982.4801638108</v>
      </c>
      <c r="AB566" s="193">
        <f>(((E566*'Appendix K'!$C$8*1000)-('Appendix K'!$E$34+'Appendix K'!$F$34+'Appendix K'!$H$34+'Appendix K'!$G$34))/((1+$Y$16)^4))</f>
        <v>6252772.8958254792</v>
      </c>
      <c r="AC566" s="193">
        <f>(((F566*'Appendix K'!$C$9*1000)-('Appendix K'!$E$35+'Appendix K'!$F$35+'Appendix K'!$H$35+'Appendix K'!$G$35))/((1+$Y$16)^AC$34))</f>
        <v>5687208.9007974416</v>
      </c>
      <c r="AD566" s="193">
        <f>(((G566*'Appendix K'!$C$10*1000)-('Appendix K'!$E$36+'Appendix K'!$F$36+'Appendix K'!$H$36+'Appendix K'!$G$36))/((1+$Y$16)^AD$34))</f>
        <v>2163200.0773138357</v>
      </c>
      <c r="AE566" s="193">
        <f>(((H566*'Appendix K'!$C$11*1000)-('Appendix K'!$E$37+'Appendix K'!$F$37+'Appendix K'!$H$37+'Appendix K'!$G$37))/((1+$Y$16)^AE$34))</f>
        <v>-155936.46182260348</v>
      </c>
      <c r="AF566" s="193">
        <f>(((I566*'Appendix K'!$C$12*1000)-('Appendix K'!$E$38+'Appendix K'!$F$38+'Appendix K'!$H$38+'Appendix K'!$G$38))/((1+$Y$16)^AF$34))</f>
        <v>-1173609.0952837819</v>
      </c>
      <c r="AG566" s="193">
        <f>(((J566*'Appendix K'!$C$13*1000)-('Appendix K'!$E$39+'Appendix K'!$F$39+'Appendix K'!$H$39+'Appendix K'!$G$39))/((1+$Y$16)^AG$34))</f>
        <v>-1143496.6276884596</v>
      </c>
      <c r="AH566" s="193">
        <f>(((K566*'Appendix K'!$C$14*1000)-('Appendix K'!$E$40+'Appendix K'!$F$40+'Appendix K'!$H$40+'Appendix K'!$G$40))/((1+$Y$16)^AH$34))</f>
        <v>-922988.62617742678</v>
      </c>
      <c r="AI566" s="193">
        <f>(((L566*'Appendix K'!$C$15*1000)-('Appendix K'!$E$41+'Appendix K'!$F$41+'Appendix K'!$H$41+'Appendix K'!$G$41))/((1+$Y$16)^AI$34))</f>
        <v>-722295.76396308921</v>
      </c>
      <c r="AJ566" s="193">
        <f>(((M566*'Appendix K'!$C$16*1000)-('Appendix K'!$E$42+'Appendix K'!$F$42+'Appendix K'!$H$42+'Appendix K'!$G$42))/((1+$Y$16)^AJ$34))</f>
        <v>-502768.77590765327</v>
      </c>
      <c r="AK566" s="193">
        <f>(((N566*'Appendix K'!$C$17*1000)-('Appendix K'!$E$43+'Appendix K'!$F$43+'Appendix K'!$H$43))/((1+$Y$16)^AK$34))</f>
        <v>-534135.22971986525</v>
      </c>
      <c r="AL566" s="193">
        <f>(((O566*'Appendix K'!$C$18*1000)-('Appendix K'!$E$44+'Appendix K'!$F$44+'Appendix K'!$H$44+'Appendix K'!$G$44))/((1+$Y$16)^AL$34))</f>
        <v>-748545.60160568601</v>
      </c>
      <c r="AM566" s="193">
        <f>(((P566*'Appendix K'!$C$19*1000)-('Appendix K'!$E$45+'Appendix K'!$F$45+'Appendix K'!$H$45+'Appendix K'!$G$45))/((1+$Y$16)^AM$34))</f>
        <v>-604685.5936425922</v>
      </c>
      <c r="AN566" s="193">
        <f>(((Q566*'Appendix K'!$C$20*1000)-('Appendix K'!$E$46+'Appendix K'!$F$46+'Appendix K'!$H$46+'Appendix K'!$G$46))/((1+$Y$16)^AN$34))</f>
        <v>-492079.32812371169</v>
      </c>
      <c r="AO566" s="193">
        <f>(((R566*'Appendix K'!$C$21*1000)-('Appendix K'!$E$47+'Appendix K'!$F$47+'Appendix K'!$H$47+'Appendix K'!$G$47))/((1+$Y$16)^AO$34))</f>
        <v>-447746.1909598257</v>
      </c>
      <c r="AP566" s="193">
        <f>(((S566*'Appendix K'!$C$22*1000)-('Appendix K'!$E$48+'Appendix K'!$F$48+'Appendix K'!$H$48+'Appendix K'!$G$48))/((1+$Y$16)^AP$34))</f>
        <v>-350036.85560088506</v>
      </c>
      <c r="AQ566" s="193">
        <f>(((T566*'Appendix K'!$C$23*1000)-('Appendix K'!$E$49+'Appendix K'!$F$49+'Appendix K'!$H$49+'Appendix K'!$G$49))/((1+$Y$16)^AQ$34))</f>
        <v>-470131.37306005065</v>
      </c>
      <c r="AR566" s="193">
        <f>(((U566*'Appendix K'!$C$24*1000)-('Appendix K'!$E$50+'Appendix K'!$F$50+'Appendix K'!$H$50+'Appendix K'!$G$50))/((1+$Y$16)^AR$34))</f>
        <v>-444176.93833604461</v>
      </c>
      <c r="AS566" s="209">
        <f t="shared" si="32"/>
        <v>35518023.318018563</v>
      </c>
      <c r="AU566" s="199">
        <f t="shared" si="31"/>
        <v>4.6124318875125388E-9</v>
      </c>
    </row>
    <row r="567" spans="1:47" x14ac:dyDescent="0.35">
      <c r="A567">
        <v>533</v>
      </c>
      <c r="B567" s="70">
        <v>56</v>
      </c>
      <c r="C567" s="70">
        <v>45.285291294376556</v>
      </c>
      <c r="D567" s="70">
        <v>62.44233497514611</v>
      </c>
      <c r="E567" s="70">
        <v>112.45002550389148</v>
      </c>
      <c r="F567" s="70">
        <v>124.45131724256294</v>
      </c>
      <c r="G567" s="70">
        <v>148.82669326729768</v>
      </c>
      <c r="H567" s="70">
        <v>78.97064782460275</v>
      </c>
      <c r="I567" s="70">
        <v>74.162594666142013</v>
      </c>
      <c r="J567" s="70">
        <v>36.211093081965899</v>
      </c>
      <c r="K567" s="70">
        <v>41.164904820782752</v>
      </c>
      <c r="L567" s="70">
        <v>51.257143653668585</v>
      </c>
      <c r="M567" s="70">
        <v>34.612096781992946</v>
      </c>
      <c r="N567" s="70">
        <v>44.039992093141365</v>
      </c>
      <c r="O567" s="70">
        <v>37.428399138798859</v>
      </c>
      <c r="P567" s="70">
        <v>52.875872372355246</v>
      </c>
      <c r="Q567" s="70">
        <v>45.251225912801871</v>
      </c>
      <c r="R567" s="70">
        <v>34.857183025089121</v>
      </c>
      <c r="S567" s="70">
        <v>69.210352493906669</v>
      </c>
      <c r="T567" s="70">
        <v>80.071486248978474</v>
      </c>
      <c r="U567" s="70">
        <v>51.212612839594051</v>
      </c>
      <c r="V567" s="70">
        <v>45.604242708323262</v>
      </c>
      <c r="X567" s="193">
        <f>((0-('Appendix K'!$I$30))/(1+$Y$16)^0)</f>
        <v>-33594902.4440751</v>
      </c>
      <c r="Y567" s="193">
        <f>(((B567*'Appendix K'!$C$5*1000)-('Appendix K'!$E$31+'Appendix K'!$F$31+'Appendix K'!$H$31+'Appendix K'!$G$31))/((1+$Y$16)^1))</f>
        <v>34971064.972647354</v>
      </c>
      <c r="Z567" s="193">
        <f>+(((C567*'Appendix K'!$C$6*1000)-('Appendix K'!$E$32+'Appendix K'!$F$32+'Appendix K'!$H$32+'Appendix K'!$G$32))/((1+$Y$16)^2))</f>
        <v>7952591.4310294306</v>
      </c>
      <c r="AA567" s="193">
        <f>(((D567*'Appendix K'!$C$7*1000)-('Appendix K'!$E$33+'Appendix K'!$F$33+'Appendix K'!$H$33+'Appendix K'!$G$33))/((1+$Y$16)^3))</f>
        <v>4988686.3843024243</v>
      </c>
      <c r="AB567" s="193">
        <f>(((E567*'Appendix K'!$C$8*1000)-('Appendix K'!$E$34+'Appendix K'!$F$34+'Appendix K'!$H$34+'Appendix K'!$G$34))/((1+$Y$16)^4))</f>
        <v>21354808.320693269</v>
      </c>
      <c r="AC567" s="193">
        <f>(((F567*'Appendix K'!$C$9*1000)-('Appendix K'!$E$35+'Appendix K'!$F$35+'Appendix K'!$H$35+'Appendix K'!$G$35))/((1+$Y$16)^AC$34))</f>
        <v>30094736.180277225</v>
      </c>
      <c r="AD567" s="193">
        <f>(((G567*'Appendix K'!$C$10*1000)-('Appendix K'!$E$36+'Appendix K'!$F$36+'Appendix K'!$H$36+'Appendix K'!$G$36))/((1+$Y$16)^AD$34))</f>
        <v>20856569.024012502</v>
      </c>
      <c r="AE567" s="193">
        <f>(((H567*'Appendix K'!$C$11*1000)-('Appendix K'!$E$37+'Appendix K'!$F$37+'Appendix K'!$H$37+'Appendix K'!$G$37))/((1+$Y$16)^AE$34))</f>
        <v>5656404.1963164993</v>
      </c>
      <c r="AF567" s="193">
        <f>(((I567*'Appendix K'!$C$12*1000)-('Appendix K'!$E$38+'Appendix K'!$F$38+'Appendix K'!$H$38+'Appendix K'!$G$38))/((1+$Y$16)^AF$34))</f>
        <v>2873116.9506463488</v>
      </c>
      <c r="AG567" s="193">
        <f>(((J567*'Appendix K'!$C$13*1000)-('Appendix K'!$E$39+'Appendix K'!$F$39+'Appendix K'!$H$39+'Appendix K'!$G$39))/((1+$Y$16)^AG$34))</f>
        <v>-148548.02047410764</v>
      </c>
      <c r="AH567" s="193">
        <f>(((K567*'Appendix K'!$C$14*1000)-('Appendix K'!$E$40+'Appendix K'!$F$40+'Appendix K'!$H$40+'Appendix K'!$G$40))/((1+$Y$16)^AH$34))</f>
        <v>-245215.19030342629</v>
      </c>
      <c r="AI567" s="193">
        <f>(((L567*'Appendix K'!$C$15*1000)-('Appendix K'!$E$41+'Appendix K'!$F$41+'Appendix K'!$H$41+'Appendix K'!$G$41))/((1+$Y$16)^AI$34))</f>
        <v>-173448.33327627138</v>
      </c>
      <c r="AJ567" s="193">
        <f>(((M567*'Appendix K'!$C$16*1000)-('Appendix K'!$E$42+'Appendix K'!$F$42+'Appendix K'!$H$42+'Appendix K'!$G$42))/((1+$Y$16)^AJ$34))</f>
        <v>-687859.91917533323</v>
      </c>
      <c r="AK567" s="193">
        <f>(((N567*'Appendix K'!$C$17*1000)-('Appendix K'!$E$43+'Appendix K'!$F$43+'Appendix K'!$H$43))/((1+$Y$16)^AK$34))</f>
        <v>-327632.69360905705</v>
      </c>
      <c r="AL567" s="193">
        <f>(((O567*'Appendix K'!$C$18*1000)-('Appendix K'!$E$44+'Appendix K'!$F$44+'Appendix K'!$H$44+'Appendix K'!$G$44))/((1+$Y$16)^AL$34))</f>
        <v>-690939.29729199247</v>
      </c>
      <c r="AM567" s="193">
        <f>(((P567*'Appendix K'!$C$19*1000)-('Appendix K'!$E$45+'Appendix K'!$F$45+'Appendix K'!$H$45+'Appendix K'!$G$45))/((1+$Y$16)^AM$34))</f>
        <v>-536673.66281144298</v>
      </c>
      <c r="AN567" s="193">
        <f>(((Q567*'Appendix K'!$C$20*1000)-('Appendix K'!$E$46+'Appendix K'!$F$46+'Appendix K'!$H$46+'Appendix K'!$G$46))/((1+$Y$16)^AN$34))</f>
        <v>-588261.15358137421</v>
      </c>
      <c r="AO567" s="193">
        <f>(((R567*'Appendix K'!$C$21*1000)-('Appendix K'!$E$47+'Appendix K'!$F$47+'Appendix K'!$H$47+'Appendix K'!$G$47))/((1+$Y$16)^AO$34))</f>
        <v>-636989.12267974368</v>
      </c>
      <c r="AP567" s="193">
        <f>(((S567*'Appendix K'!$C$22*1000)-('Appendix K'!$E$48+'Appendix K'!$F$48+'Appendix K'!$H$48+'Appendix K'!$G$48))/((1+$Y$16)^AP$34))</f>
        <v>-432955.0688321825</v>
      </c>
      <c r="AQ567" s="193">
        <f>(((T567*'Appendix K'!$C$23*1000)-('Appendix K'!$E$49+'Appendix K'!$F$49+'Appendix K'!$H$49+'Appendix K'!$G$49))/((1+$Y$16)^AQ$34))</f>
        <v>-380106.33315948135</v>
      </c>
      <c r="AR567" s="193">
        <f>(((U567*'Appendix K'!$C$24*1000)-('Appendix K'!$E$50+'Appendix K'!$F$50+'Appendix K'!$H$50+'Appendix K'!$G$50))/((1+$Y$16)^AR$34))</f>
        <v>-464382.82104585768</v>
      </c>
      <c r="AS567" s="209">
        <f t="shared" si="32"/>
        <v>95153075.015849948</v>
      </c>
      <c r="AU567" s="199">
        <f t="shared" si="31"/>
        <v>6.9679674517927265E-9</v>
      </c>
    </row>
    <row r="568" spans="1:47" x14ac:dyDescent="0.35">
      <c r="A568">
        <v>534</v>
      </c>
      <c r="B568" s="70">
        <v>56</v>
      </c>
      <c r="C568" s="70">
        <v>67.180829214196365</v>
      </c>
      <c r="D568" s="70">
        <v>74.705697473700752</v>
      </c>
      <c r="E568" s="70">
        <v>84.678515333444253</v>
      </c>
      <c r="F568" s="70">
        <v>103.44660364698049</v>
      </c>
      <c r="G568" s="70">
        <v>70.543323287664364</v>
      </c>
      <c r="H568" s="70">
        <v>81.684765995925375</v>
      </c>
      <c r="I568" s="70">
        <v>90.112229229604907</v>
      </c>
      <c r="J568" s="70">
        <v>110.82134182774446</v>
      </c>
      <c r="K568" s="70">
        <v>130.16644824052048</v>
      </c>
      <c r="L568" s="70">
        <v>108.14392889088839</v>
      </c>
      <c r="M568" s="70">
        <v>125.41766846120603</v>
      </c>
      <c r="N568" s="70">
        <v>200.95693731674447</v>
      </c>
      <c r="O568" s="70">
        <v>248.15347793226579</v>
      </c>
      <c r="P568" s="70">
        <v>283.10890612632011</v>
      </c>
      <c r="Q568" s="70">
        <v>298.71176888596602</v>
      </c>
      <c r="R568" s="70">
        <v>414.50429934257545</v>
      </c>
      <c r="S568" s="70">
        <v>500</v>
      </c>
      <c r="T568" s="70">
        <v>443.8210493409357</v>
      </c>
      <c r="U568" s="70">
        <v>500</v>
      </c>
      <c r="V568" s="70">
        <v>500</v>
      </c>
      <c r="X568" s="193">
        <f>((0-('Appendix K'!$I$30))/(1+$Y$16)^0)</f>
        <v>-33594902.4440751</v>
      </c>
      <c r="Y568" s="193">
        <f>(((B568*'Appendix K'!$C$5*1000)-('Appendix K'!$E$31+'Appendix K'!$F$31+'Appendix K'!$H$31+'Appendix K'!$G$31))/((1+$Y$16)^1))</f>
        <v>34971064.972647354</v>
      </c>
      <c r="Z568" s="193">
        <f>+(((C568*'Appendix K'!$C$6*1000)-('Appendix K'!$E$32+'Appendix K'!$F$32+'Appendix K'!$H$32+'Appendix K'!$G$32))/((1+$Y$16)^2))</f>
        <v>13483778.791677883</v>
      </c>
      <c r="AA568" s="193">
        <f>(((D568*'Appendix K'!$C$7*1000)-('Appendix K'!$E$33+'Appendix K'!$F$33+'Appendix K'!$H$33+'Appendix K'!$G$33))/((1+$Y$16)^3))</f>
        <v>6550730.6172413975</v>
      </c>
      <c r="AB568" s="193">
        <f>(((E568*'Appendix K'!$C$8*1000)-('Appendix K'!$E$34+'Appendix K'!$F$34+'Appendix K'!$H$34+'Appendix K'!$G$34))/((1+$Y$16)^4))</f>
        <v>15267547.51503773</v>
      </c>
      <c r="AC568" s="193">
        <f>(((F568*'Appendix K'!$C$9*1000)-('Appendix K'!$E$35+'Appendix K'!$F$35+'Appendix K'!$H$35+'Appendix K'!$G$35))/((1+$Y$16)^AC$34))</f>
        <v>24511716.28989061</v>
      </c>
      <c r="AD568" s="193">
        <f>(((G568*'Appendix K'!$C$10*1000)-('Appendix K'!$E$36+'Appendix K'!$F$36+'Appendix K'!$H$36+'Appendix K'!$G$36))/((1+$Y$16)^AD$34))</f>
        <v>8562639.2643969674</v>
      </c>
      <c r="AE568" s="193">
        <f>(((H568*'Appendix K'!$C$11*1000)-('Appendix K'!$E$37+'Appendix K'!$F$37+'Appendix K'!$H$37+'Appendix K'!$G$37))/((1+$Y$16)^AE$34))</f>
        <v>5927103.9071062291</v>
      </c>
      <c r="AF568" s="193">
        <f>(((I568*'Appendix K'!$C$12*1000)-('Appendix K'!$E$38+'Appendix K'!$F$38+'Appendix K'!$H$38+'Appendix K'!$G$38))/((1+$Y$16)^AF$34))</f>
        <v>3920408.6664690576</v>
      </c>
      <c r="AG568" s="193">
        <f>(((J568*'Appendix K'!$C$13*1000)-('Appendix K'!$E$39+'Appendix K'!$F$39+'Appendix K'!$H$39+'Appendix K'!$G$39))/((1+$Y$16)^AG$34))</f>
        <v>3284935.9849764341</v>
      </c>
      <c r="AH568" s="193">
        <f>(((K568*'Appendix K'!$C$14*1000)-('Appendix K'!$E$40+'Appendix K'!$F$40+'Appendix K'!$H$40+'Appendix K'!$G$40))/((1+$Y$16)^AH$34))</f>
        <v>2754717.7143130694</v>
      </c>
      <c r="AI568" s="193">
        <f>(((L568*'Appendix K'!$C$15*1000)-('Appendix K'!$E$41+'Appendix K'!$F$41+'Appendix K'!$H$41+'Appendix K'!$G$41))/((1+$Y$16)^AI$34))</f>
        <v>1317091.8187489111</v>
      </c>
      <c r="AJ568" s="193">
        <f>(((M568*'Appendix K'!$C$16*1000)-('Appendix K'!$E$42+'Appendix K'!$F$42+'Appendix K'!$H$42+'Appendix K'!$G$42))/((1+$Y$16)^AJ$34))</f>
        <v>1132053.2692759638</v>
      </c>
      <c r="AK568" s="193">
        <f>(((N568*'Appendix K'!$C$17*1000)-('Appendix K'!$E$43+'Appendix K'!$F$43+'Appendix K'!$H$43))/((1+$Y$16)^AK$34))</f>
        <v>2083223.1629545582</v>
      </c>
      <c r="AL568" s="193">
        <f>(((O568*'Appendix K'!$C$18*1000)-('Appendix K'!$E$44+'Appendix K'!$F$44+'Appendix K'!$H$44+'Appendix K'!$G$44))/((1+$Y$16)^AL$34))</f>
        <v>1806847.0679494159</v>
      </c>
      <c r="AM568" s="193">
        <f>(((P568*'Appendix K'!$C$19*1000)-('Appendix K'!$E$45+'Appendix K'!$F$45+'Appendix K'!$H$45+'Appendix K'!$G$45))/((1+$Y$16)^AM$34))</f>
        <v>1597294.5767753008</v>
      </c>
      <c r="AN568" s="193">
        <f>(((Q568*'Appendix K'!$C$20*1000)-('Appendix K'!$E$46+'Appendix K'!$F$46+'Appendix K'!$H$46+'Appendix K'!$G$46))/((1+$Y$16)^AN$34))</f>
        <v>1245834.3086539216</v>
      </c>
      <c r="AO568" s="193">
        <f>(((R568*'Appendix K'!$C$21*1000)-('Appendix K'!$E$47+'Appendix K'!$F$47+'Appendix K'!$H$47+'Appendix K'!$G$47))/((1+$Y$16)^AO$34))</f>
        <v>1606767.2781852868</v>
      </c>
      <c r="AP568" s="193">
        <f>(((S568*'Appendix K'!$C$22*1000)-('Appendix K'!$E$48+'Appendix K'!$F$48+'Appendix K'!$H$48+'Appendix K'!$G$48))/((1+$Y$16)^AP$34))</f>
        <v>1630406.4380253027</v>
      </c>
      <c r="AQ568" s="193">
        <f>(((T568*'Appendix K'!$C$23*1000)-('Appendix K'!$E$49+'Appendix K'!$F$49+'Appendix K'!$H$49+'Appendix K'!$G$49))/((1+$Y$16)^AQ$34))</f>
        <v>1043516.3345060599</v>
      </c>
      <c r="AR568" s="193">
        <f>(((U568*'Appendix K'!$C$24*1000)-('Appendix K'!$E$50+'Appendix K'!$F$50+'Appendix K'!$H$50+'Appendix K'!$G$50))/((1+$Y$16)^AR$34))</f>
        <v>980725.14012097823</v>
      </c>
      <c r="AS568" s="209">
        <f t="shared" si="32"/>
        <v>100083500.67487735</v>
      </c>
      <c r="AU568" s="199">
        <f t="shared" si="31"/>
        <v>6.8620969699433709E-9</v>
      </c>
    </row>
    <row r="569" spans="1:47" x14ac:dyDescent="0.35">
      <c r="A569">
        <v>535</v>
      </c>
      <c r="B569" s="70">
        <v>56</v>
      </c>
      <c r="C569" s="70">
        <v>70.04278934500752</v>
      </c>
      <c r="D569" s="70">
        <v>92.867794884805022</v>
      </c>
      <c r="E569" s="70">
        <v>135.66988157638912</v>
      </c>
      <c r="F569" s="70">
        <v>91.513950397058125</v>
      </c>
      <c r="G569" s="70">
        <v>131.42065732248824</v>
      </c>
      <c r="H569" s="70">
        <v>72.400557313700745</v>
      </c>
      <c r="I569" s="70">
        <v>96.510022280887398</v>
      </c>
      <c r="J569" s="70">
        <v>77.946828527725842</v>
      </c>
      <c r="K569" s="70">
        <v>135.56826051849248</v>
      </c>
      <c r="L569" s="70">
        <v>123.71098747688643</v>
      </c>
      <c r="M569" s="70">
        <v>119.34802865540135</v>
      </c>
      <c r="N569" s="70">
        <v>127.81551569297982</v>
      </c>
      <c r="O569" s="70">
        <v>49.557450604542979</v>
      </c>
      <c r="P569" s="70">
        <v>80.975937514752289</v>
      </c>
      <c r="Q569" s="70">
        <v>71.209022365346627</v>
      </c>
      <c r="R569" s="70">
        <v>74.601282501011099</v>
      </c>
      <c r="S569" s="70">
        <v>137.62718699202185</v>
      </c>
      <c r="T569" s="70">
        <v>146.51093553549501</v>
      </c>
      <c r="U569" s="70">
        <v>103.84983148592414</v>
      </c>
      <c r="V569" s="70">
        <v>153.70607726036039</v>
      </c>
      <c r="X569" s="193">
        <f>((0-('Appendix K'!$I$30))/(1+$Y$16)^0)</f>
        <v>-33594902.4440751</v>
      </c>
      <c r="Y569" s="193">
        <f>(((B569*'Appendix K'!$C$5*1000)-('Appendix K'!$E$31+'Appendix K'!$F$31+'Appendix K'!$H$31+'Appendix K'!$G$31))/((1+$Y$16)^1))</f>
        <v>34971064.972647354</v>
      </c>
      <c r="Z569" s="193">
        <f>+(((C569*'Appendix K'!$C$6*1000)-('Appendix K'!$E$32+'Appendix K'!$F$32+'Appendix K'!$H$32+'Appendix K'!$G$32))/((1+$Y$16)^2))</f>
        <v>14206758.869180026</v>
      </c>
      <c r="AA569" s="193">
        <f>(((D569*'Appendix K'!$C$7*1000)-('Appendix K'!$E$33+'Appendix K'!$F$33+'Appendix K'!$H$33+'Appendix K'!$G$33))/((1+$Y$16)^3))</f>
        <v>8864125.4567427933</v>
      </c>
      <c r="AB569" s="193">
        <f>(((E569*'Appendix K'!$C$8*1000)-('Appendix K'!$E$34+'Appendix K'!$F$34+'Appendix K'!$H$34+'Appendix K'!$G$34))/((1+$Y$16)^4))</f>
        <v>26444388.214461129</v>
      </c>
      <c r="AC569" s="193">
        <f>(((F569*'Appendix K'!$C$9*1000)-('Appendix K'!$E$35+'Appendix K'!$F$35+'Appendix K'!$H$35+'Appendix K'!$G$35))/((1+$Y$16)^AC$34))</f>
        <v>21340035.793689314</v>
      </c>
      <c r="AD569" s="193">
        <f>(((G569*'Appendix K'!$C$10*1000)-('Appendix K'!$E$36+'Appendix K'!$F$36+'Appendix K'!$H$36+'Appendix K'!$G$36))/((1+$Y$16)^AD$34))</f>
        <v>18123056.359004557</v>
      </c>
      <c r="AE569" s="193">
        <f>(((H569*'Appendix K'!$C$11*1000)-('Appendix K'!$E$37+'Appendix K'!$F$37+'Appendix K'!$H$37+'Appendix K'!$G$37))/((1+$Y$16)^AE$34))</f>
        <v>5001118.9475180553</v>
      </c>
      <c r="AF569" s="193">
        <f>(((I569*'Appendix K'!$C$12*1000)-('Appendix K'!$E$38+'Appendix K'!$F$38+'Appendix K'!$H$38+'Appendix K'!$G$38))/((1+$Y$16)^AF$34))</f>
        <v>4340503.2859097617</v>
      </c>
      <c r="AG569" s="193">
        <f>(((J569*'Appendix K'!$C$13*1000)-('Appendix K'!$E$39+'Appendix K'!$F$39+'Appendix K'!$H$39+'Appendix K'!$G$39))/((1+$Y$16)^AG$34))</f>
        <v>1772085.9744211289</v>
      </c>
      <c r="AH569" s="193">
        <f>(((K569*'Appendix K'!$C$14*1000)-('Appendix K'!$E$40+'Appendix K'!$F$40+'Appendix K'!$H$40+'Appendix K'!$G$40))/((1+$Y$16)^AH$34))</f>
        <v>2936794.0443922598</v>
      </c>
      <c r="AI569" s="193">
        <f>(((L569*'Appendix K'!$C$15*1000)-('Appendix K'!$E$41+'Appendix K'!$F$41+'Appendix K'!$H$41+'Appendix K'!$G$41))/((1+$Y$16)^AI$34))</f>
        <v>1724977.8642443593</v>
      </c>
      <c r="AJ569" s="193">
        <f>(((M569*'Appendix K'!$C$16*1000)-('Appendix K'!$E$42+'Appendix K'!$F$42+'Appendix K'!$H$42+'Appendix K'!$G$42))/((1+$Y$16)^AJ$34))</f>
        <v>1010406.3556839695</v>
      </c>
      <c r="AK569" s="193">
        <f>(((N569*'Appendix K'!$C$17*1000)-('Appendix K'!$E$43+'Appendix K'!$F$43+'Appendix K'!$H$43))/((1+$Y$16)^AK$34))</f>
        <v>959485.86085649242</v>
      </c>
      <c r="AL569" s="193">
        <f>(((O569*'Appendix K'!$C$18*1000)-('Appendix K'!$E$44+'Appendix K'!$F$44+'Appendix K'!$H$44+'Appendix K'!$G$44))/((1+$Y$16)^AL$34))</f>
        <v>-547170.08126934688</v>
      </c>
      <c r="AM569" s="193">
        <f>(((P569*'Appendix K'!$C$19*1000)-('Appendix K'!$E$45+'Appendix K'!$F$45+'Appendix K'!$H$45+'Appendix K'!$G$45))/((1+$Y$16)^AM$34))</f>
        <v>-276221.69566117652</v>
      </c>
      <c r="AN569" s="193">
        <f>(((Q569*'Appendix K'!$C$20*1000)-('Appendix K'!$E$46+'Appendix K'!$F$46+'Appendix K'!$H$46+'Appendix K'!$G$46))/((1+$Y$16)^AN$34))</f>
        <v>-400424.908441315</v>
      </c>
      <c r="AO569" s="193">
        <f>(((R569*'Appendix K'!$C$21*1000)-('Appendix K'!$E$47+'Appendix K'!$F$47+'Appendix K'!$H$47+'Appendix K'!$G$47))/((1+$Y$16)^AO$34))</f>
        <v>-402097.10384733556</v>
      </c>
      <c r="AP569" s="193">
        <f>(((S569*'Appendix K'!$C$22*1000)-('Appendix K'!$E$48+'Appendix K'!$F$48+'Appendix K'!$H$48+'Appendix K'!$G$48))/((1+$Y$16)^AP$34))</f>
        <v>-105257.63333971666</v>
      </c>
      <c r="AQ569" s="193">
        <f>(((T569*'Appendix K'!$C$23*1000)-('Appendix K'!$E$49+'Appendix K'!$F$49+'Appendix K'!$H$49+'Appendix K'!$G$49))/((1+$Y$16)^AQ$34))</f>
        <v>-120079.3375872867</v>
      </c>
      <c r="AR569" s="193">
        <f>(((U569*'Appendix K'!$C$24*1000)-('Appendix K'!$E$50+'Appendix K'!$F$50+'Appendix K'!$H$50+'Appendix K'!$G$50))/((1+$Y$16)^AR$34))</f>
        <v>-294889.5021698901</v>
      </c>
      <c r="AS569" s="209">
        <f t="shared" si="32"/>
        <v>108099899.55467612</v>
      </c>
      <c r="AU569" s="199">
        <f t="shared" si="31"/>
        <v>6.5864017958602771E-9</v>
      </c>
    </row>
    <row r="570" spans="1:47" x14ac:dyDescent="0.35">
      <c r="A570">
        <v>536</v>
      </c>
      <c r="B570" s="70">
        <v>56</v>
      </c>
      <c r="C570" s="70">
        <v>76.809427281093647</v>
      </c>
      <c r="D570" s="70">
        <v>89.935862030675736</v>
      </c>
      <c r="E570" s="70">
        <v>137.60867055247238</v>
      </c>
      <c r="F570" s="70">
        <v>199.11375994716681</v>
      </c>
      <c r="G570" s="70">
        <v>144.37737857323785</v>
      </c>
      <c r="H570" s="70">
        <v>148.39223713753307</v>
      </c>
      <c r="I570" s="70">
        <v>159.18920738958514</v>
      </c>
      <c r="J570" s="70">
        <v>232.92397533693259</v>
      </c>
      <c r="K570" s="70">
        <v>235.14920033079514</v>
      </c>
      <c r="L570" s="70">
        <v>344.58453195219829</v>
      </c>
      <c r="M570" s="70">
        <v>437.91570013627398</v>
      </c>
      <c r="N570" s="70">
        <v>492.64720054118266</v>
      </c>
      <c r="O570" s="70">
        <v>500</v>
      </c>
      <c r="P570" s="70">
        <v>500</v>
      </c>
      <c r="Q570" s="70">
        <v>500</v>
      </c>
      <c r="R570" s="70">
        <v>500</v>
      </c>
      <c r="S570" s="70">
        <v>500</v>
      </c>
      <c r="T570" s="70">
        <v>309.9799948567682</v>
      </c>
      <c r="U570" s="70">
        <v>235.56046145540131</v>
      </c>
      <c r="V570" s="70">
        <v>256.78062456910953</v>
      </c>
      <c r="X570" s="193">
        <f>((0-('Appendix K'!$I$30))/(1+$Y$16)^0)</f>
        <v>-33594902.4440751</v>
      </c>
      <c r="Y570" s="193">
        <f>(((B570*'Appendix K'!$C$5*1000)-('Appendix K'!$E$31+'Appendix K'!$F$31+'Appendix K'!$H$31+'Appendix K'!$G$31))/((1+$Y$16)^1))</f>
        <v>34971064.972647354</v>
      </c>
      <c r="Z570" s="193">
        <f>+(((C570*'Appendix K'!$C$6*1000)-('Appendix K'!$E$32+'Appendix K'!$F$32+'Appendix K'!$H$32+'Appendix K'!$G$32))/((1+$Y$16)^2))</f>
        <v>15916127.342483649</v>
      </c>
      <c r="AA570" s="193">
        <f>(((D570*'Appendix K'!$C$7*1000)-('Appendix K'!$E$33+'Appendix K'!$F$33+'Appendix K'!$H$33+'Appendix K'!$G$33))/((1+$Y$16)^3))</f>
        <v>8490670.883684488</v>
      </c>
      <c r="AB570" s="193">
        <f>(((E570*'Appendix K'!$C$8*1000)-('Appendix K'!$E$34+'Appendix K'!$F$34+'Appendix K'!$H$34+'Appendix K'!$G$34))/((1+$Y$16)^4))</f>
        <v>26869353.010113746</v>
      </c>
      <c r="AC570" s="193">
        <f>(((F570*'Appendix K'!$C$9*1000)-('Appendix K'!$E$35+'Appendix K'!$F$35+'Appendix K'!$H$35+'Appendix K'!$G$35))/((1+$Y$16)^AC$34))</f>
        <v>49939896.210086979</v>
      </c>
      <c r="AD570" s="193">
        <f>(((G570*'Appendix K'!$C$10*1000)-('Appendix K'!$E$36+'Appendix K'!$F$36+'Appendix K'!$H$36+'Appendix K'!$G$36))/((1+$Y$16)^AD$34))</f>
        <v>20157831.062917724</v>
      </c>
      <c r="AE570" s="193">
        <f>(((H570*'Appendix K'!$C$11*1000)-('Appendix K'!$E$37+'Appendix K'!$F$37+'Appendix K'!$H$37+'Appendix K'!$G$37))/((1+$Y$16)^AE$34))</f>
        <v>12580348.904448306</v>
      </c>
      <c r="AF570" s="193">
        <f>(((I570*'Appendix K'!$C$12*1000)-('Appendix K'!$E$38+'Appendix K'!$F$38+'Appendix K'!$H$38+'Appendix K'!$G$38))/((1+$Y$16)^AF$34))</f>
        <v>8456170.7049760167</v>
      </c>
      <c r="AG570" s="193">
        <f>(((J570*'Appendix K'!$C$13*1000)-('Appendix K'!$E$39+'Appendix K'!$F$39+'Appendix K'!$H$39+'Appendix K'!$G$39))/((1+$Y$16)^AG$34))</f>
        <v>8903968.8420530185</v>
      </c>
      <c r="AH570" s="193">
        <f>(((K570*'Appendix K'!$C$14*1000)-('Appendix K'!$E$40+'Appendix K'!$F$40+'Appendix K'!$H$40+'Appendix K'!$G$40))/((1+$Y$16)^AH$34))</f>
        <v>6293321.6565787168</v>
      </c>
      <c r="AI570" s="193">
        <f>(((L570*'Appendix K'!$C$15*1000)-('Appendix K'!$E$41+'Appendix K'!$F$41+'Appendix K'!$H$41+'Appendix K'!$G$41))/((1+$Y$16)^AI$34))</f>
        <v>7512277.7650510259</v>
      </c>
      <c r="AJ570" s="193">
        <f>(((M570*'Appendix K'!$C$16*1000)-('Appendix K'!$E$42+'Appendix K'!$F$42+'Appendix K'!$H$42+'Appendix K'!$G$42))/((1+$Y$16)^AJ$34))</f>
        <v>7395097.25097821</v>
      </c>
      <c r="AK570" s="193">
        <f>(((N570*'Appendix K'!$C$17*1000)-('Appendix K'!$E$43+'Appendix K'!$F$43+'Appendix K'!$H$43))/((1+$Y$16)^AK$34))</f>
        <v>6564722.4579806095</v>
      </c>
      <c r="AL570" s="193">
        <f>(((O570*'Appendix K'!$C$18*1000)-('Appendix K'!$E$44+'Appendix K'!$F$44+'Appendix K'!$H$44+'Appendix K'!$G$44))/((1+$Y$16)^AL$34))</f>
        <v>4792058.0003928225</v>
      </c>
      <c r="AM570" s="193">
        <f>(((P570*'Appendix K'!$C$19*1000)-('Appendix K'!$E$45+'Appendix K'!$F$45+'Appendix K'!$H$45+'Appendix K'!$G$45))/((1+$Y$16)^AM$34))</f>
        <v>3607599.9540230581</v>
      </c>
      <c r="AN570" s="193">
        <f>(((Q570*'Appendix K'!$C$20*1000)-('Appendix K'!$E$46+'Appendix K'!$F$46+'Appendix K'!$H$46+'Appendix K'!$G$46))/((1+$Y$16)^AN$34))</f>
        <v>2702399.606577659</v>
      </c>
      <c r="AO570" s="193">
        <f>(((R570*'Appendix K'!$C$21*1000)-('Appendix K'!$E$47+'Appendix K'!$F$47+'Appendix K'!$H$47+'Appendix K'!$G$47))/((1+$Y$16)^AO$34))</f>
        <v>2112056.3146391152</v>
      </c>
      <c r="AP570" s="193">
        <f>(((S570*'Appendix K'!$C$22*1000)-('Appendix K'!$E$48+'Appendix K'!$F$48+'Appendix K'!$H$48+'Appendix K'!$G$48))/((1+$Y$16)^AP$34))</f>
        <v>1630406.4380253027</v>
      </c>
      <c r="AQ570" s="193">
        <f>(((T570*'Appendix K'!$C$23*1000)-('Appendix K'!$E$49+'Appendix K'!$F$49+'Appendix K'!$H$49+'Appendix K'!$G$49))/((1+$Y$16)^AQ$34))</f>
        <v>519696.71144372044</v>
      </c>
      <c r="AR570" s="193">
        <f>(((U570*'Appendix K'!$C$24*1000)-('Appendix K'!$E$50+'Appendix K'!$F$50+'Appendix K'!$H$50+'Appendix K'!$G$50))/((1+$Y$16)^AR$34))</f>
        <v>129222.41671333965</v>
      </c>
      <c r="AS570" s="209">
        <f t="shared" si="32"/>
        <v>195949388.06173977</v>
      </c>
      <c r="AU570" s="199">
        <f t="shared" si="31"/>
        <v>1.1367686791617051E-9</v>
      </c>
    </row>
    <row r="571" spans="1:47" x14ac:dyDescent="0.35">
      <c r="A571">
        <v>537</v>
      </c>
      <c r="B571" s="70">
        <v>56</v>
      </c>
      <c r="C571" s="70">
        <v>40.144188431850552</v>
      </c>
      <c r="D571" s="70">
        <v>41.081528262574452</v>
      </c>
      <c r="E571" s="70">
        <v>55.089878976687523</v>
      </c>
      <c r="F571" s="70">
        <v>45.187916421150938</v>
      </c>
      <c r="G571" s="70">
        <v>66.520594801700611</v>
      </c>
      <c r="H571" s="70">
        <v>42.97490118286288</v>
      </c>
      <c r="I571" s="70">
        <v>60.360944146486219</v>
      </c>
      <c r="J571" s="70">
        <v>54.151064909570074</v>
      </c>
      <c r="K571" s="70">
        <v>63.566315684039296</v>
      </c>
      <c r="L571" s="70">
        <v>91.366019781537574</v>
      </c>
      <c r="M571" s="70">
        <v>35.547681489351511</v>
      </c>
      <c r="N571" s="70">
        <v>49.072926527094822</v>
      </c>
      <c r="O571" s="70">
        <v>51.795917223332552</v>
      </c>
      <c r="P571" s="70">
        <v>52.875202563107443</v>
      </c>
      <c r="Q571" s="70">
        <v>62.158195949545458</v>
      </c>
      <c r="R571" s="70">
        <v>61.841868127655971</v>
      </c>
      <c r="S571" s="70">
        <v>89.545653750853219</v>
      </c>
      <c r="T571" s="70">
        <v>128.92131225217224</v>
      </c>
      <c r="U571" s="70">
        <v>128.08702266774731</v>
      </c>
      <c r="V571" s="70">
        <v>190.4882804594717</v>
      </c>
      <c r="X571" s="193">
        <f>((0-('Appendix K'!$I$30))/(1+$Y$16)^0)</f>
        <v>-33594902.4440751</v>
      </c>
      <c r="Y571" s="193">
        <f>(((B571*'Appendix K'!$C$5*1000)-('Appendix K'!$E$31+'Appendix K'!$F$31+'Appendix K'!$H$31+'Appendix K'!$G$31))/((1+$Y$16)^1))</f>
        <v>34971064.972647354</v>
      </c>
      <c r="Z571" s="193">
        <f>+(((C571*'Appendix K'!$C$6*1000)-('Appendix K'!$E$32+'Appendix K'!$F$32+'Appendix K'!$H$32+'Appendix K'!$G$32))/((1+$Y$16)^2))</f>
        <v>6653860.9190351646</v>
      </c>
      <c r="AA571" s="193">
        <f>(((D571*'Appendix K'!$C$7*1000)-('Appendix K'!$E$33+'Appendix K'!$F$33+'Appendix K'!$H$33+'Appendix K'!$G$33))/((1+$Y$16)^3))</f>
        <v>2267856.3558147885</v>
      </c>
      <c r="AB571" s="193">
        <f>(((E571*'Appendix K'!$C$8*1000)-('Appendix K'!$E$34+'Appendix K'!$F$34+'Appendix K'!$H$34+'Appendix K'!$G$34))/((1+$Y$16)^4))</f>
        <v>8781989.2835323345</v>
      </c>
      <c r="AC571" s="193">
        <f>(((F571*'Appendix K'!$C$9*1000)-('Appendix K'!$E$35+'Appendix K'!$F$35+'Appendix K'!$H$35+'Appendix K'!$G$35))/((1+$Y$16)^AC$34))</f>
        <v>9026648.7078206036</v>
      </c>
      <c r="AD571" s="193">
        <f>(((G571*'Appendix K'!$C$10*1000)-('Appendix K'!$E$36+'Appendix K'!$F$36+'Appendix K'!$H$36+'Appendix K'!$G$36))/((1+$Y$16)^AD$34))</f>
        <v>7930894.0870839627</v>
      </c>
      <c r="AE571" s="193">
        <f>(((H571*'Appendix K'!$C$11*1000)-('Appendix K'!$E$37+'Appendix K'!$F$37+'Appendix K'!$H$37+'Appendix K'!$G$37))/((1+$Y$16)^AE$34))</f>
        <v>2066273.7780705637</v>
      </c>
      <c r="AF571" s="193">
        <f>(((I571*'Appendix K'!$C$12*1000)-('Appendix K'!$E$38+'Appendix K'!$F$38+'Appendix K'!$H$38+'Appendix K'!$G$38))/((1+$Y$16)^AF$34))</f>
        <v>1966867.0803811422</v>
      </c>
      <c r="AG571" s="193">
        <f>(((J571*'Appendix K'!$C$13*1000)-('Appendix K'!$E$39+'Appendix K'!$F$39+'Appendix K'!$H$39+'Appendix K'!$G$39))/((1+$Y$16)^AG$34))</f>
        <v>677030.33322086476</v>
      </c>
      <c r="AH571" s="193">
        <f>(((K571*'Appendix K'!$C$14*1000)-('Appendix K'!$E$40+'Appendix K'!$F$40+'Appendix K'!$H$40+'Appendix K'!$G$40))/((1+$Y$16)^AH$34))</f>
        <v>509858.5643345553</v>
      </c>
      <c r="AI571" s="193">
        <f>(((L571*'Appendix K'!$C$15*1000)-('Appendix K'!$E$41+'Appendix K'!$F$41+'Appendix K'!$H$41+'Appendix K'!$G$41))/((1+$Y$16)^AI$34))</f>
        <v>877479.22524003836</v>
      </c>
      <c r="AJ571" s="193">
        <f>(((M571*'Appendix K'!$C$16*1000)-('Appendix K'!$E$42+'Appendix K'!$F$42+'Appendix K'!$H$42+'Appendix K'!$G$42))/((1+$Y$16)^AJ$34))</f>
        <v>-669109.05492385058</v>
      </c>
      <c r="AK571" s="193">
        <f>(((N571*'Appendix K'!$C$17*1000)-('Appendix K'!$E$43+'Appendix K'!$F$43+'Appendix K'!$H$43))/((1+$Y$16)^AK$34))</f>
        <v>-250307.20502968688</v>
      </c>
      <c r="AL571" s="193">
        <f>(((O571*'Appendix K'!$C$18*1000)-('Appendix K'!$E$44+'Appendix K'!$F$44+'Appendix K'!$H$44+'Appendix K'!$G$44))/((1+$Y$16)^AL$34))</f>
        <v>-520636.87776327232</v>
      </c>
      <c r="AM571" s="193">
        <f>(((P571*'Appendix K'!$C$19*1000)-('Appendix K'!$E$45+'Appendix K'!$F$45+'Appendix K'!$H$45+'Appendix K'!$G$45))/((1+$Y$16)^AM$34))</f>
        <v>-536679.87109371286</v>
      </c>
      <c r="AN571" s="193">
        <f>(((Q571*'Appendix K'!$C$20*1000)-('Appendix K'!$E$46+'Appendix K'!$F$46+'Appendix K'!$H$46+'Appendix K'!$G$46))/((1+$Y$16)^AN$34))</f>
        <v>-465918.6514278035</v>
      </c>
      <c r="AO571" s="193">
        <f>(((R571*'Appendix K'!$C$21*1000)-('Appendix K'!$E$47+'Appendix K'!$F$47+'Appendix K'!$H$47+'Appendix K'!$G$47))/((1+$Y$16)^AO$34))</f>
        <v>-477506.65245447762</v>
      </c>
      <c r="AP571" s="193">
        <f>(((S571*'Appendix K'!$C$22*1000)-('Appendix K'!$E$48+'Appendix K'!$F$48+'Appendix K'!$H$48+'Appendix K'!$G$48))/((1+$Y$16)^AP$34))</f>
        <v>-335554.68308279972</v>
      </c>
      <c r="AQ571" s="193">
        <f>(((T571*'Appendix K'!$C$23*1000)-('Appendix K'!$E$49+'Appendix K'!$F$49+'Appendix K'!$H$49+'Appendix K'!$G$49))/((1+$Y$16)^AQ$34))</f>
        <v>-188920.62005916535</v>
      </c>
      <c r="AR571" s="193">
        <f>(((U571*'Appendix K'!$C$24*1000)-('Appendix K'!$E$50+'Appendix K'!$F$50+'Appendix K'!$H$50+'Appendix K'!$G$50))/((1+$Y$16)^AR$34))</f>
        <v>-216845.06746598761</v>
      </c>
      <c r="AS571" s="209">
        <f t="shared" si="32"/>
        <v>42134920.863106273</v>
      </c>
      <c r="AU571" s="199">
        <f t="shared" si="31"/>
        <v>5.0987483726650167E-9</v>
      </c>
    </row>
    <row r="572" spans="1:47" x14ac:dyDescent="0.35">
      <c r="A572">
        <v>538</v>
      </c>
      <c r="B572" s="70">
        <v>56</v>
      </c>
      <c r="C572" s="70">
        <v>57.887438803464029</v>
      </c>
      <c r="D572" s="70">
        <v>31.088952712630253</v>
      </c>
      <c r="E572" s="70">
        <v>25.953485817893668</v>
      </c>
      <c r="F572" s="70">
        <v>27.181202977603444</v>
      </c>
      <c r="G572" s="70">
        <v>35.066797201971085</v>
      </c>
      <c r="H572" s="70">
        <v>29.298242350322042</v>
      </c>
      <c r="I572" s="70">
        <v>36.03738959544215</v>
      </c>
      <c r="J572" s="70">
        <v>43.442589538787949</v>
      </c>
      <c r="K572" s="70">
        <v>28.253262502390921</v>
      </c>
      <c r="L572" s="70">
        <v>29.023255901757786</v>
      </c>
      <c r="M572" s="70">
        <v>38.456036954021059</v>
      </c>
      <c r="N572" s="70">
        <v>29.103972040030214</v>
      </c>
      <c r="O572" s="70">
        <v>25.672982278972643</v>
      </c>
      <c r="P572" s="70">
        <v>12.947732337626309</v>
      </c>
      <c r="Q572" s="70">
        <v>11.023038432092488</v>
      </c>
      <c r="R572" s="70">
        <v>12.963779440288285</v>
      </c>
      <c r="S572" s="70">
        <v>14.301031268578669</v>
      </c>
      <c r="T572" s="70">
        <v>15.227336970690608</v>
      </c>
      <c r="U572" s="70">
        <v>17.393283109010021</v>
      </c>
      <c r="V572" s="70">
        <v>20.165507869802571</v>
      </c>
      <c r="X572" s="193">
        <f>((0-('Appendix K'!$I$30))/(1+$Y$16)^0)</f>
        <v>-33594902.4440751</v>
      </c>
      <c r="Y572" s="193">
        <f>(((B572*'Appendix K'!$C$5*1000)-('Appendix K'!$E$31+'Appendix K'!$F$31+'Appendix K'!$H$31+'Appendix K'!$G$31))/((1+$Y$16)^1))</f>
        <v>34971064.972647354</v>
      </c>
      <c r="Z572" s="193">
        <f>+(((C572*'Appendix K'!$C$6*1000)-('Appendix K'!$E$32+'Appendix K'!$F$32+'Appendix K'!$H$32+'Appendix K'!$G$32))/((1+$Y$16)^2))</f>
        <v>11136109.427917521</v>
      </c>
      <c r="AA572" s="193">
        <f>(((D572*'Appendix K'!$C$7*1000)-('Appendix K'!$E$33+'Appendix K'!$F$33+'Appendix K'!$H$33+'Appendix K'!$G$33))/((1+$Y$16)^3))</f>
        <v>995053.32060833694</v>
      </c>
      <c r="AB572" s="193">
        <f>(((E572*'Appendix K'!$C$8*1000)-('Appendix K'!$E$34+'Appendix K'!$F$34+'Appendix K'!$H$34+'Appendix K'!$G$34))/((1+$Y$16)^4))</f>
        <v>2395558.6211323887</v>
      </c>
      <c r="AC572" s="193">
        <f>(((F572*'Appendix K'!$C$9*1000)-('Appendix K'!$E$35+'Appendix K'!$F$35+'Appendix K'!$H$35+'Appendix K'!$G$35))/((1+$Y$16)^AC$34))</f>
        <v>4240492.5501398444</v>
      </c>
      <c r="AD572" s="193">
        <f>(((G572*'Appendix K'!$C$10*1000)-('Appendix K'!$E$36+'Appendix K'!$F$36+'Appendix K'!$H$36+'Appendix K'!$G$36))/((1+$Y$16)^AD$34))</f>
        <v>2991265.4218279556</v>
      </c>
      <c r="AE572" s="193">
        <f>(((H572*'Appendix K'!$C$11*1000)-('Appendix K'!$E$37+'Appendix K'!$F$37+'Appendix K'!$H$37+'Appendix K'!$G$37))/((1+$Y$16)^AE$34))</f>
        <v>702196.25570739701</v>
      </c>
      <c r="AF572" s="193">
        <f>(((I572*'Appendix K'!$C$12*1000)-('Appendix K'!$E$38+'Appendix K'!$F$38+'Appendix K'!$H$38+'Appendix K'!$G$38))/((1+$Y$16)^AF$34))</f>
        <v>369723.45434313803</v>
      </c>
      <c r="AG572" s="193">
        <f>(((J572*'Appendix K'!$C$13*1000)-('Appendix K'!$E$39+'Appendix K'!$F$39+'Appendix K'!$H$39+'Appendix K'!$G$39))/((1+$Y$16)^AG$34))</f>
        <v>184237.72729322725</v>
      </c>
      <c r="AH572" s="193">
        <f>(((K572*'Appendix K'!$C$14*1000)-('Appendix K'!$E$40+'Appendix K'!$F$40+'Appendix K'!$H$40+'Appendix K'!$G$40))/((1+$Y$16)^AH$34))</f>
        <v>-680421.8075742058</v>
      </c>
      <c r="AI572" s="193">
        <f>(((L572*'Appendix K'!$C$15*1000)-('Appendix K'!$E$41+'Appendix K'!$F$41+'Appendix K'!$H$41+'Appendix K'!$G$41))/((1+$Y$16)^AI$34))</f>
        <v>-756017.76995030663</v>
      </c>
      <c r="AJ572" s="193">
        <f>(((M572*'Appendix K'!$C$16*1000)-('Appendix K'!$E$42+'Appendix K'!$F$42+'Appendix K'!$H$42+'Appendix K'!$G$42))/((1+$Y$16)^AJ$34))</f>
        <v>-610820.18157635594</v>
      </c>
      <c r="AK572" s="193">
        <f>(((N572*'Appendix K'!$C$17*1000)-('Appendix K'!$E$43+'Appendix K'!$F$43+'Appendix K'!$H$43))/((1+$Y$16)^AK$34))</f>
        <v>-557108.17420475162</v>
      </c>
      <c r="AL572" s="193">
        <f>(((O572*'Appendix K'!$C$18*1000)-('Appendix K'!$E$44+'Appendix K'!$F$44+'Appendix K'!$H$44+'Appendix K'!$G$44))/((1+$Y$16)^AL$34))</f>
        <v>-830279.71238791617</v>
      </c>
      <c r="AM572" s="193">
        <f>(((P572*'Appendix K'!$C$19*1000)-('Appendix K'!$E$45+'Appendix K'!$F$45+'Appendix K'!$H$45+'Appendix K'!$G$45))/((1+$Y$16)^AM$34))</f>
        <v>-906756.88375764736</v>
      </c>
      <c r="AN572" s="193">
        <f>(((Q572*'Appendix K'!$C$20*1000)-('Appendix K'!$E$46+'Appendix K'!$F$46+'Appendix K'!$H$46+'Appendix K'!$G$46))/((1+$Y$16)^AN$34))</f>
        <v>-835943.74197366217</v>
      </c>
      <c r="AO572" s="193">
        <f>(((R572*'Appendix K'!$C$21*1000)-('Appendix K'!$E$47+'Appendix K'!$F$47+'Appendix K'!$H$47+'Appendix K'!$G$47))/((1+$Y$16)^AO$34))</f>
        <v>-766381.55665002554</v>
      </c>
      <c r="AP572" s="193">
        <f>(((S572*'Appendix K'!$C$22*1000)-('Appendix K'!$E$48+'Appendix K'!$F$48+'Appendix K'!$H$48+'Appendix K'!$G$48))/((1+$Y$16)^AP$34))</f>
        <v>-695955.30674391624</v>
      </c>
      <c r="AQ572" s="193">
        <f>(((T572*'Appendix K'!$C$23*1000)-('Appendix K'!$E$49+'Appendix K'!$F$49+'Appendix K'!$H$49+'Appendix K'!$G$49))/((1+$Y$16)^AQ$34))</f>
        <v>-633889.73290674505</v>
      </c>
      <c r="AR572" s="193">
        <f>(((U572*'Appendix K'!$C$24*1000)-('Appendix K'!$E$50+'Appendix K'!$F$50+'Appendix K'!$H$50+'Appendix K'!$G$50))/((1+$Y$16)^AR$34))</f>
        <v>-573282.010357355</v>
      </c>
      <c r="AS572" s="209">
        <f t="shared" si="32"/>
        <v>24390799.307542078</v>
      </c>
      <c r="AU572" s="199">
        <f t="shared" si="31"/>
        <v>3.7792891808207296E-9</v>
      </c>
    </row>
    <row r="573" spans="1:47" x14ac:dyDescent="0.35">
      <c r="A573">
        <v>539</v>
      </c>
      <c r="B573" s="70">
        <v>56</v>
      </c>
      <c r="C573" s="70">
        <v>42.82017391104025</v>
      </c>
      <c r="D573" s="70">
        <v>54.178566149981094</v>
      </c>
      <c r="E573" s="70">
        <v>61.545672872447881</v>
      </c>
      <c r="F573" s="70">
        <v>67.450099154392944</v>
      </c>
      <c r="G573" s="70">
        <v>35.371473443512798</v>
      </c>
      <c r="H573" s="70">
        <v>48.567450255682225</v>
      </c>
      <c r="I573" s="70">
        <v>73.735436883998219</v>
      </c>
      <c r="J573" s="70">
        <v>46.505059781241506</v>
      </c>
      <c r="K573" s="70">
        <v>40.792717425949952</v>
      </c>
      <c r="L573" s="70">
        <v>46.548537480962835</v>
      </c>
      <c r="M573" s="70">
        <v>70.147130803633388</v>
      </c>
      <c r="N573" s="70">
        <v>56.306443401436297</v>
      </c>
      <c r="O573" s="70">
        <v>23.060471015137537</v>
      </c>
      <c r="P573" s="70">
        <v>22.666318041752575</v>
      </c>
      <c r="Q573" s="70">
        <v>19.766456737745948</v>
      </c>
      <c r="R573" s="70">
        <v>13.471024427461394</v>
      </c>
      <c r="S573" s="70">
        <v>17.205645162050764</v>
      </c>
      <c r="T573" s="70">
        <v>13.598374823396064</v>
      </c>
      <c r="U573" s="70">
        <v>9.5512791745579584</v>
      </c>
      <c r="V573" s="70">
        <v>7.6166260852009877</v>
      </c>
      <c r="X573" s="193">
        <f>((0-('Appendix K'!$I$30))/(1+$Y$16)^0)</f>
        <v>-33594902.4440751</v>
      </c>
      <c r="Y573" s="193">
        <f>(((B573*'Appendix K'!$C$5*1000)-('Appendix K'!$E$31+'Appendix K'!$F$31+'Appendix K'!$H$31+'Appendix K'!$G$31))/((1+$Y$16)^1))</f>
        <v>34971064.972647354</v>
      </c>
      <c r="Z573" s="193">
        <f>+(((C573*'Appendix K'!$C$6*1000)-('Appendix K'!$E$32+'Appendix K'!$F$32+'Appendix K'!$H$32+'Appendix K'!$G$32))/((1+$Y$16)^2))</f>
        <v>7329860.618790186</v>
      </c>
      <c r="AA573" s="193">
        <f>(((D573*'Appendix K'!$C$7*1000)-('Appendix K'!$E$33+'Appendix K'!$F$33+'Appendix K'!$H$33+'Appendix K'!$G$33))/((1+$Y$16)^3))</f>
        <v>3936089.8849971755</v>
      </c>
      <c r="AB573" s="193">
        <f>(((E573*'Appendix K'!$C$8*1000)-('Appendix K'!$E$34+'Appendix K'!$F$34+'Appendix K'!$H$34+'Appendix K'!$G$34))/((1+$Y$16)^4))</f>
        <v>10197040.208378006</v>
      </c>
      <c r="AC573" s="193">
        <f>(((F573*'Appendix K'!$C$9*1000)-('Appendix K'!$E$35+'Appendix K'!$F$35+'Appendix K'!$H$35+'Appendix K'!$G$35))/((1+$Y$16)^AC$34))</f>
        <v>14943901.920416243</v>
      </c>
      <c r="AD573" s="193">
        <f>(((G573*'Appendix K'!$C$10*1000)-('Appendix K'!$E$36+'Appendix K'!$F$36+'Appendix K'!$H$36+'Appendix K'!$G$36))/((1+$Y$16)^AD$34))</f>
        <v>3039112.9827328068</v>
      </c>
      <c r="AE573" s="193">
        <f>(((H573*'Appendix K'!$C$11*1000)-('Appendix K'!$E$37+'Appendix K'!$F$37+'Appendix K'!$H$37+'Appendix K'!$G$37))/((1+$Y$16)^AE$34))</f>
        <v>2624061.3617452369</v>
      </c>
      <c r="AF573" s="193">
        <f>(((I573*'Appendix K'!$C$12*1000)-('Appendix K'!$E$38+'Appendix K'!$F$38+'Appendix K'!$H$38+'Appendix K'!$G$38))/((1+$Y$16)^AF$34))</f>
        <v>2845068.7339421748</v>
      </c>
      <c r="AG573" s="193">
        <f>(((J573*'Appendix K'!$C$13*1000)-('Appendix K'!$E$39+'Appendix K'!$F$39+'Appendix K'!$H$39+'Appendix K'!$G$39))/((1+$Y$16)^AG$34))</f>
        <v>325169.33885319362</v>
      </c>
      <c r="AH573" s="193">
        <f>(((K573*'Appendix K'!$C$14*1000)-('Appendix K'!$E$40+'Appendix K'!$F$40+'Appendix K'!$H$40+'Appendix K'!$G$40))/((1+$Y$16)^AH$34))</f>
        <v>-257760.33468566177</v>
      </c>
      <c r="AI573" s="193">
        <f>(((L573*'Appendix K'!$C$15*1000)-('Appendix K'!$E$41+'Appendix K'!$F$41+'Appendix K'!$H$41+'Appendix K'!$G$41))/((1+$Y$16)^AI$34))</f>
        <v>-296822.62013788102</v>
      </c>
      <c r="AJ573" s="193">
        <f>(((M573*'Appendix K'!$C$16*1000)-('Appendix K'!$E$42+'Appendix K'!$F$42+'Appendix K'!$H$42+'Appendix K'!$G$42))/((1+$Y$16)^AJ$34))</f>
        <v>24328.505743235681</v>
      </c>
      <c r="AK573" s="193">
        <f>(((N573*'Appendix K'!$C$17*1000)-('Appendix K'!$E$43+'Appendix K'!$F$43+'Appendix K'!$H$43))/((1+$Y$16)^AK$34))</f>
        <v>-139172.19347814456</v>
      </c>
      <c r="AL573" s="193">
        <f>(((O573*'Appendix K'!$C$18*1000)-('Appendix K'!$E$44+'Appendix K'!$F$44+'Appendix K'!$H$44+'Appendix K'!$G$44))/((1+$Y$16)^AL$34))</f>
        <v>-861246.57713514729</v>
      </c>
      <c r="AM573" s="193">
        <f>(((P573*'Appendix K'!$C$19*1000)-('Appendix K'!$E$45+'Appendix K'!$F$45+'Appendix K'!$H$45+'Appendix K'!$G$45))/((1+$Y$16)^AM$34))</f>
        <v>-816677.91946588631</v>
      </c>
      <c r="AN573" s="193">
        <f>(((Q573*'Appendix K'!$C$20*1000)-('Appendix K'!$E$46+'Appendix K'!$F$46+'Appendix K'!$H$46+'Appendix K'!$G$46))/((1+$Y$16)^AN$34))</f>
        <v>-772674.47074621951</v>
      </c>
      <c r="AO573" s="193">
        <f>(((R573*'Appendix K'!$C$21*1000)-('Appendix K'!$E$47+'Appendix K'!$F$47+'Appendix K'!$H$47+'Appendix K'!$G$47))/((1+$Y$16)^AO$34))</f>
        <v>-763383.68273538584</v>
      </c>
      <c r="AP573" s="193">
        <f>(((S573*'Appendix K'!$C$22*1000)-('Appendix K'!$E$48+'Appendix K'!$F$48+'Appendix K'!$H$48+'Appendix K'!$G$48))/((1+$Y$16)^AP$34))</f>
        <v>-682043.02139822673</v>
      </c>
      <c r="AQ573" s="193">
        <f>(((T573*'Appendix K'!$C$23*1000)-('Appendix K'!$E$49+'Appendix K'!$F$49+'Appendix K'!$H$49+'Appendix K'!$G$49))/((1+$Y$16)^AQ$34))</f>
        <v>-640265.07372625114</v>
      </c>
      <c r="AR573" s="193">
        <f>(((U573*'Appendix K'!$C$24*1000)-('Appendix K'!$E$50+'Appendix K'!$F$50+'Appendix K'!$H$50+'Appendix K'!$G$50))/((1+$Y$16)^AR$34))</f>
        <v>-598533.48275028972</v>
      </c>
      <c r="AS573" s="209">
        <f t="shared" si="32"/>
        <v>46640796.084170513</v>
      </c>
      <c r="AU573" s="199">
        <f t="shared" si="31"/>
        <v>5.4166325821723265E-9</v>
      </c>
    </row>
    <row r="574" spans="1:47" x14ac:dyDescent="0.35">
      <c r="A574">
        <v>540</v>
      </c>
      <c r="B574" s="70">
        <v>56</v>
      </c>
      <c r="C574" s="70">
        <v>77.018242012228086</v>
      </c>
      <c r="D574" s="70">
        <v>68.573210707988807</v>
      </c>
      <c r="E574" s="70">
        <v>46.227779614112961</v>
      </c>
      <c r="F574" s="70">
        <v>48.673227601417935</v>
      </c>
      <c r="G574" s="70">
        <v>48.411872301283736</v>
      </c>
      <c r="H574" s="70">
        <v>48.071364652267889</v>
      </c>
      <c r="I574" s="70">
        <v>38.558667871500873</v>
      </c>
      <c r="J574" s="70">
        <v>49.817004316597959</v>
      </c>
      <c r="K574" s="70">
        <v>46.697927363057786</v>
      </c>
      <c r="L574" s="70">
        <v>54.663830930699767</v>
      </c>
      <c r="M574" s="70">
        <v>33.463515919926564</v>
      </c>
      <c r="N574" s="70">
        <v>3.1128665085356531</v>
      </c>
      <c r="O574" s="70">
        <v>4.0681168523522153</v>
      </c>
      <c r="P574" s="70">
        <v>1.9554271636984946</v>
      </c>
      <c r="Q574" s="70">
        <v>1.1548287703778728</v>
      </c>
      <c r="R574" s="70">
        <v>0.71735026015043801</v>
      </c>
      <c r="S574" s="70">
        <v>0.65727722028213564</v>
      </c>
      <c r="T574" s="70">
        <v>0.60281454752566177</v>
      </c>
      <c r="U574" s="70">
        <v>0.79302596045308849</v>
      </c>
      <c r="V574" s="70">
        <v>1.0781602501555738</v>
      </c>
      <c r="X574" s="193">
        <f>((0-('Appendix K'!$I$30))/(1+$Y$16)^0)</f>
        <v>-33594902.4440751</v>
      </c>
      <c r="Y574" s="193">
        <f>(((B574*'Appendix K'!$C$5*1000)-('Appendix K'!$E$31+'Appendix K'!$F$31+'Appendix K'!$H$31+'Appendix K'!$G$31))/((1+$Y$16)^1))</f>
        <v>34971064.972647354</v>
      </c>
      <c r="Z574" s="193">
        <f>+(((C574*'Appendix K'!$C$6*1000)-('Appendix K'!$E$32+'Appendix K'!$F$32+'Appendix K'!$H$32+'Appendix K'!$G$32))/((1+$Y$16)^2))</f>
        <v>15968877.514952464</v>
      </c>
      <c r="AA574" s="193">
        <f>(((D574*'Appendix K'!$C$7*1000)-('Appendix K'!$E$33+'Appendix K'!$F$33+'Appendix K'!$H$33+'Appendix K'!$G$33))/((1+$Y$16)^3))</f>
        <v>5769605.8982188683</v>
      </c>
      <c r="AB574" s="193">
        <f>(((E574*'Appendix K'!$C$8*1000)-('Appendix K'!$E$34+'Appendix K'!$F$34+'Appendix K'!$H$34+'Appendix K'!$G$34))/((1+$Y$16)^4))</f>
        <v>6839498.2279673731</v>
      </c>
      <c r="AC574" s="193">
        <f>(((F574*'Appendix K'!$C$9*1000)-('Appendix K'!$E$35+'Appendix K'!$F$35+'Appendix K'!$H$35+'Appendix K'!$G$35))/((1+$Y$16)^AC$34))</f>
        <v>9953038.9466149006</v>
      </c>
      <c r="AD574" s="193">
        <f>(((G574*'Appendix K'!$C$10*1000)-('Appendix K'!$E$36+'Appendix K'!$F$36+'Appendix K'!$H$36+'Appendix K'!$G$36))/((1+$Y$16)^AD$34))</f>
        <v>5087028.7487060362</v>
      </c>
      <c r="AE574" s="193">
        <f>(((H574*'Appendix K'!$C$11*1000)-('Appendix K'!$E$37+'Appendix K'!$F$37+'Appendix K'!$H$37+'Appendix K'!$G$37))/((1+$Y$16)^AE$34))</f>
        <v>2574582.9599607754</v>
      </c>
      <c r="AF574" s="193">
        <f>(((I574*'Appendix K'!$C$12*1000)-('Appendix K'!$E$38+'Appendix K'!$F$38+'Appendix K'!$H$38+'Appendix K'!$G$38))/((1+$Y$16)^AF$34))</f>
        <v>535276.7051899574</v>
      </c>
      <c r="AG574" s="193">
        <f>(((J574*'Appendix K'!$C$13*1000)-('Appendix K'!$E$39+'Appendix K'!$F$39+'Appendix K'!$H$39+'Appendix K'!$G$39))/((1+$Y$16)^AG$34))</f>
        <v>477581.49107415869</v>
      </c>
      <c r="AH574" s="193">
        <f>(((K574*'Appendix K'!$C$14*1000)-('Appendix K'!$E$40+'Appendix K'!$F$40+'Appendix K'!$H$40+'Appendix K'!$G$40))/((1+$Y$16)^AH$34))</f>
        <v>-58716.21793982324</v>
      </c>
      <c r="AI574" s="193">
        <f>(((L574*'Appendix K'!$C$15*1000)-('Appendix K'!$E$41+'Appendix K'!$F$41+'Appendix K'!$H$41+'Appendix K'!$G$41))/((1+$Y$16)^AI$34))</f>
        <v>-84186.756081608328</v>
      </c>
      <c r="AJ574" s="193">
        <f>(((M574*'Appendix K'!$C$16*1000)-('Appendix K'!$E$42+'Appendix K'!$F$42+'Appendix K'!$H$42+'Appendix K'!$G$42))/((1+$Y$16)^AJ$34))</f>
        <v>-710879.62402628432</v>
      </c>
      <c r="AK574" s="193">
        <f>(((N574*'Appendix K'!$C$17*1000)-('Appendix K'!$E$43+'Appendix K'!$F$43+'Appendix K'!$H$43))/((1+$Y$16)^AK$34))</f>
        <v>-956432.85453087196</v>
      </c>
      <c r="AL574" s="193">
        <f>(((O574*'Appendix K'!$C$18*1000)-('Appendix K'!$E$44+'Appendix K'!$F$44+'Appendix K'!$H$44+'Appendix K'!$G$44))/((1+$Y$16)^AL$34))</f>
        <v>-1086368.5395672326</v>
      </c>
      <c r="AM574" s="193">
        <f>(((P574*'Appendix K'!$C$19*1000)-('Appendix K'!$E$45+'Appendix K'!$F$45+'Appendix K'!$H$45+'Appendix K'!$G$45))/((1+$Y$16)^AM$34))</f>
        <v>-1008641.6121935947</v>
      </c>
      <c r="AN574" s="193">
        <f>(((Q574*'Appendix K'!$C$20*1000)-('Appendix K'!$E$46+'Appendix K'!$F$46+'Appendix K'!$H$46+'Appendix K'!$G$46))/((1+$Y$16)^AN$34))</f>
        <v>-907352.24741055607</v>
      </c>
      <c r="AO574" s="193">
        <f>(((R574*'Appendix K'!$C$21*1000)-('Appendix K'!$E$47+'Appendix K'!$F$47+'Appendix K'!$H$47+'Appendix K'!$G$47))/((1+$Y$16)^AO$34))</f>
        <v>-838759.30609062884</v>
      </c>
      <c r="AP574" s="193">
        <f>(((S574*'Appendix K'!$C$22*1000)-('Appendix K'!$E$48+'Appendix K'!$F$48+'Appendix K'!$H$48+'Appendix K'!$G$48))/((1+$Y$16)^AP$34))</f>
        <v>-761305.05940223148</v>
      </c>
      <c r="AQ574" s="193">
        <f>(((T574*'Appendix K'!$C$23*1000)-('Appendix K'!$E$49+'Appendix K'!$F$49+'Appendix K'!$H$49+'Appendix K'!$G$49))/((1+$Y$16)^AQ$34))</f>
        <v>-691126.36969725392</v>
      </c>
      <c r="AR574" s="193">
        <f>(((U574*'Appendix K'!$C$24*1000)-('Appendix K'!$E$50+'Appendix K'!$F$50+'Appendix K'!$H$50+'Appendix K'!$G$50))/((1+$Y$16)^AR$34))</f>
        <v>-626735.30349596555</v>
      </c>
      <c r="AS574" s="209">
        <f t="shared" si="32"/>
        <v>48581653.021256797</v>
      </c>
      <c r="AU574" s="199">
        <f t="shared" si="31"/>
        <v>5.5488052659656832E-9</v>
      </c>
    </row>
    <row r="575" spans="1:47" x14ac:dyDescent="0.35">
      <c r="A575">
        <v>541</v>
      </c>
      <c r="B575" s="70">
        <v>56</v>
      </c>
      <c r="C575" s="70">
        <v>100.01415917786112</v>
      </c>
      <c r="D575" s="70">
        <v>109.6925849609714</v>
      </c>
      <c r="E575" s="70">
        <v>117.74593508199958</v>
      </c>
      <c r="F575" s="70">
        <v>171.23805125849094</v>
      </c>
      <c r="G575" s="70">
        <v>235.0835595899826</v>
      </c>
      <c r="H575" s="70">
        <v>218.24603499329697</v>
      </c>
      <c r="I575" s="70">
        <v>163.0585774231777</v>
      </c>
      <c r="J575" s="70">
        <v>223.87996419592986</v>
      </c>
      <c r="K575" s="70">
        <v>297.45395900565609</v>
      </c>
      <c r="L575" s="70">
        <v>264.49123711809631</v>
      </c>
      <c r="M575" s="70">
        <v>320.13961687988956</v>
      </c>
      <c r="N575" s="70">
        <v>305.06944066826048</v>
      </c>
      <c r="O575" s="70">
        <v>379.30466639955569</v>
      </c>
      <c r="P575" s="70">
        <v>288.72270929821877</v>
      </c>
      <c r="Q575" s="70">
        <v>422.02948841869295</v>
      </c>
      <c r="R575" s="70">
        <v>500</v>
      </c>
      <c r="S575" s="70">
        <v>500</v>
      </c>
      <c r="T575" s="70">
        <v>500</v>
      </c>
      <c r="U575" s="70">
        <v>500</v>
      </c>
      <c r="V575" s="70">
        <v>500</v>
      </c>
      <c r="X575" s="193">
        <f>((0-('Appendix K'!$I$30))/(1+$Y$16)^0)</f>
        <v>-33594902.4440751</v>
      </c>
      <c r="Y575" s="193">
        <f>(((B575*'Appendix K'!$C$5*1000)-('Appendix K'!$E$31+'Appendix K'!$F$31+'Appendix K'!$H$31+'Appendix K'!$G$31))/((1+$Y$16)^1))</f>
        <v>34971064.972647354</v>
      </c>
      <c r="Z575" s="193">
        <f>+(((C575*'Appendix K'!$C$6*1000)-('Appendix K'!$E$32+'Appendix K'!$F$32+'Appendix K'!$H$32+'Appendix K'!$G$32))/((1+$Y$16)^2))</f>
        <v>21778039.49301612</v>
      </c>
      <c r="AA575" s="193">
        <f>(((D575*'Appendix K'!$C$7*1000)-('Appendix K'!$E$33+'Appendix K'!$F$33+'Appendix K'!$H$33+'Appendix K'!$G$33))/((1+$Y$16)^3))</f>
        <v>11007180.945152439</v>
      </c>
      <c r="AB575" s="193">
        <f>(((E575*'Appendix K'!$C$8*1000)-('Appendix K'!$E$34+'Appendix K'!$F$34+'Appendix K'!$H$34+'Appendix K'!$G$34))/((1+$Y$16)^4))</f>
        <v>22515623.220828537</v>
      </c>
      <c r="AC575" s="193">
        <f>(((F575*'Appendix K'!$C$9*1000)-('Appendix K'!$E$35+'Appendix K'!$F$35+'Appendix K'!$H$35+'Appendix K'!$G$35))/((1+$Y$16)^AC$34))</f>
        <v>42530576.613354594</v>
      </c>
      <c r="AD575" s="193">
        <f>(((G575*'Appendix K'!$C$10*1000)-('Appendix K'!$E$36+'Appendix K'!$F$36+'Appendix K'!$H$36+'Appendix K'!$G$36))/((1+$Y$16)^AD$34))</f>
        <v>34402688.156741768</v>
      </c>
      <c r="AE575" s="193">
        <f>(((H575*'Appendix K'!$C$11*1000)-('Appendix K'!$E$37+'Appendix K'!$F$37+'Appendix K'!$H$37+'Appendix K'!$G$37))/((1+$Y$16)^AE$34))</f>
        <v>19547401.067805208</v>
      </c>
      <c r="AF575" s="193">
        <f>(((I575*'Appendix K'!$C$12*1000)-('Appendix K'!$E$38+'Appendix K'!$F$38+'Appendix K'!$H$38+'Appendix K'!$G$38))/((1+$Y$16)^AF$34))</f>
        <v>8710242.9324938282</v>
      </c>
      <c r="AG575" s="193">
        <f>(((J575*'Appendix K'!$C$13*1000)-('Appendix K'!$E$39+'Appendix K'!$F$39+'Appendix K'!$H$39+'Appendix K'!$G$39))/((1+$Y$16)^AG$34))</f>
        <v>8487773.1032671146</v>
      </c>
      <c r="AH575" s="193">
        <f>(((K575*'Appendix K'!$C$14*1000)-('Appendix K'!$E$40+'Appendix K'!$F$40+'Appendix K'!$H$40+'Appendix K'!$G$40))/((1+$Y$16)^AH$34))</f>
        <v>8393398.6718887072</v>
      </c>
      <c r="AI575" s="193">
        <f>(((L575*'Appendix K'!$C$15*1000)-('Appendix K'!$E$41+'Appendix K'!$F$41+'Appendix K'!$H$41+'Appendix K'!$G$41))/((1+$Y$16)^AI$34))</f>
        <v>5413683.6652017888</v>
      </c>
      <c r="AJ575" s="193">
        <f>(((M575*'Appendix K'!$C$16*1000)-('Appendix K'!$E$42+'Appendix K'!$F$42+'Appendix K'!$H$42+'Appendix K'!$G$42))/((1+$Y$16)^AJ$34))</f>
        <v>5034644.6571700405</v>
      </c>
      <c r="AK575" s="193">
        <f>(((N575*'Appendix K'!$C$17*1000)-('Appendix K'!$E$43+'Appendix K'!$F$43+'Appendix K'!$H$43))/((1+$Y$16)^AK$34))</f>
        <v>3682796.9890243406</v>
      </c>
      <c r="AL575" s="193">
        <f>(((O575*'Appendix K'!$C$18*1000)-('Appendix K'!$E$44+'Appendix K'!$F$44+'Appendix K'!$H$44+'Appendix K'!$G$44))/((1+$Y$16)^AL$34))</f>
        <v>3361420.6963682417</v>
      </c>
      <c r="AM575" s="193">
        <f>(((P575*'Appendix K'!$C$19*1000)-('Appendix K'!$E$45+'Appendix K'!$F$45+'Appendix K'!$H$45+'Appendix K'!$G$45))/((1+$Y$16)^AM$34))</f>
        <v>1649327.4127102385</v>
      </c>
      <c r="AN575" s="193">
        <f>(((Q575*'Appendix K'!$C$20*1000)-('Appendix K'!$E$46+'Appendix K'!$F$46+'Appendix K'!$H$46+'Appendix K'!$G$46))/((1+$Y$16)^AN$34))</f>
        <v>2138188.0736820595</v>
      </c>
      <c r="AO575" s="193">
        <f>(((R575*'Appendix K'!$C$21*1000)-('Appendix K'!$E$47+'Appendix K'!$F$47+'Appendix K'!$H$47+'Appendix K'!$G$47))/((1+$Y$16)^AO$34))</f>
        <v>2112056.3146391152</v>
      </c>
      <c r="AP575" s="193">
        <f>(((S575*'Appendix K'!$C$22*1000)-('Appendix K'!$E$48+'Appendix K'!$F$48+'Appendix K'!$H$48+'Appendix K'!$G$48))/((1+$Y$16)^AP$34))</f>
        <v>1630406.4380253027</v>
      </c>
      <c r="AQ575" s="193">
        <f>(((T575*'Appendix K'!$C$23*1000)-('Appendix K'!$E$49+'Appendix K'!$F$49+'Appendix K'!$H$49+'Appendix K'!$G$49))/((1+$Y$16)^AQ$34))</f>
        <v>1263386.3652054211</v>
      </c>
      <c r="AR575" s="193">
        <f>(((U575*'Appendix K'!$C$24*1000)-('Appendix K'!$E$50+'Appendix K'!$F$50+'Appendix K'!$H$50+'Appendix K'!$G$50))/((1+$Y$16)^AR$34))</f>
        <v>980725.14012097823</v>
      </c>
      <c r="AS575" s="209">
        <f t="shared" si="32"/>
        <v>206015722.48526809</v>
      </c>
      <c r="AU575" s="199">
        <f t="shared" si="31"/>
        <v>7.9760972191341754E-10</v>
      </c>
    </row>
    <row r="576" spans="1:47" x14ac:dyDescent="0.35">
      <c r="A576">
        <v>542</v>
      </c>
      <c r="B576" s="70">
        <v>56</v>
      </c>
      <c r="C576" s="70">
        <v>53.797455604836465</v>
      </c>
      <c r="D576" s="70">
        <v>43.825033548450335</v>
      </c>
      <c r="E576" s="70">
        <v>41.142284416624548</v>
      </c>
      <c r="F576" s="70">
        <v>38.66382856256989</v>
      </c>
      <c r="G576" s="70">
        <v>33.710232342457054</v>
      </c>
      <c r="H576" s="70">
        <v>34.04688983105504</v>
      </c>
      <c r="I576" s="70">
        <v>47.77116822625235</v>
      </c>
      <c r="J576" s="70">
        <v>41.268444135943021</v>
      </c>
      <c r="K576" s="70">
        <v>49.865147020660316</v>
      </c>
      <c r="L576" s="70">
        <v>40.456426890222744</v>
      </c>
      <c r="M576" s="70">
        <v>48.850536197206935</v>
      </c>
      <c r="N576" s="70">
        <v>39.700024744411735</v>
      </c>
      <c r="O576" s="70">
        <v>28.882375247265131</v>
      </c>
      <c r="P576" s="70">
        <v>38.894965483136204</v>
      </c>
      <c r="Q576" s="70">
        <v>28.969482182390419</v>
      </c>
      <c r="R576" s="70">
        <v>27.743721971460776</v>
      </c>
      <c r="S576" s="70">
        <v>31.28940315444688</v>
      </c>
      <c r="T576" s="70">
        <v>37.632248359305756</v>
      </c>
      <c r="U576" s="70">
        <v>74.699164462157711</v>
      </c>
      <c r="V576" s="70">
        <v>9.7420218860358716</v>
      </c>
      <c r="X576" s="193">
        <f>((0-('Appendix K'!$I$30))/(1+$Y$16)^0)</f>
        <v>-33594902.4440751</v>
      </c>
      <c r="Y576" s="193">
        <f>(((B576*'Appendix K'!$C$5*1000)-('Appendix K'!$E$31+'Appendix K'!$F$31+'Appendix K'!$H$31+'Appendix K'!$G$31))/((1+$Y$16)^1))</f>
        <v>34971064.972647354</v>
      </c>
      <c r="Z576" s="193">
        <f>+(((C576*'Appendix K'!$C$6*1000)-('Appendix K'!$E$32+'Appendix K'!$F$32+'Appendix K'!$H$32+'Appendix K'!$G$32))/((1+$Y$16)^2))</f>
        <v>10102909.720454045</v>
      </c>
      <c r="AA576" s="193">
        <f>(((D576*'Appendix K'!$C$7*1000)-('Appendix K'!$E$33+'Appendix K'!$F$33+'Appendix K'!$H$33+'Appendix K'!$G$33))/((1+$Y$16)^3))</f>
        <v>2617309.9914180003</v>
      </c>
      <c r="AB576" s="193">
        <f>(((E576*'Appendix K'!$C$8*1000)-('Appendix K'!$E$34+'Appendix K'!$F$34+'Appendix K'!$H$34+'Appendix K'!$G$34))/((1+$Y$16)^4))</f>
        <v>5724804.2339056814</v>
      </c>
      <c r="AC576" s="193">
        <f>(((F576*'Appendix K'!$C$9*1000)-('Appendix K'!$E$35+'Appendix K'!$F$35+'Appendix K'!$H$35+'Appendix K'!$G$35))/((1+$Y$16)^AC$34))</f>
        <v>7292556.3996660998</v>
      </c>
      <c r="AD576" s="193">
        <f>(((G576*'Appendix K'!$C$10*1000)-('Appendix K'!$E$36+'Appendix K'!$F$36+'Appendix K'!$H$36+'Appendix K'!$G$36))/((1+$Y$16)^AD$34))</f>
        <v>2778225.1158016925</v>
      </c>
      <c r="AE576" s="193">
        <f>(((H576*'Appendix K'!$C$11*1000)-('Appendix K'!$E$37+'Appendix K'!$F$37+'Appendix K'!$H$37+'Appendix K'!$G$37))/((1+$Y$16)^AE$34))</f>
        <v>1175815.0956160454</v>
      </c>
      <c r="AF576" s="193">
        <f>(((I576*'Appendix K'!$C$12*1000)-('Appendix K'!$E$38+'Appendix K'!$F$38+'Appendix K'!$H$38+'Appendix K'!$G$38))/((1+$Y$16)^AF$34))</f>
        <v>1140191.8375809421</v>
      </c>
      <c r="AG576" s="193">
        <f>(((J576*'Appendix K'!$C$13*1000)-('Appendix K'!$E$39+'Appendix K'!$F$39+'Appendix K'!$H$39+'Appendix K'!$G$39))/((1+$Y$16)^AG$34))</f>
        <v>84185.876620175186</v>
      </c>
      <c r="AH576" s="193">
        <f>(((K576*'Appendix K'!$C$14*1000)-('Appendix K'!$E$40+'Appendix K'!$F$40+'Appendix K'!$H$40+'Appendix K'!$G$40))/((1+$Y$16)^AH$34))</f>
        <v>48039.75619177692</v>
      </c>
      <c r="AI576" s="193">
        <f>(((L576*'Appendix K'!$C$15*1000)-('Appendix K'!$E$41+'Appendix K'!$F$41+'Appendix K'!$H$41+'Appendix K'!$G$41))/((1+$Y$16)^AI$34))</f>
        <v>-456447.30991793855</v>
      </c>
      <c r="AJ576" s="193">
        <f>(((M576*'Appendix K'!$C$16*1000)-('Appendix K'!$E$42+'Appendix K'!$F$42+'Appendix K'!$H$42+'Appendix K'!$G$42))/((1+$Y$16)^AJ$34))</f>
        <v>-402495.01044204505</v>
      </c>
      <c r="AK576" s="193">
        <f>(((N576*'Appendix K'!$C$17*1000)-('Appendix K'!$E$43+'Appendix K'!$F$43+'Appendix K'!$H$43))/((1+$Y$16)^AK$34))</f>
        <v>-394311.50694607489</v>
      </c>
      <c r="AL576" s="193">
        <f>(((O576*'Appendix K'!$C$18*1000)-('Appendix K'!$E$44+'Appendix K'!$F$44+'Appendix K'!$H$44+'Appendix K'!$G$44))/((1+$Y$16)^AL$34))</f>
        <v>-792237.83316404105</v>
      </c>
      <c r="AM576" s="193">
        <f>(((P576*'Appendix K'!$C$19*1000)-('Appendix K'!$E$45+'Appendix K'!$F$45+'Appendix K'!$H$45+'Appendix K'!$G$45))/((1+$Y$16)^AM$34))</f>
        <v>-666258.9389803505</v>
      </c>
      <c r="AN576" s="193">
        <f>(((Q576*'Appendix K'!$C$20*1000)-('Appendix K'!$E$46+'Appendix K'!$F$46+'Appendix K'!$H$46+'Appendix K'!$G$46))/((1+$Y$16)^AN$34))</f>
        <v>-706079.3825764386</v>
      </c>
      <c r="AO576" s="193">
        <f>(((R576*'Appendix K'!$C$21*1000)-('Appendix K'!$E$47+'Appendix K'!$F$47+'Appendix K'!$H$47+'Appendix K'!$G$47))/((1+$Y$16)^AO$34))</f>
        <v>-679030.46340215055</v>
      </c>
      <c r="AP576" s="193">
        <f>(((S576*'Appendix K'!$C$22*1000)-('Appendix K'!$E$48+'Appendix K'!$F$48+'Appendix K'!$H$48+'Appendix K'!$G$48))/((1+$Y$16)^AP$34))</f>
        <v>-614585.77333844011</v>
      </c>
      <c r="AQ576" s="193">
        <f>(((T576*'Appendix K'!$C$23*1000)-('Appendix K'!$E$49+'Appendix K'!$F$49+'Appendix K'!$H$49+'Appendix K'!$G$49))/((1+$Y$16)^AQ$34))</f>
        <v>-546202.64553612226</v>
      </c>
      <c r="AR576" s="193">
        <f>(((U576*'Appendix K'!$C$24*1000)-('Appendix K'!$E$50+'Appendix K'!$F$50+'Appendix K'!$H$50+'Appendix K'!$G$50))/((1+$Y$16)^AR$34))</f>
        <v>-388755.46675483452</v>
      </c>
      <c r="AS576" s="209">
        <f t="shared" si="32"/>
        <v>32340200.555826701</v>
      </c>
      <c r="AU576" s="199">
        <f t="shared" si="31"/>
        <v>4.3744553173433408E-9</v>
      </c>
    </row>
    <row r="577" spans="1:47" x14ac:dyDescent="0.35">
      <c r="A577">
        <v>543</v>
      </c>
      <c r="B577" s="70">
        <v>56</v>
      </c>
      <c r="C577" s="70">
        <v>71.370912331470592</v>
      </c>
      <c r="D577" s="70">
        <v>59.711500132527803</v>
      </c>
      <c r="E577" s="70">
        <v>69.372514588792427</v>
      </c>
      <c r="F577" s="70">
        <v>109.53931847469958</v>
      </c>
      <c r="G577" s="70">
        <v>141.62465783582314</v>
      </c>
      <c r="H577" s="70">
        <v>121.52738135306463</v>
      </c>
      <c r="I577" s="70">
        <v>129.07192470807482</v>
      </c>
      <c r="J577" s="70">
        <v>220.60580651035968</v>
      </c>
      <c r="K577" s="70">
        <v>230.39008658955848</v>
      </c>
      <c r="L577" s="70">
        <v>202.19982723521434</v>
      </c>
      <c r="M577" s="70">
        <v>204.42621806372142</v>
      </c>
      <c r="N577" s="70">
        <v>234.1037159673993</v>
      </c>
      <c r="O577" s="70">
        <v>97.991011778296269</v>
      </c>
      <c r="P577" s="70">
        <v>91.773910722696172</v>
      </c>
      <c r="Q577" s="70">
        <v>35.687703547070761</v>
      </c>
      <c r="R577" s="70">
        <v>34.513553355306044</v>
      </c>
      <c r="S577" s="70">
        <v>52.16914133692962</v>
      </c>
      <c r="T577" s="70">
        <v>59.622118558168445</v>
      </c>
      <c r="U577" s="70">
        <v>62.514172577967045</v>
      </c>
      <c r="V577" s="70">
        <v>81.951847787852103</v>
      </c>
      <c r="X577" s="193">
        <f>((0-('Appendix K'!$I$30))/(1+$Y$16)^0)</f>
        <v>-33594902.4440751</v>
      </c>
      <c r="Y577" s="193">
        <f>(((B577*'Appendix K'!$C$5*1000)-('Appendix K'!$E$31+'Appendix K'!$F$31+'Appendix K'!$H$31+'Appendix K'!$G$31))/((1+$Y$16)^1))</f>
        <v>34971064.972647354</v>
      </c>
      <c r="Z577" s="193">
        <f>+(((C577*'Appendix K'!$C$6*1000)-('Appendix K'!$E$32+'Appendix K'!$F$32+'Appendix K'!$H$32+'Appendix K'!$G$32))/((1+$Y$16)^2))</f>
        <v>14542265.450612836</v>
      </c>
      <c r="AA577" s="193">
        <f>(((D577*'Appendix K'!$C$7*1000)-('Appendix K'!$E$33+'Appendix K'!$F$33+'Appendix K'!$H$33+'Appendix K'!$G$33))/((1+$Y$16)^3))</f>
        <v>4640846.6447918704</v>
      </c>
      <c r="AB577" s="193">
        <f>(((E577*'Appendix K'!$C$8*1000)-('Appendix K'!$E$34+'Appendix K'!$F$34+'Appendix K'!$H$34+'Appendix K'!$G$34))/((1+$Y$16)^4))</f>
        <v>11912612.264760949</v>
      </c>
      <c r="AC577" s="193">
        <f>(((F577*'Appendix K'!$C$9*1000)-('Appendix K'!$E$35+'Appendix K'!$F$35+'Appendix K'!$H$35+'Appendix K'!$G$35))/((1+$Y$16)^AC$34))</f>
        <v>26131150.32381922</v>
      </c>
      <c r="AD577" s="193">
        <f>(((G577*'Appendix K'!$C$10*1000)-('Appendix K'!$E$36+'Appendix K'!$F$36+'Appendix K'!$H$36+'Appendix K'!$G$36))/((1+$Y$16)^AD$34))</f>
        <v>19725532.920893207</v>
      </c>
      <c r="AE577" s="193">
        <f>(((H577*'Appendix K'!$C$11*1000)-('Appendix K'!$E$37+'Appendix K'!$F$37+'Appendix K'!$H$37+'Appendix K'!$G$37))/((1+$Y$16)^AE$34))</f>
        <v>9900911.8894713465</v>
      </c>
      <c r="AF577" s="193">
        <f>(((I577*'Appendix K'!$C$12*1000)-('Appendix K'!$E$38+'Appendix K'!$F$38+'Appendix K'!$H$38+'Appendix K'!$G$38))/((1+$Y$16)^AF$34))</f>
        <v>6478596.8282872457</v>
      </c>
      <c r="AG577" s="193">
        <f>(((J577*'Appendix K'!$C$13*1000)-('Appendix K'!$E$39+'Appendix K'!$F$39+'Appendix K'!$H$39+'Appendix K'!$G$39))/((1+$Y$16)^AG$34))</f>
        <v>8337099.8615381867</v>
      </c>
      <c r="AH577" s="193">
        <f>(((K577*'Appendix K'!$C$14*1000)-('Appendix K'!$E$40+'Appendix K'!$F$40+'Appendix K'!$H$40+'Appendix K'!$G$40))/((1+$Y$16)^AH$34))</f>
        <v>6132908.4619241366</v>
      </c>
      <c r="AI577" s="193">
        <f>(((L577*'Appendix K'!$C$15*1000)-('Appendix K'!$E$41+'Appendix K'!$F$41+'Appendix K'!$H$41+'Appendix K'!$G$41))/((1+$Y$16)^AI$34))</f>
        <v>3781532.2407626109</v>
      </c>
      <c r="AJ577" s="193">
        <f>(((M577*'Appendix K'!$C$16*1000)-('Appendix K'!$E$42+'Appendix K'!$F$42+'Appendix K'!$H$42+'Appendix K'!$G$42))/((1+$Y$16)^AJ$34))</f>
        <v>2715532.1105301711</v>
      </c>
      <c r="AK577" s="193">
        <f>(((N577*'Appendix K'!$C$17*1000)-('Appendix K'!$E$43+'Appendix K'!$F$43+'Appendix K'!$H$43))/((1+$Y$16)^AK$34))</f>
        <v>2592486.8713595103</v>
      </c>
      <c r="AL577" s="193">
        <f>(((O577*'Appendix K'!$C$18*1000)-('Appendix K'!$E$44+'Appendix K'!$F$44+'Appendix K'!$H$44+'Appendix K'!$G$44))/((1+$Y$16)^AL$34))</f>
        <v>26927.171001497998</v>
      </c>
      <c r="AM577" s="193">
        <f>(((P577*'Appendix K'!$C$19*1000)-('Appendix K'!$E$45+'Appendix K'!$F$45+'Appendix K'!$H$45+'Appendix K'!$G$45))/((1+$Y$16)^AM$34))</f>
        <v>-176138.17809659929</v>
      </c>
      <c r="AN577" s="193">
        <f>(((Q577*'Appendix K'!$C$20*1000)-('Appendix K'!$E$46+'Appendix K'!$F$46+'Appendix K'!$H$46+'Appendix K'!$G$46))/((1+$Y$16)^AN$34))</f>
        <v>-657464.87566063425</v>
      </c>
      <c r="AO577" s="193">
        <f>(((R577*'Appendix K'!$C$21*1000)-('Appendix K'!$E$47+'Appendix K'!$F$47+'Appendix K'!$H$47+'Appendix K'!$G$47))/((1+$Y$16)^AO$34))</f>
        <v>-639020.0119923813</v>
      </c>
      <c r="AP577" s="193">
        <f>(((S577*'Appendix K'!$C$22*1000)-('Appendix K'!$E$48+'Appendix K'!$F$48+'Appendix K'!$H$48+'Appendix K'!$G$48))/((1+$Y$16)^AP$34))</f>
        <v>-514577.68751648924</v>
      </c>
      <c r="AQ577" s="193">
        <f>(((T577*'Appendix K'!$C$23*1000)-('Appendix K'!$E$49+'Appendix K'!$F$49+'Appendix K'!$H$49+'Appendix K'!$G$49))/((1+$Y$16)^AQ$34))</f>
        <v>-460139.9231289209</v>
      </c>
      <c r="AR577" s="193">
        <f>(((U577*'Appendix K'!$C$24*1000)-('Appendix K'!$E$50+'Appendix K'!$F$50+'Appendix K'!$H$50+'Appendix K'!$G$50))/((1+$Y$16)^AR$34))</f>
        <v>-427991.48203149275</v>
      </c>
      <c r="AS577" s="209">
        <f t="shared" si="32"/>
        <v>118294565.56832501</v>
      </c>
      <c r="AU577" s="199">
        <f t="shared" si="31"/>
        <v>6.0741169936768556E-9</v>
      </c>
    </row>
    <row r="578" spans="1:47" x14ac:dyDescent="0.35">
      <c r="A578">
        <v>544</v>
      </c>
      <c r="B578" s="70">
        <v>56</v>
      </c>
      <c r="C578" s="70">
        <v>43.112939565828505</v>
      </c>
      <c r="D578" s="70">
        <v>44.618983605875925</v>
      </c>
      <c r="E578" s="70">
        <v>39.279522321082922</v>
      </c>
      <c r="F578" s="70">
        <v>39.508725590599745</v>
      </c>
      <c r="G578" s="70">
        <v>59.921056759243598</v>
      </c>
      <c r="H578" s="70">
        <v>76.596327987729538</v>
      </c>
      <c r="I578" s="70">
        <v>96.39416352858494</v>
      </c>
      <c r="J578" s="70">
        <v>113.87436149703804</v>
      </c>
      <c r="K578" s="70">
        <v>164.28668313953096</v>
      </c>
      <c r="L578" s="70">
        <v>157.00818631495071</v>
      </c>
      <c r="M578" s="70">
        <v>222.6439047432944</v>
      </c>
      <c r="N578" s="70">
        <v>345.03207166025646</v>
      </c>
      <c r="O578" s="70">
        <v>435.83441488527609</v>
      </c>
      <c r="P578" s="70">
        <v>500</v>
      </c>
      <c r="Q578" s="70">
        <v>500</v>
      </c>
      <c r="R578" s="70">
        <v>500</v>
      </c>
      <c r="S578" s="70">
        <v>366.01318860549304</v>
      </c>
      <c r="T578" s="70">
        <v>328.07518847647088</v>
      </c>
      <c r="U578" s="70">
        <v>345.58421975837172</v>
      </c>
      <c r="V578" s="70">
        <v>366.91921308771475</v>
      </c>
      <c r="X578" s="193">
        <f>((0-('Appendix K'!$I$30))/(1+$Y$16)^0)</f>
        <v>-33594902.4440751</v>
      </c>
      <c r="Y578" s="193">
        <f>(((B578*'Appendix K'!$C$5*1000)-('Appendix K'!$E$31+'Appendix K'!$F$31+'Appendix K'!$H$31+'Appendix K'!$G$31))/((1+$Y$16)^1))</f>
        <v>34971064.972647354</v>
      </c>
      <c r="Z578" s="193">
        <f>+(((C578*'Appendix K'!$C$6*1000)-('Appendix K'!$E$32+'Appendix K'!$F$32+'Appendix K'!$H$32+'Appendix K'!$G$32))/((1+$Y$16)^2))</f>
        <v>7403818.2303970205</v>
      </c>
      <c r="AA578" s="193">
        <f>(((D578*'Appendix K'!$C$7*1000)-('Appendix K'!$E$33+'Appendix K'!$F$33+'Appendix K'!$H$33+'Appendix K'!$G$33))/((1+$Y$16)^3))</f>
        <v>2718439.2786415801</v>
      </c>
      <c r="AB578" s="193">
        <f>(((E578*'Appendix K'!$C$8*1000)-('Appendix K'!$E$34+'Appendix K'!$F$34+'Appendix K'!$H$34+'Appendix K'!$G$34))/((1+$Y$16)^4))</f>
        <v>5316503.8345086854</v>
      </c>
      <c r="AC578" s="193">
        <f>(((F578*'Appendix K'!$C$9*1000)-('Appendix K'!$E$35+'Appendix K'!$F$35+'Appendix K'!$H$35+'Appendix K'!$G$35))/((1+$Y$16)^AC$34))</f>
        <v>7517128.7029900234</v>
      </c>
      <c r="AD578" s="193">
        <f>(((G578*'Appendix K'!$C$10*1000)-('Appendix K'!$E$36+'Appendix K'!$F$36+'Appendix K'!$H$36+'Appendix K'!$G$36))/((1+$Y$16)^AD$34))</f>
        <v>6894476.5547142485</v>
      </c>
      <c r="AE578" s="193">
        <f>(((H578*'Appendix K'!$C$11*1000)-('Appendix K'!$E$37+'Appendix K'!$F$37+'Appendix K'!$H$37+'Appendix K'!$G$37))/((1+$Y$16)^AE$34))</f>
        <v>5419595.1656873394</v>
      </c>
      <c r="AF578" s="193">
        <f>(((I578*'Appendix K'!$C$12*1000)-('Appendix K'!$E$38+'Appendix K'!$F$38+'Appendix K'!$H$38+'Appendix K'!$G$38))/((1+$Y$16)^AF$34))</f>
        <v>4332895.7190398667</v>
      </c>
      <c r="AG578" s="193">
        <f>(((J578*'Appendix K'!$C$13*1000)-('Appendix K'!$E$39+'Appendix K'!$F$39+'Appendix K'!$H$39+'Appendix K'!$G$39))/((1+$Y$16)^AG$34))</f>
        <v>3425432.6912474814</v>
      </c>
      <c r="AH578" s="193">
        <f>(((K578*'Appendix K'!$C$14*1000)-('Appendix K'!$E$40+'Appendix K'!$F$40+'Appendix K'!$H$40+'Appendix K'!$G$40))/((1+$Y$16)^AH$34))</f>
        <v>3904792.3248628653</v>
      </c>
      <c r="AI578" s="193">
        <f>(((L578*'Appendix K'!$C$15*1000)-('Appendix K'!$E$41+'Appendix K'!$F$41+'Appendix K'!$H$41+'Appendix K'!$G$41))/((1+$Y$16)^AI$34))</f>
        <v>2597426.7398687932</v>
      </c>
      <c r="AJ578" s="193">
        <f>(((M578*'Appendix K'!$C$16*1000)-('Appendix K'!$E$42+'Appendix K'!$F$42+'Appendix K'!$H$42+'Appendix K'!$G$42))/((1+$Y$16)^AJ$34))</f>
        <v>3080648.5636081058</v>
      </c>
      <c r="AK578" s="193">
        <f>(((N578*'Appendix K'!$C$17*1000)-('Appendix K'!$E$43+'Appendix K'!$F$43+'Appendix K'!$H$43))/((1+$Y$16)^AK$34))</f>
        <v>4296778.7539220443</v>
      </c>
      <c r="AL578" s="193">
        <f>(((O578*'Appendix K'!$C$18*1000)-('Appendix K'!$E$44+'Appendix K'!$F$44+'Appendix K'!$H$44+'Appendix K'!$G$44))/((1+$Y$16)^AL$34))</f>
        <v>4031484.4391681626</v>
      </c>
      <c r="AM578" s="193">
        <f>(((P578*'Appendix K'!$C$19*1000)-('Appendix K'!$E$45+'Appendix K'!$F$45+'Appendix K'!$H$45+'Appendix K'!$G$45))/((1+$Y$16)^AM$34))</f>
        <v>3607599.9540230581</v>
      </c>
      <c r="AN578" s="193">
        <f>(((Q578*'Appendix K'!$C$20*1000)-('Appendix K'!$E$46+'Appendix K'!$F$46+'Appendix K'!$H$46+'Appendix K'!$G$46))/((1+$Y$16)^AN$34))</f>
        <v>2702399.606577659</v>
      </c>
      <c r="AO578" s="193">
        <f>(((R578*'Appendix K'!$C$21*1000)-('Appendix K'!$E$47+'Appendix K'!$F$47+'Appendix K'!$H$47+'Appendix K'!$G$47))/((1+$Y$16)^AO$34))</f>
        <v>2112056.3146391152</v>
      </c>
      <c r="AP578" s="193">
        <f>(((S578*'Appendix K'!$C$22*1000)-('Appendix K'!$E$48+'Appendix K'!$F$48+'Appendix K'!$H$48+'Appendix K'!$G$48))/((1+$Y$16)^AP$34))</f>
        <v>988647.21595836757</v>
      </c>
      <c r="AQ578" s="193">
        <f>(((T578*'Appendix K'!$C$23*1000)-('Appendix K'!$E$49+'Appendix K'!$F$49+'Appendix K'!$H$49+'Appendix K'!$G$49))/((1+$Y$16)^AQ$34))</f>
        <v>590516.66678286472</v>
      </c>
      <c r="AR578" s="193">
        <f>(((U578*'Appendix K'!$C$24*1000)-('Appendix K'!$E$50+'Appendix K'!$F$50+'Appendix K'!$H$50+'Appendix K'!$G$50))/((1+$Y$16)^AR$34))</f>
        <v>483502.00118902774</v>
      </c>
      <c r="AS578" s="209">
        <f t="shared" si="32"/>
        <v>72800305.28639859</v>
      </c>
      <c r="AU578" s="199">
        <f t="shared" si="31"/>
        <v>6.7941253126462256E-9</v>
      </c>
    </row>
    <row r="579" spans="1:47" x14ac:dyDescent="0.35">
      <c r="A579">
        <v>545</v>
      </c>
      <c r="B579" s="70">
        <v>56</v>
      </c>
      <c r="C579" s="70">
        <v>56.783354159436307</v>
      </c>
      <c r="D579" s="70">
        <v>60.441223386671354</v>
      </c>
      <c r="E579" s="70">
        <v>84.203067678642526</v>
      </c>
      <c r="F579" s="70">
        <v>56.394901781172351</v>
      </c>
      <c r="G579" s="70">
        <v>81.059631939455244</v>
      </c>
      <c r="H579" s="70">
        <v>80.00741331421635</v>
      </c>
      <c r="I579" s="70">
        <v>55.204113700010183</v>
      </c>
      <c r="J579" s="70">
        <v>74.99852976837488</v>
      </c>
      <c r="K579" s="70">
        <v>80.198513646746903</v>
      </c>
      <c r="L579" s="70">
        <v>106.59499097571823</v>
      </c>
      <c r="M579" s="70">
        <v>66.868377409071286</v>
      </c>
      <c r="N579" s="70">
        <v>74.116235158035622</v>
      </c>
      <c r="O579" s="70">
        <v>111.15161531126174</v>
      </c>
      <c r="P579" s="70">
        <v>147.44206750058001</v>
      </c>
      <c r="Q579" s="70">
        <v>228.47196578355104</v>
      </c>
      <c r="R579" s="70">
        <v>309.19201747563227</v>
      </c>
      <c r="S579" s="70">
        <v>285.33800124436755</v>
      </c>
      <c r="T579" s="70">
        <v>204.57981362132816</v>
      </c>
      <c r="U579" s="70">
        <v>113.68689850774597</v>
      </c>
      <c r="V579" s="70">
        <v>115.38717323114021</v>
      </c>
      <c r="X579" s="193">
        <f>((0-('Appendix K'!$I$30))/(1+$Y$16)^0)</f>
        <v>-33594902.4440751</v>
      </c>
      <c r="Y579" s="193">
        <f>(((B579*'Appendix K'!$C$5*1000)-('Appendix K'!$E$31+'Appendix K'!$F$31+'Appendix K'!$H$31+'Appendix K'!$G$31))/((1+$Y$16)^1))</f>
        <v>34971064.972647354</v>
      </c>
      <c r="Z579" s="193">
        <f>+(((C579*'Appendix K'!$C$6*1000)-('Appendix K'!$E$32+'Appendix K'!$F$32+'Appendix K'!$H$32+'Appendix K'!$G$32))/((1+$Y$16)^2))</f>
        <v>10857198.76353945</v>
      </c>
      <c r="AA579" s="193">
        <f>(((D579*'Appendix K'!$C$7*1000)-('Appendix K'!$E$33+'Appendix K'!$F$33+'Appendix K'!$H$33+'Appendix K'!$G$33))/((1+$Y$16)^3))</f>
        <v>4733795.0511454102</v>
      </c>
      <c r="AB579" s="193">
        <f>(((E579*'Appendix K'!$C$8*1000)-('Appendix K'!$E$34+'Appendix K'!$F$34+'Appendix K'!$H$34+'Appendix K'!$G$34))/((1+$Y$16)^4))</f>
        <v>15163333.741409561</v>
      </c>
      <c r="AC579" s="193">
        <f>(((F579*'Appendix K'!$C$9*1000)-('Appendix K'!$E$35+'Appendix K'!$F$35+'Appendix K'!$H$35+'Appendix K'!$G$35))/((1+$Y$16)^AC$34))</f>
        <v>12005447.818389295</v>
      </c>
      <c r="AD579" s="193">
        <f>(((G579*'Appendix K'!$C$10*1000)-('Appendix K'!$E$36+'Appendix K'!$F$36+'Appendix K'!$H$36+'Appendix K'!$G$36))/((1+$Y$16)^AD$34))</f>
        <v>10214161.930439454</v>
      </c>
      <c r="AE579" s="193">
        <f>(((H579*'Appendix K'!$C$11*1000)-('Appendix K'!$E$37+'Appendix K'!$F$37+'Appendix K'!$H$37+'Appendix K'!$G$37))/((1+$Y$16)^AE$34))</f>
        <v>5759808.7279100548</v>
      </c>
      <c r="AF579" s="193">
        <f>(((I579*'Appendix K'!$C$12*1000)-('Appendix K'!$E$38+'Appendix K'!$F$38+'Appendix K'!$H$38+'Appendix K'!$G$38))/((1+$Y$16)^AF$34))</f>
        <v>1628257.0774367172</v>
      </c>
      <c r="AG579" s="193">
        <f>(((J579*'Appendix K'!$C$13*1000)-('Appendix K'!$E$39+'Appendix K'!$F$39+'Appendix K'!$H$39+'Appendix K'!$G$39))/((1+$Y$16)^AG$34))</f>
        <v>1636408.4126425406</v>
      </c>
      <c r="AH579" s="193">
        <f>(((K579*'Appendix K'!$C$14*1000)-('Appendix K'!$E$40+'Appendix K'!$F$40+'Appendix K'!$H$40+'Appendix K'!$G$40))/((1+$Y$16)^AH$34))</f>
        <v>1070472.1899782286</v>
      </c>
      <c r="AI579" s="193">
        <f>(((L579*'Appendix K'!$C$15*1000)-('Appendix K'!$E$41+'Appendix K'!$F$41+'Appendix K'!$H$41+'Appendix K'!$G$41))/((1+$Y$16)^AI$34))</f>
        <v>1276506.7488433486</v>
      </c>
      <c r="AJ579" s="193">
        <f>(((M579*'Appendix K'!$C$16*1000)-('Appendix K'!$E$42+'Appendix K'!$F$42+'Appendix K'!$H$42+'Appendix K'!$G$42))/((1+$Y$16)^AJ$34))</f>
        <v>-41383.833644072889</v>
      </c>
      <c r="AK579" s="193">
        <f>(((N579*'Appendix K'!$C$17*1000)-('Appendix K'!$E$43+'Appendix K'!$F$43+'Appendix K'!$H$43))/((1+$Y$16)^AK$34))</f>
        <v>134455.62090093255</v>
      </c>
      <c r="AL579" s="193">
        <f>(((O579*'Appendix K'!$C$18*1000)-('Appendix K'!$E$44+'Appendix K'!$F$44+'Appendix K'!$H$44+'Appendix K'!$G$44))/((1+$Y$16)^AL$34))</f>
        <v>182923.6772133073</v>
      </c>
      <c r="AM579" s="193">
        <f>(((P579*'Appendix K'!$C$19*1000)-('Appendix K'!$E$45+'Appendix K'!$F$45+'Appendix K'!$H$45+'Appendix K'!$G$45))/((1+$Y$16)^AM$34))</f>
        <v>339835.03644778766</v>
      </c>
      <c r="AN579" s="193">
        <f>(((Q579*'Appendix K'!$C$20*1000)-('Appendix K'!$E$46+'Appendix K'!$F$46+'Appendix K'!$H$46+'Appendix K'!$G$46))/((1+$Y$16)^AN$34))</f>
        <v>737563.85903178889</v>
      </c>
      <c r="AO579" s="193">
        <f>(((R579*'Appendix K'!$C$21*1000)-('Appendix K'!$E$47+'Appendix K'!$F$47+'Appendix K'!$H$47+'Appendix K'!$G$47))/((1+$Y$16)^AO$34))</f>
        <v>984360.05744651472</v>
      </c>
      <c r="AP579" s="193">
        <f>(((S579*'Appendix K'!$C$22*1000)-('Appendix K'!$E$48+'Appendix K'!$F$48+'Appendix K'!$H$48+'Appendix K'!$G$48))/((1+$Y$16)^AP$34))</f>
        <v>602235.71066074504</v>
      </c>
      <c r="AQ579" s="193">
        <f>(((T579*'Appendix K'!$C$23*1000)-('Appendix K'!$E$49+'Appendix K'!$F$49+'Appendix K'!$H$49+'Appendix K'!$G$49))/((1+$Y$16)^AQ$34))</f>
        <v>107187.38522661827</v>
      </c>
      <c r="AR579" s="193">
        <f>(((U579*'Appendix K'!$C$24*1000)-('Appendix K'!$E$50+'Appendix K'!$F$50+'Appendix K'!$H$50+'Appendix K'!$G$50))/((1+$Y$16)^AR$34))</f>
        <v>-263213.87073623418</v>
      </c>
      <c r="AS579" s="209">
        <f t="shared" si="32"/>
        <v>68810114.33723399</v>
      </c>
      <c r="AU579" s="199">
        <f t="shared" si="31"/>
        <v>6.654077218418395E-9</v>
      </c>
    </row>
    <row r="580" spans="1:47" x14ac:dyDescent="0.35">
      <c r="A580">
        <v>546</v>
      </c>
      <c r="B580" s="70">
        <v>56</v>
      </c>
      <c r="C580" s="70">
        <v>44.590270427190056</v>
      </c>
      <c r="D580" s="70">
        <v>47.294923803465061</v>
      </c>
      <c r="E580" s="70">
        <v>69.260739103093215</v>
      </c>
      <c r="F580" s="70">
        <v>89.405632448620963</v>
      </c>
      <c r="G580" s="70">
        <v>113.67874676993813</v>
      </c>
      <c r="H580" s="70">
        <v>109.01354680851946</v>
      </c>
      <c r="I580" s="70">
        <v>143.17324919924408</v>
      </c>
      <c r="J580" s="70">
        <v>88.186651567043214</v>
      </c>
      <c r="K580" s="70">
        <v>114.30438037096268</v>
      </c>
      <c r="L580" s="70">
        <v>79.645617933328609</v>
      </c>
      <c r="M580" s="70">
        <v>54.712533141051651</v>
      </c>
      <c r="N580" s="70">
        <v>71.415941064547965</v>
      </c>
      <c r="O580" s="70">
        <v>97.430768782437795</v>
      </c>
      <c r="P580" s="70">
        <v>146.15753961499979</v>
      </c>
      <c r="Q580" s="70">
        <v>187.28411357718809</v>
      </c>
      <c r="R580" s="70">
        <v>52.249063538942664</v>
      </c>
      <c r="S580" s="70">
        <v>72.813406734152736</v>
      </c>
      <c r="T580" s="70">
        <v>51.958021970083209</v>
      </c>
      <c r="U580" s="70">
        <v>46.05407291523241</v>
      </c>
      <c r="V580" s="70">
        <v>36.203201987883574</v>
      </c>
      <c r="X580" s="193">
        <f>((0-('Appendix K'!$I$30))/(1+$Y$16)^0)</f>
        <v>-33594902.4440751</v>
      </c>
      <c r="Y580" s="193">
        <f>(((B580*'Appendix K'!$C$5*1000)-('Appendix K'!$E$31+'Appendix K'!$F$31+'Appendix K'!$H$31+'Appendix K'!$G$31))/((1+$Y$16)^1))</f>
        <v>34971064.972647354</v>
      </c>
      <c r="Z580" s="193">
        <f>+(((C580*'Appendix K'!$C$6*1000)-('Appendix K'!$E$32+'Appendix K'!$F$32+'Appendix K'!$H$32+'Appendix K'!$G$32))/((1+$Y$16)^2))</f>
        <v>7777017.2729499862</v>
      </c>
      <c r="AA580" s="193">
        <f>(((D580*'Appendix K'!$C$7*1000)-('Appendix K'!$E$33+'Appendix K'!$F$33+'Appendix K'!$H$33+'Appendix K'!$G$33))/((1+$Y$16)^3))</f>
        <v>3059286.8197483788</v>
      </c>
      <c r="AB580" s="193">
        <f>(((E580*'Appendix K'!$C$8*1000)-('Appendix K'!$E$34+'Appendix K'!$F$34+'Appendix K'!$H$34+'Appendix K'!$G$34))/((1+$Y$16)^4))</f>
        <v>11888112.10150177</v>
      </c>
      <c r="AC580" s="193">
        <f>(((F580*'Appendix K'!$C$9*1000)-('Appendix K'!$E$35+'Appendix K'!$F$35+'Appendix K'!$H$35+'Appendix K'!$G$35))/((1+$Y$16)^AC$34))</f>
        <v>20779648.193647992</v>
      </c>
      <c r="AD580" s="193">
        <f>(((G580*'Appendix K'!$C$10*1000)-('Appendix K'!$E$36+'Appendix K'!$F$36+'Appendix K'!$H$36+'Appendix K'!$G$36))/((1+$Y$16)^AD$34))</f>
        <v>15336796.61838302</v>
      </c>
      <c r="AE580" s="193">
        <f>(((H580*'Appendix K'!$C$11*1000)-('Appendix K'!$E$37+'Appendix K'!$F$37+'Appendix K'!$H$37+'Appendix K'!$G$37))/((1+$Y$16)^AE$34))</f>
        <v>8652811.704346342</v>
      </c>
      <c r="AF580" s="193">
        <f>(((I580*'Appendix K'!$C$12*1000)-('Appendix K'!$E$38+'Appendix K'!$F$38+'Appendix K'!$H$38+'Appendix K'!$G$38))/((1+$Y$16)^AF$34))</f>
        <v>7404524.0188424541</v>
      </c>
      <c r="AG580" s="193">
        <f>(((J580*'Appendix K'!$C$13*1000)-('Appendix K'!$E$39+'Appendix K'!$F$39+'Appendix K'!$H$39+'Appendix K'!$G$39))/((1+$Y$16)^AG$34))</f>
        <v>2243311.7003121632</v>
      </c>
      <c r="AH580" s="193">
        <f>(((K580*'Appendix K'!$C$14*1000)-('Appendix K'!$E$40+'Appendix K'!$F$40+'Appendix K'!$H$40+'Appendix K'!$G$40))/((1+$Y$16)^AH$34))</f>
        <v>2220062.4992598696</v>
      </c>
      <c r="AI580" s="193">
        <f>(((L580*'Appendix K'!$C$15*1000)-('Appendix K'!$E$41+'Appendix K'!$F$41+'Appendix K'!$H$41+'Appendix K'!$G$41))/((1+$Y$16)^AI$34))</f>
        <v>570382.77955803566</v>
      </c>
      <c r="AJ580" s="193">
        <f>(((M580*'Appendix K'!$C$16*1000)-('Appendix K'!$E$42+'Appendix K'!$F$42+'Appendix K'!$H$42+'Appendix K'!$G$42))/((1+$Y$16)^AJ$34))</f>
        <v>-285009.64746837236</v>
      </c>
      <c r="AK580" s="193">
        <f>(((N580*'Appendix K'!$C$17*1000)-('Appendix K'!$E$43+'Appendix K'!$F$43+'Appendix K'!$H$43))/((1+$Y$16)^AK$34))</f>
        <v>92968.579329659129</v>
      </c>
      <c r="AL580" s="193">
        <f>(((O580*'Appendix K'!$C$18*1000)-('Appendix K'!$E$44+'Appendix K'!$F$44+'Appendix K'!$H$44+'Appendix K'!$G$44))/((1+$Y$16)^AL$34))</f>
        <v>20286.445918895075</v>
      </c>
      <c r="AM580" s="193">
        <f>(((P580*'Appendix K'!$C$19*1000)-('Appendix K'!$E$45+'Appendix K'!$F$45+'Appendix K'!$H$45+'Appendix K'!$G$45))/((1+$Y$16)^AM$34))</f>
        <v>327929.09199664963</v>
      </c>
      <c r="AN580" s="193">
        <f>(((Q580*'Appendix K'!$C$20*1000)-('Appendix K'!$E$46+'Appendix K'!$F$46+'Appendix K'!$H$46+'Appendix K'!$G$46))/((1+$Y$16)^AN$34))</f>
        <v>439519.62719683</v>
      </c>
      <c r="AO580" s="193">
        <f>(((R580*'Appendix K'!$C$21*1000)-('Appendix K'!$E$47+'Appendix K'!$F$47+'Appendix K'!$H$47+'Appendix K'!$G$47))/((1+$Y$16)^AO$34))</f>
        <v>-534201.18738721032</v>
      </c>
      <c r="AP580" s="193">
        <f>(((S580*'Appendix K'!$C$22*1000)-('Appendix K'!$E$48+'Appendix K'!$F$48+'Appendix K'!$H$48+'Appendix K'!$G$48))/((1+$Y$16)^AP$34))</f>
        <v>-415697.45024853665</v>
      </c>
      <c r="AQ580" s="193">
        <f>(((T580*'Appendix K'!$C$23*1000)-('Appendix K'!$E$49+'Appendix K'!$F$49+'Appendix K'!$H$49+'Appendix K'!$G$49))/((1+$Y$16)^AQ$34))</f>
        <v>-490135.23511564068</v>
      </c>
      <c r="AR580" s="193">
        <f>(((U580*'Appendix K'!$C$24*1000)-('Appendix K'!$E$50+'Appendix K'!$F$50+'Appendix K'!$H$50+'Appendix K'!$G$50))/((1+$Y$16)^AR$34))</f>
        <v>-480993.46413870284</v>
      </c>
      <c r="AS580" s="209">
        <f t="shared" si="32"/>
        <v>82188819.981564313</v>
      </c>
      <c r="AU580" s="199">
        <f t="shared" si="31"/>
        <v>6.997590608640116E-9</v>
      </c>
    </row>
    <row r="581" spans="1:47" x14ac:dyDescent="0.35">
      <c r="A581">
        <v>547</v>
      </c>
      <c r="B581" s="70">
        <v>56</v>
      </c>
      <c r="C581" s="70">
        <v>74.72870869058309</v>
      </c>
      <c r="D581" s="70">
        <v>88.854108356219001</v>
      </c>
      <c r="E581" s="70">
        <v>46.691917697677191</v>
      </c>
      <c r="F581" s="70">
        <v>68.619086364639102</v>
      </c>
      <c r="G581" s="70">
        <v>34.438075376112117</v>
      </c>
      <c r="H581" s="70">
        <v>19.790121550906193</v>
      </c>
      <c r="I581" s="70">
        <v>29.238063688616911</v>
      </c>
      <c r="J581" s="70">
        <v>43.723228303142392</v>
      </c>
      <c r="K581" s="70">
        <v>18.04733007078406</v>
      </c>
      <c r="L581" s="70">
        <v>16.707052360204059</v>
      </c>
      <c r="M581" s="70">
        <v>16.866544385688815</v>
      </c>
      <c r="N581" s="70">
        <v>26.390492904783471</v>
      </c>
      <c r="O581" s="70">
        <v>36.667186425514018</v>
      </c>
      <c r="P581" s="70">
        <v>33.660740488691467</v>
      </c>
      <c r="Q581" s="70">
        <v>36.747851780150242</v>
      </c>
      <c r="R581" s="70">
        <v>31.402784099096841</v>
      </c>
      <c r="S581" s="70">
        <v>35.513062813742152</v>
      </c>
      <c r="T581" s="70">
        <v>30.064475967948834</v>
      </c>
      <c r="U581" s="70">
        <v>42.487431864509851</v>
      </c>
      <c r="V581" s="70">
        <v>55.845409962087132</v>
      </c>
      <c r="X581" s="193">
        <f>((0-('Appendix K'!$I$30))/(1+$Y$16)^0)</f>
        <v>-33594902.4440751</v>
      </c>
      <c r="Y581" s="193">
        <f>(((B581*'Appendix K'!$C$5*1000)-('Appendix K'!$E$31+'Appendix K'!$F$31+'Appendix K'!$H$31+'Appendix K'!$G$31))/((1+$Y$16)^1))</f>
        <v>34971064.972647354</v>
      </c>
      <c r="Z581" s="193">
        <f>+(((C581*'Appendix K'!$C$6*1000)-('Appendix K'!$E$32+'Appendix K'!$F$32+'Appendix K'!$H$32+'Appendix K'!$G$32))/((1+$Y$16)^2))</f>
        <v>15390502.239732439</v>
      </c>
      <c r="AA581" s="193">
        <f>(((D581*'Appendix K'!$C$7*1000)-('Appendix K'!$E$33+'Appendix K'!$F$33+'Appendix K'!$H$33+'Appendix K'!$G$33))/((1+$Y$16)^3))</f>
        <v>8352882.6474772627</v>
      </c>
      <c r="AB581" s="193">
        <f>(((E581*'Appendix K'!$C$8*1000)-('Appendix K'!$E$34+'Appendix K'!$F$34+'Appendix K'!$H$34+'Appendix K'!$G$34))/((1+$Y$16)^4))</f>
        <v>6941233.0471094428</v>
      </c>
      <c r="AC581" s="193">
        <f>(((F581*'Appendix K'!$C$9*1000)-('Appendix K'!$E$35+'Appendix K'!$F$35+'Appendix K'!$H$35+'Appendix K'!$G$35))/((1+$Y$16)^AC$34))</f>
        <v>15254616.885260345</v>
      </c>
      <c r="AD581" s="193">
        <f>(((G581*'Appendix K'!$C$10*1000)-('Appendix K'!$E$36+'Appendix K'!$F$36+'Appendix K'!$H$36+'Appendix K'!$G$36))/((1+$Y$16)^AD$34))</f>
        <v>2892528.4618905094</v>
      </c>
      <c r="AE581" s="193">
        <f>(((H581*'Appendix K'!$C$11*1000)-('Appendix K'!$E$37+'Appendix K'!$F$37+'Appendix K'!$H$37+'Appendix K'!$G$37))/((1+$Y$16)^AE$34))</f>
        <v>-246121.16751718608</v>
      </c>
      <c r="AF581" s="193">
        <f>(((I581*'Appendix K'!$C$12*1000)-('Appendix K'!$E$38+'Appendix K'!$F$38+'Appendix K'!$H$38+'Appendix K'!$G$38))/((1+$Y$16)^AF$34))</f>
        <v>-76736.78692841834</v>
      </c>
      <c r="AG581" s="193">
        <f>(((J581*'Appendix K'!$C$13*1000)-('Appendix K'!$E$39+'Appendix K'!$F$39+'Appendix K'!$H$39+'Appendix K'!$G$39))/((1+$Y$16)^AG$34))</f>
        <v>197152.4236642787</v>
      </c>
      <c r="AH581" s="193">
        <f>(((K581*'Appendix K'!$C$14*1000)-('Appendix K'!$E$40+'Appendix K'!$F$40+'Appendix K'!$H$40+'Appendix K'!$G$40))/((1+$Y$16)^AH$34))</f>
        <v>-1024428.3421516742</v>
      </c>
      <c r="AI581" s="193">
        <f>(((L581*'Appendix K'!$C$15*1000)-('Appendix K'!$E$41+'Appendix K'!$F$41+'Appendix K'!$H$41+'Appendix K'!$G$41))/((1+$Y$16)^AI$34))</f>
        <v>-1078725.3341525721</v>
      </c>
      <c r="AJ581" s="193">
        <f>(((M581*'Appendix K'!$C$16*1000)-('Appendix K'!$E$42+'Appendix K'!$F$42+'Appendix K'!$H$42+'Appendix K'!$G$42))/((1+$Y$16)^AJ$34))</f>
        <v>-1043513.9197522644</v>
      </c>
      <c r="AK581" s="193">
        <f>(((N581*'Appendix K'!$C$17*1000)-('Appendix K'!$E$43+'Appendix K'!$F$43+'Appendix K'!$H$43))/((1+$Y$16)^AK$34))</f>
        <v>-598797.78940565197</v>
      </c>
      <c r="AL581" s="193">
        <f>(((O581*'Appendix K'!$C$18*1000)-('Appendix K'!$E$44+'Appendix K'!$F$44+'Appendix K'!$H$44+'Appendix K'!$G$44))/((1+$Y$16)^AL$34))</f>
        <v>-699962.17557101697</v>
      </c>
      <c r="AM581" s="193">
        <f>(((P581*'Appendix K'!$C$19*1000)-('Appendix K'!$E$45+'Appendix K'!$F$45+'Appendix K'!$H$45+'Appendix K'!$G$45))/((1+$Y$16)^AM$34))</f>
        <v>-714773.56659426831</v>
      </c>
      <c r="AN581" s="193">
        <f>(((Q581*'Appendix K'!$C$20*1000)-('Appendix K'!$E$46+'Appendix K'!$F$46+'Appendix K'!$H$46+'Appendix K'!$G$46))/((1+$Y$16)^AN$34))</f>
        <v>-649793.41310958262</v>
      </c>
      <c r="AO581" s="193">
        <f>(((R581*'Appendix K'!$C$21*1000)-('Appendix K'!$E$47+'Appendix K'!$F$47+'Appendix K'!$H$47+'Appendix K'!$G$47))/((1+$Y$16)^AO$34))</f>
        <v>-657405.00197449035</v>
      </c>
      <c r="AP581" s="193">
        <f>(((S581*'Appendix K'!$C$22*1000)-('Appendix K'!$E$48+'Appendix K'!$F$48+'Appendix K'!$H$48+'Appendix K'!$G$48))/((1+$Y$16)^AP$34))</f>
        <v>-594355.62897561991</v>
      </c>
      <c r="AQ581" s="193">
        <f>(((T581*'Appendix K'!$C$23*1000)-('Appendix K'!$E$49+'Appendix K'!$F$49+'Appendix K'!$H$49+'Appendix K'!$G$49))/((1+$Y$16)^AQ$34))</f>
        <v>-575820.96927647421</v>
      </c>
      <c r="AR581" s="193">
        <f>(((U581*'Appendix K'!$C$24*1000)-('Appendix K'!$E$50+'Appendix K'!$F$50+'Appendix K'!$H$50+'Appendix K'!$G$50))/((1+$Y$16)^AR$34))</f>
        <v>-492478.14825524064</v>
      </c>
      <c r="AS581" s="209">
        <f t="shared" si="32"/>
        <v>50405078.233706512</v>
      </c>
      <c r="AU581" s="199">
        <f t="shared" si="31"/>
        <v>5.6698727844985961E-9</v>
      </c>
    </row>
    <row r="582" spans="1:47" x14ac:dyDescent="0.35">
      <c r="A582">
        <v>548</v>
      </c>
      <c r="B582" s="70">
        <v>56</v>
      </c>
      <c r="C582" s="70">
        <v>24.92577219858272</v>
      </c>
      <c r="D582" s="70">
        <v>29.610002062401584</v>
      </c>
      <c r="E582" s="70">
        <v>33.883974486406458</v>
      </c>
      <c r="F582" s="70">
        <v>31.803898076581284</v>
      </c>
      <c r="G582" s="70">
        <v>19.530079843268332</v>
      </c>
      <c r="H582" s="70">
        <v>16.510993220180197</v>
      </c>
      <c r="I582" s="70">
        <v>11.882681957714752</v>
      </c>
      <c r="J582" s="70">
        <v>16.769326347415319</v>
      </c>
      <c r="K582" s="70">
        <v>11.179303951627865</v>
      </c>
      <c r="L582" s="70">
        <v>12.166542033870963</v>
      </c>
      <c r="M582" s="70">
        <v>17.227770488215107</v>
      </c>
      <c r="N582" s="70">
        <v>36.017498555077111</v>
      </c>
      <c r="O582" s="70">
        <v>26.627767777954269</v>
      </c>
      <c r="P582" s="70">
        <v>27.138327061973065</v>
      </c>
      <c r="Q582" s="70">
        <v>19.249238457449245</v>
      </c>
      <c r="R582" s="70">
        <v>20.706167446919387</v>
      </c>
      <c r="S582" s="70">
        <v>29.686782619782239</v>
      </c>
      <c r="T582" s="70">
        <v>29.308542189168527</v>
      </c>
      <c r="U582" s="70">
        <v>36.281632348577418</v>
      </c>
      <c r="V582" s="70">
        <v>30.107652333715635</v>
      </c>
      <c r="X582" s="193">
        <f>((0-('Appendix K'!$I$30))/(1+$Y$16)^0)</f>
        <v>-33594902.4440751</v>
      </c>
      <c r="Y582" s="193">
        <f>(((B582*'Appendix K'!$C$5*1000)-('Appendix K'!$E$31+'Appendix K'!$F$31+'Appendix K'!$H$31+'Appendix K'!$G$31))/((1+$Y$16)^1))</f>
        <v>34971064.972647354</v>
      </c>
      <c r="Z582" s="193">
        <f>+(((C582*'Appendix K'!$C$6*1000)-('Appendix K'!$E$32+'Appendix K'!$F$32+'Appendix K'!$H$32+'Appendix K'!$G$32))/((1+$Y$16)^2))</f>
        <v>2809428.6960504828</v>
      </c>
      <c r="AA582" s="193">
        <f>(((D582*'Appendix K'!$C$7*1000)-('Appendix K'!$E$33+'Appendix K'!$F$33+'Appendix K'!$H$33+'Appendix K'!$G$33))/((1+$Y$16)^3))</f>
        <v>806672.17031099298</v>
      </c>
      <c r="AB582" s="193">
        <f>(((E582*'Appendix K'!$C$8*1000)-('Appendix K'!$E$34+'Appendix K'!$F$34+'Appendix K'!$H$34+'Appendix K'!$G$34))/((1+$Y$16)^4))</f>
        <v>4133849.1406340837</v>
      </c>
      <c r="AC582" s="193">
        <f>(((F582*'Appendix K'!$C$9*1000)-('Appendix K'!$E$35+'Appendix K'!$F$35+'Appendix K'!$H$35+'Appendix K'!$G$35))/((1+$Y$16)^AC$34))</f>
        <v>5469197.6485142317</v>
      </c>
      <c r="AD582" s="193">
        <f>(((G582*'Appendix K'!$C$10*1000)-('Appendix K'!$E$36+'Appendix K'!$F$36+'Appendix K'!$H$36+'Appendix K'!$G$36))/((1+$Y$16)^AD$34))</f>
        <v>551317.93422510196</v>
      </c>
      <c r="AE582" s="193">
        <f>(((H582*'Appendix K'!$C$11*1000)-('Appendix K'!$E$37+'Appendix K'!$F$37+'Appendix K'!$H$37+'Appendix K'!$G$37))/((1+$Y$16)^AE$34))</f>
        <v>-573173.65187433199</v>
      </c>
      <c r="AF582" s="193">
        <f>(((I582*'Appendix K'!$C$12*1000)-('Appendix K'!$E$38+'Appendix K'!$F$38+'Appendix K'!$H$38+'Appendix K'!$G$38))/((1+$Y$16)^AF$34))</f>
        <v>-1216333.2735684428</v>
      </c>
      <c r="AG582" s="193">
        <f>(((J582*'Appendix K'!$C$13*1000)-('Appendix K'!$E$39+'Appendix K'!$F$39+'Appendix K'!$H$39+'Appendix K'!$G$39))/((1+$Y$16)^AG$34))</f>
        <v>-1043237.3727134902</v>
      </c>
      <c r="AH582" s="193">
        <f>(((K582*'Appendix K'!$C$14*1000)-('Appendix K'!$E$40+'Appendix K'!$F$40+'Appendix K'!$H$40+'Appendix K'!$G$40))/((1+$Y$16)^AH$34))</f>
        <v>-1255925.6482989849</v>
      </c>
      <c r="AI582" s="193">
        <f>(((L582*'Appendix K'!$C$15*1000)-('Appendix K'!$E$41+'Appendix K'!$F$41+'Appendix K'!$H$41+'Appendix K'!$G$41))/((1+$Y$16)^AI$34))</f>
        <v>-1197695.1954984441</v>
      </c>
      <c r="AJ582" s="193">
        <f>(((M582*'Appendix K'!$C$16*1000)-('Appendix K'!$E$42+'Appendix K'!$F$42+'Appendix K'!$H$42+'Appendix K'!$G$42))/((1+$Y$16)^AJ$34))</f>
        <v>-1036274.2742564697</v>
      </c>
      <c r="AK582" s="193">
        <f>(((N582*'Appendix K'!$C$17*1000)-('Appendix K'!$E$43+'Appendix K'!$F$43+'Appendix K'!$H$43))/((1+$Y$16)^AK$34))</f>
        <v>-450889.46172243933</v>
      </c>
      <c r="AL582" s="193">
        <f>(((O582*'Appendix K'!$C$18*1000)-('Appendix K'!$E$44+'Appendix K'!$F$44+'Appendix K'!$H$44+'Appendix K'!$G$44))/((1+$Y$16)^AL$34))</f>
        <v>-818962.3589208239</v>
      </c>
      <c r="AM582" s="193">
        <f>(((P582*'Appendix K'!$C$19*1000)-('Appendix K'!$E$45+'Appendix K'!$F$45+'Appendix K'!$H$45+'Appendix K'!$G$45))/((1+$Y$16)^AM$34))</f>
        <v>-775228.06728483876</v>
      </c>
      <c r="AN582" s="193">
        <f>(((Q582*'Appendix K'!$C$20*1000)-('Appendix K'!$E$46+'Appendix K'!$F$46+'Appendix K'!$H$46+'Appendix K'!$G$46))/((1+$Y$16)^AN$34))</f>
        <v>-776417.17440237687</v>
      </c>
      <c r="AO582" s="193">
        <f>(((R582*'Appendix K'!$C$21*1000)-('Appendix K'!$E$47+'Appendix K'!$F$47+'Appendix K'!$H$47+'Appendix K'!$G$47))/((1+$Y$16)^AO$34))</f>
        <v>-720623.18815149716</v>
      </c>
      <c r="AP582" s="193">
        <f>(((S582*'Appendix K'!$C$22*1000)-('Appendix K'!$E$48+'Appendix K'!$F$48+'Appendix K'!$H$48+'Appendix K'!$G$48))/((1+$Y$16)^AP$34))</f>
        <v>-622261.87591070449</v>
      </c>
      <c r="AQ582" s="193">
        <f>(((T582*'Appendix K'!$C$23*1000)-('Appendix K'!$E$49+'Appendix K'!$F$49+'Appendix K'!$H$49+'Appendix K'!$G$49))/((1+$Y$16)^AQ$34))</f>
        <v>-578779.50056260987</v>
      </c>
      <c r="AR582" s="193">
        <f>(((U582*'Appendix K'!$C$24*1000)-('Appendix K'!$E$50+'Appendix K'!$F$50+'Appendix K'!$H$50+'Appendix K'!$G$50))/((1+$Y$16)^AR$34))</f>
        <v>-512460.996575962</v>
      </c>
      <c r="AS582" s="209">
        <f t="shared" si="32"/>
        <v>15146628.118307151</v>
      </c>
      <c r="AU582" s="199">
        <f t="shared" si="31"/>
        <v>3.1105358284329362E-9</v>
      </c>
    </row>
    <row r="583" spans="1:47" x14ac:dyDescent="0.35">
      <c r="A583">
        <v>549</v>
      </c>
      <c r="B583" s="70">
        <v>56</v>
      </c>
      <c r="C583" s="70">
        <v>67.373185375116776</v>
      </c>
      <c r="D583" s="70">
        <v>82.331312137862469</v>
      </c>
      <c r="E583" s="70">
        <v>63.054454424357388</v>
      </c>
      <c r="F583" s="70">
        <v>120.8854997325198</v>
      </c>
      <c r="G583" s="70">
        <v>139.64270398440644</v>
      </c>
      <c r="H583" s="70">
        <v>95.195731723061158</v>
      </c>
      <c r="I583" s="70">
        <v>81.660908705930254</v>
      </c>
      <c r="J583" s="70">
        <v>55.730146268852337</v>
      </c>
      <c r="K583" s="70">
        <v>76.166602840152564</v>
      </c>
      <c r="L583" s="70">
        <v>89.961239384003548</v>
      </c>
      <c r="M583" s="70">
        <v>102.45258220682904</v>
      </c>
      <c r="N583" s="70">
        <v>80.979151382140941</v>
      </c>
      <c r="O583" s="70">
        <v>72.193699687483544</v>
      </c>
      <c r="P583" s="70">
        <v>50.483519601892709</v>
      </c>
      <c r="Q583" s="70">
        <v>40.699936138557817</v>
      </c>
      <c r="R583" s="70">
        <v>48.893566197267539</v>
      </c>
      <c r="S583" s="70">
        <v>41.954024797109255</v>
      </c>
      <c r="T583" s="70">
        <v>47.388813050941152</v>
      </c>
      <c r="U583" s="70">
        <v>41.621758965250798</v>
      </c>
      <c r="V583" s="70">
        <v>56.07611365837775</v>
      </c>
      <c r="X583" s="193">
        <f>((0-('Appendix K'!$I$30))/(1+$Y$16)^0)</f>
        <v>-33594902.4440751</v>
      </c>
      <c r="Y583" s="193">
        <f>(((B583*'Appendix K'!$C$5*1000)-('Appendix K'!$E$31+'Appendix K'!$F$31+'Appendix K'!$H$31+'Appendix K'!$G$31))/((1+$Y$16)^1))</f>
        <v>34971064.972647354</v>
      </c>
      <c r="Z583" s="193">
        <f>+(((C583*'Appendix K'!$C$6*1000)-('Appendix K'!$E$32+'Appendix K'!$F$32+'Appendix K'!$H$32+'Appendix K'!$G$32))/((1+$Y$16)^2))</f>
        <v>13532371.247817665</v>
      </c>
      <c r="AA583" s="193">
        <f>(((D583*'Appendix K'!$C$7*1000)-('Appendix K'!$E$33+'Appendix K'!$F$33+'Appendix K'!$H$33+'Appendix K'!$G$33))/((1+$Y$16)^3))</f>
        <v>7522042.3117438275</v>
      </c>
      <c r="AB583" s="193">
        <f>(((E583*'Appendix K'!$C$8*1000)-('Appendix K'!$E$34+'Appendix K'!$F$34+'Appendix K'!$H$34+'Appendix K'!$G$34))/((1+$Y$16)^4))</f>
        <v>10527751.312990831</v>
      </c>
      <c r="AC583" s="193">
        <f>(((F583*'Appendix K'!$C$9*1000)-('Appendix K'!$E$35+'Appendix K'!$F$35+'Appendix K'!$H$35+'Appendix K'!$G$35))/((1+$Y$16)^AC$34))</f>
        <v>29146947.485446054</v>
      </c>
      <c r="AD583" s="193">
        <f>(((G583*'Appendix K'!$C$10*1000)-('Appendix K'!$E$36+'Appendix K'!$F$36+'Appendix K'!$H$36+'Appendix K'!$G$36))/((1+$Y$16)^AD$34))</f>
        <v>19414279.056343742</v>
      </c>
      <c r="AE583" s="193">
        <f>(((H583*'Appendix K'!$C$11*1000)-('Appendix K'!$E$37+'Appendix K'!$F$37+'Appendix K'!$H$37+'Appendix K'!$G$37))/((1+$Y$16)^AE$34))</f>
        <v>7274655.592021741</v>
      </c>
      <c r="AF583" s="193">
        <f>(((I583*'Appendix K'!$C$12*1000)-('Appendix K'!$E$38+'Appendix K'!$F$38+'Appendix K'!$H$38+'Appendix K'!$G$38))/((1+$Y$16)^AF$34))</f>
        <v>3365474.4491997417</v>
      </c>
      <c r="AG583" s="193">
        <f>(((J583*'Appendix K'!$C$13*1000)-('Appendix K'!$E$39+'Appendix K'!$F$39+'Appendix K'!$H$39+'Appendix K'!$G$39))/((1+$Y$16)^AG$34))</f>
        <v>749697.97180325887</v>
      </c>
      <c r="AH583" s="193">
        <f>(((K583*'Appendix K'!$C$14*1000)-('Appendix K'!$E$40+'Appendix K'!$F$40+'Appendix K'!$H$40+'Appendix K'!$G$40))/((1+$Y$16)^AH$34))</f>
        <v>934570.48049732565</v>
      </c>
      <c r="AI583" s="193">
        <f>(((L583*'Appendix K'!$C$15*1000)-('Appendix K'!$E$41+'Appendix K'!$F$41+'Appendix K'!$H$41+'Appendix K'!$G$41))/((1+$Y$16)^AI$34))</f>
        <v>840671.35187242203</v>
      </c>
      <c r="AJ583" s="193">
        <f>(((M583*'Appendix K'!$C$16*1000)-('Appendix K'!$E$42+'Appendix K'!$F$42+'Appendix K'!$H$42+'Appendix K'!$G$42))/((1+$Y$16)^AJ$34))</f>
        <v>671790.06542864151</v>
      </c>
      <c r="AK583" s="193">
        <f>(((N583*'Appendix K'!$C$17*1000)-('Appendix K'!$E$43+'Appendix K'!$F$43+'Appendix K'!$H$43))/((1+$Y$16)^AK$34))</f>
        <v>239896.76206266496</v>
      </c>
      <c r="AL583" s="193">
        <f>(((O583*'Appendix K'!$C$18*1000)-('Appendix K'!$E$44+'Appendix K'!$F$44+'Appendix K'!$H$44+'Appendix K'!$G$44))/((1+$Y$16)^AL$34))</f>
        <v>-278855.96012483403</v>
      </c>
      <c r="AM583" s="193">
        <f>(((P583*'Appendix K'!$C$19*1000)-('Appendix K'!$E$45+'Appendix K'!$F$45+'Appendix K'!$H$45+'Appendix K'!$G$45))/((1+$Y$16)^AM$34))</f>
        <v>-558847.73899336043</v>
      </c>
      <c r="AN583" s="193">
        <f>(((Q583*'Appendix K'!$C$20*1000)-('Appendix K'!$E$46+'Appendix K'!$F$46+'Appendix K'!$H$46+'Appendix K'!$G$46))/((1+$Y$16)^AN$34))</f>
        <v>-621195.27352107118</v>
      </c>
      <c r="AO583" s="193">
        <f>(((R583*'Appendix K'!$C$21*1000)-('Appendix K'!$E$47+'Appendix K'!$F$47+'Appendix K'!$H$47+'Appendix K'!$G$47))/((1+$Y$16)^AO$34))</f>
        <v>-554032.54739199148</v>
      </c>
      <c r="AP583" s="193">
        <f>(((S583*'Appendix K'!$C$22*1000)-('Appendix K'!$E$48+'Appendix K'!$F$48+'Appendix K'!$H$48+'Appendix K'!$G$48))/((1+$Y$16)^AP$34))</f>
        <v>-563505.22878483054</v>
      </c>
      <c r="AQ583" s="193">
        <f>(((T583*'Appendix K'!$C$23*1000)-('Appendix K'!$E$49+'Appendix K'!$F$49+'Appendix K'!$H$49+'Appendix K'!$G$49))/((1+$Y$16)^AQ$34))</f>
        <v>-508017.94907767983</v>
      </c>
      <c r="AR583" s="193">
        <f>(((U583*'Appendix K'!$C$24*1000)-('Appendix K'!$E$50+'Appendix K'!$F$50+'Appendix K'!$H$50+'Appendix K'!$G$50))/((1+$Y$16)^AR$34))</f>
        <v>-495265.63924602128</v>
      </c>
      <c r="AS583" s="209">
        <f t="shared" si="32"/>
        <v>95596310.615800172</v>
      </c>
      <c r="AU583" s="199">
        <f t="shared" si="31"/>
        <v>6.9605322982128242E-9</v>
      </c>
    </row>
    <row r="584" spans="1:47" x14ac:dyDescent="0.35">
      <c r="A584">
        <v>550</v>
      </c>
      <c r="B584" s="70">
        <v>56</v>
      </c>
      <c r="C584" s="70">
        <v>61.686057077755891</v>
      </c>
      <c r="D584" s="70">
        <v>91.767397382044038</v>
      </c>
      <c r="E584" s="70">
        <v>93.364395200545431</v>
      </c>
      <c r="F584" s="70">
        <v>149.16177974499706</v>
      </c>
      <c r="G584" s="70">
        <v>199.23866084940494</v>
      </c>
      <c r="H584" s="70">
        <v>306.08988352296336</v>
      </c>
      <c r="I584" s="70">
        <v>315.40387375314606</v>
      </c>
      <c r="J584" s="70">
        <v>309.59328335139259</v>
      </c>
      <c r="K584" s="70">
        <v>468.95731152939527</v>
      </c>
      <c r="L584" s="70">
        <v>500</v>
      </c>
      <c r="M584" s="70">
        <v>386.24244583021385</v>
      </c>
      <c r="N584" s="70">
        <v>226.10842843973168</v>
      </c>
      <c r="O584" s="70">
        <v>217.82606011303668</v>
      </c>
      <c r="P584" s="70">
        <v>221.70324223384995</v>
      </c>
      <c r="Q584" s="70">
        <v>235.45328034124316</v>
      </c>
      <c r="R584" s="70">
        <v>151.55122658861902</v>
      </c>
      <c r="S584" s="70">
        <v>154.63029121509339</v>
      </c>
      <c r="T584" s="70">
        <v>177.23849588628636</v>
      </c>
      <c r="U584" s="70">
        <v>158.77998948608814</v>
      </c>
      <c r="V584" s="70">
        <v>222.47682817642811</v>
      </c>
      <c r="X584" s="193">
        <f>((0-('Appendix K'!$I$30))/(1+$Y$16)^0)</f>
        <v>-33594902.4440751</v>
      </c>
      <c r="Y584" s="193">
        <f>(((B584*'Appendix K'!$C$5*1000)-('Appendix K'!$E$31+'Appendix K'!$F$31+'Appendix K'!$H$31+'Appendix K'!$G$31))/((1+$Y$16)^1))</f>
        <v>34971064.972647354</v>
      </c>
      <c r="Z584" s="193">
        <f>+(((C584*'Appendix K'!$C$6*1000)-('Appendix K'!$E$32+'Appendix K'!$F$32+'Appendix K'!$H$32+'Appendix K'!$G$32))/((1+$Y$16)^2))</f>
        <v>12095705.372243345</v>
      </c>
      <c r="AA584" s="193">
        <f>(((D584*'Appendix K'!$C$7*1000)-('Appendix K'!$E$33+'Appendix K'!$F$33+'Appendix K'!$H$33+'Appendix K'!$G$33))/((1+$Y$16)^3))</f>
        <v>8723962.4652850423</v>
      </c>
      <c r="AB584" s="193">
        <f>(((E584*'Appendix K'!$C$8*1000)-('Appendix K'!$E$34+'Appendix K'!$F$34+'Appendix K'!$H$34+'Appendix K'!$G$34))/((1+$Y$16)^4))</f>
        <v>17171412.870329142</v>
      </c>
      <c r="AC584" s="193">
        <f>(((F584*'Appendix K'!$C$9*1000)-('Appendix K'!$E$35+'Appendix K'!$F$35+'Appendix K'!$H$35+'Appendix K'!$G$35))/((1+$Y$16)^AC$34))</f>
        <v>36662738.311035</v>
      </c>
      <c r="AD584" s="193">
        <f>(((G584*'Appendix K'!$C$10*1000)-('Appendix K'!$E$36+'Appendix K'!$F$36+'Appendix K'!$H$36+'Appendix K'!$G$36))/((1+$Y$16)^AD$34))</f>
        <v>28773463.616819154</v>
      </c>
      <c r="AE584" s="193">
        <f>(((H584*'Appendix K'!$C$11*1000)-('Appendix K'!$E$37+'Appendix K'!$F$37+'Appendix K'!$H$37+'Appendix K'!$G$37))/((1+$Y$16)^AE$34))</f>
        <v>28308738.228025317</v>
      </c>
      <c r="AF584" s="193">
        <f>(((I584*'Appendix K'!$C$12*1000)-('Appendix K'!$E$38+'Appendix K'!$F$38+'Appendix K'!$H$38+'Appendix K'!$G$38))/((1+$Y$16)^AF$34))</f>
        <v>18713604.837501075</v>
      </c>
      <c r="AG584" s="193">
        <f>(((J584*'Appendix K'!$C$13*1000)-('Appendix K'!$E$39+'Appendix K'!$F$39+'Appendix K'!$H$39+'Appendix K'!$G$39))/((1+$Y$16)^AG$34))</f>
        <v>12432208.557129746</v>
      </c>
      <c r="AH584" s="193">
        <f>(((K584*'Appendix K'!$C$14*1000)-('Appendix K'!$E$40+'Appendix K'!$F$40+'Appendix K'!$H$40+'Appendix K'!$G$40))/((1+$Y$16)^AH$34))</f>
        <v>14174181.012500431</v>
      </c>
      <c r="AI584" s="193">
        <f>(((L584*'Appendix K'!$C$15*1000)-('Appendix K'!$E$41+'Appendix K'!$F$41+'Appendix K'!$H$41+'Appendix K'!$G$41))/((1+$Y$16)^AI$34))</f>
        <v>11584453.656253781</v>
      </c>
      <c r="AJ584" s="193">
        <f>(((M584*'Appendix K'!$C$16*1000)-('Appendix K'!$E$42+'Appendix K'!$F$42+'Appendix K'!$H$42+'Appendix K'!$G$42))/((1+$Y$16)^AJ$34))</f>
        <v>6359468.7618584801</v>
      </c>
      <c r="AK584" s="193">
        <f>(((N584*'Appendix K'!$C$17*1000)-('Appendix K'!$E$43+'Appendix K'!$F$43+'Appendix K'!$H$43))/((1+$Y$16)^AK$34))</f>
        <v>2469648.0936002289</v>
      </c>
      <c r="AL584" s="193">
        <f>(((O584*'Appendix K'!$C$18*1000)-('Appendix K'!$E$44+'Appendix K'!$F$44+'Appendix K'!$H$44+'Appendix K'!$G$44))/((1+$Y$16)^AL$34))</f>
        <v>1447367.2606309226</v>
      </c>
      <c r="AM584" s="193">
        <f>(((P584*'Appendix K'!$C$19*1000)-('Appendix K'!$E$45+'Appendix K'!$F$45+'Appendix K'!$H$45+'Appendix K'!$G$45))/((1+$Y$16)^AM$34))</f>
        <v>1028141.9476295571</v>
      </c>
      <c r="AN584" s="193">
        <f>(((Q584*'Appendix K'!$C$20*1000)-('Appendix K'!$E$46+'Appendix K'!$F$46+'Appendix K'!$H$46+'Appendix K'!$G$46))/((1+$Y$16)^AN$34))</f>
        <v>788082.16535474209</v>
      </c>
      <c r="AO584" s="193">
        <f>(((R584*'Appendix K'!$C$21*1000)-('Appendix K'!$E$47+'Appendix K'!$F$47+'Appendix K'!$H$47+'Appendix K'!$G$47))/((1+$Y$16)^AO$34))</f>
        <v>52685.567143346285</v>
      </c>
      <c r="AP584" s="193">
        <f>(((S584*'Appendix K'!$C$22*1000)-('Appendix K'!$E$48+'Appendix K'!$F$48+'Appendix K'!$H$48+'Appendix K'!$G$48))/((1+$Y$16)^AP$34))</f>
        <v>-23817.536173789551</v>
      </c>
      <c r="AQ584" s="193">
        <f>(((T584*'Appendix K'!$C$23*1000)-('Appendix K'!$E$49+'Appendix K'!$F$49+'Appendix K'!$H$49+'Appendix K'!$G$49))/((1+$Y$16)^AQ$34))</f>
        <v>180.46716851641366</v>
      </c>
      <c r="AR584" s="193">
        <f>(((U584*'Appendix K'!$C$24*1000)-('Appendix K'!$E$50+'Appendix K'!$F$50+'Appendix K'!$H$50+'Appendix K'!$G$50))/((1+$Y$16)^AR$34))</f>
        <v>-118012.8543290337</v>
      </c>
      <c r="AS584" s="209">
        <f t="shared" si="32"/>
        <v>202162205.71908012</v>
      </c>
      <c r="AU584" s="199">
        <f t="shared" si="31"/>
        <v>9.1687980533505261E-10</v>
      </c>
    </row>
    <row r="585" spans="1:47" x14ac:dyDescent="0.35">
      <c r="A585">
        <v>551</v>
      </c>
      <c r="B585" s="70">
        <v>56</v>
      </c>
      <c r="C585" s="70">
        <v>63.301333741972527</v>
      </c>
      <c r="D585" s="70">
        <v>72.832886735555405</v>
      </c>
      <c r="E585" s="70">
        <v>53.977644206215281</v>
      </c>
      <c r="F585" s="70">
        <v>67.14352626095004</v>
      </c>
      <c r="G585" s="70">
        <v>120.44084262432546</v>
      </c>
      <c r="H585" s="70">
        <v>124.59748397617128</v>
      </c>
      <c r="I585" s="70">
        <v>153.29542603842887</v>
      </c>
      <c r="J585" s="70">
        <v>138.76529735833481</v>
      </c>
      <c r="K585" s="70">
        <v>161.44852161668203</v>
      </c>
      <c r="L585" s="70">
        <v>181.33463344879064</v>
      </c>
      <c r="M585" s="70">
        <v>194.15818367216389</v>
      </c>
      <c r="N585" s="70">
        <v>202.52334600128827</v>
      </c>
      <c r="O585" s="70">
        <v>267.06461764307983</v>
      </c>
      <c r="P585" s="70">
        <v>282.12030679485963</v>
      </c>
      <c r="Q585" s="70">
        <v>223.38223272116983</v>
      </c>
      <c r="R585" s="70">
        <v>139.66826648965974</v>
      </c>
      <c r="S585" s="70">
        <v>209.8807272344703</v>
      </c>
      <c r="T585" s="70">
        <v>228.46782660287943</v>
      </c>
      <c r="U585" s="70">
        <v>206.94894747538109</v>
      </c>
      <c r="V585" s="70">
        <v>210.14266919197129</v>
      </c>
      <c r="X585" s="193">
        <f>((0-('Appendix K'!$I$30))/(1+$Y$16)^0)</f>
        <v>-33594902.4440751</v>
      </c>
      <c r="Y585" s="193">
        <f>(((B585*'Appendix K'!$C$5*1000)-('Appendix K'!$E$31+'Appendix K'!$F$31+'Appendix K'!$H$31+'Appendix K'!$G$31))/((1+$Y$16)^1))</f>
        <v>34971064.972647354</v>
      </c>
      <c r="Z585" s="193">
        <f>+(((C585*'Appendix K'!$C$6*1000)-('Appendix K'!$E$32+'Appendix K'!$F$32+'Appendix K'!$H$32+'Appendix K'!$G$32))/((1+$Y$16)^2))</f>
        <v>12503751.883901687</v>
      </c>
      <c r="AA585" s="193">
        <f>(((D585*'Appendix K'!$C$7*1000)-('Appendix K'!$E$33+'Appendix K'!$F$33+'Appendix K'!$H$33+'Appendix K'!$G$33))/((1+$Y$16)^3))</f>
        <v>6312181.588518572</v>
      </c>
      <c r="AB585" s="193">
        <f>(((E585*'Appendix K'!$C$8*1000)-('Appendix K'!$E$34+'Appendix K'!$F$34+'Appendix K'!$H$34+'Appendix K'!$G$34))/((1+$Y$16)^4))</f>
        <v>8538197.6033741683</v>
      </c>
      <c r="AC585" s="193">
        <f>(((F585*'Appendix K'!$C$9*1000)-('Appendix K'!$E$35+'Appendix K'!$F$35+'Appendix K'!$H$35+'Appendix K'!$G$35))/((1+$Y$16)^AC$34))</f>
        <v>14862415.326744949</v>
      </c>
      <c r="AD585" s="193">
        <f>(((G585*'Appendix K'!$C$10*1000)-('Appendix K'!$E$36+'Appendix K'!$F$36+'Appendix K'!$H$36+'Appendix K'!$G$36))/((1+$Y$16)^AD$34))</f>
        <v>16398742.871888122</v>
      </c>
      <c r="AE585" s="193">
        <f>(((H585*'Appendix K'!$C$11*1000)-('Appendix K'!$E$37+'Appendix K'!$F$37+'Appendix K'!$H$37+'Appendix K'!$G$37))/((1+$Y$16)^AE$34))</f>
        <v>10207116.645384671</v>
      </c>
      <c r="AF585" s="193">
        <f>(((I585*'Appendix K'!$C$12*1000)-('Appendix K'!$E$38+'Appendix K'!$F$38+'Appendix K'!$H$38+'Appendix K'!$G$38))/((1+$Y$16)^AF$34))</f>
        <v>8069170.7170216721</v>
      </c>
      <c r="AG585" s="193">
        <f>(((J585*'Appendix K'!$C$13*1000)-('Appendix K'!$E$39+'Appendix K'!$F$39+'Appendix K'!$H$39+'Appendix K'!$G$39))/((1+$Y$16)^AG$34))</f>
        <v>4570886.9900483973</v>
      </c>
      <c r="AH585" s="193">
        <f>(((K585*'Appendix K'!$C$14*1000)-('Appendix K'!$E$40+'Appendix K'!$F$40+'Appendix K'!$H$40+'Appendix K'!$G$40))/((1+$Y$16)^AH$34))</f>
        <v>3809127.7575546671</v>
      </c>
      <c r="AI585" s="193">
        <f>(((L585*'Appendix K'!$C$15*1000)-('Appendix K'!$E$41+'Appendix K'!$F$41+'Appendix K'!$H$41+'Appendix K'!$G$41))/((1+$Y$16)^AI$34))</f>
        <v>3234825.1454546046</v>
      </c>
      <c r="AJ585" s="193">
        <f>(((M585*'Appendix K'!$C$16*1000)-('Appendix K'!$E$42+'Appendix K'!$F$42+'Appendix K'!$H$42+'Appendix K'!$G$42))/((1+$Y$16)^AJ$34))</f>
        <v>2509741.5311295819</v>
      </c>
      <c r="AK585" s="193">
        <f>(((N585*'Appendix K'!$C$17*1000)-('Appendix K'!$E$43+'Appendix K'!$F$43+'Appendix K'!$H$43))/((1+$Y$16)^AK$34))</f>
        <v>2107289.3053684523</v>
      </c>
      <c r="AL585" s="193">
        <f>(((O585*'Appendix K'!$C$18*1000)-('Appendix K'!$E$44+'Appendix K'!$F$44+'Appendix K'!$H$44+'Appendix K'!$G$44))/((1+$Y$16)^AL$34))</f>
        <v>2031006.3715847605</v>
      </c>
      <c r="AM585" s="193">
        <f>(((P585*'Appendix K'!$C$19*1000)-('Appendix K'!$E$45+'Appendix K'!$F$45+'Appendix K'!$H$45+'Appendix K'!$G$45))/((1+$Y$16)^AM$34))</f>
        <v>1588131.514721974</v>
      </c>
      <c r="AN585" s="193">
        <f>(((Q585*'Appendix K'!$C$20*1000)-('Appendix K'!$E$46+'Appendix K'!$F$46+'Appendix K'!$H$46+'Appendix K'!$G$46))/((1+$Y$16)^AN$34))</f>
        <v>700733.44667569012</v>
      </c>
      <c r="AO585" s="193">
        <f>(((R585*'Appendix K'!$C$21*1000)-('Appendix K'!$E$47+'Appendix K'!$F$47+'Appendix K'!$H$47+'Appendix K'!$G$47))/((1+$Y$16)^AO$34))</f>
        <v>-17544.039871412882</v>
      </c>
      <c r="AP585" s="193">
        <f>(((S585*'Appendix K'!$C$22*1000)-('Appendix K'!$E$48+'Appendix K'!$F$48+'Appendix K'!$H$48+'Appendix K'!$G$48))/((1+$Y$16)^AP$34))</f>
        <v>240816.54586473503</v>
      </c>
      <c r="AQ585" s="193">
        <f>(((T585*'Appendix K'!$C$23*1000)-('Appendix K'!$E$49+'Appendix K'!$F$49+'Appendix K'!$H$49+'Appendix K'!$G$49))/((1+$Y$16)^AQ$34))</f>
        <v>200678.95254824794</v>
      </c>
      <c r="AR585" s="193">
        <f>(((U585*'Appendix K'!$C$24*1000)-('Appendix K'!$E$50+'Appendix K'!$F$50+'Appendix K'!$H$50+'Appendix K'!$G$50))/((1+$Y$16)^AR$34))</f>
        <v>37092.540035710939</v>
      </c>
      <c r="AS585" s="209">
        <f t="shared" si="32"/>
        <v>99298069.266392887</v>
      </c>
      <c r="AU585" s="199">
        <f t="shared" si="31"/>
        <v>6.8823316873385894E-9</v>
      </c>
    </row>
    <row r="586" spans="1:47" x14ac:dyDescent="0.35">
      <c r="A586">
        <v>552</v>
      </c>
      <c r="B586" s="70">
        <v>56</v>
      </c>
      <c r="C586" s="70">
        <v>45.972637011712983</v>
      </c>
      <c r="D586" s="70">
        <v>39.191606121570516</v>
      </c>
      <c r="E586" s="70">
        <v>33.354730009227367</v>
      </c>
      <c r="F586" s="70">
        <v>38.311180537807928</v>
      </c>
      <c r="G586" s="70">
        <v>33.578638629855824</v>
      </c>
      <c r="H586" s="70">
        <v>38.188644939192656</v>
      </c>
      <c r="I586" s="70">
        <v>59.54364552050545</v>
      </c>
      <c r="J586" s="70">
        <v>90.486415300645291</v>
      </c>
      <c r="K586" s="70">
        <v>96.240450171640106</v>
      </c>
      <c r="L586" s="70">
        <v>92.720638868121782</v>
      </c>
      <c r="M586" s="70">
        <v>141.24214271434408</v>
      </c>
      <c r="N586" s="70">
        <v>144.79481595816108</v>
      </c>
      <c r="O586" s="70">
        <v>105.40827201084173</v>
      </c>
      <c r="P586" s="70">
        <v>109.85436404095867</v>
      </c>
      <c r="Q586" s="70">
        <v>112.55953807486273</v>
      </c>
      <c r="R586" s="70">
        <v>136.84553429373133</v>
      </c>
      <c r="S586" s="70">
        <v>164.21276950469658</v>
      </c>
      <c r="T586" s="70">
        <v>138.25956841963458</v>
      </c>
      <c r="U586" s="70">
        <v>84.854938968277807</v>
      </c>
      <c r="V586" s="70">
        <v>111.55641975377286</v>
      </c>
      <c r="X586" s="193">
        <f>((0-('Appendix K'!$I$30))/(1+$Y$16)^0)</f>
        <v>-33594902.4440751</v>
      </c>
      <c r="Y586" s="193">
        <f>(((B586*'Appendix K'!$C$5*1000)-('Appendix K'!$E$31+'Appendix K'!$F$31+'Appendix K'!$H$31+'Appendix K'!$G$31))/((1+$Y$16)^1))</f>
        <v>34971064.972647354</v>
      </c>
      <c r="Z586" s="193">
        <f>+(((C586*'Appendix K'!$C$6*1000)-('Appendix K'!$E$32+'Appendix K'!$F$32+'Appendix K'!$H$32+'Appendix K'!$G$32))/((1+$Y$16)^2))</f>
        <v>8126226.7149877055</v>
      </c>
      <c r="AA586" s="193">
        <f>(((D586*'Appendix K'!$C$7*1000)-('Appendix K'!$E$33+'Appendix K'!$F$33+'Appendix K'!$H$33+'Appendix K'!$G$33))/((1+$Y$16)^3))</f>
        <v>2027127.7643369765</v>
      </c>
      <c r="AB586" s="193">
        <f>(((E586*'Appendix K'!$C$8*1000)-('Appendix K'!$E$34+'Appendix K'!$F$34+'Appendix K'!$H$34+'Appendix K'!$G$34))/((1+$Y$16)^4))</f>
        <v>4017843.5960033056</v>
      </c>
      <c r="AC586" s="193">
        <f>(((F586*'Appendix K'!$C$9*1000)-('Appendix K'!$E$35+'Appendix K'!$F$35+'Appendix K'!$H$35+'Appendix K'!$G$35))/((1+$Y$16)^AC$34))</f>
        <v>7198823.1084411414</v>
      </c>
      <c r="AD586" s="193">
        <f>(((G586*'Appendix K'!$C$10*1000)-('Appendix K'!$E$36+'Appendix K'!$F$36+'Appendix K'!$H$36+'Appendix K'!$G$36))/((1+$Y$16)^AD$34))</f>
        <v>2757559.119180094</v>
      </c>
      <c r="AE586" s="193">
        <f>(((H586*'Appendix K'!$C$11*1000)-('Appendix K'!$E$37+'Appendix K'!$F$37+'Appendix K'!$H$37+'Appendix K'!$G$37))/((1+$Y$16)^AE$34))</f>
        <v>1588903.9293230833</v>
      </c>
      <c r="AF586" s="193">
        <f>(((I586*'Appendix K'!$C$12*1000)-('Appendix K'!$E$38+'Appendix K'!$F$38+'Appendix K'!$H$38+'Appendix K'!$G$38))/((1+$Y$16)^AF$34))</f>
        <v>1913201.2689835741</v>
      </c>
      <c r="AG586" s="193">
        <f>(((J586*'Appendix K'!$C$13*1000)-('Appendix K'!$E$39+'Appendix K'!$F$39+'Appendix K'!$H$39+'Appendix K'!$G$39))/((1+$Y$16)^AG$34))</f>
        <v>2349144.3724768534</v>
      </c>
      <c r="AH586" s="193">
        <f>(((K586*'Appendix K'!$C$14*1000)-('Appendix K'!$E$40+'Appendix K'!$F$40+'Appendix K'!$H$40+'Appendix K'!$G$40))/((1+$Y$16)^AH$34))</f>
        <v>1611190.1526750843</v>
      </c>
      <c r="AI586" s="193">
        <f>(((L586*'Appendix K'!$C$15*1000)-('Appendix K'!$E$41+'Appendix K'!$F$41+'Appendix K'!$H$41+'Appendix K'!$G$41))/((1+$Y$16)^AI$34))</f>
        <v>912972.77845865756</v>
      </c>
      <c r="AJ586" s="193">
        <f>(((M586*'Appendix K'!$C$16*1000)-('Appendix K'!$E$42+'Appendix K'!$F$42+'Appendix K'!$H$42+'Appendix K'!$G$42))/((1+$Y$16)^AJ$34))</f>
        <v>1449205.2772533179</v>
      </c>
      <c r="AK586" s="193">
        <f>(((N586*'Appendix K'!$C$17*1000)-('Appendix K'!$E$43+'Appendix K'!$F$43+'Appendix K'!$H$43))/((1+$Y$16)^AK$34))</f>
        <v>1220354.0891178409</v>
      </c>
      <c r="AL586" s="193">
        <f>(((O586*'Appendix K'!$C$18*1000)-('Appendix K'!$E$44+'Appendix K'!$F$44+'Appendix K'!$H$44+'Appendix K'!$G$44))/((1+$Y$16)^AL$34))</f>
        <v>114846.13908245238</v>
      </c>
      <c r="AM586" s="193">
        <f>(((P586*'Appendix K'!$C$19*1000)-('Appendix K'!$E$45+'Appendix K'!$F$45+'Appendix K'!$H$45+'Appendix K'!$G$45))/((1+$Y$16)^AM$34))</f>
        <v>-8555.3056069189734</v>
      </c>
      <c r="AN586" s="193">
        <f>(((Q586*'Appendix K'!$C$20*1000)-('Appendix K'!$E$46+'Appendix K'!$F$46+'Appendix K'!$H$46+'Appendix K'!$G$46))/((1+$Y$16)^AN$34))</f>
        <v>-101203.60821730876</v>
      </c>
      <c r="AO586" s="193">
        <f>(((R586*'Appendix K'!$C$21*1000)-('Appendix K'!$E$47+'Appendix K'!$F$47+'Appendix K'!$H$47+'Appendix K'!$G$47))/((1+$Y$16)^AO$34))</f>
        <v>-34226.699004916278</v>
      </c>
      <c r="AP586" s="193">
        <f>(((S586*'Appendix K'!$C$22*1000)-('Appendix K'!$E$48+'Appendix K'!$F$48+'Appendix K'!$H$48+'Appendix K'!$G$48))/((1+$Y$16)^AP$34))</f>
        <v>22079.845431196998</v>
      </c>
      <c r="AQ586" s="193">
        <f>(((T586*'Appendix K'!$C$23*1000)-('Appendix K'!$E$49+'Appendix K'!$F$49+'Appendix K'!$H$49+'Appendix K'!$G$49))/((1+$Y$16)^AQ$34))</f>
        <v>-152373.07607460779</v>
      </c>
      <c r="AR586" s="193">
        <f>(((U586*'Appendix K'!$C$24*1000)-('Appendix K'!$E$50+'Appendix K'!$F$50+'Appendix K'!$H$50+'Appendix K'!$G$50))/((1+$Y$16)^AR$34))</f>
        <v>-356053.58829191834</v>
      </c>
      <c r="AS586" s="209">
        <f t="shared" si="32"/>
        <v>36685640.684323527</v>
      </c>
      <c r="AU586" s="199">
        <f t="shared" si="31"/>
        <v>4.6993835466842459E-9</v>
      </c>
    </row>
    <row r="587" spans="1:47" x14ac:dyDescent="0.35">
      <c r="A587">
        <v>553</v>
      </c>
      <c r="B587" s="70">
        <v>56</v>
      </c>
      <c r="C587" s="70">
        <v>85.69961593426477</v>
      </c>
      <c r="D587" s="70">
        <v>136.78301432558089</v>
      </c>
      <c r="E587" s="70">
        <v>164.44895074087106</v>
      </c>
      <c r="F587" s="70">
        <v>113.40789427778235</v>
      </c>
      <c r="G587" s="70">
        <v>92.883013588567621</v>
      </c>
      <c r="H587" s="70">
        <v>61.090011984408086</v>
      </c>
      <c r="I587" s="70">
        <v>76.921268214761668</v>
      </c>
      <c r="J587" s="70">
        <v>53.056078492557774</v>
      </c>
      <c r="K587" s="70">
        <v>58.551058965431871</v>
      </c>
      <c r="L587" s="70">
        <v>83.51307088033893</v>
      </c>
      <c r="M587" s="70">
        <v>138.58856110698602</v>
      </c>
      <c r="N587" s="70">
        <v>168.26631396228652</v>
      </c>
      <c r="O587" s="70">
        <v>185.84847995555933</v>
      </c>
      <c r="P587" s="70">
        <v>206.17418164649408</v>
      </c>
      <c r="Q587" s="70">
        <v>311.6787994675305</v>
      </c>
      <c r="R587" s="70">
        <v>164.68239099069226</v>
      </c>
      <c r="S587" s="70">
        <v>154.92704519212364</v>
      </c>
      <c r="T587" s="70">
        <v>142.11671911525195</v>
      </c>
      <c r="U587" s="70">
        <v>197.88546487684994</v>
      </c>
      <c r="V587" s="70">
        <v>191.73345745838418</v>
      </c>
      <c r="X587" s="193">
        <f>((0-('Appendix K'!$I$30))/(1+$Y$16)^0)</f>
        <v>-33594902.4440751</v>
      </c>
      <c r="Y587" s="193">
        <f>(((B587*'Appendix K'!$C$5*1000)-('Appendix K'!$E$31+'Appendix K'!$F$31+'Appendix K'!$H$31+'Appendix K'!$G$31))/((1+$Y$16)^1))</f>
        <v>34971064.972647354</v>
      </c>
      <c r="Z587" s="193">
        <f>+(((C587*'Appendix K'!$C$6*1000)-('Appendix K'!$E$32+'Appendix K'!$F$32+'Appendix K'!$H$32+'Appendix K'!$G$32))/((1+$Y$16)^2))</f>
        <v>18161941.046274357</v>
      </c>
      <c r="AA587" s="193">
        <f>(((D587*'Appendix K'!$C$7*1000)-('Appendix K'!$E$33+'Appendix K'!$F$33+'Appendix K'!$H$33+'Appendix K'!$G$33))/((1+$Y$16)^3))</f>
        <v>14457820.92760556</v>
      </c>
      <c r="AB587" s="193">
        <f>(((E587*'Appendix K'!$C$8*1000)-('Appendix K'!$E$34+'Appendix K'!$F$34+'Appendix K'!$H$34+'Appendix K'!$G$34))/((1+$Y$16)^4))</f>
        <v>32752496.728294235</v>
      </c>
      <c r="AC587" s="193">
        <f>(((F587*'Appendix K'!$C$9*1000)-('Appendix K'!$E$35+'Appendix K'!$F$35+'Appendix K'!$H$35+'Appendix K'!$G$35))/((1+$Y$16)^AC$34))</f>
        <v>27159411.697524492</v>
      </c>
      <c r="AD587" s="193">
        <f>(((G587*'Appendix K'!$C$10*1000)-('Appendix K'!$E$36+'Appendix K'!$F$36+'Appendix K'!$H$36+'Appendix K'!$G$36))/((1+$Y$16)^AD$34))</f>
        <v>12070952.504901582</v>
      </c>
      <c r="AE587" s="193">
        <f>(((H587*'Appendix K'!$C$11*1000)-('Appendix K'!$E$37+'Appendix K'!$F$37+'Appendix K'!$H$37+'Appendix K'!$G$37))/((1+$Y$16)^AE$34))</f>
        <v>3873031.9755268469</v>
      </c>
      <c r="AF587" s="193">
        <f>(((I587*'Appendix K'!$C$12*1000)-('Appendix K'!$E$38+'Appendix K'!$F$38+'Appendix K'!$H$38+'Appendix K'!$G$38))/((1+$Y$16)^AF$34))</f>
        <v>3054258.1512571122</v>
      </c>
      <c r="AG587" s="193">
        <f>(((J587*'Appendix K'!$C$13*1000)-('Appendix K'!$E$39+'Appendix K'!$F$39+'Appendix K'!$H$39+'Appendix K'!$G$39))/((1+$Y$16)^AG$34))</f>
        <v>626640.22714029695</v>
      </c>
      <c r="AH587" s="193">
        <f>(((K587*'Appendix K'!$C$14*1000)-('Appendix K'!$E$40+'Appendix K'!$F$40+'Appendix K'!$H$40+'Appendix K'!$G$40))/((1+$Y$16)^AH$34))</f>
        <v>340811.67955982737</v>
      </c>
      <c r="AI587" s="193">
        <f>(((L587*'Appendix K'!$C$15*1000)-('Appendix K'!$E$41+'Appendix K'!$F$41+'Appendix K'!$H$41+'Appendix K'!$G$41))/((1+$Y$16)^AI$34))</f>
        <v>671717.27894218022</v>
      </c>
      <c r="AJ587" s="193">
        <f>(((M587*'Appendix K'!$C$16*1000)-('Appendix K'!$E$42+'Appendix K'!$F$42+'Appendix K'!$H$42+'Appendix K'!$G$42))/((1+$Y$16)^AJ$34))</f>
        <v>1396022.5476635182</v>
      </c>
      <c r="AK587" s="193">
        <f>(((N587*'Appendix K'!$C$17*1000)-('Appendix K'!$E$43+'Appendix K'!$F$43+'Appendix K'!$H$43))/((1+$Y$16)^AK$34))</f>
        <v>1580967.7777474064</v>
      </c>
      <c r="AL587" s="193">
        <f>(((O587*'Appendix K'!$C$18*1000)-('Appendix K'!$E$44+'Appendix K'!$F$44+'Appendix K'!$H$44+'Appendix K'!$G$44))/((1+$Y$16)^AL$34))</f>
        <v>1068327.5935533971</v>
      </c>
      <c r="AM587" s="193">
        <f>(((P587*'Appendix K'!$C$19*1000)-('Appendix K'!$E$45+'Appendix K'!$F$45+'Appendix K'!$H$45+'Appendix K'!$G$45))/((1+$Y$16)^AM$34))</f>
        <v>884207.25005940476</v>
      </c>
      <c r="AN587" s="193">
        <f>(((Q587*'Appendix K'!$C$20*1000)-('Appendix K'!$E$46+'Appendix K'!$F$46+'Appendix K'!$H$46+'Appendix K'!$G$46))/((1+$Y$16)^AN$34))</f>
        <v>1339666.5543728606</v>
      </c>
      <c r="AO587" s="193">
        <f>(((R587*'Appendix K'!$C$21*1000)-('Appendix K'!$E$47+'Appendix K'!$F$47+'Appendix K'!$H$47+'Appendix K'!$G$47))/((1+$Y$16)^AO$34))</f>
        <v>130292.19949117079</v>
      </c>
      <c r="AP587" s="193">
        <f>(((S587*'Appendix K'!$C$22*1000)-('Appendix K'!$E$48+'Appendix K'!$F$48+'Appendix K'!$H$48+'Appendix K'!$G$48))/((1+$Y$16)^AP$34))</f>
        <v>-22396.167910285742</v>
      </c>
      <c r="AQ587" s="193">
        <f>(((T587*'Appendix K'!$C$23*1000)-('Appendix K'!$E$49+'Appendix K'!$F$49+'Appendix K'!$H$49+'Appendix K'!$G$49))/((1+$Y$16)^AQ$34))</f>
        <v>-137277.17570786382</v>
      </c>
      <c r="AR587" s="193">
        <f>(((U587*'Appendix K'!$C$24*1000)-('Appendix K'!$E$50+'Appendix K'!$F$50+'Appendix K'!$H$50+'Appendix K'!$G$50))/((1+$Y$16)^AR$34))</f>
        <v>7907.8721200034524</v>
      </c>
      <c r="AS587" s="209">
        <f t="shared" si="32"/>
        <v>120952636.54060641</v>
      </c>
      <c r="AU587" s="199">
        <f t="shared" si="31"/>
        <v>5.9157678700938055E-9</v>
      </c>
    </row>
    <row r="588" spans="1:47" x14ac:dyDescent="0.35">
      <c r="A588">
        <v>554</v>
      </c>
      <c r="B588" s="70">
        <v>56</v>
      </c>
      <c r="C588" s="70">
        <v>80.316358166305605</v>
      </c>
      <c r="D588" s="70">
        <v>102.61756107229414</v>
      </c>
      <c r="E588" s="70">
        <v>106.2361348152492</v>
      </c>
      <c r="F588" s="70">
        <v>135.53504210491218</v>
      </c>
      <c r="G588" s="70">
        <v>180.75403493311916</v>
      </c>
      <c r="H588" s="70">
        <v>224.13602561009404</v>
      </c>
      <c r="I588" s="70">
        <v>232.64582807860108</v>
      </c>
      <c r="J588" s="70">
        <v>247.58360633991731</v>
      </c>
      <c r="K588" s="70">
        <v>147.33510044620544</v>
      </c>
      <c r="L588" s="70">
        <v>188.83127512508975</v>
      </c>
      <c r="M588" s="70">
        <v>261.25600482355776</v>
      </c>
      <c r="N588" s="70">
        <v>231.16548425117816</v>
      </c>
      <c r="O588" s="70">
        <v>201.12525670330004</v>
      </c>
      <c r="P588" s="70">
        <v>87.448151891727932</v>
      </c>
      <c r="Q588" s="70">
        <v>105.08341977235536</v>
      </c>
      <c r="R588" s="70">
        <v>94.163473104237028</v>
      </c>
      <c r="S588" s="70">
        <v>107.45255285858504</v>
      </c>
      <c r="T588" s="70">
        <v>97.541347698910272</v>
      </c>
      <c r="U588" s="70">
        <v>149.73313010808118</v>
      </c>
      <c r="V588" s="70">
        <v>246.82712777257689</v>
      </c>
      <c r="X588" s="193">
        <f>((0-('Appendix K'!$I$30))/(1+$Y$16)^0)</f>
        <v>-33594902.4440751</v>
      </c>
      <c r="Y588" s="193">
        <f>(((B588*'Appendix K'!$C$5*1000)-('Appendix K'!$E$31+'Appendix K'!$F$31+'Appendix K'!$H$31+'Appendix K'!$G$31))/((1+$Y$16)^1))</f>
        <v>34971064.972647354</v>
      </c>
      <c r="Z588" s="193">
        <f>+(((C588*'Appendix K'!$C$6*1000)-('Appendix K'!$E$32+'Appendix K'!$F$32+'Appendix K'!$H$32+'Appendix K'!$G$32))/((1+$Y$16)^2))</f>
        <v>16802038.063562278</v>
      </c>
      <c r="AA588" s="193">
        <f>(((D588*'Appendix K'!$C$7*1000)-('Appendix K'!$E$33+'Appendix K'!$F$33+'Appendix K'!$H$33+'Appendix K'!$G$33))/((1+$Y$16)^3))</f>
        <v>10106000.68039909</v>
      </c>
      <c r="AB588" s="193">
        <f>(((E588*'Appendix K'!$C$8*1000)-('Appendix K'!$E$34+'Appendix K'!$F$34+'Appendix K'!$H$34+'Appendix K'!$G$34))/((1+$Y$16)^4))</f>
        <v>19992780.364437163</v>
      </c>
      <c r="AC588" s="193">
        <f>(((F588*'Appendix K'!$C$9*1000)-('Appendix K'!$E$35+'Appendix K'!$F$35+'Appendix K'!$H$35+'Appendix K'!$G$35))/((1+$Y$16)^AC$34))</f>
        <v>33040772.844118364</v>
      </c>
      <c r="AD588" s="193">
        <f>(((G588*'Appendix K'!$C$10*1000)-('Appendix K'!$E$36+'Appendix K'!$F$36+'Appendix K'!$H$36+'Appendix K'!$G$36))/((1+$Y$16)^AD$34))</f>
        <v>25870564.920624692</v>
      </c>
      <c r="AE588" s="193">
        <f>(((H588*'Appendix K'!$C$11*1000)-('Appendix K'!$E$37+'Appendix K'!$F$37+'Appendix K'!$H$37+'Appendix K'!$G$37))/((1+$Y$16)^AE$34))</f>
        <v>20134854.765793681</v>
      </c>
      <c r="AF588" s="193">
        <f>(((I588*'Appendix K'!$C$12*1000)-('Appendix K'!$E$38+'Appendix K'!$F$38+'Appendix K'!$H$38+'Appendix K'!$G$38))/((1+$Y$16)^AF$34))</f>
        <v>13279510.701502854</v>
      </c>
      <c r="AG588" s="193">
        <f>(((J588*'Appendix K'!$C$13*1000)-('Appendix K'!$E$39+'Appendix K'!$F$39+'Appendix K'!$H$39+'Appendix K'!$G$39))/((1+$Y$16)^AG$34))</f>
        <v>9578589.4125601333</v>
      </c>
      <c r="AH588" s="193">
        <f>(((K588*'Appendix K'!$C$14*1000)-('Appendix K'!$E$40+'Appendix K'!$F$40+'Appendix K'!$H$40+'Appendix K'!$G$40))/((1+$Y$16)^AH$34))</f>
        <v>3333413.3492511115</v>
      </c>
      <c r="AI588" s="193">
        <f>(((L588*'Appendix K'!$C$15*1000)-('Appendix K'!$E$41+'Appendix K'!$F$41+'Appendix K'!$H$41+'Appendix K'!$G$41))/((1+$Y$16)^AI$34))</f>
        <v>3431251.1761623165</v>
      </c>
      <c r="AJ588" s="193">
        <f>(((M588*'Appendix K'!$C$16*1000)-('Appendix K'!$E$42+'Appendix K'!$F$42+'Appendix K'!$H$42+'Appendix K'!$G$42))/((1+$Y$16)^AJ$34))</f>
        <v>3854507.1371559529</v>
      </c>
      <c r="AK588" s="193">
        <f>(((N588*'Appendix K'!$C$17*1000)-('Appendix K'!$E$43+'Appendix K'!$F$43+'Appendix K'!$H$43))/((1+$Y$16)^AK$34))</f>
        <v>2547344.1805500588</v>
      </c>
      <c r="AL588" s="193">
        <f>(((O588*'Appendix K'!$C$18*1000)-('Appendix K'!$E$44+'Appendix K'!$F$44+'Appendix K'!$H$44+'Appendix K'!$G$44))/((1+$Y$16)^AL$34))</f>
        <v>1249407.7235684043</v>
      </c>
      <c r="AM588" s="193">
        <f>(((P588*'Appendix K'!$C$19*1000)-('Appendix K'!$E$45+'Appendix K'!$F$45+'Appendix K'!$H$45+'Appendix K'!$G$45))/((1+$Y$16)^AM$34))</f>
        <v>-216232.4764988987</v>
      </c>
      <c r="AN588" s="193">
        <f>(((Q588*'Appendix K'!$C$20*1000)-('Appendix K'!$E$46+'Appendix K'!$F$46+'Appendix K'!$H$46+'Appendix K'!$G$46))/((1+$Y$16)^AN$34))</f>
        <v>-155302.42175616708</v>
      </c>
      <c r="AO588" s="193">
        <f>(((R588*'Appendix K'!$C$21*1000)-('Appendix K'!$E$47+'Appendix K'!$F$47+'Appendix K'!$H$47+'Appendix K'!$G$47))/((1+$Y$16)^AO$34))</f>
        <v>-286482.39615066518</v>
      </c>
      <c r="AP588" s="193">
        <f>(((S588*'Appendix K'!$C$22*1000)-('Appendix K'!$E$48+'Appendix K'!$F$48+'Appendix K'!$H$48+'Appendix K'!$G$48))/((1+$Y$16)^AP$34))</f>
        <v>-249785.6620768994</v>
      </c>
      <c r="AQ588" s="193">
        <f>(((T588*'Appendix K'!$C$23*1000)-('Appendix K'!$E$49+'Appendix K'!$F$49+'Appendix K'!$H$49+'Appendix K'!$G$49))/((1+$Y$16)^AQ$34))</f>
        <v>-311733.76784367929</v>
      </c>
      <c r="AR588" s="193">
        <f>(((U588*'Appendix K'!$C$24*1000)-('Appendix K'!$E$50+'Appendix K'!$F$50+'Appendix K'!$H$50+'Appendix K'!$G$50))/((1+$Y$16)^AR$34))</f>
        <v>-147143.99500888956</v>
      </c>
      <c r="AS588" s="209">
        <f t="shared" si="32"/>
        <v>164597197.84825838</v>
      </c>
      <c r="AU588" s="199">
        <f t="shared" si="31"/>
        <v>2.8015177750112312E-9</v>
      </c>
    </row>
    <row r="589" spans="1:47" x14ac:dyDescent="0.35">
      <c r="A589">
        <v>555</v>
      </c>
      <c r="B589" s="70">
        <v>56</v>
      </c>
      <c r="C589" s="70">
        <v>66.974007747662654</v>
      </c>
      <c r="D589" s="70">
        <v>111.95815590744368</v>
      </c>
      <c r="E589" s="70">
        <v>93.302051464155355</v>
      </c>
      <c r="F589" s="70">
        <v>84.893717507779613</v>
      </c>
      <c r="G589" s="70">
        <v>158.52326715117778</v>
      </c>
      <c r="H589" s="70">
        <v>151.92123200441705</v>
      </c>
      <c r="I589" s="70">
        <v>215.55505461518544</v>
      </c>
      <c r="J589" s="70">
        <v>253.76402236151415</v>
      </c>
      <c r="K589" s="70">
        <v>279.09132495470556</v>
      </c>
      <c r="L589" s="70">
        <v>371.41285227409685</v>
      </c>
      <c r="M589" s="70">
        <v>338.13245637306329</v>
      </c>
      <c r="N589" s="70">
        <v>425.37251235830826</v>
      </c>
      <c r="O589" s="70">
        <v>297.41960267640934</v>
      </c>
      <c r="P589" s="70">
        <v>269.42607261786947</v>
      </c>
      <c r="Q589" s="70">
        <v>352.8566122917473</v>
      </c>
      <c r="R589" s="70">
        <v>347.3476881387914</v>
      </c>
      <c r="S589" s="70">
        <v>310.20840740417509</v>
      </c>
      <c r="T589" s="70">
        <v>340.06333651810911</v>
      </c>
      <c r="U589" s="70">
        <v>465.20276799943167</v>
      </c>
      <c r="V589" s="70">
        <v>500</v>
      </c>
      <c r="X589" s="193">
        <f>((0-('Appendix K'!$I$30))/(1+$Y$16)^0)</f>
        <v>-33594902.4440751</v>
      </c>
      <c r="Y589" s="193">
        <f>(((B589*'Appendix K'!$C$5*1000)-('Appendix K'!$E$31+'Appendix K'!$F$31+'Appendix K'!$H$31+'Appendix K'!$G$31))/((1+$Y$16)^1))</f>
        <v>34971064.972647354</v>
      </c>
      <c r="Z589" s="193">
        <f>+(((C589*'Appendix K'!$C$6*1000)-('Appendix K'!$E$32+'Appendix K'!$F$32+'Appendix K'!$H$32+'Appendix K'!$G$32))/((1+$Y$16)^2))</f>
        <v>13431532.151938261</v>
      </c>
      <c r="AA589" s="193">
        <f>(((D589*'Appendix K'!$C$7*1000)-('Appendix K'!$E$33+'Appendix K'!$F$33+'Appendix K'!$H$33+'Appendix K'!$G$33))/((1+$Y$16)^3))</f>
        <v>11295757.755278388</v>
      </c>
      <c r="AB589" s="193">
        <f>(((E589*'Appendix K'!$C$8*1000)-('Appendix K'!$E$34+'Appendix K'!$F$34+'Appendix K'!$H$34+'Appendix K'!$G$34))/((1+$Y$16)^4))</f>
        <v>17157747.694014415</v>
      </c>
      <c r="AC589" s="193">
        <f>(((F589*'Appendix K'!$C$9*1000)-('Appendix K'!$E$35+'Appendix K'!$F$35+'Appendix K'!$H$35+'Appendix K'!$G$35))/((1+$Y$16)^AC$34))</f>
        <v>19580388.287350219</v>
      </c>
      <c r="AD589" s="193">
        <f>(((G589*'Appendix K'!$C$10*1000)-('Appendix K'!$E$36+'Appendix K'!$F$36+'Appendix K'!$H$36+'Appendix K'!$G$36))/((1+$Y$16)^AD$34))</f>
        <v>22379357.30290696</v>
      </c>
      <c r="AE589" s="193">
        <f>(((H589*'Appendix K'!$C$11*1000)-('Appendix K'!$E$37+'Appendix K'!$F$37+'Appendix K'!$H$37+'Appendix K'!$G$37))/((1+$Y$16)^AE$34))</f>
        <v>12932322.484647436</v>
      </c>
      <c r="AF589" s="193">
        <f>(((I589*'Appendix K'!$C$12*1000)-('Appendix K'!$E$38+'Appendix K'!$F$38+'Appendix K'!$H$38+'Appendix K'!$G$38))/((1+$Y$16)^AF$34))</f>
        <v>12157289.035920586</v>
      </c>
      <c r="AG589" s="193">
        <f>(((J589*'Appendix K'!$C$13*1000)-('Appendix K'!$E$39+'Appendix K'!$F$39+'Appendix K'!$H$39+'Appendix K'!$G$39))/((1+$Y$16)^AG$34))</f>
        <v>9863005.5606618207</v>
      </c>
      <c r="AH589" s="193">
        <f>(((K589*'Appendix K'!$C$14*1000)-('Appendix K'!$E$40+'Appendix K'!$F$40+'Appendix K'!$H$40+'Appendix K'!$G$40))/((1+$Y$16)^AH$34))</f>
        <v>7774458.0559368571</v>
      </c>
      <c r="AI589" s="193">
        <f>(((L589*'Appendix K'!$C$15*1000)-('Appendix K'!$E$41+'Appendix K'!$F$41+'Appendix K'!$H$41+'Appendix K'!$G$41))/((1+$Y$16)^AI$34))</f>
        <v>8215229.9266897757</v>
      </c>
      <c r="AJ589" s="193">
        <f>(((M589*'Appendix K'!$C$16*1000)-('Appendix K'!$E$42+'Appendix K'!$F$42+'Appendix K'!$H$42+'Appendix K'!$G$42))/((1+$Y$16)^AJ$34))</f>
        <v>5395254.7528477963</v>
      </c>
      <c r="AK589" s="193">
        <f>(((N589*'Appendix K'!$C$17*1000)-('Appendix K'!$E$43+'Appendix K'!$F$43+'Appendix K'!$H$43))/((1+$Y$16)^AK$34))</f>
        <v>5531121.0469089309</v>
      </c>
      <c r="AL589" s="193">
        <f>(((O589*'Appendix K'!$C$18*1000)-('Appendix K'!$E$44+'Appendix K'!$F$44+'Appendix K'!$H$44+'Appendix K'!$G$44))/((1+$Y$16)^AL$34))</f>
        <v>2390812.9412036971</v>
      </c>
      <c r="AM589" s="193">
        <f>(((P589*'Appendix K'!$C$19*1000)-('Appendix K'!$E$45+'Appendix K'!$F$45+'Appendix K'!$H$45+'Appendix K'!$G$45))/((1+$Y$16)^AM$34))</f>
        <v>1470472.0628271515</v>
      </c>
      <c r="AN589" s="193">
        <f>(((Q589*'Appendix K'!$C$20*1000)-('Appendix K'!$E$46+'Appendix K'!$F$46+'Appendix K'!$H$46+'Appendix K'!$G$46))/((1+$Y$16)^AN$34))</f>
        <v>1637638.1390611595</v>
      </c>
      <c r="AO589" s="193">
        <f>(((R589*'Appendix K'!$C$21*1000)-('Appendix K'!$E$47+'Appendix K'!$F$47+'Appendix K'!$H$47+'Appendix K'!$G$47))/((1+$Y$16)^AO$34))</f>
        <v>1209864.2865058153</v>
      </c>
      <c r="AP589" s="193">
        <f>(((S589*'Appendix K'!$C$22*1000)-('Appendix K'!$E$48+'Appendix K'!$F$48+'Appendix K'!$H$48+'Appendix K'!$G$48))/((1+$Y$16)^AP$34))</f>
        <v>721357.97607993032</v>
      </c>
      <c r="AQ589" s="193">
        <f>(((T589*'Appendix K'!$C$23*1000)-('Appendix K'!$E$49+'Appendix K'!$F$49+'Appendix K'!$H$49+'Appendix K'!$G$49))/((1+$Y$16)^AQ$34))</f>
        <v>637435.20917322894</v>
      </c>
      <c r="AR589" s="193">
        <f>(((U589*'Appendix K'!$C$24*1000)-('Appendix K'!$E$50+'Appendix K'!$F$50+'Appendix K'!$H$50+'Appendix K'!$G$50))/((1+$Y$16)^AR$34))</f>
        <v>868677.07810042624</v>
      </c>
      <c r="AS589" s="209">
        <f t="shared" si="32"/>
        <v>156025884.27662507</v>
      </c>
      <c r="AU589" s="199">
        <f t="shared" si="31"/>
        <v>3.3994882335796609E-9</v>
      </c>
    </row>
    <row r="590" spans="1:47" x14ac:dyDescent="0.35">
      <c r="A590">
        <v>556</v>
      </c>
      <c r="B590" s="70">
        <v>56</v>
      </c>
      <c r="C590" s="70">
        <v>54.699526754174329</v>
      </c>
      <c r="D590" s="70">
        <v>85.68269677003795</v>
      </c>
      <c r="E590" s="70">
        <v>89.044681340996817</v>
      </c>
      <c r="F590" s="70">
        <v>109.28011498008294</v>
      </c>
      <c r="G590" s="70">
        <v>66.288560061600663</v>
      </c>
      <c r="H590" s="70">
        <v>77.871631036891316</v>
      </c>
      <c r="I590" s="70">
        <v>107.95393054049748</v>
      </c>
      <c r="J590" s="70">
        <v>113.24680495161839</v>
      </c>
      <c r="K590" s="70">
        <v>134.45794772524238</v>
      </c>
      <c r="L590" s="70">
        <v>79.016831520056854</v>
      </c>
      <c r="M590" s="70">
        <v>61.277269183262234</v>
      </c>
      <c r="N590" s="70">
        <v>53.791070836513136</v>
      </c>
      <c r="O590" s="70">
        <v>79.365505329662369</v>
      </c>
      <c r="P590" s="70">
        <v>93.00574643451813</v>
      </c>
      <c r="Q590" s="70">
        <v>56.074684782727743</v>
      </c>
      <c r="R590" s="70">
        <v>65.46897951317591</v>
      </c>
      <c r="S590" s="70">
        <v>93.174935360659617</v>
      </c>
      <c r="T590" s="70">
        <v>123.29503605310657</v>
      </c>
      <c r="U590" s="70">
        <v>64.213150923923195</v>
      </c>
      <c r="V590" s="70">
        <v>80.665880121297235</v>
      </c>
      <c r="X590" s="193">
        <f>((0-('Appendix K'!$I$30))/(1+$Y$16)^0)</f>
        <v>-33594902.4440751</v>
      </c>
      <c r="Y590" s="193">
        <f>(((B590*'Appendix K'!$C$5*1000)-('Appendix K'!$E$31+'Appendix K'!$F$31+'Appendix K'!$H$31+'Appendix K'!$G$31))/((1+$Y$16)^1))</f>
        <v>34971064.972647354</v>
      </c>
      <c r="Z590" s="193">
        <f>+(((C590*'Appendix K'!$C$6*1000)-('Appendix K'!$E$32+'Appendix K'!$F$32+'Appendix K'!$H$32+'Appendix K'!$G$32))/((1+$Y$16)^2))</f>
        <v>10330788.32101159</v>
      </c>
      <c r="AA590" s="193">
        <f>(((D590*'Appendix K'!$C$7*1000)-('Appendix K'!$E$33+'Appendix K'!$F$33+'Appendix K'!$H$33+'Appendix K'!$G$33))/((1+$Y$16)^3))</f>
        <v>7948924.501491297</v>
      </c>
      <c r="AB590" s="193">
        <f>(((E590*'Appendix K'!$C$8*1000)-('Appendix K'!$E$34+'Appendix K'!$F$34+'Appendix K'!$H$34+'Appendix K'!$G$34))/((1+$Y$16)^4))</f>
        <v>16224571.135490427</v>
      </c>
      <c r="AC590" s="193">
        <f>(((F590*'Appendix K'!$C$9*1000)-('Appendix K'!$E$35+'Appendix K'!$F$35+'Appendix K'!$H$35+'Appendix K'!$G$35))/((1+$Y$16)^AC$34))</f>
        <v>26062254.441972639</v>
      </c>
      <c r="AD590" s="193">
        <f>(((G590*'Appendix K'!$C$10*1000)-('Appendix K'!$E$36+'Appendix K'!$F$36+'Appendix K'!$H$36+'Appendix K'!$G$36))/((1+$Y$16)^AD$34))</f>
        <v>7894454.4346096059</v>
      </c>
      <c r="AE590" s="193">
        <f>(((H590*'Appendix K'!$C$11*1000)-('Appendix K'!$E$37+'Appendix K'!$F$37+'Appendix K'!$H$37+'Appendix K'!$G$37))/((1+$Y$16)^AE$34))</f>
        <v>5546790.8678586716</v>
      </c>
      <c r="AF590" s="193">
        <f>(((I590*'Appendix K'!$C$12*1000)-('Appendix K'!$E$38+'Appendix K'!$F$38+'Appendix K'!$H$38+'Appendix K'!$G$38))/((1+$Y$16)^AF$34))</f>
        <v>5091938.0770478593</v>
      </c>
      <c r="AG590" s="193">
        <f>(((J590*'Appendix K'!$C$13*1000)-('Appendix K'!$E$39+'Appendix K'!$F$39+'Appendix K'!$H$39+'Appendix K'!$G$39))/((1+$Y$16)^AG$34))</f>
        <v>3396553.2089051027</v>
      </c>
      <c r="AH590" s="193">
        <f>(((K590*'Appendix K'!$C$14*1000)-('Appendix K'!$E$40+'Appendix K'!$F$40+'Appendix K'!$H$40+'Appendix K'!$G$40))/((1+$Y$16)^AH$34))</f>
        <v>2899369.2565188739</v>
      </c>
      <c r="AI590" s="193">
        <f>(((L590*'Appendix K'!$C$15*1000)-('Appendix K'!$E$41+'Appendix K'!$F$41+'Appendix K'!$H$41+'Appendix K'!$G$41))/((1+$Y$16)^AI$34))</f>
        <v>553907.39969395706</v>
      </c>
      <c r="AJ590" s="193">
        <f>(((M590*'Appendix K'!$C$16*1000)-('Appendix K'!$E$42+'Appendix K'!$F$42+'Appendix K'!$H$42+'Appendix K'!$G$42))/((1+$Y$16)^AJ$34))</f>
        <v>-153440.08096504791</v>
      </c>
      <c r="AK590" s="193">
        <f>(((N590*'Appendix K'!$C$17*1000)-('Appendix K'!$E$43+'Appendix K'!$F$43+'Appendix K'!$H$43))/((1+$Y$16)^AK$34))</f>
        <v>-177818.1196459214</v>
      </c>
      <c r="AL590" s="193">
        <f>(((O590*'Appendix K'!$C$18*1000)-('Appendix K'!$E$44+'Appendix K'!$F$44+'Appendix K'!$H$44+'Appendix K'!$G$44))/((1+$Y$16)^AL$34))</f>
        <v>-193846.43752903063</v>
      </c>
      <c r="AM590" s="193">
        <f>(((P590*'Appendix K'!$C$19*1000)-('Appendix K'!$E$45+'Appendix K'!$F$45+'Appendix K'!$H$45+'Appendix K'!$G$45))/((1+$Y$16)^AM$34))</f>
        <v>-164720.62327157843</v>
      </c>
      <c r="AN590" s="193">
        <f>(((Q590*'Appendix K'!$C$20*1000)-('Appendix K'!$E$46+'Appendix K'!$F$46+'Appendix K'!$H$46+'Appendix K'!$G$46))/((1+$Y$16)^AN$34))</f>
        <v>-509940.25768901745</v>
      </c>
      <c r="AO590" s="193">
        <f>(((R590*'Appendix K'!$C$21*1000)-('Appendix K'!$E$47+'Appendix K'!$F$47+'Appendix K'!$H$47+'Appendix K'!$G$47))/((1+$Y$16)^AO$34))</f>
        <v>-456070.023442643</v>
      </c>
      <c r="AP590" s="193">
        <f>(((S590*'Appendix K'!$C$22*1000)-('Appendix K'!$E$48+'Appendix K'!$F$48+'Appendix K'!$H$48+'Appendix K'!$G$48))/((1+$Y$16)^AP$34))</f>
        <v>-318171.44275988924</v>
      </c>
      <c r="AQ590" s="193">
        <f>(((T590*'Appendix K'!$C$23*1000)-('Appendix K'!$E$49+'Appendix K'!$F$49+'Appendix K'!$H$49+'Appendix K'!$G$49))/((1+$Y$16)^AQ$34))</f>
        <v>-210940.42473866168</v>
      </c>
      <c r="AR590" s="193">
        <f>(((U590*'Appendix K'!$C$24*1000)-('Appendix K'!$E$50+'Appendix K'!$F$50+'Appendix K'!$H$50+'Appendix K'!$G$50))/((1+$Y$16)^AR$34))</f>
        <v>-422520.72415407997</v>
      </c>
      <c r="AS590" s="209">
        <f t="shared" si="32"/>
        <v>87325714.173172265</v>
      </c>
      <c r="AU590" s="199">
        <f t="shared" si="31"/>
        <v>7.0295810674744183E-9</v>
      </c>
    </row>
    <row r="591" spans="1:47" x14ac:dyDescent="0.35">
      <c r="A591">
        <v>557</v>
      </c>
      <c r="B591" s="70">
        <v>56</v>
      </c>
      <c r="C591" s="70">
        <v>55.938950999347036</v>
      </c>
      <c r="D591" s="70">
        <v>79.122316985972773</v>
      </c>
      <c r="E591" s="70">
        <v>74.596445509935478</v>
      </c>
      <c r="F591" s="70">
        <v>52.896081716678843</v>
      </c>
      <c r="G591" s="70">
        <v>69.793372236790162</v>
      </c>
      <c r="H591" s="70">
        <v>48.763954532563609</v>
      </c>
      <c r="I591" s="70">
        <v>68.918687545137175</v>
      </c>
      <c r="J591" s="70">
        <v>88.098950299558908</v>
      </c>
      <c r="K591" s="70">
        <v>91.904474844838276</v>
      </c>
      <c r="L591" s="70">
        <v>95.002988312629782</v>
      </c>
      <c r="M591" s="70">
        <v>120.30768561128727</v>
      </c>
      <c r="N591" s="70">
        <v>120.30870864228677</v>
      </c>
      <c r="O591" s="70">
        <v>131.09251591380504</v>
      </c>
      <c r="P591" s="70">
        <v>129.51274911767274</v>
      </c>
      <c r="Q591" s="70">
        <v>199.26377957830221</v>
      </c>
      <c r="R591" s="70">
        <v>127.46167350743123</v>
      </c>
      <c r="S591" s="70">
        <v>205.32418815462631</v>
      </c>
      <c r="T591" s="70">
        <v>179.24403766729634</v>
      </c>
      <c r="U591" s="70">
        <v>285.56342138524582</v>
      </c>
      <c r="V591" s="70">
        <v>289.98755729230641</v>
      </c>
      <c r="X591" s="193">
        <f>((0-('Appendix K'!$I$30))/(1+$Y$16)^0)</f>
        <v>-33594902.4440751</v>
      </c>
      <c r="Y591" s="193">
        <f>(((B591*'Appendix K'!$C$5*1000)-('Appendix K'!$E$31+'Appendix K'!$F$31+'Appendix K'!$H$31+'Appendix K'!$G$31))/((1+$Y$16)^1))</f>
        <v>34971064.972647354</v>
      </c>
      <c r="Z591" s="193">
        <f>+(((C591*'Appendix K'!$C$6*1000)-('Appendix K'!$E$32+'Appendix K'!$F$32+'Appendix K'!$H$32+'Appendix K'!$G$32))/((1+$Y$16)^2))</f>
        <v>10643888.083368877</v>
      </c>
      <c r="AA591" s="193">
        <f>(((D591*'Appendix K'!$C$7*1000)-('Appendix K'!$E$33+'Appendix K'!$F$33+'Appendix K'!$H$33+'Appendix K'!$G$33))/((1+$Y$16)^3))</f>
        <v>7113296.9638729487</v>
      </c>
      <c r="AB591" s="193">
        <f>(((E591*'Appendix K'!$C$8*1000)-('Appendix K'!$E$34+'Appendix K'!$F$34+'Appendix K'!$H$34+'Appendix K'!$G$34))/((1+$Y$16)^4))</f>
        <v>13057650.10219066</v>
      </c>
      <c r="AC591" s="193">
        <f>(((F591*'Appendix K'!$C$9*1000)-('Appendix K'!$E$35+'Appendix K'!$F$35+'Appendix K'!$H$35+'Appendix K'!$G$35))/((1+$Y$16)^AC$34))</f>
        <v>11075466.939380346</v>
      </c>
      <c r="AD591" s="193">
        <f>(((G591*'Appendix K'!$C$10*1000)-('Appendix K'!$E$36+'Appendix K'!$F$36+'Appendix K'!$H$36+'Appendix K'!$G$36))/((1+$Y$16)^AD$34))</f>
        <v>8444863.9879238661</v>
      </c>
      <c r="AE591" s="193">
        <f>(((H591*'Appendix K'!$C$11*1000)-('Appendix K'!$E$37+'Appendix K'!$F$37+'Appendix K'!$H$37+'Appendix K'!$G$37))/((1+$Y$16)^AE$34))</f>
        <v>2643660.2323776144</v>
      </c>
      <c r="AF591" s="193">
        <f>(((I591*'Appendix K'!$C$12*1000)-('Appendix K'!$E$38+'Appendix K'!$F$38+'Appendix K'!$H$38+'Appendix K'!$G$38))/((1+$Y$16)^AF$34))</f>
        <v>2528789.2819138742</v>
      </c>
      <c r="AG591" s="193">
        <f>(((J591*'Appendix K'!$C$13*1000)-('Appendix K'!$E$39+'Appendix K'!$F$39+'Appendix K'!$H$39+'Appendix K'!$G$39))/((1+$Y$16)^AG$34))</f>
        <v>2239275.7815982196</v>
      </c>
      <c r="AH591" s="193">
        <f>(((K591*'Appendix K'!$C$14*1000)-('Appendix K'!$E$40+'Appendix K'!$F$40+'Appendix K'!$H$40+'Appendix K'!$G$40))/((1+$Y$16)^AH$34))</f>
        <v>1465039.4843082097</v>
      </c>
      <c r="AI591" s="193">
        <f>(((L591*'Appendix K'!$C$15*1000)-('Appendix K'!$E$41+'Appendix K'!$F$41+'Appendix K'!$H$41+'Appendix K'!$G$41))/((1+$Y$16)^AI$34))</f>
        <v>972774.60191915673</v>
      </c>
      <c r="AJ591" s="193">
        <f>(((M591*'Appendix K'!$C$16*1000)-('Appendix K'!$E$42+'Appendix K'!$F$42+'Appendix K'!$H$42+'Appendix K'!$G$42))/((1+$Y$16)^AJ$34))</f>
        <v>1029639.6727382974</v>
      </c>
      <c r="AK591" s="193">
        <f>(((N591*'Appendix K'!$C$17*1000)-('Appendix K'!$E$43+'Appendix K'!$F$43+'Appendix K'!$H$43))/((1+$Y$16)^AK$34))</f>
        <v>844152.04705794214</v>
      </c>
      <c r="AL591" s="193">
        <f>(((O591*'Appendix K'!$C$18*1000)-('Appendix K'!$E$44+'Appendix K'!$F$44+'Appendix K'!$H$44+'Appendix K'!$G$44))/((1+$Y$16)^AL$34))</f>
        <v>419289.03970765061</v>
      </c>
      <c r="AM591" s="193">
        <f>(((P591*'Appendix K'!$C$19*1000)-('Appendix K'!$E$45+'Appendix K'!$F$45+'Appendix K'!$H$45+'Appendix K'!$G$45))/((1+$Y$16)^AM$34))</f>
        <v>173652.99313835768</v>
      </c>
      <c r="AN591" s="193">
        <f>(((Q591*'Appendix K'!$C$20*1000)-('Appendix K'!$E$46+'Appendix K'!$F$46+'Appendix K'!$H$46+'Appendix K'!$G$46))/((1+$Y$16)^AN$34))</f>
        <v>526207.08866125287</v>
      </c>
      <c r="AO591" s="193">
        <f>(((R591*'Appendix K'!$C$21*1000)-('Appendix K'!$E$47+'Appendix K'!$F$47+'Appendix K'!$H$47+'Appendix K'!$G$47))/((1+$Y$16)^AO$34))</f>
        <v>-89686.352981267177</v>
      </c>
      <c r="AP591" s="193">
        <f>(((S591*'Appendix K'!$C$22*1000)-('Appendix K'!$E$48+'Appendix K'!$F$48+'Appendix K'!$H$48+'Appendix K'!$G$48))/((1+$Y$16)^AP$34))</f>
        <v>218992.00250286402</v>
      </c>
      <c r="AQ591" s="193">
        <f>(((T591*'Appendix K'!$C$23*1000)-('Appendix K'!$E$49+'Appendix K'!$F$49+'Appendix K'!$H$49+'Appendix K'!$G$49))/((1+$Y$16)^AQ$34))</f>
        <v>8029.6442675261569</v>
      </c>
      <c r="AR591" s="193">
        <f>(((U591*'Appendix K'!$C$24*1000)-('Appendix K'!$E$50+'Appendix K'!$F$50+'Appendix K'!$H$50+'Appendix K'!$G$50))/((1+$Y$16)^AR$34))</f>
        <v>290233.34871330141</v>
      </c>
      <c r="AS591" s="209">
        <f t="shared" si="32"/>
        <v>65071063.824213229</v>
      </c>
      <c r="AU591" s="199">
        <f t="shared" si="31"/>
        <v>6.4962531742576542E-9</v>
      </c>
    </row>
    <row r="592" spans="1:47" x14ac:dyDescent="0.35">
      <c r="A592">
        <v>558</v>
      </c>
      <c r="B592" s="70">
        <v>56</v>
      </c>
      <c r="C592" s="70">
        <v>47.646502516406628</v>
      </c>
      <c r="D592" s="70">
        <v>76.958253487880853</v>
      </c>
      <c r="E592" s="70">
        <v>110.04480033771772</v>
      </c>
      <c r="F592" s="70">
        <v>121.07796433438574</v>
      </c>
      <c r="G592" s="70">
        <v>140.91118109760646</v>
      </c>
      <c r="H592" s="70">
        <v>141.52247627152698</v>
      </c>
      <c r="I592" s="70">
        <v>177.74565163603444</v>
      </c>
      <c r="J592" s="70">
        <v>192.41580426971638</v>
      </c>
      <c r="K592" s="70">
        <v>278.10383362913819</v>
      </c>
      <c r="L592" s="70">
        <v>269.74265482567182</v>
      </c>
      <c r="M592" s="70">
        <v>329.4245277324427</v>
      </c>
      <c r="N592" s="70">
        <v>162.18613580032917</v>
      </c>
      <c r="O592" s="70">
        <v>182.87207228918709</v>
      </c>
      <c r="P592" s="70">
        <v>245.89827003078727</v>
      </c>
      <c r="Q592" s="70">
        <v>216.40810160653933</v>
      </c>
      <c r="R592" s="70">
        <v>249.68718156025827</v>
      </c>
      <c r="S592" s="70">
        <v>254.64670244346092</v>
      </c>
      <c r="T592" s="70">
        <v>330.3715251865068</v>
      </c>
      <c r="U592" s="70">
        <v>381.10985790407398</v>
      </c>
      <c r="V592" s="70">
        <v>192.99363341738598</v>
      </c>
      <c r="X592" s="193">
        <f>((0-('Appendix K'!$I$30))/(1+$Y$16)^0)</f>
        <v>-33594902.4440751</v>
      </c>
      <c r="Y592" s="193">
        <f>(((B592*'Appendix K'!$C$5*1000)-('Appendix K'!$E$31+'Appendix K'!$F$31+'Appendix K'!$H$31+'Appendix K'!$G$31))/((1+$Y$16)^1))</f>
        <v>34971064.972647354</v>
      </c>
      <c r="Z592" s="193">
        <f>+(((C592*'Appendix K'!$C$6*1000)-('Appendix K'!$E$32+'Appendix K'!$F$32+'Appendix K'!$H$32+'Appendix K'!$G$32))/((1+$Y$16)^2))</f>
        <v>8549073.7698027492</v>
      </c>
      <c r="AA592" s="193">
        <f>(((D592*'Appendix K'!$C$7*1000)-('Appendix K'!$E$33+'Appendix K'!$F$33+'Appendix K'!$H$33+'Appendix K'!$G$33))/((1+$Y$16)^3))</f>
        <v>6837649.652027878</v>
      </c>
      <c r="AB592" s="193">
        <f>(((E592*'Appendix K'!$C$8*1000)-('Appendix K'!$E$34+'Appendix K'!$F$34+'Appendix K'!$H$34+'Appendix K'!$G$34))/((1+$Y$16)^4))</f>
        <v>20827604.981985163</v>
      </c>
      <c r="AC592" s="193">
        <f>(((F592*'Appendix K'!$C$9*1000)-('Appendix K'!$E$35+'Appendix K'!$F$35+'Appendix K'!$H$35+'Appendix K'!$G$35))/((1+$Y$16)^AC$34))</f>
        <v>29198104.274398357</v>
      </c>
      <c r="AD592" s="193">
        <f>(((G592*'Appendix K'!$C$10*1000)-('Appendix K'!$E$36+'Appendix K'!$F$36+'Appendix K'!$H$36+'Appendix K'!$G$36))/((1+$Y$16)^AD$34))</f>
        <v>19613485.714608688</v>
      </c>
      <c r="AE592" s="193">
        <f>(((H592*'Appendix K'!$C$11*1000)-('Appendix K'!$E$37+'Appendix K'!$F$37+'Appendix K'!$H$37+'Appendix K'!$G$37))/((1+$Y$16)^AE$34))</f>
        <v>11895175.244999195</v>
      </c>
      <c r="AF592" s="193">
        <f>(((I592*'Appendix K'!$C$12*1000)-('Appendix K'!$E$38+'Appendix K'!$F$38+'Appendix K'!$H$38+'Appendix K'!$G$38))/((1+$Y$16)^AF$34))</f>
        <v>9674631.8714124784</v>
      </c>
      <c r="AG592" s="193">
        <f>(((J592*'Appendix K'!$C$13*1000)-('Appendix K'!$E$39+'Appendix K'!$F$39+'Appendix K'!$H$39+'Appendix K'!$G$39))/((1+$Y$16)^AG$34))</f>
        <v>7039826.049509245</v>
      </c>
      <c r="AH592" s="193">
        <f>(((K592*'Appendix K'!$C$14*1000)-('Appendix K'!$E$40+'Appendix K'!$F$40+'Appendix K'!$H$40+'Appendix K'!$G$40))/((1+$Y$16)^AH$34))</f>
        <v>7741173.1531501496</v>
      </c>
      <c r="AI592" s="193">
        <f>(((L592*'Appendix K'!$C$15*1000)-('Appendix K'!$E$41+'Appendix K'!$F$41+'Appendix K'!$H$41+'Appendix K'!$G$41))/((1+$Y$16)^AI$34))</f>
        <v>5551280.6293395339</v>
      </c>
      <c r="AJ592" s="193">
        <f>(((M592*'Appendix K'!$C$16*1000)-('Appendix K'!$E$42+'Appendix K'!$F$42+'Appendix K'!$H$42+'Appendix K'!$G$42))/((1+$Y$16)^AJ$34))</f>
        <v>5220731.6053790161</v>
      </c>
      <c r="AK592" s="193">
        <f>(((N592*'Appendix K'!$C$17*1000)-('Appendix K'!$E$43+'Appendix K'!$F$43+'Appendix K'!$H$43))/((1+$Y$16)^AK$34))</f>
        <v>1487552.5439126084</v>
      </c>
      <c r="AL592" s="193">
        <f>(((O592*'Appendix K'!$C$18*1000)-('Appendix K'!$E$44+'Appendix K'!$F$44+'Appendix K'!$H$44+'Appendix K'!$G$44))/((1+$Y$16)^AL$34))</f>
        <v>1033047.357669603</v>
      </c>
      <c r="AM592" s="193">
        <f>(((P592*'Appendix K'!$C$19*1000)-('Appendix K'!$E$45+'Appendix K'!$F$45+'Appendix K'!$H$45+'Appendix K'!$G$45))/((1+$Y$16)^AM$34))</f>
        <v>1252399.1709859495</v>
      </c>
      <c r="AN592" s="193">
        <f>(((Q592*'Appendix K'!$C$20*1000)-('Appendix K'!$E$46+'Appendix K'!$F$46+'Appendix K'!$H$46+'Appendix K'!$G$46))/((1+$Y$16)^AN$34))</f>
        <v>650267.12130475428</v>
      </c>
      <c r="AO592" s="193">
        <f>(((R592*'Appendix K'!$C$21*1000)-('Appendix K'!$E$47+'Appendix K'!$F$47+'Appendix K'!$H$47+'Appendix K'!$G$47))/((1+$Y$16)^AO$34))</f>
        <v>632679.90308998828</v>
      </c>
      <c r="AP592" s="193">
        <f>(((S592*'Appendix K'!$C$22*1000)-('Appendix K'!$E$48+'Appendix K'!$F$48+'Appendix K'!$H$48+'Appendix K'!$G$48))/((1+$Y$16)^AP$34))</f>
        <v>455233.00317261694</v>
      </c>
      <c r="AQ592" s="193">
        <f>(((T592*'Appendix K'!$C$23*1000)-('Appendix K'!$E$49+'Appendix K'!$F$49+'Appendix K'!$H$49+'Appendix K'!$G$49))/((1+$Y$16)^AQ$34))</f>
        <v>599503.94078867079</v>
      </c>
      <c r="AR592" s="193">
        <f>(((U592*'Appendix K'!$C$24*1000)-('Appendix K'!$E$50+'Appendix K'!$F$50+'Appendix K'!$H$50+'Appendix K'!$G$50))/((1+$Y$16)^AR$34))</f>
        <v>597895.55140601983</v>
      </c>
      <c r="AS592" s="209">
        <f t="shared" si="32"/>
        <v>140233478.0675149</v>
      </c>
      <c r="AU592" s="199">
        <f t="shared" si="31"/>
        <v>4.5737957252887149E-9</v>
      </c>
    </row>
    <row r="593" spans="1:47" x14ac:dyDescent="0.35">
      <c r="A593">
        <v>559</v>
      </c>
      <c r="B593" s="70">
        <v>56</v>
      </c>
      <c r="C593" s="70">
        <v>56.602463031254928</v>
      </c>
      <c r="D593" s="70">
        <v>49.508727894262591</v>
      </c>
      <c r="E593" s="70">
        <v>59.609199114944388</v>
      </c>
      <c r="F593" s="70">
        <v>52.704422705623003</v>
      </c>
      <c r="G593" s="70">
        <v>57.854873379646889</v>
      </c>
      <c r="H593" s="70">
        <v>51.743112308014972</v>
      </c>
      <c r="I593" s="70">
        <v>51.300176113641335</v>
      </c>
      <c r="J593" s="70">
        <v>46.826661046323636</v>
      </c>
      <c r="K593" s="70">
        <v>51.533473916585159</v>
      </c>
      <c r="L593" s="70">
        <v>32.221121260374552</v>
      </c>
      <c r="M593" s="70">
        <v>24.4704862592335</v>
      </c>
      <c r="N593" s="70">
        <v>20.530418276642457</v>
      </c>
      <c r="O593" s="70">
        <v>23.732918735485008</v>
      </c>
      <c r="P593" s="70">
        <v>20.578628132347049</v>
      </c>
      <c r="Q593" s="70">
        <v>18.988345656376325</v>
      </c>
      <c r="R593" s="70">
        <v>28.702295383649947</v>
      </c>
      <c r="S593" s="70">
        <v>28.292820656916547</v>
      </c>
      <c r="T593" s="70">
        <v>36.09829133140461</v>
      </c>
      <c r="U593" s="70">
        <v>25.191587969335039</v>
      </c>
      <c r="V593" s="70">
        <v>32.375597374088059</v>
      </c>
      <c r="X593" s="193">
        <f>((0-('Appendix K'!$I$30))/(1+$Y$16)^0)</f>
        <v>-33594902.4440751</v>
      </c>
      <c r="Y593" s="193">
        <f>(((B593*'Appendix K'!$C$5*1000)-('Appendix K'!$E$31+'Appendix K'!$F$31+'Appendix K'!$H$31+'Appendix K'!$G$31))/((1+$Y$16)^1))</f>
        <v>34971064.972647354</v>
      </c>
      <c r="Z593" s="193">
        <f>+(((C593*'Appendix K'!$C$6*1000)-('Appendix K'!$E$32+'Appendix K'!$F$32+'Appendix K'!$H$32+'Appendix K'!$G$32))/((1+$Y$16)^2))</f>
        <v>10811502.570757423</v>
      </c>
      <c r="AA593" s="193">
        <f>(((D593*'Appendix K'!$C$7*1000)-('Appendix K'!$E$33+'Appendix K'!$F$33+'Appendix K'!$H$33+'Appendix K'!$G$33))/((1+$Y$16)^3))</f>
        <v>3341269.8332403591</v>
      </c>
      <c r="AB593" s="193">
        <f>(((E593*'Appendix K'!$C$8*1000)-('Appendix K'!$E$34+'Appendix K'!$F$34+'Appendix K'!$H$34+'Appendix K'!$G$34))/((1+$Y$16)^4))</f>
        <v>9772582.8874442894</v>
      </c>
      <c r="AC593" s="193">
        <f>(((F593*'Appendix K'!$C$9*1000)-('Appendix K'!$E$35+'Appendix K'!$F$35+'Appendix K'!$H$35+'Appendix K'!$G$35))/((1+$Y$16)^AC$34))</f>
        <v>11024524.275200358</v>
      </c>
      <c r="AD593" s="193">
        <f>(((G593*'Appendix K'!$C$10*1000)-('Appendix K'!$E$36+'Appendix K'!$F$36+'Appendix K'!$H$36+'Appendix K'!$G$36))/((1+$Y$16)^AD$34))</f>
        <v>6569994.9522250397</v>
      </c>
      <c r="AE593" s="193">
        <f>(((H593*'Appendix K'!$C$11*1000)-('Appendix K'!$E$37+'Appendix K'!$F$37+'Appendix K'!$H$37+'Appendix K'!$G$37))/((1+$Y$16)^AE$34))</f>
        <v>2940794.3648309051</v>
      </c>
      <c r="AF593" s="193">
        <f>(((I593*'Appendix K'!$C$12*1000)-('Appendix K'!$E$38+'Appendix K'!$F$38+'Appendix K'!$H$38+'Appendix K'!$G$38))/((1+$Y$16)^AF$34))</f>
        <v>1371915.060506813</v>
      </c>
      <c r="AG593" s="193">
        <f>(((J593*'Appendix K'!$C$13*1000)-('Appendix K'!$E$39+'Appendix K'!$F$39+'Appendix K'!$H$39+'Appendix K'!$G$39))/((1+$Y$16)^AG$34))</f>
        <v>339969.08578279545</v>
      </c>
      <c r="AH593" s="193">
        <f>(((K593*'Appendix K'!$C$14*1000)-('Appendix K'!$E$40+'Appendix K'!$F$40+'Appendix K'!$H$40+'Appendix K'!$G$40))/((1+$Y$16)^AH$34))</f>
        <v>104273.26134728119</v>
      </c>
      <c r="AI593" s="193">
        <f>(((L593*'Appendix K'!$C$15*1000)-('Appendix K'!$E$41+'Appendix K'!$F$41+'Appendix K'!$H$41+'Appendix K'!$G$41))/((1+$Y$16)^AI$34))</f>
        <v>-672227.71751700353</v>
      </c>
      <c r="AJ593" s="193">
        <f>(((M593*'Appendix K'!$C$16*1000)-('Appendix K'!$E$42+'Appendix K'!$F$42+'Appendix K'!$H$42+'Appendix K'!$G$42))/((1+$Y$16)^AJ$34))</f>
        <v>-891116.72821463435</v>
      </c>
      <c r="AK593" s="193">
        <f>(((N593*'Appendix K'!$C$17*1000)-('Appendix K'!$E$43+'Appendix K'!$F$43+'Appendix K'!$H$43))/((1+$Y$16)^AK$34))</f>
        <v>-688831.37511573476</v>
      </c>
      <c r="AL593" s="193">
        <f>(((O593*'Appendix K'!$C$18*1000)-('Appendix K'!$E$44+'Appendix K'!$F$44+'Appendix K'!$H$44+'Appendix K'!$G$44))/((1+$Y$16)^AL$34))</f>
        <v>-853275.85643669742</v>
      </c>
      <c r="AM593" s="193">
        <f>(((P593*'Appendix K'!$C$19*1000)-('Appendix K'!$E$45+'Appendix K'!$F$45+'Appendix K'!$H$45+'Appendix K'!$G$45))/((1+$Y$16)^AM$34))</f>
        <v>-836028.15730159986</v>
      </c>
      <c r="AN593" s="193">
        <f>(((Q593*'Appendix K'!$C$20*1000)-('Appendix K'!$E$46+'Appendix K'!$F$46+'Appendix K'!$H$46+'Appendix K'!$G$46))/((1+$Y$16)^AN$34))</f>
        <v>-778305.05129621108</v>
      </c>
      <c r="AO593" s="193">
        <f>(((R593*'Appendix K'!$C$21*1000)-('Appendix K'!$E$47+'Appendix K'!$F$47+'Appendix K'!$H$47+'Appendix K'!$G$47))/((1+$Y$16)^AO$34))</f>
        <v>-673365.18863288336</v>
      </c>
      <c r="AP593" s="193">
        <f>(((S593*'Appendix K'!$C$22*1000)-('Appendix K'!$E$48+'Appendix K'!$F$48+'Appendix K'!$H$48+'Appendix K'!$G$48))/((1+$Y$16)^AP$34))</f>
        <v>-628938.56248581503</v>
      </c>
      <c r="AQ593" s="193">
        <f>(((T593*'Appendix K'!$C$23*1000)-('Appendix K'!$E$49+'Appendix K'!$F$49+'Appendix K'!$H$49+'Appendix K'!$G$49))/((1+$Y$16)^AQ$34))</f>
        <v>-552206.16064025683</v>
      </c>
      <c r="AR593" s="193">
        <f>(((U593*'Appendix K'!$C$24*1000)-('Appendix K'!$E$50+'Appendix K'!$F$50+'Appendix K'!$H$50+'Appendix K'!$G$50))/((1+$Y$16)^AR$34))</f>
        <v>-548171.2502075074</v>
      </c>
      <c r="AS593" s="209">
        <f t="shared" si="32"/>
        <v>47652988.819907509</v>
      </c>
      <c r="AU593" s="199">
        <f t="shared" si="31"/>
        <v>5.485965948052769E-9</v>
      </c>
    </row>
    <row r="594" spans="1:47" x14ac:dyDescent="0.35">
      <c r="A594">
        <v>560</v>
      </c>
      <c r="B594" s="70">
        <v>56</v>
      </c>
      <c r="C594" s="70">
        <v>72.0363332150785</v>
      </c>
      <c r="D594" s="70">
        <v>101.92666106567494</v>
      </c>
      <c r="E594" s="70">
        <v>105.81675669332456</v>
      </c>
      <c r="F594" s="70">
        <v>139.89128837082424</v>
      </c>
      <c r="G594" s="70">
        <v>132.37912325861953</v>
      </c>
      <c r="H594" s="70">
        <v>22.448515140906096</v>
      </c>
      <c r="I594" s="70">
        <v>30.619163907699757</v>
      </c>
      <c r="J594" s="70">
        <v>42.500072784952479</v>
      </c>
      <c r="K594" s="70">
        <v>40.307141112311626</v>
      </c>
      <c r="L594" s="70">
        <v>51.4623466965745</v>
      </c>
      <c r="M594" s="70">
        <v>51.494728046141773</v>
      </c>
      <c r="N594" s="70">
        <v>61.404567707407544</v>
      </c>
      <c r="O594" s="70">
        <v>86.915866541892058</v>
      </c>
      <c r="P594" s="70">
        <v>60.882659023511188</v>
      </c>
      <c r="Q594" s="70">
        <v>91.821389171169614</v>
      </c>
      <c r="R594" s="70">
        <v>116.81352243898772</v>
      </c>
      <c r="S594" s="70">
        <v>182.18062691384191</v>
      </c>
      <c r="T594" s="70">
        <v>218.77531157115004</v>
      </c>
      <c r="U594" s="70">
        <v>250.19657655414153</v>
      </c>
      <c r="V594" s="70">
        <v>319.59436841598887</v>
      </c>
      <c r="X594" s="193">
        <f>((0-('Appendix K'!$I$30))/(1+$Y$16)^0)</f>
        <v>-33594902.4440751</v>
      </c>
      <c r="Y594" s="193">
        <f>(((B594*'Appendix K'!$C$5*1000)-('Appendix K'!$E$31+'Appendix K'!$F$31+'Appendix K'!$H$31+'Appendix K'!$G$31))/((1+$Y$16)^1))</f>
        <v>34971064.972647354</v>
      </c>
      <c r="Z594" s="193">
        <f>+(((C594*'Appendix K'!$C$6*1000)-('Appendix K'!$E$32+'Appendix K'!$F$32+'Appendix K'!$H$32+'Appendix K'!$G$32))/((1+$Y$16)^2))</f>
        <v>14710362.146588136</v>
      </c>
      <c r="AA594" s="193">
        <f>(((D594*'Appendix K'!$C$7*1000)-('Appendix K'!$E$33+'Appendix K'!$F$33+'Appendix K'!$H$33+'Appendix K'!$G$33))/((1+$Y$16)^3))</f>
        <v>10017997.380243504</v>
      </c>
      <c r="AB594" s="193">
        <f>(((E594*'Appendix K'!$C$8*1000)-('Appendix K'!$E$34+'Appendix K'!$F$34+'Appendix K'!$H$34+'Appendix K'!$G$34))/((1+$Y$16)^4))</f>
        <v>19900856.51914848</v>
      </c>
      <c r="AC594" s="193">
        <f>(((F594*'Appendix K'!$C$9*1000)-('Appendix K'!$E$35+'Appendix K'!$F$35+'Appendix K'!$H$35+'Appendix K'!$G$35))/((1+$Y$16)^AC$34))</f>
        <v>34198656.26106362</v>
      </c>
      <c r="AD594" s="193">
        <f>(((G594*'Appendix K'!$C$10*1000)-('Appendix K'!$E$36+'Appendix K'!$F$36+'Appendix K'!$H$36+'Appendix K'!$G$36))/((1+$Y$16)^AD$34))</f>
        <v>18273577.637008399</v>
      </c>
      <c r="AE594" s="193">
        <f>(((H594*'Appendix K'!$C$11*1000)-('Appendix K'!$E$37+'Appendix K'!$F$37+'Appendix K'!$H$37+'Appendix K'!$G$37))/((1+$Y$16)^AE$34))</f>
        <v>19020.705663510122</v>
      </c>
      <c r="AF594" s="193">
        <f>(((I594*'Appendix K'!$C$12*1000)-('Appendix K'!$E$38+'Appendix K'!$F$38+'Appendix K'!$H$38+'Appendix K'!$G$38))/((1+$Y$16)^AF$34))</f>
        <v>13949.605440709134</v>
      </c>
      <c r="AG594" s="193">
        <f>(((J594*'Appendix K'!$C$13*1000)-('Appendix K'!$E$39+'Appendix K'!$F$39+'Appendix K'!$H$39+'Appendix K'!$G$39))/((1+$Y$16)^AG$34))</f>
        <v>140864.11236011289</v>
      </c>
      <c r="AH594" s="193">
        <f>(((K594*'Appendix K'!$C$14*1000)-('Appendix K'!$E$40+'Appendix K'!$F$40+'Appendix K'!$H$40+'Appendix K'!$G$40))/((1+$Y$16)^AH$34))</f>
        <v>-274127.42569346708</v>
      </c>
      <c r="AI594" s="193">
        <f>(((L594*'Appendix K'!$C$15*1000)-('Appendix K'!$E$41+'Appendix K'!$F$41+'Appendix K'!$H$41+'Appendix K'!$G$41))/((1+$Y$16)^AI$34))</f>
        <v>-168071.62982056447</v>
      </c>
      <c r="AJ594" s="193">
        <f>(((M594*'Appendix K'!$C$16*1000)-('Appendix K'!$E$42+'Appendix K'!$F$42+'Appendix K'!$H$42+'Appendix K'!$G$42))/((1+$Y$16)^AJ$34))</f>
        <v>-349500.46914151893</v>
      </c>
      <c r="AK594" s="193">
        <f>(((N594*'Appendix K'!$C$17*1000)-('Appendix K'!$E$43+'Appendix K'!$F$43+'Appendix K'!$H$43))/((1+$Y$16)^AK$34))</f>
        <v>-60845.134389491446</v>
      </c>
      <c r="AL594" s="193">
        <f>(((O594*'Appendix K'!$C$18*1000)-('Appendix K'!$E$44+'Appendix K'!$F$44+'Appendix K'!$H$44+'Appendix K'!$G$44))/((1+$Y$16)^AL$34))</f>
        <v>-104349.78437063309</v>
      </c>
      <c r="AM594" s="193">
        <f>(((P594*'Appendix K'!$C$19*1000)-('Appendix K'!$E$45+'Appendix K'!$F$45+'Appendix K'!$H$45+'Appendix K'!$G$45))/((1+$Y$16)^AM$34))</f>
        <v>-462460.90482393006</v>
      </c>
      <c r="AN594" s="193">
        <f>(((Q594*'Appendix K'!$C$20*1000)-('Appendix K'!$E$46+'Appendix K'!$F$46+'Appendix K'!$H$46+'Appendix K'!$G$46))/((1+$Y$16)^AN$34))</f>
        <v>-251269.35159990125</v>
      </c>
      <c r="AO594" s="193">
        <f>(((R594*'Appendix K'!$C$21*1000)-('Appendix K'!$E$47+'Appendix K'!$F$47+'Appendix K'!$H$47+'Appendix K'!$G$47))/((1+$Y$16)^AO$34))</f>
        <v>-152618.10220392686</v>
      </c>
      <c r="AP594" s="193">
        <f>(((S594*'Appendix K'!$C$22*1000)-('Appendix K'!$E$48+'Appendix K'!$F$48+'Appendix K'!$H$48+'Appendix K'!$G$48))/((1+$Y$16)^AP$34))</f>
        <v>108140.83959241377</v>
      </c>
      <c r="AQ594" s="193">
        <f>(((T594*'Appendix K'!$C$23*1000)-('Appendix K'!$E$49+'Appendix K'!$F$49+'Appendix K'!$H$49+'Appendix K'!$G$49))/((1+$Y$16)^AQ$34))</f>
        <v>162744.93006154406</v>
      </c>
      <c r="AR594" s="193">
        <f>(((U594*'Appendix K'!$C$24*1000)-('Appendix K'!$E$50+'Appendix K'!$F$50+'Appendix K'!$H$50+'Appendix K'!$G$50))/((1+$Y$16)^AR$34))</f>
        <v>176351.11741852219</v>
      </c>
      <c r="AS594" s="209">
        <f t="shared" si="32"/>
        <v>99098683.783161223</v>
      </c>
      <c r="AU594" s="199">
        <f t="shared" si="31"/>
        <v>6.8872679018610903E-9</v>
      </c>
    </row>
    <row r="595" spans="1:47" x14ac:dyDescent="0.35">
      <c r="A595">
        <v>561</v>
      </c>
      <c r="B595" s="70">
        <v>56</v>
      </c>
      <c r="C595" s="70">
        <v>62.554274584753571</v>
      </c>
      <c r="D595" s="70">
        <v>66.895028243381176</v>
      </c>
      <c r="E595" s="70">
        <v>98.03285860411404</v>
      </c>
      <c r="F595" s="70">
        <v>89.051092679992266</v>
      </c>
      <c r="G595" s="70">
        <v>61.052113118605895</v>
      </c>
      <c r="H595" s="70">
        <v>64.183460973044333</v>
      </c>
      <c r="I595" s="70">
        <v>71.067124616094176</v>
      </c>
      <c r="J595" s="70">
        <v>76.683709243931219</v>
      </c>
      <c r="K595" s="70">
        <v>79.705351348942216</v>
      </c>
      <c r="L595" s="70">
        <v>61.201654985040491</v>
      </c>
      <c r="M595" s="70">
        <v>63.153866314467137</v>
      </c>
      <c r="N595" s="70">
        <v>65.975956738860518</v>
      </c>
      <c r="O595" s="70">
        <v>88.94884501400125</v>
      </c>
      <c r="P595" s="70">
        <v>99.881824916188094</v>
      </c>
      <c r="Q595" s="70">
        <v>152.54319235703042</v>
      </c>
      <c r="R595" s="70">
        <v>194.20895172367875</v>
      </c>
      <c r="S595" s="70">
        <v>217.60707300870331</v>
      </c>
      <c r="T595" s="70">
        <v>231.54178231532916</v>
      </c>
      <c r="U595" s="70">
        <v>319.18182980896211</v>
      </c>
      <c r="V595" s="70">
        <v>212.34285384504136</v>
      </c>
      <c r="X595" s="193">
        <f>((0-('Appendix K'!$I$30))/(1+$Y$16)^0)</f>
        <v>-33594902.4440751</v>
      </c>
      <c r="Y595" s="193">
        <f>(((B595*'Appendix K'!$C$5*1000)-('Appendix K'!$E$31+'Appendix K'!$F$31+'Appendix K'!$H$31+'Appendix K'!$G$31))/((1+$Y$16)^1))</f>
        <v>34971064.972647354</v>
      </c>
      <c r="Z595" s="193">
        <f>+(((C595*'Appendix K'!$C$6*1000)-('Appendix K'!$E$32+'Appendix K'!$F$32+'Appendix K'!$H$32+'Appendix K'!$G$32))/((1+$Y$16)^2))</f>
        <v>12315031.963742716</v>
      </c>
      <c r="AA595" s="193">
        <f>(((D595*'Appendix K'!$C$7*1000)-('Appendix K'!$E$33+'Appendix K'!$F$33+'Appendix K'!$H$33+'Appendix K'!$G$33))/((1+$Y$16)^3))</f>
        <v>5555847.620995257</v>
      </c>
      <c r="AB595" s="193">
        <f>(((E595*'Appendix K'!$C$8*1000)-('Appendix K'!$E$34+'Appendix K'!$F$34+'Appendix K'!$H$34+'Appendix K'!$G$34))/((1+$Y$16)^4))</f>
        <v>18194697.312722243</v>
      </c>
      <c r="AC595" s="193">
        <f>(((F595*'Appendix K'!$C$9*1000)-('Appendix K'!$E$35+'Appendix K'!$F$35+'Appendix K'!$H$35+'Appendix K'!$G$35))/((1+$Y$16)^AC$34))</f>
        <v>20685412.079873826</v>
      </c>
      <c r="AD595" s="193">
        <f>(((G595*'Appendix K'!$C$10*1000)-('Appendix K'!$E$36+'Appendix K'!$F$36+'Appendix K'!$H$36+'Appendix K'!$G$36))/((1+$Y$16)^AD$34))</f>
        <v>7072102.1147761634</v>
      </c>
      <c r="AE595" s="193">
        <f>(((H595*'Appendix K'!$C$11*1000)-('Appendix K'!$E$37+'Appendix K'!$F$37+'Appendix K'!$H$37+'Appendix K'!$G$37))/((1+$Y$16)^AE$34))</f>
        <v>4181565.2425800427</v>
      </c>
      <c r="AF595" s="193">
        <f>(((I595*'Appendix K'!$C$12*1000)-('Appendix K'!$E$38+'Appendix K'!$F$38+'Appendix K'!$H$38+'Appendix K'!$G$38))/((1+$Y$16)^AF$34))</f>
        <v>2669860.8743335544</v>
      </c>
      <c r="AG595" s="193">
        <f>(((J595*'Appendix K'!$C$13*1000)-('Appendix K'!$E$39+'Appendix K'!$F$39+'Appendix K'!$H$39+'Appendix K'!$G$39))/((1+$Y$16)^AG$34))</f>
        <v>1713958.5732826849</v>
      </c>
      <c r="AH595" s="193">
        <f>(((K595*'Appendix K'!$C$14*1000)-('Appendix K'!$E$40+'Appendix K'!$F$40+'Appendix K'!$H$40+'Appendix K'!$G$40))/((1+$Y$16)^AH$34))</f>
        <v>1053849.4017921479</v>
      </c>
      <c r="AI595" s="193">
        <f>(((L595*'Appendix K'!$C$15*1000)-('Appendix K'!$E$41+'Appendix K'!$F$41+'Appendix K'!$H$41+'Appendix K'!$G$41))/((1+$Y$16)^AI$34))</f>
        <v>87116.459933049802</v>
      </c>
      <c r="AJ595" s="193">
        <f>(((M595*'Appendix K'!$C$16*1000)-('Appendix K'!$E$42+'Appendix K'!$F$42+'Appendix K'!$H$42+'Appendix K'!$G$42))/((1+$Y$16)^AJ$34))</f>
        <v>-115829.57089024076</v>
      </c>
      <c r="AK595" s="193">
        <f>(((N595*'Appendix K'!$C$17*1000)-('Appendix K'!$E$43+'Appendix K'!$F$43+'Appendix K'!$H$43))/((1+$Y$16)^AK$34))</f>
        <v>9389.2179515158696</v>
      </c>
      <c r="AL595" s="193">
        <f>(((O595*'Appendix K'!$C$18*1000)-('Appendix K'!$E$44+'Appendix K'!$F$44+'Appendix K'!$H$44+'Appendix K'!$G$44))/((1+$Y$16)^AL$34))</f>
        <v>-80252.292332485275</v>
      </c>
      <c r="AM595" s="193">
        <f>(((P595*'Appendix K'!$C$19*1000)-('Appendix K'!$E$45+'Appendix K'!$F$45+'Appendix K'!$H$45+'Appendix K'!$G$45))/((1+$Y$16)^AM$34))</f>
        <v>-100988.09604236251</v>
      </c>
      <c r="AN595" s="193">
        <f>(((Q595*'Appendix K'!$C$20*1000)-('Appendix K'!$E$46+'Appendix K'!$F$46+'Appendix K'!$H$46+'Appendix K'!$G$46))/((1+$Y$16)^AN$34))</f>
        <v>188126.78625861983</v>
      </c>
      <c r="AO595" s="193">
        <f>(((R595*'Appendix K'!$C$21*1000)-('Appendix K'!$E$47+'Appendix K'!$F$47+'Appendix K'!$H$47+'Appendix K'!$G$47))/((1+$Y$16)^AO$34))</f>
        <v>304797.43551873881</v>
      </c>
      <c r="AP595" s="193">
        <f>(((S595*'Appendix K'!$C$22*1000)-('Appendix K'!$E$48+'Appendix K'!$F$48+'Appendix K'!$H$48+'Appendix K'!$G$48))/((1+$Y$16)^AP$34))</f>
        <v>277823.5736601231</v>
      </c>
      <c r="AQ595" s="193">
        <f>(((T595*'Appendix K'!$C$23*1000)-('Appendix K'!$E$49+'Appendix K'!$F$49+'Appendix K'!$H$49+'Appendix K'!$G$49))/((1+$Y$16)^AQ$34))</f>
        <v>212709.62825393144</v>
      </c>
      <c r="AR595" s="193">
        <f>(((U595*'Appendix K'!$C$24*1000)-('Appendix K'!$E$50+'Appendix K'!$F$50+'Appendix K'!$H$50+'Appendix K'!$G$50))/((1+$Y$16)^AR$34))</f>
        <v>398485.56578709872</v>
      </c>
      <c r="AS595" s="209">
        <f t="shared" si="32"/>
        <v>76296936.38003397</v>
      </c>
      <c r="AU595" s="199">
        <f t="shared" si="31"/>
        <v>6.8912077980234862E-9</v>
      </c>
    </row>
    <row r="596" spans="1:47" x14ac:dyDescent="0.35">
      <c r="A596">
        <v>562</v>
      </c>
      <c r="B596" s="70">
        <v>56</v>
      </c>
      <c r="C596" s="70">
        <v>29.209768879099695</v>
      </c>
      <c r="D596" s="70">
        <v>19.654633114457898</v>
      </c>
      <c r="E596" s="70">
        <v>28.81910631721891</v>
      </c>
      <c r="F596" s="70">
        <v>30.251305813516357</v>
      </c>
      <c r="G596" s="70">
        <v>30.037220378220592</v>
      </c>
      <c r="H596" s="70">
        <v>24.528679129996888</v>
      </c>
      <c r="I596" s="70">
        <v>25.828485302553901</v>
      </c>
      <c r="J596" s="70">
        <v>32.883083809869177</v>
      </c>
      <c r="K596" s="70">
        <v>36.471657060775627</v>
      </c>
      <c r="L596" s="70">
        <v>26.643360750254587</v>
      </c>
      <c r="M596" s="70">
        <v>35.811552793311748</v>
      </c>
      <c r="N596" s="70">
        <v>41.84976812998493</v>
      </c>
      <c r="O596" s="70">
        <v>54.334806607398107</v>
      </c>
      <c r="P596" s="70">
        <v>11.78811818314486</v>
      </c>
      <c r="Q596" s="70">
        <v>13.364460807442081</v>
      </c>
      <c r="R596" s="70">
        <v>15.674645404144359</v>
      </c>
      <c r="S596" s="70">
        <v>13.818251072289744</v>
      </c>
      <c r="T596" s="70">
        <v>15.312183229543333</v>
      </c>
      <c r="U596" s="70">
        <v>25.773217633988473</v>
      </c>
      <c r="V596" s="70">
        <v>26.505188178877745</v>
      </c>
      <c r="X596" s="193">
        <f>((0-('Appendix K'!$I$30))/(1+$Y$16)^0)</f>
        <v>-33594902.4440751</v>
      </c>
      <c r="Y596" s="193">
        <f>(((B596*'Appendix K'!$C$5*1000)-('Appendix K'!$E$31+'Appendix K'!$F$31+'Appendix K'!$H$31+'Appendix K'!$G$31))/((1+$Y$16)^1))</f>
        <v>34971064.972647354</v>
      </c>
      <c r="Z596" s="193">
        <f>+(((C596*'Appendix K'!$C$6*1000)-('Appendix K'!$E$32+'Appendix K'!$F$32+'Appendix K'!$H$32+'Appendix K'!$G$32))/((1+$Y$16)^2))</f>
        <v>3891639.5272758822</v>
      </c>
      <c r="AA596" s="193">
        <f>(((D596*'Appendix K'!$C$7*1000)-('Appendix K'!$E$33+'Appendix K'!$F$33+'Appendix K'!$H$33+'Appendix K'!$G$33))/((1+$Y$16)^3))</f>
        <v>-461391.67871475022</v>
      </c>
      <c r="AB596" s="193">
        <f>(((E596*'Appendix K'!$C$8*1000)-('Appendix K'!$E$34+'Appendix K'!$F$34+'Appendix K'!$H$34+'Appendix K'!$G$34))/((1+$Y$16)^4))</f>
        <v>3023676.4023536718</v>
      </c>
      <c r="AC596" s="193">
        <f>(((F596*'Appendix K'!$C$9*1000)-('Appendix K'!$E$35+'Appendix K'!$F$35+'Appendix K'!$H$35+'Appendix K'!$G$35))/((1+$Y$16)^AC$34))</f>
        <v>5056521.0629989291</v>
      </c>
      <c r="AD596" s="193">
        <f>(((G596*'Appendix K'!$C$10*1000)-('Appendix K'!$E$36+'Appendix K'!$F$36+'Appendix K'!$H$36+'Appendix K'!$G$36))/((1+$Y$16)^AD$34))</f>
        <v>2201400.8029712858</v>
      </c>
      <c r="AE596" s="193">
        <f>(((H596*'Appendix K'!$C$11*1000)-('Appendix K'!$E$37+'Appendix K'!$F$37+'Appendix K'!$H$37+'Appendix K'!$G$37))/((1+$Y$16)^AE$34))</f>
        <v>226491.32952646579</v>
      </c>
      <c r="AF596" s="193">
        <f>(((I596*'Appendix K'!$C$12*1000)-('Appendix K'!$E$38+'Appendix K'!$F$38+'Appendix K'!$H$38+'Appendix K'!$G$38))/((1+$Y$16)^AF$34))</f>
        <v>-300617.97893716325</v>
      </c>
      <c r="AG596" s="193">
        <f>(((J596*'Appendix K'!$C$13*1000)-('Appendix K'!$E$39+'Appendix K'!$F$39+'Appendix K'!$H$39+'Appendix K'!$G$39))/((1+$Y$16)^AG$34))</f>
        <v>-301699.45473174658</v>
      </c>
      <c r="AH596" s="193">
        <f>(((K596*'Appendix K'!$C$14*1000)-('Appendix K'!$E$40+'Appendix K'!$F$40+'Appendix K'!$H$40+'Appendix K'!$G$40))/((1+$Y$16)^AH$34))</f>
        <v>-403408.27149937162</v>
      </c>
      <c r="AI596" s="193">
        <f>(((L596*'Appendix K'!$C$15*1000)-('Appendix K'!$E$41+'Appendix K'!$F$41+'Appendix K'!$H$41+'Appendix K'!$G$41))/((1+$Y$16)^AI$34))</f>
        <v>-818375.47334544652</v>
      </c>
      <c r="AJ596" s="193">
        <f>(((M596*'Appendix K'!$C$16*1000)-('Appendix K'!$E$42+'Appendix K'!$F$42+'Appendix K'!$H$42+'Appendix K'!$G$42))/((1+$Y$16)^AJ$34))</f>
        <v>-663820.58135058195</v>
      </c>
      <c r="AK596" s="193">
        <f>(((N596*'Appendix K'!$C$17*1000)-('Appendix K'!$E$43+'Appendix K'!$F$43+'Appendix K'!$H$43))/((1+$Y$16)^AK$34))</f>
        <v>-361283.06999917445</v>
      </c>
      <c r="AL596" s="193">
        <f>(((O596*'Appendix K'!$C$18*1000)-('Appendix K'!$E$44+'Appendix K'!$F$44+'Appendix K'!$H$44+'Appendix K'!$G$44))/((1+$Y$16)^AL$34))</f>
        <v>-490542.67482034437</v>
      </c>
      <c r="AM596" s="193">
        <f>(((P596*'Appendix K'!$C$19*1000)-('Appendix K'!$E$45+'Appendix K'!$F$45+'Appendix K'!$H$45+'Appendix K'!$G$45))/((1+$Y$16)^AM$34))</f>
        <v>-917505.03633805888</v>
      </c>
      <c r="AN596" s="193">
        <f>(((Q596*'Appendix K'!$C$20*1000)-('Appendix K'!$E$46+'Appendix K'!$F$46+'Appendix K'!$H$46+'Appendix K'!$G$46))/((1+$Y$16)^AN$34))</f>
        <v>-819000.7018324614</v>
      </c>
      <c r="AO596" s="193">
        <f>(((R596*'Appendix K'!$C$21*1000)-('Appendix K'!$E$47+'Appendix K'!$F$47+'Appendix K'!$H$47+'Appendix K'!$G$47))/((1+$Y$16)^AO$34))</f>
        <v>-750360.0393070553</v>
      </c>
      <c r="AP596" s="193">
        <f>(((S596*'Appendix K'!$C$22*1000)-('Appendix K'!$E$48+'Appendix K'!$F$48+'Appendix K'!$H$48+'Appendix K'!$G$48))/((1+$Y$16)^AP$34))</f>
        <v>-698267.68838786357</v>
      </c>
      <c r="AQ596" s="193">
        <f>(((T596*'Appendix K'!$C$23*1000)-('Appendix K'!$E$49+'Appendix K'!$F$49+'Appendix K'!$H$49+'Appendix K'!$G$49))/((1+$Y$16)^AQ$34))</f>
        <v>-633557.66637079488</v>
      </c>
      <c r="AR596" s="193">
        <f>(((U596*'Appendix K'!$C$24*1000)-('Appendix K'!$E$50+'Appendix K'!$F$50+'Appendix K'!$H$50+'Appendix K'!$G$50))/((1+$Y$16)^AR$34))</f>
        <v>-546298.3863907241</v>
      </c>
      <c r="AS596" s="209">
        <f t="shared" si="32"/>
        <v>15775891.653698497</v>
      </c>
      <c r="AU596" s="199">
        <f t="shared" si="31"/>
        <v>3.1546983601534077E-9</v>
      </c>
    </row>
    <row r="597" spans="1:47" x14ac:dyDescent="0.35">
      <c r="A597">
        <v>563</v>
      </c>
      <c r="B597" s="70">
        <v>56</v>
      </c>
      <c r="C597" s="70">
        <v>65.528153469930373</v>
      </c>
      <c r="D597" s="70">
        <v>88.264824366312055</v>
      </c>
      <c r="E597" s="70">
        <v>78.28691449153041</v>
      </c>
      <c r="F597" s="70">
        <v>89.213879355477829</v>
      </c>
      <c r="G597" s="70">
        <v>86.390088878736194</v>
      </c>
      <c r="H597" s="70">
        <v>85.453350350928261</v>
      </c>
      <c r="I597" s="70">
        <v>92.294497303964789</v>
      </c>
      <c r="J597" s="70">
        <v>113.06160170145672</v>
      </c>
      <c r="K597" s="70">
        <v>156.60999433061139</v>
      </c>
      <c r="L597" s="70">
        <v>179.19777845345607</v>
      </c>
      <c r="M597" s="70">
        <v>147.7663460149665</v>
      </c>
      <c r="N597" s="70">
        <v>148.00353363642361</v>
      </c>
      <c r="O597" s="70">
        <v>210.93677830355571</v>
      </c>
      <c r="P597" s="70">
        <v>274.22488244929207</v>
      </c>
      <c r="Q597" s="70">
        <v>319.538980576646</v>
      </c>
      <c r="R597" s="70">
        <v>356.53056986653144</v>
      </c>
      <c r="S597" s="70">
        <v>451.96125235761616</v>
      </c>
      <c r="T597" s="70">
        <v>500</v>
      </c>
      <c r="U597" s="70">
        <v>500</v>
      </c>
      <c r="V597" s="70">
        <v>500</v>
      </c>
      <c r="X597" s="193">
        <f>((0-('Appendix K'!$I$30))/(1+$Y$16)^0)</f>
        <v>-33594902.4440751</v>
      </c>
      <c r="Y597" s="193">
        <f>(((B597*'Appendix K'!$C$5*1000)-('Appendix K'!$E$31+'Appendix K'!$F$31+'Appendix K'!$H$31+'Appendix K'!$G$31))/((1+$Y$16)^1))</f>
        <v>34971064.972647354</v>
      </c>
      <c r="Z597" s="193">
        <f>+(((C597*'Appendix K'!$C$6*1000)-('Appendix K'!$E$32+'Appendix K'!$F$32+'Appendix K'!$H$32+'Appendix K'!$G$32))/((1+$Y$16)^2))</f>
        <v>13066284.632757964</v>
      </c>
      <c r="AA597" s="193">
        <f>(((D597*'Appendix K'!$C$7*1000)-('Appendix K'!$E$33+'Appendix K'!$F$33+'Appendix K'!$H$33+'Appendix K'!$G$33))/((1+$Y$16)^3))</f>
        <v>8277822.6744799782</v>
      </c>
      <c r="AB597" s="193">
        <f>(((E597*'Appendix K'!$C$8*1000)-('Appendix K'!$E$34+'Appendix K'!$F$34+'Appendix K'!$H$34+'Appendix K'!$G$34))/((1+$Y$16)^4))</f>
        <v>13866567.119964367</v>
      </c>
      <c r="AC597" s="193">
        <f>(((F597*'Appendix K'!$C$9*1000)-('Appendix K'!$E$35+'Appendix K'!$F$35+'Appendix K'!$H$35+'Appendix K'!$G$35))/((1+$Y$16)^AC$34))</f>
        <v>20728680.52259694</v>
      </c>
      <c r="AD597" s="193">
        <f>(((G597*'Appendix K'!$C$10*1000)-('Appendix K'!$E$36+'Appendix K'!$F$36+'Appendix K'!$H$36+'Appendix K'!$G$36))/((1+$Y$16)^AD$34))</f>
        <v>11051277.95157171</v>
      </c>
      <c r="AE597" s="193">
        <f>(((H597*'Appendix K'!$C$11*1000)-('Appendix K'!$E$37+'Appendix K'!$F$37+'Appendix K'!$H$37+'Appendix K'!$G$37))/((1+$Y$16)^AE$34))</f>
        <v>6302973.5747444853</v>
      </c>
      <c r="AF597" s="193">
        <f>(((I597*'Appendix K'!$C$12*1000)-('Appendix K'!$E$38+'Appendix K'!$F$38+'Appendix K'!$H$38+'Appendix K'!$G$38))/((1+$Y$16)^AF$34))</f>
        <v>4063701.6846813369</v>
      </c>
      <c r="AG597" s="193">
        <f>(((J597*'Appendix K'!$C$13*1000)-('Appendix K'!$E$39+'Appendix K'!$F$39+'Appendix K'!$H$39+'Appendix K'!$G$39))/((1+$Y$16)^AG$34))</f>
        <v>3388030.3530256874</v>
      </c>
      <c r="AH597" s="193">
        <f>(((K597*'Appendix K'!$C$14*1000)-('Appendix K'!$E$40+'Appendix K'!$F$40+'Appendix K'!$H$40+'Appendix K'!$G$40))/((1+$Y$16)^AH$34))</f>
        <v>3646037.8081263411</v>
      </c>
      <c r="AI597" s="193">
        <f>(((L597*'Appendix K'!$C$15*1000)-('Appendix K'!$E$41+'Appendix K'!$F$41+'Appendix K'!$H$41+'Appendix K'!$G$41))/((1+$Y$16)^AI$34))</f>
        <v>3178835.548638403</v>
      </c>
      <c r="AJ597" s="193">
        <f>(((M597*'Appendix K'!$C$16*1000)-('Appendix K'!$E$42+'Appendix K'!$F$42+'Appendix K'!$H$42+'Appendix K'!$G$42))/((1+$Y$16)^AJ$34))</f>
        <v>1579962.49194148</v>
      </c>
      <c r="AK597" s="193">
        <f>(((N597*'Appendix K'!$C$17*1000)-('Appendix K'!$E$43+'Appendix K'!$F$43+'Appendix K'!$H$43))/((1+$Y$16)^AK$34))</f>
        <v>1269652.4985131749</v>
      </c>
      <c r="AL597" s="193">
        <f>(((O597*'Appendix K'!$C$18*1000)-('Appendix K'!$E$44+'Appendix K'!$F$44+'Appendix K'!$H$44+'Appendix K'!$G$44))/((1+$Y$16)^AL$34))</f>
        <v>1365706.5761573256</v>
      </c>
      <c r="AM597" s="193">
        <f>(((P597*'Appendix K'!$C$19*1000)-('Appendix K'!$E$45+'Appendix K'!$F$45+'Appendix K'!$H$45+'Appendix K'!$G$45))/((1+$Y$16)^AM$34))</f>
        <v>1514950.9440767288</v>
      </c>
      <c r="AN597" s="193">
        <f>(((Q597*'Appendix K'!$C$20*1000)-('Appendix K'!$E$46+'Appendix K'!$F$46+'Appendix K'!$H$46+'Appendix K'!$G$46))/((1+$Y$16)^AN$34))</f>
        <v>1396544.5296800574</v>
      </c>
      <c r="AO597" s="193">
        <f>(((R597*'Appendix K'!$C$21*1000)-('Appendix K'!$E$47+'Appendix K'!$F$47+'Appendix K'!$H$47+'Appendix K'!$G$47))/((1+$Y$16)^AO$34))</f>
        <v>1264136.1320419018</v>
      </c>
      <c r="AP597" s="193">
        <f>(((S597*'Appendix K'!$C$22*1000)-('Appendix K'!$E$48+'Appendix K'!$F$48+'Appendix K'!$H$48+'Appendix K'!$G$48))/((1+$Y$16)^AP$34))</f>
        <v>1400314.3192922645</v>
      </c>
      <c r="AQ597" s="193">
        <f>(((T597*'Appendix K'!$C$23*1000)-('Appendix K'!$E$49+'Appendix K'!$F$49+'Appendix K'!$H$49+'Appendix K'!$G$49))/((1+$Y$16)^AQ$34))</f>
        <v>1263386.3652054211</v>
      </c>
      <c r="AR597" s="193">
        <f>(((U597*'Appendix K'!$C$24*1000)-('Appendix K'!$E$50+'Appendix K'!$F$50+'Appendix K'!$H$50+'Appendix K'!$G$50))/((1+$Y$16)^AR$34))</f>
        <v>980725.14012097823</v>
      </c>
      <c r="AS597" s="209">
        <f t="shared" si="32"/>
        <v>100981753.39618883</v>
      </c>
      <c r="AU597" s="199">
        <f t="shared" si="31"/>
        <v>6.8374230553171206E-9</v>
      </c>
    </row>
    <row r="598" spans="1:47" x14ac:dyDescent="0.35">
      <c r="A598">
        <v>564</v>
      </c>
      <c r="B598" s="70">
        <v>56</v>
      </c>
      <c r="C598" s="70">
        <v>75.214749318186136</v>
      </c>
      <c r="D598" s="70">
        <v>57.838208846179718</v>
      </c>
      <c r="E598" s="70">
        <v>56.21942360946057</v>
      </c>
      <c r="F598" s="70">
        <v>59.078641100439299</v>
      </c>
      <c r="G598" s="70">
        <v>79.742519590631474</v>
      </c>
      <c r="H598" s="70">
        <v>82.54070377866401</v>
      </c>
      <c r="I598" s="70">
        <v>115.90167403617515</v>
      </c>
      <c r="J598" s="70">
        <v>132.94600973997225</v>
      </c>
      <c r="K598" s="70">
        <v>127.7038764539105</v>
      </c>
      <c r="L598" s="70">
        <v>119.05867661447685</v>
      </c>
      <c r="M598" s="70">
        <v>137.5406798140518</v>
      </c>
      <c r="N598" s="70">
        <v>88.554151027771638</v>
      </c>
      <c r="O598" s="70">
        <v>72.586526503528333</v>
      </c>
      <c r="P598" s="70">
        <v>90.877237768067133</v>
      </c>
      <c r="Q598" s="70">
        <v>122.1724497526159</v>
      </c>
      <c r="R598" s="70">
        <v>117.06037400324368</v>
      </c>
      <c r="S598" s="70">
        <v>111.7830095506433</v>
      </c>
      <c r="T598" s="70">
        <v>103.46262097961211</v>
      </c>
      <c r="U598" s="70">
        <v>93.782954042201979</v>
      </c>
      <c r="V598" s="70">
        <v>110.1621972254547</v>
      </c>
      <c r="X598" s="193">
        <f>((0-('Appendix K'!$I$30))/(1+$Y$16)^0)</f>
        <v>-33594902.4440751</v>
      </c>
      <c r="Y598" s="193">
        <f>(((B598*'Appendix K'!$C$5*1000)-('Appendix K'!$E$31+'Appendix K'!$F$31+'Appendix K'!$H$31+'Appendix K'!$G$31))/((1+$Y$16)^1))</f>
        <v>34971064.972647354</v>
      </c>
      <c r="Z598" s="193">
        <f>+(((C598*'Appendix K'!$C$6*1000)-('Appendix K'!$E$32+'Appendix K'!$F$32+'Appendix K'!$H$32+'Appendix K'!$G$32))/((1+$Y$16)^2))</f>
        <v>15513284.415078133</v>
      </c>
      <c r="AA598" s="193">
        <f>(((D598*'Appendix K'!$C$7*1000)-('Appendix K'!$E$33+'Appendix K'!$F$33+'Appendix K'!$H$33+'Appendix K'!$G$33))/((1+$Y$16)^3))</f>
        <v>4402236.4063030621</v>
      </c>
      <c r="AB598" s="193">
        <f>(((E598*'Appendix K'!$C$8*1000)-('Appendix K'!$E$34+'Appendix K'!$F$34+'Appendix K'!$H$34+'Appendix K'!$G$34))/((1+$Y$16)^4))</f>
        <v>9029575.1270503029</v>
      </c>
      <c r="AC598" s="193">
        <f>(((F598*'Appendix K'!$C$9*1000)-('Appendix K'!$E$35+'Appendix K'!$F$35+'Appendix K'!$H$35+'Appendix K'!$G$35))/((1+$Y$16)^AC$34))</f>
        <v>12718781.515223479</v>
      </c>
      <c r="AD598" s="193">
        <f>(((G598*'Appendix K'!$C$10*1000)-('Appendix K'!$E$36+'Appendix K'!$F$36+'Appendix K'!$H$36+'Appendix K'!$G$36))/((1+$Y$16)^AD$34))</f>
        <v>10007317.40258923</v>
      </c>
      <c r="AE598" s="193">
        <f>(((H598*'Appendix K'!$C$11*1000)-('Appendix K'!$E$37+'Appendix K'!$F$37+'Appendix K'!$H$37+'Appendix K'!$G$37))/((1+$Y$16)^AE$34))</f>
        <v>6012473.1119881375</v>
      </c>
      <c r="AF598" s="193">
        <f>(((I598*'Appendix K'!$C$12*1000)-('Appendix K'!$E$38+'Appendix K'!$F$38+'Appendix K'!$H$38+'Appendix K'!$G$38))/((1+$Y$16)^AF$34))</f>
        <v>5613806.2044577869</v>
      </c>
      <c r="AG598" s="193">
        <f>(((J598*'Appendix K'!$C$13*1000)-('Appendix K'!$E$39+'Appendix K'!$F$39+'Appendix K'!$H$39+'Appendix K'!$G$39))/((1+$Y$16)^AG$34))</f>
        <v>4303089.585581298</v>
      </c>
      <c r="AH598" s="193">
        <f>(((K598*'Appendix K'!$C$14*1000)-('Appendix K'!$E$40+'Appendix K'!$F$40+'Appendix K'!$H$40+'Appendix K'!$G$40))/((1+$Y$16)^AH$34))</f>
        <v>2671712.9724987471</v>
      </c>
      <c r="AI598" s="193">
        <f>(((L598*'Appendix K'!$C$15*1000)-('Appendix K'!$E$41+'Appendix K'!$F$41+'Appendix K'!$H$41+'Appendix K'!$G$41))/((1+$Y$16)^AI$34))</f>
        <v>1603078.6197852565</v>
      </c>
      <c r="AJ598" s="193">
        <f>(((M598*'Appendix K'!$C$16*1000)-('Appendix K'!$E$42+'Appendix K'!$F$42+'Appendix K'!$H$42+'Appendix K'!$G$42))/((1+$Y$16)^AJ$34))</f>
        <v>1375021.0501818506</v>
      </c>
      <c r="AK598" s="193">
        <f>(((N598*'Appendix K'!$C$17*1000)-('Appendix K'!$E$43+'Appendix K'!$F$43+'Appendix K'!$H$43))/((1+$Y$16)^AK$34))</f>
        <v>356278.27989754756</v>
      </c>
      <c r="AL598" s="193">
        <f>(((O598*'Appendix K'!$C$18*1000)-('Appendix K'!$E$44+'Appendix K'!$F$44+'Appendix K'!$H$44+'Appendix K'!$G$44))/((1+$Y$16)^AL$34))</f>
        <v>-274199.66828412929</v>
      </c>
      <c r="AM598" s="193">
        <f>(((P598*'Appendix K'!$C$19*1000)-('Appendix K'!$E$45+'Appendix K'!$F$45+'Appendix K'!$H$45+'Appendix K'!$G$45))/((1+$Y$16)^AM$34))</f>
        <v>-184449.19921844048</v>
      </c>
      <c r="AN598" s="193">
        <f>(((Q598*'Appendix K'!$C$20*1000)-('Appendix K'!$E$46+'Appendix K'!$F$46+'Appendix K'!$H$46+'Appendix K'!$G$46))/((1+$Y$16)^AN$34))</f>
        <v>-31642.494364165483</v>
      </c>
      <c r="AO598" s="193">
        <f>(((R598*'Appendix K'!$C$21*1000)-('Appendix K'!$E$47+'Appendix K'!$F$47+'Appendix K'!$H$47+'Appendix K'!$G$47))/((1+$Y$16)^AO$34))</f>
        <v>-151159.18218700332</v>
      </c>
      <c r="AP598" s="193">
        <f>(((S598*'Appendix K'!$C$22*1000)-('Appendix K'!$E$48+'Appendix K'!$F$48+'Appendix K'!$H$48+'Appendix K'!$G$48))/((1+$Y$16)^AP$34))</f>
        <v>-229043.98990061981</v>
      </c>
      <c r="AQ598" s="193">
        <f>(((T598*'Appendix K'!$C$23*1000)-('Appendix K'!$E$49+'Appendix K'!$F$49+'Appendix K'!$H$49+'Appendix K'!$G$49))/((1+$Y$16)^AQ$34))</f>
        <v>-288559.42010784877</v>
      </c>
      <c r="AR598" s="193">
        <f>(((U598*'Appendix K'!$C$24*1000)-('Appendix K'!$E$50+'Appendix K'!$F$50+'Appendix K'!$H$50+'Appendix K'!$G$50))/((1+$Y$16)^AR$34))</f>
        <v>-327305.1296010908</v>
      </c>
      <c r="AS598" s="209">
        <f t="shared" si="32"/>
        <v>74982817.219207078</v>
      </c>
      <c r="AU598" s="199">
        <f t="shared" si="31"/>
        <v>6.8576129097408408E-9</v>
      </c>
    </row>
    <row r="599" spans="1:47" x14ac:dyDescent="0.35">
      <c r="A599">
        <v>565</v>
      </c>
      <c r="B599" s="70">
        <v>56</v>
      </c>
      <c r="C599" s="70">
        <v>69.922230451143591</v>
      </c>
      <c r="D599" s="70">
        <v>74.437286259261583</v>
      </c>
      <c r="E599" s="70">
        <v>33.821102501715671</v>
      </c>
      <c r="F599" s="70">
        <v>45.297071878220862</v>
      </c>
      <c r="G599" s="70">
        <v>31.277229392316215</v>
      </c>
      <c r="H599" s="70">
        <v>39.030934517732412</v>
      </c>
      <c r="I599" s="70">
        <v>21.422146042532358</v>
      </c>
      <c r="J599" s="70">
        <v>25.132553914628122</v>
      </c>
      <c r="K599" s="70">
        <v>51.662261213151865</v>
      </c>
      <c r="L599" s="70">
        <v>46.536768244497992</v>
      </c>
      <c r="M599" s="70">
        <v>27.049337460422436</v>
      </c>
      <c r="N599" s="70">
        <v>25.469933123975391</v>
      </c>
      <c r="O599" s="70">
        <v>27.720990830126038</v>
      </c>
      <c r="P599" s="70">
        <v>22.945902141792583</v>
      </c>
      <c r="Q599" s="70">
        <v>28.592921186811406</v>
      </c>
      <c r="R599" s="70">
        <v>30.727395709285616</v>
      </c>
      <c r="S599" s="70">
        <v>40.301501352335571</v>
      </c>
      <c r="T599" s="70">
        <v>66.211910866601826</v>
      </c>
      <c r="U599" s="70">
        <v>77.864065236943759</v>
      </c>
      <c r="V599" s="70">
        <v>114.80140020284676</v>
      </c>
      <c r="X599" s="193">
        <f>((0-('Appendix K'!$I$30))/(1+$Y$16)^0)</f>
        <v>-33594902.4440751</v>
      </c>
      <c r="Y599" s="193">
        <f>(((B599*'Appendix K'!$C$5*1000)-('Appendix K'!$E$31+'Appendix K'!$F$31+'Appendix K'!$H$31+'Appendix K'!$G$31))/((1+$Y$16)^1))</f>
        <v>34971064.972647354</v>
      </c>
      <c r="Z599" s="193">
        <f>+(((C599*'Appendix K'!$C$6*1000)-('Appendix K'!$E$32+'Appendix K'!$F$32+'Appendix K'!$H$32+'Appendix K'!$G$32))/((1+$Y$16)^2))</f>
        <v>14176303.630656276</v>
      </c>
      <c r="AA599" s="193">
        <f>(((D599*'Appendix K'!$C$7*1000)-('Appendix K'!$E$33+'Appendix K'!$F$33+'Appendix K'!$H$33+'Appendix K'!$G$33))/((1+$Y$16)^3))</f>
        <v>6516541.7730626268</v>
      </c>
      <c r="AB599" s="193">
        <f>(((E599*'Appendix K'!$C$8*1000)-('Appendix K'!$E$34+'Appendix K'!$F$34+'Appendix K'!$H$34+'Appendix K'!$G$34))/((1+$Y$16)^4))</f>
        <v>4120068.177127488</v>
      </c>
      <c r="AC599" s="193">
        <f>(((F599*'Appendix K'!$C$9*1000)-('Appendix K'!$E$35+'Appendix K'!$F$35+'Appendix K'!$H$35+'Appendix K'!$G$35))/((1+$Y$16)^AC$34))</f>
        <v>9055662.0569049604</v>
      </c>
      <c r="AD599" s="193">
        <f>(((G599*'Appendix K'!$C$10*1000)-('Appendix K'!$E$36+'Appendix K'!$F$36+'Appendix K'!$H$36+'Appendix K'!$G$36))/((1+$Y$16)^AD$34))</f>
        <v>2396136.7184607172</v>
      </c>
      <c r="AE599" s="193">
        <f>(((H599*'Appendix K'!$C$11*1000)-('Appendix K'!$E$37+'Appendix K'!$F$37+'Appendix K'!$H$37+'Appendix K'!$G$37))/((1+$Y$16)^AE$34))</f>
        <v>1672911.8946803189</v>
      </c>
      <c r="AF599" s="193">
        <f>(((I599*'Appendix K'!$C$12*1000)-('Appendix K'!$E$38+'Appendix K'!$F$38+'Appendix K'!$H$38+'Appendix K'!$G$38))/((1+$Y$16)^AF$34))</f>
        <v>-589948.90910757869</v>
      </c>
      <c r="AG599" s="193">
        <f>(((J599*'Appendix K'!$C$13*1000)-('Appendix K'!$E$39+'Appendix K'!$F$39+'Appendix K'!$H$39+'Appendix K'!$G$39))/((1+$Y$16)^AG$34))</f>
        <v>-658370.5672990008</v>
      </c>
      <c r="AH599" s="193">
        <f>(((K599*'Appendix K'!$C$14*1000)-('Appendix K'!$E$40+'Appendix K'!$F$40+'Appendix K'!$H$40+'Appendix K'!$G$40))/((1+$Y$16)^AH$34))</f>
        <v>108614.23380485954</v>
      </c>
      <c r="AI599" s="193">
        <f>(((L599*'Appendix K'!$C$15*1000)-('Appendix K'!$E$41+'Appendix K'!$F$41+'Appendix K'!$H$41+'Appendix K'!$G$41))/((1+$Y$16)^AI$34))</f>
        <v>-297130.99614184018</v>
      </c>
      <c r="AJ599" s="193">
        <f>(((M599*'Appendix K'!$C$16*1000)-('Appendix K'!$E$42+'Appendix K'!$F$42+'Appendix K'!$H$42+'Appendix K'!$G$42))/((1+$Y$16)^AJ$34))</f>
        <v>-839431.73548448458</v>
      </c>
      <c r="AK599" s="193">
        <f>(((N599*'Appendix K'!$C$17*1000)-('Appendix K'!$E$43+'Appendix K'!$F$43+'Appendix K'!$H$43))/((1+$Y$16)^AK$34))</f>
        <v>-612941.17548620305</v>
      </c>
      <c r="AL599" s="193">
        <f>(((O599*'Appendix K'!$C$18*1000)-('Appendix K'!$E$44+'Appendix K'!$F$44+'Appendix K'!$H$44+'Appendix K'!$G$44))/((1+$Y$16)^AL$34))</f>
        <v>-806004.0644002246</v>
      </c>
      <c r="AM599" s="193">
        <f>(((P599*'Appendix K'!$C$19*1000)-('Appendix K'!$E$45+'Appendix K'!$F$45+'Appendix K'!$H$45+'Appendix K'!$G$45))/((1+$Y$16)^AM$34))</f>
        <v>-814086.52942923154</v>
      </c>
      <c r="AN599" s="193">
        <f>(((Q599*'Appendix K'!$C$20*1000)-('Appendix K'!$E$46+'Appendix K'!$F$46+'Appendix K'!$H$46+'Appendix K'!$G$46))/((1+$Y$16)^AN$34))</f>
        <v>-708804.25961309602</v>
      </c>
      <c r="AO599" s="193">
        <f>(((R599*'Appendix K'!$C$21*1000)-('Appendix K'!$E$47+'Appendix K'!$F$47+'Appendix K'!$H$47+'Appendix K'!$G$47))/((1+$Y$16)^AO$34))</f>
        <v>-661396.62197521119</v>
      </c>
      <c r="AP599" s="193">
        <f>(((S599*'Appendix K'!$C$22*1000)-('Appendix K'!$E$48+'Appendix K'!$F$48+'Appendix K'!$H$48+'Appendix K'!$G$48))/((1+$Y$16)^AP$34))</f>
        <v>-571420.35229085048</v>
      </c>
      <c r="AQ599" s="193">
        <f>(((T599*'Appendix K'!$C$23*1000)-('Appendix K'!$E$49+'Appendix K'!$F$49+'Appendix K'!$H$49+'Appendix K'!$G$49))/((1+$Y$16)^AQ$34))</f>
        <v>-434349.16306380945</v>
      </c>
      <c r="AR599" s="193">
        <f>(((U599*'Appendix K'!$C$24*1000)-('Appendix K'!$E$50+'Appendix K'!$F$50+'Appendix K'!$H$50+'Appendix K'!$G$50))/((1+$Y$16)^AR$34))</f>
        <v>-378564.39758311625</v>
      </c>
      <c r="AS599" s="209">
        <f t="shared" si="32"/>
        <v>39422401.013269506</v>
      </c>
      <c r="AU599" s="199">
        <f t="shared" si="31"/>
        <v>4.9015285243825499E-9</v>
      </c>
    </row>
    <row r="600" spans="1:47" x14ac:dyDescent="0.35">
      <c r="A600">
        <v>566</v>
      </c>
      <c r="B600" s="70">
        <v>56</v>
      </c>
      <c r="C600" s="70">
        <v>75.182185681901288</v>
      </c>
      <c r="D600" s="70">
        <v>99.915081269967686</v>
      </c>
      <c r="E600" s="70">
        <v>127.0513929572281</v>
      </c>
      <c r="F600" s="70">
        <v>129.51050670696927</v>
      </c>
      <c r="G600" s="70">
        <v>119.48499667074772</v>
      </c>
      <c r="H600" s="70">
        <v>133.40039790393735</v>
      </c>
      <c r="I600" s="70">
        <v>159.99989668893161</v>
      </c>
      <c r="J600" s="70">
        <v>168.52055659413367</v>
      </c>
      <c r="K600" s="70">
        <v>151.42927128571188</v>
      </c>
      <c r="L600" s="70">
        <v>177.92531668446446</v>
      </c>
      <c r="M600" s="70">
        <v>192.97359519910458</v>
      </c>
      <c r="N600" s="70">
        <v>120.16870339504246</v>
      </c>
      <c r="O600" s="70">
        <v>152.97499124008948</v>
      </c>
      <c r="P600" s="70">
        <v>177.3095117510552</v>
      </c>
      <c r="Q600" s="70">
        <v>197.036633959738</v>
      </c>
      <c r="R600" s="70">
        <v>251.68393174878599</v>
      </c>
      <c r="S600" s="70">
        <v>325.96317583857666</v>
      </c>
      <c r="T600" s="70">
        <v>362.37710759216492</v>
      </c>
      <c r="U600" s="70">
        <v>482.1054690355046</v>
      </c>
      <c r="V600" s="70">
        <v>500</v>
      </c>
      <c r="X600" s="193">
        <f>((0-('Appendix K'!$I$30))/(1+$Y$16)^0)</f>
        <v>-33594902.4440751</v>
      </c>
      <c r="Y600" s="193">
        <f>(((B600*'Appendix K'!$C$5*1000)-('Appendix K'!$E$31+'Appendix K'!$F$31+'Appendix K'!$H$31+'Appendix K'!$G$31))/((1+$Y$16)^1))</f>
        <v>34971064.972647354</v>
      </c>
      <c r="Z600" s="193">
        <f>+(((C600*'Appendix K'!$C$6*1000)-('Appendix K'!$E$32+'Appendix K'!$F$32+'Appendix K'!$H$32+'Appendix K'!$G$32))/((1+$Y$16)^2))</f>
        <v>15505058.283612669</v>
      </c>
      <c r="AA600" s="193">
        <f>(((D600*'Appendix K'!$C$7*1000)-('Appendix K'!$E$33+'Appendix K'!$F$33+'Appendix K'!$H$33+'Appendix K'!$G$33))/((1+$Y$16)^3))</f>
        <v>9761772.6605264302</v>
      </c>
      <c r="AB600" s="193">
        <f>(((E600*'Appendix K'!$C$8*1000)-('Appendix K'!$E$34+'Appendix K'!$F$34+'Appendix K'!$H$34+'Appendix K'!$G$34))/((1+$Y$16)^4))</f>
        <v>24555294.403810702</v>
      </c>
      <c r="AC600" s="193">
        <f>(((F600*'Appendix K'!$C$9*1000)-('Appendix K'!$E$35+'Appendix K'!$F$35+'Appendix K'!$H$35+'Appendix K'!$G$35))/((1+$Y$16)^AC$34))</f>
        <v>31439460.795563355</v>
      </c>
      <c r="AD600" s="193">
        <f>(((G600*'Appendix K'!$C$10*1000)-('Appendix K'!$E$36+'Appendix K'!$F$36+'Appendix K'!$H$36+'Appendix K'!$G$36))/((1+$Y$16)^AD$34))</f>
        <v>16248633.046297388</v>
      </c>
      <c r="AE600" s="193">
        <f>(((H600*'Appendix K'!$C$11*1000)-('Appendix K'!$E$37+'Appendix K'!$F$37+'Appendix K'!$H$37+'Appendix K'!$G$37))/((1+$Y$16)^AE$34))</f>
        <v>11085098.407391712</v>
      </c>
      <c r="AF600" s="193">
        <f>(((I600*'Appendix K'!$C$12*1000)-('Appendix K'!$E$38+'Appendix K'!$F$38+'Appendix K'!$H$38+'Appendix K'!$G$38))/((1+$Y$16)^AF$34))</f>
        <v>8509402.5319456831</v>
      </c>
      <c r="AG600" s="193">
        <f>(((J600*'Appendix K'!$C$13*1000)-('Appendix K'!$E$39+'Appendix K'!$F$39+'Appendix K'!$H$39+'Appendix K'!$G$39))/((1+$Y$16)^AG$34))</f>
        <v>5940192.2581792753</v>
      </c>
      <c r="AH600" s="193">
        <f>(((K600*'Appendix K'!$C$14*1000)-('Appendix K'!$E$40+'Appendix K'!$F$40+'Appendix K'!$H$40+'Appendix K'!$G$40))/((1+$Y$16)^AH$34))</f>
        <v>3471413.6281972048</v>
      </c>
      <c r="AI600" s="193">
        <f>(((L600*'Appendix K'!$C$15*1000)-('Appendix K'!$E$41+'Appendix K'!$F$41+'Appendix K'!$H$41+'Appendix K'!$G$41))/((1+$Y$16)^AI$34))</f>
        <v>3145494.6707756477</v>
      </c>
      <c r="AJ600" s="193">
        <f>(((M600*'Appendix K'!$C$16*1000)-('Appendix K'!$E$42+'Appendix K'!$F$42+'Appendix K'!$H$42+'Appendix K'!$G$42))/((1+$Y$16)^AJ$34))</f>
        <v>2486000.1665289174</v>
      </c>
      <c r="AK600" s="193">
        <f>(((N600*'Appendix K'!$C$17*1000)-('Appendix K'!$E$43+'Appendix K'!$F$43+'Appendix K'!$H$43))/((1+$Y$16)^AK$34))</f>
        <v>842001.02079505124</v>
      </c>
      <c r="AL600" s="193">
        <f>(((O600*'Appendix K'!$C$18*1000)-('Appendix K'!$E$44+'Appendix K'!$F$44+'Appendix K'!$H$44+'Appendix K'!$G$44))/((1+$Y$16)^AL$34))</f>
        <v>678668.45871498797</v>
      </c>
      <c r="AM600" s="193">
        <f>(((P600*'Appendix K'!$C$19*1000)-('Appendix K'!$E$45+'Appendix K'!$F$45+'Appendix K'!$H$45+'Appendix K'!$G$45))/((1+$Y$16)^AM$34))</f>
        <v>616668.36652609648</v>
      </c>
      <c r="AN600" s="193">
        <f>(((Q600*'Appendix K'!$C$20*1000)-('Appendix K'!$E$46+'Appendix K'!$F$46+'Appendix K'!$H$46+'Appendix K'!$G$46))/((1+$Y$16)^AN$34))</f>
        <v>510090.979917738</v>
      </c>
      <c r="AO600" s="193">
        <f>(((R600*'Appendix K'!$C$21*1000)-('Appendix K'!$E$47+'Appendix K'!$F$47+'Appendix K'!$H$47+'Appendix K'!$G$47))/((1+$Y$16)^AO$34))</f>
        <v>644480.9173052283</v>
      </c>
      <c r="AP600" s="193">
        <f>(((S600*'Appendix K'!$C$22*1000)-('Appendix K'!$E$48+'Appendix K'!$F$48+'Appendix K'!$H$48+'Appendix K'!$G$48))/((1+$Y$16)^AP$34))</f>
        <v>796818.89517394779</v>
      </c>
      <c r="AQ600" s="193">
        <f>(((T600*'Appendix K'!$C$23*1000)-('Appendix K'!$E$49+'Appendix K'!$F$49+'Appendix K'!$H$49+'Appendix K'!$G$49))/((1+$Y$16)^AQ$34))</f>
        <v>724765.59668518521</v>
      </c>
      <c r="AR600" s="193">
        <f>(((U600*'Appendix K'!$C$24*1000)-('Appendix K'!$E$50+'Appendix K'!$F$50+'Appendix K'!$H$50+'Appendix K'!$G$50))/((1+$Y$16)^AR$34))</f>
        <v>923104.24903097085</v>
      </c>
      <c r="AS600" s="209">
        <f t="shared" si="32"/>
        <v>139260581.8655504</v>
      </c>
      <c r="AU600" s="199">
        <f t="shared" si="31"/>
        <v>4.646390462793083E-9</v>
      </c>
    </row>
    <row r="601" spans="1:47" x14ac:dyDescent="0.35">
      <c r="A601">
        <v>567</v>
      </c>
      <c r="B601" s="70">
        <v>56</v>
      </c>
      <c r="C601" s="70">
        <v>83.531885650270183</v>
      </c>
      <c r="D601" s="70">
        <v>109.69366965555363</v>
      </c>
      <c r="E601" s="70">
        <v>118.9156363707685</v>
      </c>
      <c r="F601" s="70">
        <v>154.41990134762574</v>
      </c>
      <c r="G601" s="70">
        <v>260.06777630344175</v>
      </c>
      <c r="H601" s="70">
        <v>434.76866171549955</v>
      </c>
      <c r="I601" s="70">
        <v>329.57921384045932</v>
      </c>
      <c r="J601" s="70">
        <v>455.81486272472642</v>
      </c>
      <c r="K601" s="70">
        <v>403.64965282076656</v>
      </c>
      <c r="L601" s="70">
        <v>500</v>
      </c>
      <c r="M601" s="70">
        <v>481.58984355415294</v>
      </c>
      <c r="N601" s="70">
        <v>281.78083845958463</v>
      </c>
      <c r="O601" s="70">
        <v>118.51359947184872</v>
      </c>
      <c r="P601" s="70">
        <v>146.16351155412028</v>
      </c>
      <c r="Q601" s="70">
        <v>197.29595864222904</v>
      </c>
      <c r="R601" s="70">
        <v>108.51368486402238</v>
      </c>
      <c r="S601" s="70">
        <v>127.22074011587532</v>
      </c>
      <c r="T601" s="70">
        <v>187.66274237136366</v>
      </c>
      <c r="U601" s="70">
        <v>244.43835696363317</v>
      </c>
      <c r="V601" s="70">
        <v>279.87929911482763</v>
      </c>
      <c r="X601" s="193">
        <f>((0-('Appendix K'!$I$30))/(1+$Y$16)^0)</f>
        <v>-33594902.4440751</v>
      </c>
      <c r="Y601" s="193">
        <f>(((B601*'Appendix K'!$C$5*1000)-('Appendix K'!$E$31+'Appendix K'!$F$31+'Appendix K'!$H$31+'Appendix K'!$G$31))/((1+$Y$16)^1))</f>
        <v>34971064.972647354</v>
      </c>
      <c r="Z601" s="193">
        <f>+(((C601*'Appendix K'!$C$6*1000)-('Appendix K'!$E$32+'Appendix K'!$F$32+'Appendix K'!$H$32+'Appendix K'!$G$32))/((1+$Y$16)^2))</f>
        <v>17614335.301577292</v>
      </c>
      <c r="AA601" s="193">
        <f>(((D601*'Appendix K'!$C$7*1000)-('Appendix K'!$E$33+'Appendix K'!$F$33+'Appendix K'!$H$33+'Appendix K'!$G$33))/((1+$Y$16)^3))</f>
        <v>11007319.1079864</v>
      </c>
      <c r="AB601" s="193">
        <f>(((E601*'Appendix K'!$C$8*1000)-('Appendix K'!$E$34+'Appendix K'!$F$34+'Appendix K'!$H$34+'Appendix K'!$G$34))/((1+$Y$16)^4))</f>
        <v>22772011.035742</v>
      </c>
      <c r="AC601" s="193">
        <f>(((F601*'Appendix K'!$C$9*1000)-('Appendix K'!$E$35+'Appendix K'!$F$35+'Appendix K'!$H$35+'Appendix K'!$G$35))/((1+$Y$16)^AC$34))</f>
        <v>38060338.776281111</v>
      </c>
      <c r="AD601" s="193">
        <f>(((G601*'Appendix K'!$C$10*1000)-('Appendix K'!$E$36+'Appendix K'!$F$36+'Appendix K'!$H$36+'Appendix K'!$G$36))/((1+$Y$16)^AD$34))</f>
        <v>38326308.274963439</v>
      </c>
      <c r="AE601" s="193">
        <f>(((H601*'Appendix K'!$C$11*1000)-('Appendix K'!$E$37+'Appendix K'!$F$37+'Appendix K'!$H$37+'Appendix K'!$G$37))/((1+$Y$16)^AE$34))</f>
        <v>41142854.446524628</v>
      </c>
      <c r="AF601" s="193">
        <f>(((I601*'Appendix K'!$C$12*1000)-('Appendix K'!$E$38+'Appendix K'!$F$38+'Appendix K'!$H$38+'Appendix K'!$G$38))/((1+$Y$16)^AF$34))</f>
        <v>19644392.071737841</v>
      </c>
      <c r="AG601" s="193">
        <f>(((J601*'Appendix K'!$C$13*1000)-('Appendix K'!$E$39+'Appendix K'!$F$39+'Appendix K'!$H$39+'Appendix K'!$G$39))/((1+$Y$16)^AG$34))</f>
        <v>19161169.557389975</v>
      </c>
      <c r="AH601" s="193">
        <f>(((K601*'Appendix K'!$C$14*1000)-('Appendix K'!$E$40+'Appendix K'!$F$40+'Appendix K'!$H$40+'Appendix K'!$G$40))/((1+$Y$16)^AH$34))</f>
        <v>11972886.66685619</v>
      </c>
      <c r="AI601" s="193">
        <f>(((L601*'Appendix K'!$C$15*1000)-('Appendix K'!$E$41+'Appendix K'!$F$41+'Appendix K'!$H$41+'Appendix K'!$G$41))/((1+$Y$16)^AI$34))</f>
        <v>11584453.656253781</v>
      </c>
      <c r="AJ601" s="193">
        <f>(((M601*'Appendix K'!$C$16*1000)-('Appendix K'!$E$42+'Appendix K'!$F$42+'Appendix K'!$H$42+'Appendix K'!$G$42))/((1+$Y$16)^AJ$34))</f>
        <v>8270408.623735155</v>
      </c>
      <c r="AK601" s="193">
        <f>(((N601*'Appendix K'!$C$17*1000)-('Appendix K'!$E$43+'Appendix K'!$F$43+'Appendix K'!$H$43))/((1+$Y$16)^AK$34))</f>
        <v>3324993.2926424071</v>
      </c>
      <c r="AL601" s="193">
        <f>(((O601*'Appendix K'!$C$18*1000)-('Appendix K'!$E$44+'Appendix K'!$F$44+'Appendix K'!$H$44+'Appendix K'!$G$44))/((1+$Y$16)^AL$34))</f>
        <v>270187.4417482359</v>
      </c>
      <c r="AM601" s="193">
        <f>(((P601*'Appendix K'!$C$19*1000)-('Appendix K'!$E$45+'Appendix K'!$F$45+'Appendix K'!$H$45+'Appendix K'!$G$45))/((1+$Y$16)^AM$34))</f>
        <v>327984.44429863722</v>
      </c>
      <c r="AN601" s="193">
        <f>(((Q601*'Appendix K'!$C$20*1000)-('Appendix K'!$E$46+'Appendix K'!$F$46+'Appendix K'!$H$46+'Appendix K'!$G$46))/((1+$Y$16)^AN$34))</f>
        <v>511967.5095654031</v>
      </c>
      <c r="AO601" s="193">
        <f>(((R601*'Appendix K'!$C$21*1000)-('Appendix K'!$E$47+'Appendix K'!$F$47+'Appendix K'!$H$47+'Appendix K'!$G$47))/((1+$Y$16)^AO$34))</f>
        <v>-201671.05923836122</v>
      </c>
      <c r="AP601" s="193">
        <f>(((S601*'Appendix K'!$C$22*1000)-('Appendix K'!$E$48+'Appendix K'!$F$48+'Appendix K'!$H$48+'Appendix K'!$G$48))/((1+$Y$16)^AP$34))</f>
        <v>-155101.59322061049</v>
      </c>
      <c r="AQ601" s="193">
        <f>(((T601*'Appendix K'!$C$23*1000)-('Appendix K'!$E$49+'Appendix K'!$F$49+'Appendix K'!$H$49+'Appendix K'!$G$49))/((1+$Y$16)^AQ$34))</f>
        <v>40978.29923556756</v>
      </c>
      <c r="AR601" s="193">
        <f>(((U601*'Appendix K'!$C$24*1000)-('Appendix K'!$E$50+'Appendix K'!$F$50+'Appendix K'!$H$50+'Appendix K'!$G$50))/((1+$Y$16)^AR$34))</f>
        <v>157809.48899834487</v>
      </c>
      <c r="AS601" s="209">
        <f t="shared" si="32"/>
        <v>245566560.52410871</v>
      </c>
      <c r="AU601" s="199">
        <f t="shared" si="31"/>
        <v>1.4617608356581214E-10</v>
      </c>
    </row>
    <row r="602" spans="1:47" x14ac:dyDescent="0.35">
      <c r="A602">
        <v>568</v>
      </c>
      <c r="B602" s="70">
        <v>56</v>
      </c>
      <c r="C602" s="70">
        <v>83.188766711114496</v>
      </c>
      <c r="D602" s="70">
        <v>56.571191982582206</v>
      </c>
      <c r="E602" s="70">
        <v>62.473682100593287</v>
      </c>
      <c r="F602" s="70">
        <v>68.08182148707138</v>
      </c>
      <c r="G602" s="70">
        <v>65.508569718889689</v>
      </c>
      <c r="H602" s="70">
        <v>76.041371563140302</v>
      </c>
      <c r="I602" s="70">
        <v>104.67048739858551</v>
      </c>
      <c r="J602" s="70">
        <v>141.12767642307205</v>
      </c>
      <c r="K602" s="70">
        <v>156.75724379424611</v>
      </c>
      <c r="L602" s="70">
        <v>162.91628858097033</v>
      </c>
      <c r="M602" s="70">
        <v>189.68200778680938</v>
      </c>
      <c r="N602" s="70">
        <v>248.57101124396553</v>
      </c>
      <c r="O602" s="70">
        <v>238.38400161348559</v>
      </c>
      <c r="P602" s="70">
        <v>214.69030742278881</v>
      </c>
      <c r="Q602" s="70">
        <v>350.01179325292162</v>
      </c>
      <c r="R602" s="70">
        <v>417.72730372963827</v>
      </c>
      <c r="S602" s="70">
        <v>500</v>
      </c>
      <c r="T602" s="70">
        <v>500</v>
      </c>
      <c r="U602" s="70">
        <v>500</v>
      </c>
      <c r="V602" s="70">
        <v>451.92863580481173</v>
      </c>
      <c r="X602" s="193">
        <f>((0-('Appendix K'!$I$30))/(1+$Y$16)^0)</f>
        <v>-33594902.4440751</v>
      </c>
      <c r="Y602" s="193">
        <f>(((B602*'Appendix K'!$C$5*1000)-('Appendix K'!$E$31+'Appendix K'!$F$31+'Appendix K'!$H$31+'Appendix K'!$G$31))/((1+$Y$16)^1))</f>
        <v>34971064.972647354</v>
      </c>
      <c r="Z602" s="193">
        <f>+(((C602*'Appendix K'!$C$6*1000)-('Appendix K'!$E$32+'Appendix K'!$F$32+'Appendix K'!$H$32+'Appendix K'!$G$32))/((1+$Y$16)^2))</f>
        <v>17527657.589140773</v>
      </c>
      <c r="AA602" s="193">
        <f>(((D602*'Appendix K'!$C$7*1000)-('Appendix K'!$E$33+'Appendix K'!$F$33+'Appendix K'!$H$33+'Appendix K'!$G$33))/((1+$Y$16)^3))</f>
        <v>4240850.295026307</v>
      </c>
      <c r="AB602" s="193">
        <f>(((E602*'Appendix K'!$C$8*1000)-('Appendix K'!$E$34+'Appendix K'!$F$34+'Appendix K'!$H$34+'Appendix K'!$G$34))/((1+$Y$16)^4))</f>
        <v>10400451.336080654</v>
      </c>
      <c r="AC602" s="193">
        <f>(((F602*'Appendix K'!$C$9*1000)-('Appendix K'!$E$35+'Appendix K'!$F$35+'Appendix K'!$H$35+'Appendix K'!$G$35))/((1+$Y$16)^AC$34))</f>
        <v>15111812.724460097</v>
      </c>
      <c r="AD602" s="193">
        <f>(((G602*'Appendix K'!$C$10*1000)-('Appendix K'!$E$36+'Appendix K'!$F$36+'Appendix K'!$H$36+'Appendix K'!$G$36))/((1+$Y$16)^AD$34))</f>
        <v>7771961.6690457081</v>
      </c>
      <c r="AE602" s="193">
        <f>(((H602*'Appendix K'!$C$11*1000)-('Appendix K'!$E$37+'Appendix K'!$F$37+'Appendix K'!$H$37+'Appendix K'!$G$37))/((1+$Y$16)^AE$34))</f>
        <v>5364245.1277912362</v>
      </c>
      <c r="AF602" s="193">
        <f>(((I602*'Appendix K'!$C$12*1000)-('Appendix K'!$E$38+'Appendix K'!$F$38+'Appendix K'!$H$38+'Appendix K'!$G$38))/((1+$Y$16)^AF$34))</f>
        <v>4876339.2313052323</v>
      </c>
      <c r="AG602" s="193">
        <f>(((J602*'Appendix K'!$C$13*1000)-('Appendix K'!$E$39+'Appendix K'!$F$39+'Appendix K'!$H$39+'Appendix K'!$G$39))/((1+$Y$16)^AG$34))</f>
        <v>4679601.1529139308</v>
      </c>
      <c r="AH602" s="193">
        <f>(((K602*'Appendix K'!$C$14*1000)-('Appendix K'!$E$40+'Appendix K'!$F$40+'Appendix K'!$H$40+'Appendix K'!$G$40))/((1+$Y$16)^AH$34))</f>
        <v>3651001.0761121744</v>
      </c>
      <c r="AI602" s="193">
        <f>(((L602*'Appendix K'!$C$15*1000)-('Appendix K'!$E$41+'Appendix K'!$F$41+'Appendix K'!$H$41+'Appendix K'!$G$41))/((1+$Y$16)^AI$34))</f>
        <v>2752230.0674439198</v>
      </c>
      <c r="AJ602" s="193">
        <f>(((M602*'Appendix K'!$C$16*1000)-('Appendix K'!$E$42+'Appendix K'!$F$42+'Appendix K'!$H$42+'Appendix K'!$G$42))/((1+$Y$16)^AJ$34))</f>
        <v>2420030.6094654091</v>
      </c>
      <c r="AK602" s="193">
        <f>(((N602*'Appendix K'!$C$17*1000)-('Appendix K'!$E$43+'Appendix K'!$F$43+'Appendix K'!$H$43))/((1+$Y$16)^AK$34))</f>
        <v>2814760.9125501774</v>
      </c>
      <c r="AL602" s="193">
        <f>(((O602*'Appendix K'!$C$18*1000)-('Appendix K'!$E$44+'Appendix K'!$F$44+'Appendix K'!$H$44+'Appendix K'!$G$44))/((1+$Y$16)^AL$34))</f>
        <v>1691046.5904537374</v>
      </c>
      <c r="AM602" s="193">
        <f>(((P602*'Appendix K'!$C$19*1000)-('Appendix K'!$E$45+'Appendix K'!$F$45+'Appendix K'!$H$45+'Appendix K'!$G$45))/((1+$Y$16)^AM$34))</f>
        <v>963140.93578913959</v>
      </c>
      <c r="AN602" s="193">
        <f>(((Q602*'Appendix K'!$C$20*1000)-('Appendix K'!$E$46+'Appendix K'!$F$46+'Appendix K'!$H$46+'Appendix K'!$G$46))/((1+$Y$16)^AN$34))</f>
        <v>1617052.4114808978</v>
      </c>
      <c r="AO602" s="193">
        <f>(((R602*'Appendix K'!$C$21*1000)-('Appendix K'!$E$47+'Appendix K'!$F$47+'Appendix K'!$H$47+'Appendix K'!$G$47))/((1+$Y$16)^AO$34))</f>
        <v>1625815.5901904828</v>
      </c>
      <c r="AP602" s="193">
        <f>(((S602*'Appendix K'!$C$22*1000)-('Appendix K'!$E$48+'Appendix K'!$F$48+'Appendix K'!$H$48+'Appendix K'!$G$48))/((1+$Y$16)^AP$34))</f>
        <v>1630406.4380253027</v>
      </c>
      <c r="AQ602" s="193">
        <f>(((T602*'Appendix K'!$C$23*1000)-('Appendix K'!$E$49+'Appendix K'!$F$49+'Appendix K'!$H$49+'Appendix K'!$G$49))/((1+$Y$16)^AQ$34))</f>
        <v>1263386.3652054211</v>
      </c>
      <c r="AR602" s="193">
        <f>(((U602*'Appendix K'!$C$24*1000)-('Appendix K'!$E$50+'Appendix K'!$F$50+'Appendix K'!$H$50+'Appendix K'!$G$50))/((1+$Y$16)^AR$34))</f>
        <v>980725.14012097823</v>
      </c>
      <c r="AS602" s="209">
        <f t="shared" si="32"/>
        <v>92758677.791173846</v>
      </c>
      <c r="AU602" s="199">
        <f t="shared" si="31"/>
        <v>7.0008818824674417E-9</v>
      </c>
    </row>
    <row r="603" spans="1:47" x14ac:dyDescent="0.35">
      <c r="A603">
        <v>569</v>
      </c>
      <c r="B603" s="70">
        <v>56</v>
      </c>
      <c r="C603" s="70">
        <v>55.89123217719149</v>
      </c>
      <c r="D603" s="70">
        <v>70.481458398335718</v>
      </c>
      <c r="E603" s="70">
        <v>75.388962848181961</v>
      </c>
      <c r="F603" s="70">
        <v>81.137891370500085</v>
      </c>
      <c r="G603" s="70">
        <v>86.463707468236663</v>
      </c>
      <c r="H603" s="70">
        <v>111.21481566780793</v>
      </c>
      <c r="I603" s="70">
        <v>127.98160223174143</v>
      </c>
      <c r="J603" s="70">
        <v>120.75008869552757</v>
      </c>
      <c r="K603" s="70">
        <v>114.02961538206424</v>
      </c>
      <c r="L603" s="70">
        <v>147.17644943463952</v>
      </c>
      <c r="M603" s="70">
        <v>173.13282999560147</v>
      </c>
      <c r="N603" s="70">
        <v>85.426512112563017</v>
      </c>
      <c r="O603" s="70">
        <v>77.720688504790061</v>
      </c>
      <c r="P603" s="70">
        <v>82.296206500896531</v>
      </c>
      <c r="Q603" s="70">
        <v>109.78424065043254</v>
      </c>
      <c r="R603" s="70">
        <v>122.48358401143435</v>
      </c>
      <c r="S603" s="70">
        <v>167.88668899883606</v>
      </c>
      <c r="T603" s="70">
        <v>161.01263658043948</v>
      </c>
      <c r="U603" s="70">
        <v>190.62381148332341</v>
      </c>
      <c r="V603" s="70">
        <v>292.88347780577357</v>
      </c>
      <c r="X603" s="193">
        <f>((0-('Appendix K'!$I$30))/(1+$Y$16)^0)</f>
        <v>-33594902.4440751</v>
      </c>
      <c r="Y603" s="193">
        <f>(((B603*'Appendix K'!$C$5*1000)-('Appendix K'!$E$31+'Appendix K'!$F$31+'Appendix K'!$H$31+'Appendix K'!$G$31))/((1+$Y$16)^1))</f>
        <v>34971064.972647354</v>
      </c>
      <c r="Z603" s="193">
        <f>+(((C603*'Appendix K'!$C$6*1000)-('Appendix K'!$E$32+'Appendix K'!$F$32+'Appendix K'!$H$32+'Appendix K'!$G$32))/((1+$Y$16)^2))</f>
        <v>10631833.492751449</v>
      </c>
      <c r="AA603" s="193">
        <f>(((D603*'Appendix K'!$C$7*1000)-('Appendix K'!$E$33+'Appendix K'!$F$33+'Appendix K'!$H$33+'Appendix K'!$G$33))/((1+$Y$16)^3))</f>
        <v>6012668.7042051395</v>
      </c>
      <c r="AB603" s="193">
        <f>(((E603*'Appendix K'!$C$8*1000)-('Appendix K'!$E$34+'Appendix K'!$F$34+'Appendix K'!$H$34+'Appendix K'!$G$34))/((1+$Y$16)^4))</f>
        <v>13231362.647936333</v>
      </c>
      <c r="AC603" s="193">
        <f>(((F603*'Appendix K'!$C$9*1000)-('Appendix K'!$E$35+'Appendix K'!$F$35+'Appendix K'!$H$35+'Appendix K'!$G$35))/((1+$Y$16)^AC$34))</f>
        <v>18582095.597766697</v>
      </c>
      <c r="AD603" s="193">
        <f>(((G603*'Appendix K'!$C$10*1000)-('Appendix K'!$E$36+'Appendix K'!$F$36+'Appendix K'!$H$36+'Appendix K'!$G$36))/((1+$Y$16)^AD$34))</f>
        <v>11062839.305771923</v>
      </c>
      <c r="AE603" s="193">
        <f>(((H603*'Appendix K'!$C$11*1000)-('Appendix K'!$E$37+'Appendix K'!$F$37+'Appendix K'!$H$37+'Appendix K'!$G$37))/((1+$Y$16)^AE$34))</f>
        <v>8872361.0408033617</v>
      </c>
      <c r="AF603" s="193">
        <f>(((I603*'Appendix K'!$C$12*1000)-('Appendix K'!$E$38+'Appendix K'!$F$38+'Appendix K'!$H$38+'Appendix K'!$G$38))/((1+$Y$16)^AF$34))</f>
        <v>6407003.6082359822</v>
      </c>
      <c r="AG603" s="193">
        <f>(((J603*'Appendix K'!$C$13*1000)-('Appendix K'!$E$39+'Appendix K'!$F$39+'Appendix K'!$H$39+'Appendix K'!$G$39))/((1+$Y$16)^AG$34))</f>
        <v>3741846.3175080526</v>
      </c>
      <c r="AH603" s="193">
        <f>(((K603*'Appendix K'!$C$14*1000)-('Appendix K'!$E$40+'Appendix K'!$F$40+'Appendix K'!$H$40+'Appendix K'!$G$40))/((1+$Y$16)^AH$34))</f>
        <v>2210801.1258099098</v>
      </c>
      <c r="AI603" s="193">
        <f>(((L603*'Appendix K'!$C$15*1000)-('Appendix K'!$E$41+'Appendix K'!$F$41+'Appendix K'!$H$41+'Appendix K'!$G$41))/((1+$Y$16)^AI$34))</f>
        <v>2339816.8481665212</v>
      </c>
      <c r="AJ603" s="193">
        <f>(((M603*'Appendix K'!$C$16*1000)-('Appendix K'!$E$42+'Appendix K'!$F$42+'Appendix K'!$H$42+'Appendix K'!$G$42))/((1+$Y$16)^AJ$34))</f>
        <v>2088354.1895796112</v>
      </c>
      <c r="AK603" s="193">
        <f>(((N603*'Appendix K'!$C$17*1000)-('Appendix K'!$E$43+'Appendix K'!$F$43+'Appendix K'!$H$43))/((1+$Y$16)^AK$34))</f>
        <v>308225.55630417005</v>
      </c>
      <c r="AL603" s="193">
        <f>(((O603*'Appendix K'!$C$18*1000)-('Appendix K'!$E$44+'Appendix K'!$F$44+'Appendix K'!$H$44+'Appendix K'!$G$44))/((1+$Y$16)^AL$34))</f>
        <v>-213342.93534508982</v>
      </c>
      <c r="AM603" s="193">
        <f>(((P603*'Appendix K'!$C$19*1000)-('Appendix K'!$E$45+'Appendix K'!$F$45+'Appendix K'!$H$45+'Appendix K'!$G$45))/((1+$Y$16)^AM$34))</f>
        <v>-263984.47653494991</v>
      </c>
      <c r="AN603" s="193">
        <f>(((Q603*'Appendix K'!$C$20*1000)-('Appendix K'!$E$46+'Appendix K'!$F$46+'Appendix K'!$H$46+'Appendix K'!$G$46))/((1+$Y$16)^AN$34))</f>
        <v>-121286.26231720016</v>
      </c>
      <c r="AO603" s="193">
        <f>(((R603*'Appendix K'!$C$21*1000)-('Appendix K'!$E$47+'Appendix K'!$F$47+'Appendix K'!$H$47+'Appendix K'!$G$47))/((1+$Y$16)^AO$34))</f>
        <v>-119107.41188213657</v>
      </c>
      <c r="AP603" s="193">
        <f>(((S603*'Appendix K'!$C$22*1000)-('Appendix K'!$E$48+'Appendix K'!$F$48+'Appendix K'!$H$48+'Appendix K'!$G$48))/((1+$Y$16)^AP$34))</f>
        <v>39676.888692069384</v>
      </c>
      <c r="AQ603" s="193">
        <f>(((T603*'Appendix K'!$C$23*1000)-('Appendix K'!$E$49+'Appendix K'!$F$49+'Appendix K'!$H$49+'Appendix K'!$G$49))/((1+$Y$16)^AQ$34))</f>
        <v>-63323.392228053708</v>
      </c>
      <c r="AR603" s="193">
        <f>(((U603*'Appendix K'!$C$24*1000)-('Appendix K'!$E$50+'Appendix K'!$F$50+'Appendix K'!$H$50+'Appendix K'!$G$50))/((1+$Y$16)^AR$34))</f>
        <v>-15474.855270391314</v>
      </c>
      <c r="AS603" s="209">
        <f t="shared" si="32"/>
        <v>86905047.852103472</v>
      </c>
      <c r="AU603" s="199">
        <f t="shared" si="31"/>
        <v>7.0291204880324501E-9</v>
      </c>
    </row>
    <row r="604" spans="1:47" x14ac:dyDescent="0.35">
      <c r="A604">
        <v>570</v>
      </c>
      <c r="B604" s="70">
        <v>56</v>
      </c>
      <c r="C604" s="70">
        <v>44.915631280498161</v>
      </c>
      <c r="D604" s="70">
        <v>36.938007757285909</v>
      </c>
      <c r="E604" s="70">
        <v>22.000857127508418</v>
      </c>
      <c r="F604" s="70">
        <v>18.564287240136572</v>
      </c>
      <c r="G604" s="70">
        <v>19.957340662116906</v>
      </c>
      <c r="H604" s="70">
        <v>21.303829421343636</v>
      </c>
      <c r="I604" s="70">
        <v>20.624221912332381</v>
      </c>
      <c r="J604" s="70">
        <v>30.313023192086373</v>
      </c>
      <c r="K604" s="70">
        <v>20.456245791706472</v>
      </c>
      <c r="L604" s="70">
        <v>27.215350275554719</v>
      </c>
      <c r="M604" s="70">
        <v>24.064577841112055</v>
      </c>
      <c r="N604" s="70">
        <v>21.622519263452261</v>
      </c>
      <c r="O604" s="70">
        <v>20.714039983245154</v>
      </c>
      <c r="P604" s="70">
        <v>20.711631923472329</v>
      </c>
      <c r="Q604" s="70">
        <v>22.302679647636175</v>
      </c>
      <c r="R604" s="70">
        <v>22.594184722535342</v>
      </c>
      <c r="S604" s="70">
        <v>16.412320382850552</v>
      </c>
      <c r="T604" s="70">
        <v>13.771355336611775</v>
      </c>
      <c r="U604" s="70">
        <v>12.060778776323261</v>
      </c>
      <c r="V604" s="70">
        <v>13.990017788753599</v>
      </c>
      <c r="X604" s="193">
        <f>((0-('Appendix K'!$I$30))/(1+$Y$16)^0)</f>
        <v>-33594902.4440751</v>
      </c>
      <c r="Y604" s="193">
        <f>(((B604*'Appendix K'!$C$5*1000)-('Appendix K'!$E$31+'Appendix K'!$F$31+'Appendix K'!$H$31+'Appendix K'!$G$31))/((1+$Y$16)^1))</f>
        <v>34971064.972647354</v>
      </c>
      <c r="Z604" s="193">
        <f>+(((C604*'Appendix K'!$C$6*1000)-('Appendix K'!$E$32+'Appendix K'!$F$32+'Appendix K'!$H$32+'Appendix K'!$G$32))/((1+$Y$16)^2))</f>
        <v>7859208.9891826594</v>
      </c>
      <c r="AA604" s="193">
        <f>(((D604*'Appendix K'!$C$7*1000)-('Appendix K'!$E$33+'Appendix K'!$F$33+'Appendix K'!$H$33+'Appendix K'!$G$33))/((1+$Y$16)^3))</f>
        <v>1740075.9603389818</v>
      </c>
      <c r="AB604" s="193">
        <f>(((E604*'Appendix K'!$C$8*1000)-('Appendix K'!$E$34+'Appendix K'!$F$34+'Appendix K'!$H$34+'Appendix K'!$G$34))/((1+$Y$16)^4))</f>
        <v>1529178.5950329921</v>
      </c>
      <c r="AC604" s="193">
        <f>(((F604*'Appendix K'!$C$9*1000)-('Appendix K'!$E$35+'Appendix K'!$F$35+'Appendix K'!$H$35+'Appendix K'!$G$35))/((1+$Y$16)^AC$34))</f>
        <v>1950129.8781069918</v>
      </c>
      <c r="AD604" s="193">
        <f>(((G604*'Appendix K'!$C$10*1000)-('Appendix K'!$E$36+'Appendix K'!$F$36+'Appendix K'!$H$36+'Appendix K'!$G$36))/((1+$Y$16)^AD$34))</f>
        <v>618416.6615451799</v>
      </c>
      <c r="AE604" s="193">
        <f>(((H604*'Appendix K'!$C$11*1000)-('Appendix K'!$E$37+'Appendix K'!$F$37+'Appendix K'!$H$37+'Appendix K'!$G$37))/((1+$Y$16)^AE$34))</f>
        <v>-95147.533768633293</v>
      </c>
      <c r="AF604" s="193">
        <f>(((I604*'Appendix K'!$C$12*1000)-('Appendix K'!$E$38+'Appendix K'!$F$38+'Appendix K'!$H$38+'Appendix K'!$G$38))/((1+$Y$16)^AF$34))</f>
        <v>-642342.54408952291</v>
      </c>
      <c r="AG604" s="193">
        <f>(((J604*'Appendix K'!$C$13*1000)-('Appendix K'!$E$39+'Appendix K'!$F$39+'Appendix K'!$H$39+'Appendix K'!$G$39))/((1+$Y$16)^AG$34))</f>
        <v>-419970.90098121221</v>
      </c>
      <c r="AH604" s="193">
        <f>(((K604*'Appendix K'!$C$14*1000)-('Appendix K'!$E$40+'Appendix K'!$F$40+'Appendix K'!$H$40+'Appendix K'!$G$40))/((1+$Y$16)^AH$34))</f>
        <v>-943232.1599510801</v>
      </c>
      <c r="AI604" s="193">
        <f>(((L604*'Appendix K'!$C$15*1000)-('Appendix K'!$E$41+'Appendix K'!$F$41+'Appendix K'!$H$41+'Appendix K'!$G$41))/((1+$Y$16)^AI$34))</f>
        <v>-803388.27815692592</v>
      </c>
      <c r="AJ604" s="193">
        <f>(((M604*'Appendix K'!$C$16*1000)-('Appendix K'!$E$42+'Appendix K'!$F$42+'Appendix K'!$H$42+'Appendix K'!$G$42))/((1+$Y$16)^AJ$34))</f>
        <v>-899251.89073585346</v>
      </c>
      <c r="AK604" s="193">
        <f>(((N604*'Appendix K'!$C$17*1000)-('Appendix K'!$E$43+'Appendix K'!$F$43+'Appendix K'!$H$43))/((1+$Y$16)^AK$34))</f>
        <v>-672052.44753555849</v>
      </c>
      <c r="AL604" s="193">
        <f>(((O604*'Appendix K'!$C$18*1000)-('Appendix K'!$E$44+'Appendix K'!$F$44+'Appendix K'!$H$44+'Appendix K'!$G$44))/((1+$Y$16)^AL$34))</f>
        <v>-889059.51459848741</v>
      </c>
      <c r="AM604" s="193">
        <f>(((P604*'Appendix K'!$C$19*1000)-('Appendix K'!$E$45+'Appendix K'!$F$45+'Appendix K'!$H$45+'Appendix K'!$G$45))/((1+$Y$16)^AM$34))</f>
        <v>-834795.38083430426</v>
      </c>
      <c r="AN604" s="193">
        <f>(((Q604*'Appendix K'!$C$20*1000)-('Appendix K'!$E$46+'Appendix K'!$F$46+'Appendix K'!$H$46+'Appendix K'!$G$46))/((1+$Y$16)^AN$34))</f>
        <v>-754321.81168662221</v>
      </c>
      <c r="AO604" s="193">
        <f>(((R604*'Appendix K'!$C$21*1000)-('Appendix K'!$E$47+'Appendix K'!$F$47+'Appendix K'!$H$47+'Appendix K'!$G$47))/((1+$Y$16)^AO$34))</f>
        <v>-709464.79746438225</v>
      </c>
      <c r="AP604" s="193">
        <f>(((S604*'Appendix K'!$C$22*1000)-('Appendix K'!$E$48+'Appendix K'!$F$48+'Appendix K'!$H$48+'Appendix K'!$G$48))/((1+$Y$16)^AP$34))</f>
        <v>-685842.82443739974</v>
      </c>
      <c r="AQ604" s="193">
        <f>(((T604*'Appendix K'!$C$23*1000)-('Appendix K'!$E$49+'Appendix K'!$F$49+'Appendix K'!$H$49+'Appendix K'!$G$49))/((1+$Y$16)^AQ$34))</f>
        <v>-639588.07228167204</v>
      </c>
      <c r="AR604" s="193">
        <f>(((U604*'Appendix K'!$C$24*1000)-('Appendix K'!$E$50+'Appendix K'!$F$50+'Appendix K'!$H$50+'Appendix K'!$G$50))/((1+$Y$16)^AR$34))</f>
        <v>-590452.82371929113</v>
      </c>
      <c r="AS604" s="209">
        <f t="shared" si="32"/>
        <v>15073172.612779051</v>
      </c>
      <c r="AU604" s="199">
        <f t="shared" si="31"/>
        <v>3.1053962033871529E-9</v>
      </c>
    </row>
    <row r="605" spans="1:47" x14ac:dyDescent="0.35">
      <c r="A605">
        <v>571</v>
      </c>
      <c r="B605" s="70">
        <v>56</v>
      </c>
      <c r="C605" s="70">
        <v>74.207552844781873</v>
      </c>
      <c r="D605" s="70">
        <v>81.659890162184411</v>
      </c>
      <c r="E605" s="70">
        <v>92.304054052652234</v>
      </c>
      <c r="F605" s="70">
        <v>95.121553778874613</v>
      </c>
      <c r="G605" s="70">
        <v>55.585974967603903</v>
      </c>
      <c r="H605" s="70">
        <v>45.788543818072242</v>
      </c>
      <c r="I605" s="70">
        <v>43.866808026785151</v>
      </c>
      <c r="J605" s="70">
        <v>62.623755665277599</v>
      </c>
      <c r="K605" s="70">
        <v>63.139118315736688</v>
      </c>
      <c r="L605" s="70">
        <v>81.396336893151215</v>
      </c>
      <c r="M605" s="70">
        <v>90.096594814004732</v>
      </c>
      <c r="N605" s="70">
        <v>124.92332397242293</v>
      </c>
      <c r="O605" s="70">
        <v>134.66513240026285</v>
      </c>
      <c r="P605" s="70">
        <v>151.14096020349706</v>
      </c>
      <c r="Q605" s="70">
        <v>174.04991867661161</v>
      </c>
      <c r="R605" s="70">
        <v>232.88549080213744</v>
      </c>
      <c r="S605" s="70">
        <v>230.00887792824767</v>
      </c>
      <c r="T605" s="70">
        <v>329.37961273475509</v>
      </c>
      <c r="U605" s="70">
        <v>475.61325944707608</v>
      </c>
      <c r="V605" s="70">
        <v>500</v>
      </c>
      <c r="X605" s="193">
        <f>((0-('Appendix K'!$I$30))/(1+$Y$16)^0)</f>
        <v>-33594902.4440751</v>
      </c>
      <c r="Y605" s="193">
        <f>(((B605*'Appendix K'!$C$5*1000)-('Appendix K'!$E$31+'Appendix K'!$F$31+'Appendix K'!$H$31+'Appendix K'!$G$31))/((1+$Y$16)^1))</f>
        <v>34971064.972647354</v>
      </c>
      <c r="Z605" s="193">
        <f>+(((C605*'Appendix K'!$C$6*1000)-('Appendix K'!$E$32+'Appendix K'!$F$32+'Appendix K'!$H$32+'Appendix K'!$G$32))/((1+$Y$16)^2))</f>
        <v>15258849.359689953</v>
      </c>
      <c r="AA605" s="193">
        <f>(((D605*'Appendix K'!$C$7*1000)-('Appendix K'!$E$33+'Appendix K'!$F$33+'Appendix K'!$H$33+'Appendix K'!$G$33))/((1+$Y$16)^3))</f>
        <v>7436520.0232931664</v>
      </c>
      <c r="AB605" s="193">
        <f>(((E605*'Appendix K'!$C$8*1000)-('Appendix K'!$E$34+'Appendix K'!$F$34+'Appendix K'!$H$34+'Appendix K'!$G$34))/((1+$Y$16)^4))</f>
        <v>16938995.797199909</v>
      </c>
      <c r="AC605" s="193">
        <f>(((F605*'Appendix K'!$C$9*1000)-('Appendix K'!$E$35+'Appendix K'!$F$35+'Appendix K'!$H$35+'Appendix K'!$G$35))/((1+$Y$16)^AC$34))</f>
        <v>22298931.107622255</v>
      </c>
      <c r="AD605" s="193">
        <f>(((G605*'Appendix K'!$C$10*1000)-('Appendix K'!$E$36+'Appendix K'!$F$36+'Appendix K'!$H$36+'Appendix K'!$G$36))/((1+$Y$16)^AD$34))</f>
        <v>6213678.1800087094</v>
      </c>
      <c r="AE605" s="193">
        <f>(((H605*'Appendix K'!$C$11*1000)-('Appendix K'!$E$37+'Appendix K'!$F$37+'Appendix K'!$H$37+'Appendix K'!$G$37))/((1+$Y$16)^AE$34))</f>
        <v>2346899.8228995795</v>
      </c>
      <c r="AF605" s="193">
        <f>(((I605*'Appendix K'!$C$12*1000)-('Appendix K'!$E$38+'Appendix K'!$F$38+'Appendix K'!$H$38+'Appendix K'!$G$38))/((1+$Y$16)^AF$34))</f>
        <v>883822.07084930141</v>
      </c>
      <c r="AG605" s="193">
        <f>(((J605*'Appendix K'!$C$13*1000)-('Appendix K'!$E$39+'Appendix K'!$F$39+'Appendix K'!$H$39+'Appendix K'!$G$39))/((1+$Y$16)^AG$34))</f>
        <v>1066934.5177246917</v>
      </c>
      <c r="AH605" s="193">
        <f>(((K605*'Appendix K'!$C$14*1000)-('Appendix K'!$E$40+'Appendix K'!$F$40+'Appendix K'!$H$40+'Appendix K'!$G$40))/((1+$Y$16)^AH$34))</f>
        <v>495459.22480970458</v>
      </c>
      <c r="AI605" s="193">
        <f>(((L605*'Appendix K'!$C$15*1000)-('Appendix K'!$E$41+'Appendix K'!$F$41+'Appendix K'!$H$41+'Appendix K'!$G$41))/((1+$Y$16)^AI$34))</f>
        <v>616254.89016589639</v>
      </c>
      <c r="AJ605" s="193">
        <f>(((M605*'Appendix K'!$C$16*1000)-('Appendix K'!$E$42+'Appendix K'!$F$42+'Appendix K'!$H$42+'Appendix K'!$G$42))/((1+$Y$16)^AJ$34))</f>
        <v>424153.00972045615</v>
      </c>
      <c r="AK605" s="193">
        <f>(((N605*'Appendix K'!$C$17*1000)-('Appendix K'!$E$43+'Appendix K'!$F$43+'Appendix K'!$H$43))/((1+$Y$16)^AK$34))</f>
        <v>915050.52381960652</v>
      </c>
      <c r="AL605" s="193">
        <f>(((O605*'Appendix K'!$C$18*1000)-('Appendix K'!$E$44+'Appendix K'!$F$44+'Appendix K'!$H$44+'Appendix K'!$G$44))/((1+$Y$16)^AL$34))</f>
        <v>461636.31417163176</v>
      </c>
      <c r="AM605" s="193">
        <f>(((P605*'Appendix K'!$C$19*1000)-('Appendix K'!$E$45+'Appendix K'!$F$45+'Appendix K'!$H$45+'Appendix K'!$G$45))/((1+$Y$16)^AM$34))</f>
        <v>374119.08083952009</v>
      </c>
      <c r="AN605" s="193">
        <f>(((Q605*'Appendix K'!$C$20*1000)-('Appendix K'!$E$46+'Appendix K'!$F$46+'Appendix K'!$H$46+'Appendix K'!$G$46))/((1+$Y$16)^AN$34))</f>
        <v>343754.12252001441</v>
      </c>
      <c r="AO605" s="193">
        <f>(((R605*'Appendix K'!$C$21*1000)-('Appendix K'!$E$47+'Appendix K'!$F$47+'Appendix K'!$H$47+'Appendix K'!$G$47))/((1+$Y$16)^AO$34))</f>
        <v>533380.05445802317</v>
      </c>
      <c r="AP605" s="193">
        <f>(((S605*'Appendix K'!$C$22*1000)-('Appendix K'!$E$48+'Appendix K'!$F$48+'Appendix K'!$H$48+'Appendix K'!$G$48))/((1+$Y$16)^AP$34))</f>
        <v>337224.73855506576</v>
      </c>
      <c r="AQ605" s="193">
        <f>(((T605*'Appendix K'!$C$23*1000)-('Appendix K'!$E$49+'Appendix K'!$F$49+'Appendix K'!$H$49+'Appendix K'!$G$49))/((1+$Y$16)^AQ$34))</f>
        <v>595621.84938861465</v>
      </c>
      <c r="AR605" s="193">
        <f>(((U605*'Appendix K'!$C$24*1000)-('Appendix K'!$E$50+'Appendix K'!$F$50+'Appendix K'!$H$50+'Appendix K'!$G$50))/((1+$Y$16)^AR$34))</f>
        <v>902199.1522519287</v>
      </c>
      <c r="AS605" s="209">
        <f t="shared" si="32"/>
        <v>79819646.368560255</v>
      </c>
      <c r="AU605" s="199">
        <f t="shared" si="31"/>
        <v>6.963633943160244E-9</v>
      </c>
    </row>
    <row r="606" spans="1:47" x14ac:dyDescent="0.35">
      <c r="A606">
        <v>572</v>
      </c>
      <c r="B606" s="70">
        <v>56</v>
      </c>
      <c r="C606" s="70">
        <v>68.94326816726408</v>
      </c>
      <c r="D606" s="70">
        <v>117.48882081239061</v>
      </c>
      <c r="E606" s="70">
        <v>70.627206469489479</v>
      </c>
      <c r="F606" s="70">
        <v>64.614412908956467</v>
      </c>
      <c r="G606" s="70">
        <v>79.365876232937609</v>
      </c>
      <c r="H606" s="70">
        <v>80.905986323486147</v>
      </c>
      <c r="I606" s="70">
        <v>64.080212414491385</v>
      </c>
      <c r="J606" s="70">
        <v>53.417938585724812</v>
      </c>
      <c r="K606" s="70">
        <v>59.993916913419724</v>
      </c>
      <c r="L606" s="70">
        <v>90.445971092311581</v>
      </c>
      <c r="M606" s="70">
        <v>112.99253087514116</v>
      </c>
      <c r="N606" s="70">
        <v>103.08691686750511</v>
      </c>
      <c r="O606" s="70">
        <v>103.80781995124961</v>
      </c>
      <c r="P606" s="70">
        <v>80.432328669631801</v>
      </c>
      <c r="Q606" s="70">
        <v>60.819960743773244</v>
      </c>
      <c r="R606" s="70">
        <v>76.104030166826561</v>
      </c>
      <c r="S606" s="70">
        <v>99.878802000346312</v>
      </c>
      <c r="T606" s="70">
        <v>78.595616191183012</v>
      </c>
      <c r="U606" s="70">
        <v>86.560107159377765</v>
      </c>
      <c r="V606" s="70">
        <v>108.78122745762789</v>
      </c>
      <c r="X606" s="193">
        <f>((0-('Appendix K'!$I$30))/(1+$Y$16)^0)</f>
        <v>-33594902.4440751</v>
      </c>
      <c r="Y606" s="193">
        <f>(((B606*'Appendix K'!$C$5*1000)-('Appendix K'!$E$31+'Appendix K'!$F$31+'Appendix K'!$H$31+'Appendix K'!$G$31))/((1+$Y$16)^1))</f>
        <v>34971064.972647354</v>
      </c>
      <c r="Z606" s="193">
        <f>+(((C606*'Appendix K'!$C$6*1000)-('Appendix K'!$E$32+'Appendix K'!$F$32+'Appendix K'!$H$32+'Appendix K'!$G$32))/((1+$Y$16)^2))</f>
        <v>13929001.014434895</v>
      </c>
      <c r="AA606" s="193">
        <f>(((D606*'Appendix K'!$C$7*1000)-('Appendix K'!$E$33+'Appendix K'!$F$33+'Appendix K'!$H$33+'Appendix K'!$G$33))/((1+$Y$16)^3))</f>
        <v>12000225.491603443</v>
      </c>
      <c r="AB606" s="193">
        <f>(((E606*'Appendix K'!$C$8*1000)-('Appendix K'!$E$34+'Appendix K'!$F$34+'Appendix K'!$H$34+'Appendix K'!$G$34))/((1+$Y$16)^4))</f>
        <v>12187629.239411067</v>
      </c>
      <c r="AC606" s="193">
        <f>(((F606*'Appendix K'!$C$9*1000)-('Appendix K'!$E$35+'Appendix K'!$F$35+'Appendix K'!$H$35+'Appendix K'!$G$35))/((1+$Y$16)^AC$34))</f>
        <v>14190180.969205692</v>
      </c>
      <c r="AD606" s="193">
        <f>(((G606*'Appendix K'!$C$10*1000)-('Appendix K'!$E$36+'Appendix K'!$F$36+'Appendix K'!$H$36+'Appendix K'!$G$36))/((1+$Y$16)^AD$34))</f>
        <v>9948167.8413846083</v>
      </c>
      <c r="AE606" s="193">
        <f>(((H606*'Appendix K'!$C$11*1000)-('Appendix K'!$E$37+'Appendix K'!$F$37+'Appendix K'!$H$37+'Appendix K'!$G$37))/((1+$Y$16)^AE$34))</f>
        <v>5849430.2691910882</v>
      </c>
      <c r="AF606" s="193">
        <f>(((I606*'Appendix K'!$C$12*1000)-('Appendix K'!$E$38+'Appendix K'!$F$38+'Appendix K'!$H$38+'Appendix K'!$G$38))/((1+$Y$16)^AF$34))</f>
        <v>2211083.2616676423</v>
      </c>
      <c r="AG606" s="193">
        <f>(((J606*'Appendix K'!$C$13*1000)-('Appendix K'!$E$39+'Appendix K'!$F$39+'Appendix K'!$H$39+'Appendix K'!$G$39))/((1+$Y$16)^AG$34))</f>
        <v>643292.64236455515</v>
      </c>
      <c r="AH606" s="193">
        <f>(((K606*'Appendix K'!$C$14*1000)-('Appendix K'!$E$40+'Appendix K'!$F$40+'Appendix K'!$H$40+'Appendix K'!$G$40))/((1+$Y$16)^AH$34))</f>
        <v>389445.40958901093</v>
      </c>
      <c r="AI606" s="193">
        <f>(((L606*'Appendix K'!$C$15*1000)-('Appendix K'!$E$41+'Appendix K'!$F$41+'Appendix K'!$H$41+'Appendix K'!$G$41))/((1+$Y$16)^AI$34))</f>
        <v>853372.229082832</v>
      </c>
      <c r="AJ606" s="193">
        <f>(((M606*'Appendix K'!$C$16*1000)-('Appendix K'!$E$42+'Appendix K'!$F$42+'Appendix K'!$H$42+'Appendix K'!$G$42))/((1+$Y$16)^AJ$34))</f>
        <v>883030.31459335156</v>
      </c>
      <c r="AK606" s="193">
        <f>(((N606*'Appendix K'!$C$17*1000)-('Appendix K'!$E$43+'Appendix K'!$F$43+'Appendix K'!$H$43))/((1+$Y$16)^AK$34))</f>
        <v>579558.20410753647</v>
      </c>
      <c r="AL606" s="193">
        <f>(((O606*'Appendix K'!$C$18*1000)-('Appendix K'!$E$44+'Appendix K'!$F$44+'Appendix K'!$H$44+'Appendix K'!$G$44))/((1+$Y$16)^AL$34))</f>
        <v>95875.509883685547</v>
      </c>
      <c r="AM606" s="193">
        <f>(((P606*'Appendix K'!$C$19*1000)-('Appendix K'!$E$45+'Appendix K'!$F$45+'Appendix K'!$H$45+'Appendix K'!$G$45))/((1+$Y$16)^AM$34))</f>
        <v>-281260.2602465055</v>
      </c>
      <c r="AN606" s="193">
        <f>(((Q606*'Appendix K'!$C$20*1000)-('Appendix K'!$E$46+'Appendix K'!$F$46+'Appendix K'!$H$46+'Appendix K'!$G$46))/((1+$Y$16)^AN$34))</f>
        <v>-475602.41162778938</v>
      </c>
      <c r="AO606" s="193">
        <f>(((R606*'Appendix K'!$C$21*1000)-('Appendix K'!$E$47+'Appendix K'!$F$47+'Appendix K'!$H$47+'Appendix K'!$G$47))/((1+$Y$16)^AO$34))</f>
        <v>-393215.69911874353</v>
      </c>
      <c r="AP606" s="193">
        <f>(((S606*'Appendix K'!$C$22*1000)-('Appendix K'!$E$48+'Appendix K'!$F$48+'Appendix K'!$H$48+'Appendix K'!$G$48))/((1+$Y$16)^AP$34))</f>
        <v>-286061.80305170687</v>
      </c>
      <c r="AQ606" s="193">
        <f>(((T606*'Appendix K'!$C$23*1000)-('Appendix K'!$E$49+'Appendix K'!$F$49+'Appendix K'!$H$49+'Appendix K'!$G$49))/((1+$Y$16)^AQ$34))</f>
        <v>-385882.51073326805</v>
      </c>
      <c r="AR606" s="193">
        <f>(((U606*'Appendix K'!$C$24*1000)-('Appendix K'!$E$50+'Appendix K'!$F$50+'Appendix K'!$H$50+'Appendix K'!$G$50))/((1+$Y$16)^AR$34))</f>
        <v>-350562.89893970999</v>
      </c>
      <c r="AS606" s="209">
        <f t="shared" si="32"/>
        <v>75136454.925091654</v>
      </c>
      <c r="AU606" s="199">
        <f t="shared" si="31"/>
        <v>6.8617220469238696E-9</v>
      </c>
    </row>
    <row r="607" spans="1:47" x14ac:dyDescent="0.35">
      <c r="A607">
        <v>573</v>
      </c>
      <c r="B607" s="70">
        <v>56</v>
      </c>
      <c r="C607" s="70">
        <v>69.617554898731882</v>
      </c>
      <c r="D607" s="70">
        <v>58.666101376777526</v>
      </c>
      <c r="E607" s="70">
        <v>92.766067283644986</v>
      </c>
      <c r="F607" s="70">
        <v>108.17947992223327</v>
      </c>
      <c r="G607" s="70">
        <v>111.48797833922174</v>
      </c>
      <c r="H607" s="70">
        <v>93.584283127700701</v>
      </c>
      <c r="I607" s="70">
        <v>76.160842785167802</v>
      </c>
      <c r="J607" s="70">
        <v>100.65141958871067</v>
      </c>
      <c r="K607" s="70">
        <v>134.77184187940475</v>
      </c>
      <c r="L607" s="70">
        <v>132.38372856803403</v>
      </c>
      <c r="M607" s="70">
        <v>168.06413210679278</v>
      </c>
      <c r="N607" s="70">
        <v>204.78813101131686</v>
      </c>
      <c r="O607" s="70">
        <v>246.61736637805157</v>
      </c>
      <c r="P607" s="70">
        <v>317.65684802323005</v>
      </c>
      <c r="Q607" s="70">
        <v>364.8553027340111</v>
      </c>
      <c r="R607" s="70">
        <v>488.0732408891306</v>
      </c>
      <c r="S607" s="70">
        <v>459.76788738702624</v>
      </c>
      <c r="T607" s="70">
        <v>500</v>
      </c>
      <c r="U607" s="70">
        <v>500</v>
      </c>
      <c r="V607" s="70">
        <v>466.22058852583655</v>
      </c>
      <c r="X607" s="193">
        <f>((0-('Appendix K'!$I$30))/(1+$Y$16)^0)</f>
        <v>-33594902.4440751</v>
      </c>
      <c r="Y607" s="193">
        <f>(((B607*'Appendix K'!$C$5*1000)-('Appendix K'!$E$31+'Appendix K'!$F$31+'Appendix K'!$H$31+'Appendix K'!$G$31))/((1+$Y$16)^1))</f>
        <v>34971064.972647354</v>
      </c>
      <c r="Z607" s="193">
        <f>+(((C607*'Appendix K'!$C$6*1000)-('Appendix K'!$E$32+'Appendix K'!$F$32+'Appendix K'!$H$32+'Appendix K'!$G$32))/((1+$Y$16)^2))</f>
        <v>14099337.375213299</v>
      </c>
      <c r="AA607" s="193">
        <f>(((D607*'Appendix K'!$C$7*1000)-('Appendix K'!$E$33+'Appendix K'!$F$33+'Appendix K'!$H$33+'Appendix K'!$G$33))/((1+$Y$16)^3))</f>
        <v>4507689.1117144832</v>
      </c>
      <c r="AB607" s="193">
        <f>(((E607*'Appendix K'!$C$8*1000)-('Appendix K'!$E$34+'Appendix K'!$F$34+'Appendix K'!$H$34+'Appendix K'!$G$34))/((1+$Y$16)^4))</f>
        <v>17040264.868109465</v>
      </c>
      <c r="AC607" s="193">
        <f>(((F607*'Appendix K'!$C$9*1000)-('Appendix K'!$E$35+'Appendix K'!$F$35+'Appendix K'!$H$35+'Appendix K'!$G$35))/((1+$Y$16)^AC$34))</f>
        <v>25769707.371903382</v>
      </c>
      <c r="AD607" s="193">
        <f>(((G607*'Appendix K'!$C$10*1000)-('Appendix K'!$E$36+'Appendix K'!$F$36+'Appendix K'!$H$36+'Appendix K'!$G$36))/((1+$Y$16)^AD$34))</f>
        <v>14992749.687166115</v>
      </c>
      <c r="AE607" s="193">
        <f>(((H607*'Appendix K'!$C$11*1000)-('Appendix K'!$E$37+'Appendix K'!$F$37+'Appendix K'!$H$37+'Appendix K'!$G$37))/((1+$Y$16)^AE$34))</f>
        <v>7113933.5301286085</v>
      </c>
      <c r="AF607" s="193">
        <f>(((I607*'Appendix K'!$C$12*1000)-('Appendix K'!$E$38+'Appendix K'!$F$38+'Appendix K'!$H$38+'Appendix K'!$G$38))/((1+$Y$16)^AF$34))</f>
        <v>3004326.7719677761</v>
      </c>
      <c r="AG607" s="193">
        <f>(((J607*'Appendix K'!$C$13*1000)-('Appendix K'!$E$39+'Appendix K'!$F$39+'Appendix K'!$H$39+'Appendix K'!$G$39))/((1+$Y$16)^AG$34))</f>
        <v>2816927.0192996645</v>
      </c>
      <c r="AH607" s="193">
        <f>(((K607*'Appendix K'!$C$14*1000)-('Appendix K'!$E$40+'Appendix K'!$F$40+'Appendix K'!$H$40+'Appendix K'!$G$40))/((1+$Y$16)^AH$34))</f>
        <v>2909949.5382247488</v>
      </c>
      <c r="AI607" s="193">
        <f>(((L607*'Appendix K'!$C$15*1000)-('Appendix K'!$E$41+'Appendix K'!$F$41+'Appendix K'!$H$41+'Appendix K'!$G$41))/((1+$Y$16)^AI$34))</f>
        <v>1952219.8989377928</v>
      </c>
      <c r="AJ607" s="193">
        <f>(((M607*'Appendix K'!$C$16*1000)-('Appendix K'!$E$42+'Appendix K'!$F$42+'Appendix K'!$H$42+'Appendix K'!$G$42))/((1+$Y$16)^AJ$34))</f>
        <v>1986768.0207407023</v>
      </c>
      <c r="AK607" s="193">
        <f>(((N607*'Appendix K'!$C$17*1000)-('Appendix K'!$E$43+'Appendix K'!$F$43+'Appendix K'!$H$43))/((1+$Y$16)^AK$34))</f>
        <v>2142085.2300374191</v>
      </c>
      <c r="AL607" s="193">
        <f>(((O607*'Appendix K'!$C$18*1000)-('Appendix K'!$E$44+'Appendix K'!$F$44+'Appendix K'!$H$44+'Appendix K'!$G$44))/((1+$Y$16)^AL$34))</f>
        <v>1788639.0856932243</v>
      </c>
      <c r="AM607" s="193">
        <f>(((P607*'Appendix K'!$C$19*1000)-('Appendix K'!$E$45+'Appendix K'!$F$45+'Appendix K'!$H$45+'Appendix K'!$G$45))/((1+$Y$16)^AM$34))</f>
        <v>1917510.1841927767</v>
      </c>
      <c r="AN607" s="193">
        <f>(((Q607*'Appendix K'!$C$20*1000)-('Appendix K'!$E$46+'Appendix K'!$F$46+'Appendix K'!$H$46+'Appendix K'!$G$46))/((1+$Y$16)^AN$34))</f>
        <v>1724463.2655079693</v>
      </c>
      <c r="AO607" s="193">
        <f>(((R607*'Appendix K'!$C$21*1000)-('Appendix K'!$E$47+'Appendix K'!$F$47+'Appendix K'!$H$47+'Appendix K'!$G$47))/((1+$Y$16)^AO$34))</f>
        <v>2041567.85062505</v>
      </c>
      <c r="AP607" s="193">
        <f>(((S607*'Appendix K'!$C$22*1000)-('Appendix K'!$E$48+'Appendix K'!$F$48+'Appendix K'!$H$48+'Appendix K'!$G$48))/((1+$Y$16)^AP$34))</f>
        <v>1437705.9100861039</v>
      </c>
      <c r="AQ607" s="193">
        <f>(((T607*'Appendix K'!$C$23*1000)-('Appendix K'!$E$49+'Appendix K'!$F$49+'Appendix K'!$H$49+'Appendix K'!$G$49))/((1+$Y$16)^AQ$34))</f>
        <v>1263386.3652054211</v>
      </c>
      <c r="AR607" s="193">
        <f>(((U607*'Appendix K'!$C$24*1000)-('Appendix K'!$E$50+'Appendix K'!$F$50+'Appendix K'!$H$50+'Appendix K'!$G$50))/((1+$Y$16)^AR$34))</f>
        <v>980725.14012097823</v>
      </c>
      <c r="AS607" s="209">
        <f t="shared" si="32"/>
        <v>110866118.75344718</v>
      </c>
      <c r="AU607" s="199">
        <f t="shared" si="31"/>
        <v>6.463860584158307E-9</v>
      </c>
    </row>
    <row r="608" spans="1:47" x14ac:dyDescent="0.35">
      <c r="A608">
        <v>574</v>
      </c>
      <c r="B608" s="70">
        <v>56</v>
      </c>
      <c r="C608" s="70">
        <v>69.83304140439509</v>
      </c>
      <c r="D608" s="70">
        <v>22.474890540980553</v>
      </c>
      <c r="E608" s="70">
        <v>27.395068507160502</v>
      </c>
      <c r="F608" s="70">
        <v>37.702865884534418</v>
      </c>
      <c r="G608" s="70">
        <v>37.940095123055883</v>
      </c>
      <c r="H608" s="70">
        <v>82.530269496357903</v>
      </c>
      <c r="I608" s="70">
        <v>55.116304255371389</v>
      </c>
      <c r="J608" s="70">
        <v>46.110916656918043</v>
      </c>
      <c r="K608" s="70">
        <v>49.026755228109877</v>
      </c>
      <c r="L608" s="70">
        <v>34.546491441865314</v>
      </c>
      <c r="M608" s="70">
        <v>38.34930321961015</v>
      </c>
      <c r="N608" s="70">
        <v>44.753730022220914</v>
      </c>
      <c r="O608" s="70">
        <v>63.931302021975675</v>
      </c>
      <c r="P608" s="70">
        <v>87.850258315678602</v>
      </c>
      <c r="Q608" s="70">
        <v>141.33282143764171</v>
      </c>
      <c r="R608" s="70">
        <v>83.714870239968121</v>
      </c>
      <c r="S608" s="70">
        <v>132.37262248024746</v>
      </c>
      <c r="T608" s="70">
        <v>153.12424392629336</v>
      </c>
      <c r="U608" s="70">
        <v>120.76711885886326</v>
      </c>
      <c r="V608" s="70">
        <v>154.23678724787308</v>
      </c>
      <c r="X608" s="193">
        <f>((0-('Appendix K'!$I$30))/(1+$Y$16)^0)</f>
        <v>-33594902.4440751</v>
      </c>
      <c r="Y608" s="193">
        <f>(((B608*'Appendix K'!$C$5*1000)-('Appendix K'!$E$31+'Appendix K'!$F$31+'Appendix K'!$H$31+'Appendix K'!$G$31))/((1+$Y$16)^1))</f>
        <v>34971064.972647354</v>
      </c>
      <c r="Z608" s="193">
        <f>+(((C608*'Appendix K'!$C$6*1000)-('Appendix K'!$E$32+'Appendix K'!$F$32+'Appendix K'!$H$32+'Appendix K'!$G$32))/((1+$Y$16)^2))</f>
        <v>14153772.952036271</v>
      </c>
      <c r="AA608" s="193">
        <f>(((D608*'Appendix K'!$C$7*1000)-('Appendix K'!$E$33+'Appendix K'!$F$33+'Appendix K'!$H$33+'Appendix K'!$G$33))/((1+$Y$16)^3))</f>
        <v>-102161.74899341688</v>
      </c>
      <c r="AB608" s="193">
        <f>(((E608*'Appendix K'!$C$8*1000)-('Appendix K'!$E$34+'Appendix K'!$F$34+'Appendix K'!$H$34+'Appendix K'!$G$34))/((1+$Y$16)^4))</f>
        <v>2711540.3502003187</v>
      </c>
      <c r="AC608" s="193">
        <f>(((F608*'Appendix K'!$C$9*1000)-('Appendix K'!$E$35+'Appendix K'!$F$35+'Appendix K'!$H$35+'Appendix K'!$G$35))/((1+$Y$16)^AC$34))</f>
        <v>7037134.0288264649</v>
      </c>
      <c r="AD608" s="193">
        <f>(((G608*'Appendix K'!$C$10*1000)-('Appendix K'!$E$36+'Appendix K'!$F$36+'Appendix K'!$H$36+'Appendix K'!$G$36))/((1+$Y$16)^AD$34))</f>
        <v>3442499.481238734</v>
      </c>
      <c r="AE608" s="193">
        <f>(((H608*'Appendix K'!$C$11*1000)-('Appendix K'!$E$37+'Appendix K'!$F$37+'Appendix K'!$H$37+'Appendix K'!$G$37))/((1+$Y$16)^AE$34))</f>
        <v>6011432.4214123171</v>
      </c>
      <c r="AF608" s="193">
        <f>(((I608*'Appendix K'!$C$12*1000)-('Appendix K'!$E$38+'Appendix K'!$F$38+'Appendix K'!$H$38+'Appendix K'!$G$38))/((1+$Y$16)^AF$34))</f>
        <v>1622491.2961847843</v>
      </c>
      <c r="AG608" s="193">
        <f>(((J608*'Appendix K'!$C$13*1000)-('Appendix K'!$E$39+'Appendix K'!$F$39+'Appendix K'!$H$39+'Appendix K'!$G$39))/((1+$Y$16)^AG$34))</f>
        <v>307031.29299525794</v>
      </c>
      <c r="AH608" s="193">
        <f>(((K608*'Appendix K'!$C$14*1000)-('Appendix K'!$E$40+'Appendix K'!$F$40+'Appendix K'!$H$40+'Appendix K'!$G$40))/((1+$Y$16)^AH$34))</f>
        <v>19780.480804034662</v>
      </c>
      <c r="AI608" s="193">
        <f>(((L608*'Appendix K'!$C$15*1000)-('Appendix K'!$E$41+'Appendix K'!$F$41+'Appendix K'!$H$41+'Appendix K'!$G$41))/((1+$Y$16)^AI$34))</f>
        <v>-611298.67029838334</v>
      </c>
      <c r="AJ608" s="193">
        <f>(((M608*'Appendix K'!$C$16*1000)-('Appendix K'!$E$42+'Appendix K'!$F$42+'Appendix K'!$H$42+'Appendix K'!$G$42))/((1+$Y$16)^AJ$34))</f>
        <v>-612959.32488347893</v>
      </c>
      <c r="AK608" s="193">
        <f>(((N608*'Appendix K'!$C$17*1000)-('Appendix K'!$E$43+'Appendix K'!$F$43+'Appendix K'!$H$43))/((1+$Y$16)^AK$34))</f>
        <v>-316666.89725149336</v>
      </c>
      <c r="AL608" s="193">
        <f>(((O608*'Appendix K'!$C$18*1000)-('Appendix K'!$E$44+'Appendix K'!$F$44+'Appendix K'!$H$44+'Appendix K'!$G$44))/((1+$Y$16)^AL$34))</f>
        <v>-376792.5908821781</v>
      </c>
      <c r="AM608" s="193">
        <f>(((P608*'Appendix K'!$C$19*1000)-('Appendix K'!$E$45+'Appendix K'!$F$45+'Appendix K'!$H$45+'Appendix K'!$G$45))/((1+$Y$16)^AM$34))</f>
        <v>-212505.45990334998</v>
      </c>
      <c r="AN608" s="193">
        <f>(((Q608*'Appendix K'!$C$20*1000)-('Appendix K'!$E$46+'Appendix K'!$F$46+'Appendix K'!$H$46+'Appendix K'!$G$46))/((1+$Y$16)^AN$34))</f>
        <v>107006.11085865316</v>
      </c>
      <c r="AO608" s="193">
        <f>(((R608*'Appendix K'!$C$21*1000)-('Appendix K'!$E$47+'Appendix K'!$F$47+'Appendix K'!$H$47+'Appendix K'!$G$47))/((1+$Y$16)^AO$34))</f>
        <v>-348234.7934405593</v>
      </c>
      <c r="AP608" s="193">
        <f>(((S608*'Appendix K'!$C$22*1000)-('Appendix K'!$E$48+'Appendix K'!$F$48+'Appendix K'!$H$48+'Appendix K'!$G$48))/((1+$Y$16)^AP$34))</f>
        <v>-130425.5226138927</v>
      </c>
      <c r="AQ608" s="193">
        <f>(((T608*'Appendix K'!$C$23*1000)-('Appendix K'!$E$49+'Appendix K'!$F$49+'Appendix K'!$H$49+'Appendix K'!$G$49))/((1+$Y$16)^AQ$34))</f>
        <v>-94196.541596070208</v>
      </c>
      <c r="AR608" s="193">
        <f>(((U608*'Appendix K'!$C$24*1000)-('Appendix K'!$E$50+'Appendix K'!$F$50+'Appendix K'!$H$50+'Appendix K'!$G$50))/((1+$Y$16)^AR$34))</f>
        <v>-240415.36282594383</v>
      </c>
      <c r="AS608" s="209">
        <f t="shared" si="32"/>
        <v>36788850.943129085</v>
      </c>
      <c r="AU608" s="199">
        <f t="shared" si="31"/>
        <v>4.7070520981771136E-9</v>
      </c>
    </row>
    <row r="609" spans="1:47" x14ac:dyDescent="0.35">
      <c r="A609">
        <v>575</v>
      </c>
      <c r="B609" s="70">
        <v>56</v>
      </c>
      <c r="C609" s="70">
        <v>56.538656859831875</v>
      </c>
      <c r="D609" s="70">
        <v>55.200064098018693</v>
      </c>
      <c r="E609" s="70">
        <v>51.142628322981629</v>
      </c>
      <c r="F609" s="70">
        <v>46.428253706878841</v>
      </c>
      <c r="G609" s="70">
        <v>46.816714725159628</v>
      </c>
      <c r="H609" s="70">
        <v>34.893460973856065</v>
      </c>
      <c r="I609" s="70">
        <v>28.411852863016097</v>
      </c>
      <c r="J609" s="70">
        <v>22.798125587041696</v>
      </c>
      <c r="K609" s="70">
        <v>17.666312315032858</v>
      </c>
      <c r="L609" s="70">
        <v>10.553757611438179</v>
      </c>
      <c r="M609" s="70">
        <v>17.92224008160553</v>
      </c>
      <c r="N609" s="70">
        <v>10.011230009711223</v>
      </c>
      <c r="O609" s="70">
        <v>9.3753706840061213</v>
      </c>
      <c r="P609" s="70">
        <v>9.0280271534722534</v>
      </c>
      <c r="Q609" s="70">
        <v>13.030321096637941</v>
      </c>
      <c r="R609" s="70">
        <v>14.694989885788212</v>
      </c>
      <c r="S609" s="70">
        <v>14.619821100194811</v>
      </c>
      <c r="T609" s="70">
        <v>13.237429702374872</v>
      </c>
      <c r="U609" s="70">
        <v>10.728652710372398</v>
      </c>
      <c r="V609" s="70">
        <v>15.01279131302255</v>
      </c>
      <c r="X609" s="193">
        <f>((0-('Appendix K'!$I$30))/(1+$Y$16)^0)</f>
        <v>-33594902.4440751</v>
      </c>
      <c r="Y609" s="193">
        <f>(((B609*'Appendix K'!$C$5*1000)-('Appendix K'!$E$31+'Appendix K'!$F$31+'Appendix K'!$H$31+'Appendix K'!$G$31))/((1+$Y$16)^1))</f>
        <v>34971064.972647354</v>
      </c>
      <c r="Z609" s="193">
        <f>+(((C609*'Appendix K'!$C$6*1000)-('Appendix K'!$E$32+'Appendix K'!$F$32+'Appendix K'!$H$32+'Appendix K'!$G$32))/((1+$Y$16)^2))</f>
        <v>10795384.040571092</v>
      </c>
      <c r="AA609" s="193">
        <f>(((D609*'Appendix K'!$C$7*1000)-('Appendix K'!$E$33+'Appendix K'!$F$33+'Appendix K'!$H$33+'Appendix K'!$G$33))/((1+$Y$16)^3))</f>
        <v>4066203.0557428971</v>
      </c>
      <c r="AB609" s="193">
        <f>(((E609*'Appendix K'!$C$8*1000)-('Appendix K'!$E$34+'Appendix K'!$F$34+'Appendix K'!$H$34+'Appendix K'!$G$34))/((1+$Y$16)^4))</f>
        <v>7916788.0738418652</v>
      </c>
      <c r="AC609" s="193">
        <f>(((F609*'Appendix K'!$C$9*1000)-('Appendix K'!$E$35+'Appendix K'!$F$35+'Appendix K'!$H$35+'Appendix K'!$G$35))/((1+$Y$16)^AC$34))</f>
        <v>9356328.4106880296</v>
      </c>
      <c r="AD609" s="193">
        <f>(((G609*'Appendix K'!$C$10*1000)-('Appendix K'!$E$36+'Appendix K'!$F$36+'Appendix K'!$H$36+'Appendix K'!$G$36))/((1+$Y$16)^AD$34))</f>
        <v>4836518.8996603135</v>
      </c>
      <c r="AE609" s="193">
        <f>(((H609*'Appendix K'!$C$11*1000)-('Appendix K'!$E$37+'Appendix K'!$F$37+'Appendix K'!$H$37+'Appendix K'!$G$37))/((1+$Y$16)^AE$34))</f>
        <v>1260250.0940404115</v>
      </c>
      <c r="AF609" s="193">
        <f>(((I609*'Appendix K'!$C$12*1000)-('Appendix K'!$E$38+'Appendix K'!$F$38+'Appendix K'!$H$38+'Appendix K'!$G$38))/((1+$Y$16)^AF$34))</f>
        <v>-130987.7949832953</v>
      </c>
      <c r="AG609" s="193">
        <f>(((J609*'Appendix K'!$C$13*1000)-('Appendix K'!$E$39+'Appendix K'!$F$39+'Appendix K'!$H$39+'Appendix K'!$G$39))/((1+$Y$16)^AG$34))</f>
        <v>-765798.4670765386</v>
      </c>
      <c r="AH609" s="193">
        <f>(((K609*'Appendix K'!$C$14*1000)-('Appendix K'!$E$40+'Appendix K'!$F$40+'Appendix K'!$H$40+'Appendix K'!$G$40))/((1+$Y$16)^AH$34))</f>
        <v>-1037271.1273304722</v>
      </c>
      <c r="AI609" s="193">
        <f>(((L609*'Appendix K'!$C$15*1000)-('Appendix K'!$E$41+'Appendix K'!$F$41+'Appendix K'!$H$41+'Appendix K'!$G$41))/((1+$Y$16)^AI$34))</f>
        <v>-1239953.1632878415</v>
      </c>
      <c r="AJ609" s="193">
        <f>(((M609*'Appendix K'!$C$16*1000)-('Appendix K'!$E$42+'Appendix K'!$F$42+'Appendix K'!$H$42+'Appendix K'!$G$42))/((1+$Y$16)^AJ$34))</f>
        <v>-1022355.8070455096</v>
      </c>
      <c r="AK609" s="193">
        <f>(((N609*'Appendix K'!$C$17*1000)-('Appendix K'!$E$43+'Appendix K'!$F$43+'Appendix K'!$H$43))/((1+$Y$16)^AK$34))</f>
        <v>-850447.10503890296</v>
      </c>
      <c r="AL609" s="193">
        <f>(((O609*'Appendix K'!$C$18*1000)-('Appendix K'!$E$44+'Appendix K'!$F$44+'Appendix K'!$H$44+'Appendix K'!$G$44))/((1+$Y$16)^AL$34))</f>
        <v>-1023460.0982299155</v>
      </c>
      <c r="AM609" s="193">
        <f>(((P609*'Appendix K'!$C$19*1000)-('Appendix K'!$E$45+'Appendix K'!$F$45+'Appendix K'!$H$45+'Appendix K'!$G$45))/((1+$Y$16)^AM$34))</f>
        <v>-943087.57981435175</v>
      </c>
      <c r="AN609" s="193">
        <f>(((Q609*'Appendix K'!$C$20*1000)-('Appendix K'!$E$46+'Appendix K'!$F$46+'Appendix K'!$H$46+'Appendix K'!$G$46))/((1+$Y$16)^AN$34))</f>
        <v>-821418.60925169766</v>
      </c>
      <c r="AO609" s="193">
        <f>(((R609*'Appendix K'!$C$21*1000)-('Appendix K'!$E$47+'Appendix K'!$F$47+'Appendix K'!$H$47+'Appendix K'!$G$47))/((1+$Y$16)^AO$34))</f>
        <v>-756149.91165292123</v>
      </c>
      <c r="AP609" s="193">
        <f>(((S609*'Appendix K'!$C$22*1000)-('Appendix K'!$E$48+'Appendix K'!$F$48+'Appendix K'!$H$48+'Appendix K'!$G$48))/((1+$Y$16)^AP$34))</f>
        <v>-694428.39292149199</v>
      </c>
      <c r="AQ609" s="193">
        <f>(((T609*'Appendix K'!$C$23*1000)-('Appendix K'!$E$49+'Appendix K'!$F$49+'Appendix K'!$H$49+'Appendix K'!$G$49))/((1+$Y$16)^AQ$34))</f>
        <v>-641677.72052560735</v>
      </c>
      <c r="AR609" s="193">
        <f>(((U609*'Appendix K'!$C$24*1000)-('Appendix K'!$E$50+'Appendix K'!$F$50+'Appendix K'!$H$50+'Appendix K'!$G$50))/((1+$Y$16)^AR$34))</f>
        <v>-594742.30697630474</v>
      </c>
      <c r="AS609" s="209">
        <f t="shared" si="32"/>
        <v>39607635.103116862</v>
      </c>
      <c r="AU609" s="199">
        <f t="shared" si="31"/>
        <v>4.9151074931071611E-9</v>
      </c>
    </row>
    <row r="610" spans="1:47" x14ac:dyDescent="0.35">
      <c r="A610">
        <v>576</v>
      </c>
      <c r="B610" s="70">
        <v>56</v>
      </c>
      <c r="C610" s="70">
        <v>75.258018489744885</v>
      </c>
      <c r="D610" s="70">
        <v>74.04133059181919</v>
      </c>
      <c r="E610" s="70">
        <v>103.90831221997645</v>
      </c>
      <c r="F610" s="70">
        <v>151.77629643920787</v>
      </c>
      <c r="G610" s="70">
        <v>248.61200225513142</v>
      </c>
      <c r="H610" s="70">
        <v>229.27271361425676</v>
      </c>
      <c r="I610" s="70">
        <v>278.7592127927395</v>
      </c>
      <c r="J610" s="70">
        <v>363.01580602446126</v>
      </c>
      <c r="K610" s="70">
        <v>439.34594470708595</v>
      </c>
      <c r="L610" s="70">
        <v>252.80836834355225</v>
      </c>
      <c r="M610" s="70">
        <v>318.26790730495452</v>
      </c>
      <c r="N610" s="70">
        <v>411.49801516133238</v>
      </c>
      <c r="O610" s="70">
        <v>262.82929065084181</v>
      </c>
      <c r="P610" s="70">
        <v>296.94345191671465</v>
      </c>
      <c r="Q610" s="70">
        <v>324.97315629892296</v>
      </c>
      <c r="R610" s="70">
        <v>315.44732293608581</v>
      </c>
      <c r="S610" s="70">
        <v>500</v>
      </c>
      <c r="T610" s="70">
        <v>500</v>
      </c>
      <c r="U610" s="70">
        <v>385.18529708198031</v>
      </c>
      <c r="V610" s="70">
        <v>327.18192980752485</v>
      </c>
      <c r="X610" s="193">
        <f>((0-('Appendix K'!$I$30))/(1+$Y$16)^0)</f>
        <v>-33594902.4440751</v>
      </c>
      <c r="Y610" s="193">
        <f>(((B610*'Appendix K'!$C$5*1000)-('Appendix K'!$E$31+'Appendix K'!$F$31+'Appendix K'!$H$31+'Appendix K'!$G$31))/((1+$Y$16)^1))</f>
        <v>34971064.972647354</v>
      </c>
      <c r="Z610" s="193">
        <f>+(((C610*'Appendix K'!$C$6*1000)-('Appendix K'!$E$32+'Appendix K'!$F$32+'Appendix K'!$H$32+'Appendix K'!$G$32))/((1+$Y$16)^2))</f>
        <v>15524214.947851883</v>
      </c>
      <c r="AA610" s="193">
        <f>(((D610*'Appendix K'!$C$7*1000)-('Appendix K'!$E$33+'Appendix K'!$F$33+'Appendix K'!$H$33+'Appendix K'!$G$33))/((1+$Y$16)^3))</f>
        <v>6466106.970462542</v>
      </c>
      <c r="AB610" s="193">
        <f>(((E610*'Appendix K'!$C$8*1000)-('Appendix K'!$E$34+'Appendix K'!$F$34+'Appendix K'!$H$34+'Appendix K'!$G$34))/((1+$Y$16)^4))</f>
        <v>19482542.960718222</v>
      </c>
      <c r="AC610" s="193">
        <f>(((F610*'Appendix K'!$C$9*1000)-('Appendix K'!$E$35+'Appendix K'!$F$35+'Appendix K'!$H$35+'Appendix K'!$G$35))/((1+$Y$16)^AC$34))</f>
        <v>37357672.74282828</v>
      </c>
      <c r="AD610" s="193">
        <f>(((G610*'Appendix K'!$C$10*1000)-('Appendix K'!$E$36+'Appendix K'!$F$36+'Appendix K'!$H$36+'Appendix K'!$G$36))/((1+$Y$16)^AD$34))</f>
        <v>36527248.250738688</v>
      </c>
      <c r="AE610" s="193">
        <f>(((H610*'Appendix K'!$C$11*1000)-('Appendix K'!$E$37+'Appendix K'!$F$37+'Appendix K'!$H$37+'Appendix K'!$G$37))/((1+$Y$16)^AE$34))</f>
        <v>20647175.847401682</v>
      </c>
      <c r="AF610" s="193">
        <f>(((I610*'Appendix K'!$C$12*1000)-('Appendix K'!$E$38+'Appendix K'!$F$38+'Appendix K'!$H$38+'Appendix K'!$G$38))/((1+$Y$16)^AF$34))</f>
        <v>16307427.460818077</v>
      </c>
      <c r="AG610" s="193">
        <f>(((J610*'Appendix K'!$C$13*1000)-('Appendix K'!$E$39+'Appendix K'!$F$39+'Appendix K'!$H$39+'Appendix K'!$G$39))/((1+$Y$16)^AG$34))</f>
        <v>14890656.025302522</v>
      </c>
      <c r="AH610" s="193">
        <f>(((K610*'Appendix K'!$C$14*1000)-('Appendix K'!$E$40+'Appendix K'!$F$40+'Appendix K'!$H$40+'Appendix K'!$G$40))/((1+$Y$16)^AH$34))</f>
        <v>13176084.684417939</v>
      </c>
      <c r="AI610" s="193">
        <f>(((L610*'Appendix K'!$C$15*1000)-('Appendix K'!$E$41+'Appendix K'!$F$41+'Appendix K'!$H$41+'Appendix K'!$G$41))/((1+$Y$16)^AI$34))</f>
        <v>5107570.6562369997</v>
      </c>
      <c r="AJ610" s="193">
        <f>(((M610*'Appendix K'!$C$16*1000)-('Appendix K'!$E$42+'Appendix K'!$F$42+'Appendix K'!$H$42+'Appendix K'!$G$42))/((1+$Y$16)^AJ$34))</f>
        <v>4997132.1028478416</v>
      </c>
      <c r="AK610" s="193">
        <f>(((N610*'Appendix K'!$C$17*1000)-('Appendix K'!$E$43+'Appendix K'!$F$43+'Appendix K'!$H$43))/((1+$Y$16)^AK$34))</f>
        <v>5317954.694629129</v>
      </c>
      <c r="AL610" s="193">
        <f>(((O610*'Appendix K'!$C$18*1000)-('Appendix K'!$E$44+'Appendix K'!$F$44+'Appendix K'!$H$44+'Appendix K'!$G$44))/((1+$Y$16)^AL$34))</f>
        <v>1980803.7944917916</v>
      </c>
      <c r="AM610" s="193">
        <f>(((P610*'Appendix K'!$C$19*1000)-('Appendix K'!$E$45+'Appendix K'!$F$45+'Appendix K'!$H$45+'Appendix K'!$G$45))/((1+$Y$16)^AM$34))</f>
        <v>1725523.2711743817</v>
      </c>
      <c r="AN610" s="193">
        <f>(((Q610*'Appendix K'!$C$20*1000)-('Appendix K'!$E$46+'Appendix K'!$F$46+'Appendix K'!$H$46+'Appendix K'!$G$46))/((1+$Y$16)^AN$34))</f>
        <v>1435867.4038296356</v>
      </c>
      <c r="AO610" s="193">
        <f>(((R610*'Appendix K'!$C$21*1000)-('Appendix K'!$E$47+'Appendix K'!$F$47+'Appendix K'!$H$47+'Appendix K'!$G$47))/((1+$Y$16)^AO$34))</f>
        <v>1021329.6038041943</v>
      </c>
      <c r="AP610" s="193">
        <f>(((S610*'Appendix K'!$C$22*1000)-('Appendix K'!$E$48+'Appendix K'!$F$48+'Appendix K'!$H$48+'Appendix K'!$G$48))/((1+$Y$16)^AP$34))</f>
        <v>1630406.4380253027</v>
      </c>
      <c r="AQ610" s="193">
        <f>(((T610*'Appendix K'!$C$23*1000)-('Appendix K'!$E$49+'Appendix K'!$F$49+'Appendix K'!$H$49+'Appendix K'!$G$49))/((1+$Y$16)^AQ$34))</f>
        <v>1263386.3652054211</v>
      </c>
      <c r="AR610" s="193">
        <f>(((U610*'Appendix K'!$C$24*1000)-('Appendix K'!$E$50+'Appendix K'!$F$50+'Appendix K'!$H$50+'Appendix K'!$G$50))/((1+$Y$16)^AR$34))</f>
        <v>611018.57974803215</v>
      </c>
      <c r="AS610" s="209">
        <f t="shared" si="32"/>
        <v>206846285.32910481</v>
      </c>
      <c r="AU610" s="199">
        <f t="shared" si="31"/>
        <v>7.7354148780484951E-10</v>
      </c>
    </row>
    <row r="611" spans="1:47" x14ac:dyDescent="0.35">
      <c r="A611">
        <v>577</v>
      </c>
      <c r="B611" s="70">
        <v>56</v>
      </c>
      <c r="C611" s="70">
        <v>46.402646832398091</v>
      </c>
      <c r="D611" s="70">
        <v>43.842345348388854</v>
      </c>
      <c r="E611" s="70">
        <v>74.861823018654235</v>
      </c>
      <c r="F611" s="70">
        <v>71.943620101764324</v>
      </c>
      <c r="G611" s="70">
        <v>68.820144184996423</v>
      </c>
      <c r="H611" s="70">
        <v>79.563352990506516</v>
      </c>
      <c r="I611" s="70">
        <v>99.62781271175831</v>
      </c>
      <c r="J611" s="70">
        <v>128.11254517030974</v>
      </c>
      <c r="K611" s="70">
        <v>103.84281292868023</v>
      </c>
      <c r="L611" s="70">
        <v>104.24523095465165</v>
      </c>
      <c r="M611" s="70">
        <v>98.68206794273604</v>
      </c>
      <c r="N611" s="70">
        <v>102.32640858898687</v>
      </c>
      <c r="O611" s="70">
        <v>60.177710809075549</v>
      </c>
      <c r="P611" s="70">
        <v>52.646574840503177</v>
      </c>
      <c r="Q611" s="70">
        <v>66.156409307207781</v>
      </c>
      <c r="R611" s="70">
        <v>94.689025513696095</v>
      </c>
      <c r="S611" s="70">
        <v>39.366917946580379</v>
      </c>
      <c r="T611" s="70">
        <v>26.476685753068935</v>
      </c>
      <c r="U611" s="70">
        <v>23.023345961741182</v>
      </c>
      <c r="V611" s="70">
        <v>25.527047675030918</v>
      </c>
      <c r="X611" s="193">
        <f>((0-('Appendix K'!$I$30))/(1+$Y$16)^0)</f>
        <v>-33594902.4440751</v>
      </c>
      <c r="Y611" s="193">
        <f>(((B611*'Appendix K'!$C$5*1000)-('Appendix K'!$E$31+'Appendix K'!$F$31+'Appendix K'!$H$31+'Appendix K'!$G$31))/((1+$Y$16)^1))</f>
        <v>34971064.972647354</v>
      </c>
      <c r="Z611" s="193">
        <f>+(((C611*'Appendix K'!$C$6*1000)-('Appendix K'!$E$32+'Appendix K'!$F$32+'Appendix K'!$H$32+'Appendix K'!$G$32))/((1+$Y$16)^2))</f>
        <v>8234854.5502040833</v>
      </c>
      <c r="AA611" s="193">
        <f>(((D611*'Appendix K'!$C$7*1000)-('Appendix K'!$E$33+'Appendix K'!$F$33+'Appendix K'!$H$33+'Appendix K'!$G$33))/((1+$Y$16)^3))</f>
        <v>2619515.0797254639</v>
      </c>
      <c r="AB611" s="193">
        <f>(((E611*'Appendix K'!$C$8*1000)-('Appendix K'!$E$34+'Appendix K'!$F$34+'Appendix K'!$H$34+'Appendix K'!$G$34))/((1+$Y$16)^4))</f>
        <v>13115818.42280454</v>
      </c>
      <c r="AC611" s="193">
        <f>(((F611*'Appendix K'!$C$9*1000)-('Appendix K'!$E$35+'Appendix K'!$F$35+'Appendix K'!$H$35+'Appendix K'!$G$35))/((1+$Y$16)^AC$34))</f>
        <v>16138272.732133452</v>
      </c>
      <c r="AD611" s="193">
        <f>(((G611*'Appendix K'!$C$10*1000)-('Appendix K'!$E$36+'Appendix K'!$F$36+'Appendix K'!$H$36+'Appendix K'!$G$36))/((1+$Y$16)^AD$34))</f>
        <v>8292024.4089436512</v>
      </c>
      <c r="AE611" s="193">
        <f>(((H611*'Appendix K'!$C$11*1000)-('Appendix K'!$E$37+'Appendix K'!$F$37+'Appendix K'!$H$37+'Appendix K'!$G$37))/((1+$Y$16)^AE$34))</f>
        <v>5715519.2041628761</v>
      </c>
      <c r="AF611" s="193">
        <f>(((I611*'Appendix K'!$C$12*1000)-('Appendix K'!$E$38+'Appendix K'!$F$38+'Appendix K'!$H$38+'Appendix K'!$G$38))/((1+$Y$16)^AF$34))</f>
        <v>4545224.9725998361</v>
      </c>
      <c r="AG611" s="193">
        <f>(((J611*'Appendix K'!$C$13*1000)-('Appendix K'!$E$39+'Appendix K'!$F$39+'Appendix K'!$H$39+'Appendix K'!$G$39))/((1+$Y$16)^AG$34))</f>
        <v>4080658.7055101856</v>
      </c>
      <c r="AH611" s="193">
        <f>(((K611*'Appendix K'!$C$14*1000)-('Appendix K'!$E$40+'Appendix K'!$F$40+'Appendix K'!$H$40+'Appendix K'!$G$40))/((1+$Y$16)^AH$34))</f>
        <v>1867439.3963552546</v>
      </c>
      <c r="AI611" s="193">
        <f>(((L611*'Appendix K'!$C$15*1000)-('Appendix K'!$E$41+'Appendix K'!$F$41+'Appendix K'!$H$41+'Appendix K'!$G$41))/((1+$Y$16)^AI$34))</f>
        <v>1214938.6422186182</v>
      </c>
      <c r="AJ611" s="193">
        <f>(((M611*'Appendix K'!$C$16*1000)-('Appendix K'!$E$42+'Appendix K'!$F$42+'Appendix K'!$H$42+'Appendix K'!$G$42))/((1+$Y$16)^AJ$34))</f>
        <v>596221.92010923487</v>
      </c>
      <c r="AK611" s="193">
        <f>(((N611*'Appendix K'!$C$17*1000)-('Appendix K'!$E$43+'Appendix K'!$F$43+'Appendix K'!$H$43))/((1+$Y$16)^AK$34))</f>
        <v>567873.83289690549</v>
      </c>
      <c r="AL611" s="193">
        <f>(((O611*'Appendix K'!$C$18*1000)-('Appendix K'!$E$44+'Appendix K'!$F$44+'Appendix K'!$H$44+'Appendix K'!$G$44))/((1+$Y$16)^AL$34))</f>
        <v>-421285.01203087799</v>
      </c>
      <c r="AM611" s="193">
        <f>(((P611*'Appendix K'!$C$19*1000)-('Appendix K'!$E$45+'Appendix K'!$F$45+'Appendix K'!$H$45+'Appendix K'!$G$45))/((1+$Y$16)^AM$34))</f>
        <v>-538798.96013480984</v>
      </c>
      <c r="AN611" s="193">
        <f>(((Q611*'Appendix K'!$C$20*1000)-('Appendix K'!$E$46+'Appendix K'!$F$46+'Appendix K'!$H$46+'Appendix K'!$G$46))/((1+$Y$16)^AN$34))</f>
        <v>-436986.71239572548</v>
      </c>
      <c r="AO611" s="193">
        <f>(((R611*'Appendix K'!$C$21*1000)-('Appendix K'!$E$47+'Appendix K'!$F$47+'Appendix K'!$H$47+'Appendix K'!$G$47))/((1+$Y$16)^AO$34))</f>
        <v>-283376.32334771089</v>
      </c>
      <c r="AP611" s="193">
        <f>(((S611*'Appendix K'!$C$22*1000)-('Appendix K'!$E$48+'Appendix K'!$F$48+'Appendix K'!$H$48+'Appendix K'!$G$48))/((1+$Y$16)^AP$34))</f>
        <v>-575896.74450581369</v>
      </c>
      <c r="AQ611" s="193">
        <f>(((T611*'Appendix K'!$C$23*1000)-('Appendix K'!$E$49+'Appendix K'!$F$49+'Appendix K'!$H$49+'Appendix K'!$G$49))/((1+$Y$16)^AQ$34))</f>
        <v>-589862.66167966323</v>
      </c>
      <c r="AR611" s="193">
        <f>(((U611*'Appendix K'!$C$24*1000)-('Appendix K'!$E$50+'Appendix K'!$F$50+'Appendix K'!$H$50+'Appendix K'!$G$50))/((1+$Y$16)^AR$34))</f>
        <v>-555153.05022362585</v>
      </c>
      <c r="AS611" s="209">
        <f t="shared" si="32"/>
        <v>68364524.39623636</v>
      </c>
      <c r="AU611" s="199">
        <f t="shared" ref="AU611:AU674" si="33">_xlfn.NORM.DIST(AS611,$Y$17,$Y$19,FALSE)</f>
        <v>6.6365814082804533E-9</v>
      </c>
    </row>
    <row r="612" spans="1:47" x14ac:dyDescent="0.35">
      <c r="A612">
        <v>578</v>
      </c>
      <c r="B612" s="70">
        <v>56</v>
      </c>
      <c r="C612" s="70">
        <v>67.308917329466794</v>
      </c>
      <c r="D612" s="70">
        <v>66.142210918236174</v>
      </c>
      <c r="E612" s="70">
        <v>102.85327784192762</v>
      </c>
      <c r="F612" s="70">
        <v>86.553513768532511</v>
      </c>
      <c r="G612" s="70">
        <v>140.19781993802434</v>
      </c>
      <c r="H612" s="70">
        <v>186.06519625231931</v>
      </c>
      <c r="I612" s="70">
        <v>279.03288023382117</v>
      </c>
      <c r="J612" s="70">
        <v>384.15865232686235</v>
      </c>
      <c r="K612" s="70">
        <v>390.65527205181979</v>
      </c>
      <c r="L612" s="70">
        <v>500</v>
      </c>
      <c r="M612" s="70">
        <v>215.06586521339278</v>
      </c>
      <c r="N612" s="70">
        <v>271.28541496103333</v>
      </c>
      <c r="O612" s="70">
        <v>316.52399446928621</v>
      </c>
      <c r="P612" s="70">
        <v>410.10688181725436</v>
      </c>
      <c r="Q612" s="70">
        <v>362.25100693993033</v>
      </c>
      <c r="R612" s="70">
        <v>500</v>
      </c>
      <c r="S612" s="70">
        <v>500</v>
      </c>
      <c r="T612" s="70">
        <v>395.19401583638887</v>
      </c>
      <c r="U612" s="70">
        <v>258.22395240262006</v>
      </c>
      <c r="V612" s="70">
        <v>300.10936146751902</v>
      </c>
      <c r="X612" s="193">
        <f>((0-('Appendix K'!$I$30))/(1+$Y$16)^0)</f>
        <v>-33594902.4440751</v>
      </c>
      <c r="Y612" s="193">
        <f>(((B612*'Appendix K'!$C$5*1000)-('Appendix K'!$E$31+'Appendix K'!$F$31+'Appendix K'!$H$31+'Appendix K'!$G$31))/((1+$Y$16)^1))</f>
        <v>34971064.972647354</v>
      </c>
      <c r="Z612" s="193">
        <f>+(((C612*'Appendix K'!$C$6*1000)-('Appendix K'!$E$32+'Appendix K'!$F$32+'Appendix K'!$H$32+'Appendix K'!$G$32))/((1+$Y$16)^2))</f>
        <v>13516136.04030212</v>
      </c>
      <c r="AA612" s="193">
        <f>(((D612*'Appendix K'!$C$7*1000)-('Appendix K'!$E$33+'Appendix K'!$F$33+'Appendix K'!$H$33+'Appendix K'!$G$33))/((1+$Y$16)^3))</f>
        <v>5459957.6102956738</v>
      </c>
      <c r="AB612" s="193">
        <f>(((E612*'Appendix K'!$C$8*1000)-('Appendix K'!$E$34+'Appendix K'!$F$34+'Appendix K'!$H$34+'Appendix K'!$G$34))/((1+$Y$16)^4))</f>
        <v>19251289.082960073</v>
      </c>
      <c r="AC612" s="193">
        <f>(((F612*'Appendix K'!$C$9*1000)-('Appendix K'!$E$35+'Appendix K'!$F$35+'Appendix K'!$H$35+'Appendix K'!$G$35))/((1+$Y$16)^AC$34))</f>
        <v>20021559.527110498</v>
      </c>
      <c r="AD612" s="193">
        <f>(((G612*'Appendix K'!$C$10*1000)-('Appendix K'!$E$36+'Appendix K'!$F$36+'Appendix K'!$H$36+'Appendix K'!$G$36))/((1+$Y$16)^AD$34))</f>
        <v>19501456.659249645</v>
      </c>
      <c r="AE612" s="193">
        <f>(((H612*'Appendix K'!$C$11*1000)-('Appendix K'!$E$37+'Appendix K'!$F$37+'Appendix K'!$H$37+'Appendix K'!$G$37))/((1+$Y$16)^AE$34))</f>
        <v>16337760.517810859</v>
      </c>
      <c r="AF612" s="193">
        <f>(((I612*'Appendix K'!$C$12*1000)-('Appendix K'!$E$38+'Appendix K'!$F$38+'Appendix K'!$H$38+'Appendix K'!$G$38))/((1+$Y$16)^AF$34))</f>
        <v>16325397.129201064</v>
      </c>
      <c r="AG612" s="193">
        <f>(((J612*'Appendix K'!$C$13*1000)-('Appendix K'!$E$39+'Appendix K'!$F$39+'Appendix K'!$H$39+'Appendix K'!$G$39))/((1+$Y$16)^AG$34))</f>
        <v>15863627.243457057</v>
      </c>
      <c r="AH612" s="193">
        <f>(((K612*'Appendix K'!$C$14*1000)-('Appendix K'!$E$40+'Appendix K'!$F$40+'Appendix K'!$H$40+'Appendix K'!$G$40))/((1+$Y$16)^AH$34))</f>
        <v>11534891.223788017</v>
      </c>
      <c r="AI612" s="193">
        <f>(((L612*'Appendix K'!$C$15*1000)-('Appendix K'!$E$41+'Appendix K'!$F$41+'Appendix K'!$H$41+'Appendix K'!$G$41))/((1+$Y$16)^AI$34))</f>
        <v>11584453.656253781</v>
      </c>
      <c r="AJ612" s="193">
        <f>(((M612*'Appendix K'!$C$16*1000)-('Appendix K'!$E$42+'Appendix K'!$F$42+'Appendix K'!$H$42+'Appendix K'!$G$42))/((1+$Y$16)^AJ$34))</f>
        <v>2928770.503396187</v>
      </c>
      <c r="AK612" s="193">
        <f>(((N612*'Appendix K'!$C$17*1000)-('Appendix K'!$E$43+'Appendix K'!$F$43+'Appendix K'!$H$43))/((1+$Y$16)^AK$34))</f>
        <v>3163742.682183851</v>
      </c>
      <c r="AL612" s="193">
        <f>(((O612*'Appendix K'!$C$18*1000)-('Appendix K'!$E$44+'Appendix K'!$F$44+'Appendix K'!$H$44+'Appendix K'!$G$44))/((1+$Y$16)^AL$34))</f>
        <v>2617262.9186325688</v>
      </c>
      <c r="AM612" s="193">
        <f>(((P612*'Appendix K'!$C$19*1000)-('Appendix K'!$E$45+'Appendix K'!$F$45+'Appendix K'!$H$45+'Appendix K'!$G$45))/((1+$Y$16)^AM$34))</f>
        <v>2774404.7516161255</v>
      </c>
      <c r="AN612" s="193">
        <f>(((Q612*'Appendix K'!$C$20*1000)-('Appendix K'!$E$46+'Appendix K'!$F$46+'Appendix K'!$H$46+'Appendix K'!$G$46))/((1+$Y$16)^AN$34))</f>
        <v>1705618.0162939813</v>
      </c>
      <c r="AO612" s="193">
        <f>(((R612*'Appendix K'!$C$21*1000)-('Appendix K'!$E$47+'Appendix K'!$F$47+'Appendix K'!$H$47+'Appendix K'!$G$47))/((1+$Y$16)^AO$34))</f>
        <v>2112056.3146391152</v>
      </c>
      <c r="AP612" s="193">
        <f>(((S612*'Appendix K'!$C$22*1000)-('Appendix K'!$E$48+'Appendix K'!$F$48+'Appendix K'!$H$48+'Appendix K'!$G$48))/((1+$Y$16)^AP$34))</f>
        <v>1630406.4380253027</v>
      </c>
      <c r="AQ612" s="193">
        <f>(((T612*'Appendix K'!$C$23*1000)-('Appendix K'!$E$49+'Appendix K'!$F$49+'Appendix K'!$H$49+'Appendix K'!$G$49))/((1+$Y$16)^AQ$34))</f>
        <v>853202.57420910534</v>
      </c>
      <c r="AR612" s="193">
        <f>(((U612*'Appendix K'!$C$24*1000)-('Appendix K'!$E$50+'Appendix K'!$F$50+'Appendix K'!$H$50+'Appendix K'!$G$50))/((1+$Y$16)^AR$34))</f>
        <v>202199.49256853163</v>
      </c>
      <c r="AS612" s="209">
        <f t="shared" ref="AS612:AS675" si="34">SUMIF(Y612:AR612,"&gt;0")+X612</f>
        <v>168760354.91056576</v>
      </c>
      <c r="AU612" s="199">
        <f t="shared" si="33"/>
        <v>2.5293542691238395E-9</v>
      </c>
    </row>
    <row r="613" spans="1:47" x14ac:dyDescent="0.35">
      <c r="A613">
        <v>579</v>
      </c>
      <c r="B613" s="70">
        <v>56</v>
      </c>
      <c r="C613" s="70">
        <v>63.017613186189692</v>
      </c>
      <c r="D613" s="70">
        <v>67.043263226070849</v>
      </c>
      <c r="E613" s="70">
        <v>54.765211366529911</v>
      </c>
      <c r="F613" s="70">
        <v>61.796587314006153</v>
      </c>
      <c r="G613" s="70">
        <v>107.05128728829501</v>
      </c>
      <c r="H613" s="70">
        <v>114.20630607020941</v>
      </c>
      <c r="I613" s="70">
        <v>141.418314931124</v>
      </c>
      <c r="J613" s="70">
        <v>84.426224868231245</v>
      </c>
      <c r="K613" s="70">
        <v>96.661417106102434</v>
      </c>
      <c r="L613" s="70">
        <v>107.10078892437541</v>
      </c>
      <c r="M613" s="70">
        <v>139.93909482812671</v>
      </c>
      <c r="N613" s="70">
        <v>161.28773341697061</v>
      </c>
      <c r="O613" s="70">
        <v>278.5765890940101</v>
      </c>
      <c r="P613" s="70">
        <v>217.42021144081698</v>
      </c>
      <c r="Q613" s="70">
        <v>300.85592040950388</v>
      </c>
      <c r="R613" s="70">
        <v>360.11593455559205</v>
      </c>
      <c r="S613" s="70">
        <v>302.54321949365442</v>
      </c>
      <c r="T613" s="70">
        <v>392.67860353634131</v>
      </c>
      <c r="U613" s="70">
        <v>374.2208306730135</v>
      </c>
      <c r="V613" s="70">
        <v>496.90605567090108</v>
      </c>
      <c r="X613" s="193">
        <f>((0-('Appendix K'!$I$30))/(1+$Y$16)^0)</f>
        <v>-33594902.4440751</v>
      </c>
      <c r="Y613" s="193">
        <f>(((B613*'Appendix K'!$C$5*1000)-('Appendix K'!$E$31+'Appendix K'!$F$31+'Appendix K'!$H$31+'Appendix K'!$G$31))/((1+$Y$16)^1))</f>
        <v>34971064.972647354</v>
      </c>
      <c r="Z613" s="193">
        <f>+(((C613*'Appendix K'!$C$6*1000)-('Appendix K'!$E$32+'Appendix K'!$F$32+'Appendix K'!$H$32+'Appendix K'!$G$32))/((1+$Y$16)^2))</f>
        <v>12432079.219003076</v>
      </c>
      <c r="AA613" s="193">
        <f>(((D613*'Appendix K'!$C$7*1000)-('Appendix K'!$E$33+'Appendix K'!$F$33+'Appendix K'!$H$33+'Appendix K'!$G$33))/((1+$Y$16)^3))</f>
        <v>5574729.0329944147</v>
      </c>
      <c r="AB613" s="193">
        <f>(((E613*'Appendix K'!$C$8*1000)-('Appendix K'!$E$34+'Appendix K'!$F$34+'Appendix K'!$H$34+'Appendix K'!$G$34))/((1+$Y$16)^4))</f>
        <v>8710825.1154316962</v>
      </c>
      <c r="AC613" s="193">
        <f>(((F613*'Appendix K'!$C$9*1000)-('Appendix K'!$E$35+'Appendix K'!$F$35+'Appendix K'!$H$35+'Appendix K'!$G$35))/((1+$Y$16)^AC$34))</f>
        <v>13441207.350848109</v>
      </c>
      <c r="AD613" s="193">
        <f>(((G613*'Appendix K'!$C$10*1000)-('Appendix K'!$E$36+'Appendix K'!$F$36+'Appendix K'!$H$36+'Appendix K'!$G$36))/((1+$Y$16)^AD$34))</f>
        <v>14295994.192871496</v>
      </c>
      <c r="AE613" s="193">
        <f>(((H613*'Appendix K'!$C$11*1000)-('Appendix K'!$E$37+'Appendix K'!$F$37+'Appendix K'!$H$37+'Appendix K'!$G$37))/((1+$Y$16)^AE$34))</f>
        <v>9170725.200225981</v>
      </c>
      <c r="AF613" s="193">
        <f>(((I613*'Appendix K'!$C$12*1000)-('Appendix K'!$E$38+'Appendix K'!$F$38+'Appendix K'!$H$38+'Appendix K'!$G$38))/((1+$Y$16)^AF$34))</f>
        <v>7289290.7755037118</v>
      </c>
      <c r="AG613" s="193">
        <f>(((J613*'Appendix K'!$C$13*1000)-('Appendix K'!$E$39+'Appendix K'!$F$39+'Appendix K'!$H$39+'Appendix K'!$G$39))/((1+$Y$16)^AG$34))</f>
        <v>2070260.8776559723</v>
      </c>
      <c r="AH613" s="193">
        <f>(((K613*'Appendix K'!$C$14*1000)-('Appendix K'!$E$40+'Appendix K'!$F$40+'Appendix K'!$H$40+'Appendix K'!$G$40))/((1+$Y$16)^AH$34))</f>
        <v>1625379.485914995</v>
      </c>
      <c r="AI613" s="193">
        <f>(((L613*'Appendix K'!$C$15*1000)-('Appendix K'!$E$41+'Appendix K'!$F$41+'Appendix K'!$H$41+'Appendix K'!$G$41))/((1+$Y$16)^AI$34))</f>
        <v>1289759.6009449686</v>
      </c>
      <c r="AJ613" s="193">
        <f>(((M613*'Appendix K'!$C$16*1000)-('Appendix K'!$E$42+'Appendix K'!$F$42+'Appendix K'!$H$42+'Appendix K'!$G$42))/((1+$Y$16)^AJ$34))</f>
        <v>1423089.7648518526</v>
      </c>
      <c r="AK613" s="193">
        <f>(((N613*'Appendix K'!$C$17*1000)-('Appendix K'!$E$43+'Appendix K'!$F$43+'Appendix K'!$H$43))/((1+$Y$16)^AK$34))</f>
        <v>1473749.581814511</v>
      </c>
      <c r="AL613" s="193">
        <f>(((O613*'Appendix K'!$C$18*1000)-('Appendix K'!$E$44+'Appendix K'!$F$44+'Appendix K'!$H$44+'Appendix K'!$G$44))/((1+$Y$16)^AL$34))</f>
        <v>2167461.1566147115</v>
      </c>
      <c r="AM613" s="193">
        <f>(((P613*'Appendix K'!$C$19*1000)-('Appendix K'!$E$45+'Appendix K'!$F$45+'Appendix K'!$H$45+'Appendix K'!$G$45))/((1+$Y$16)^AM$34))</f>
        <v>988443.6839508902</v>
      </c>
      <c r="AN613" s="193">
        <f>(((Q613*'Appendix K'!$C$20*1000)-('Appendix K'!$E$46+'Appendix K'!$F$46+'Appendix K'!$H$46+'Appendix K'!$G$46))/((1+$Y$16)^AN$34))</f>
        <v>1261349.8541251628</v>
      </c>
      <c r="AO613" s="193">
        <f>(((R613*'Appendix K'!$C$21*1000)-('Appendix K'!$E$47+'Appendix K'!$F$47+'Appendix K'!$H$47+'Appendix K'!$G$47))/((1+$Y$16)^AO$34))</f>
        <v>1285326.0334654851</v>
      </c>
      <c r="AP613" s="193">
        <f>(((S613*'Appendix K'!$C$22*1000)-('Appendix K'!$E$48+'Appendix K'!$F$48+'Appendix K'!$H$48+'Appendix K'!$G$48))/((1+$Y$16)^AP$34))</f>
        <v>684643.87728726165</v>
      </c>
      <c r="AQ613" s="193">
        <f>(((T613*'Appendix K'!$C$23*1000)-('Appendix K'!$E$49+'Appendix K'!$F$49+'Appendix K'!$H$49+'Appendix K'!$G$49))/((1+$Y$16)^AQ$34))</f>
        <v>843357.8944287831</v>
      </c>
      <c r="AR613" s="193">
        <f>(((U613*'Appendix K'!$C$24*1000)-('Appendix K'!$E$50+'Appendix K'!$F$50+'Appendix K'!$H$50+'Appendix K'!$G$50))/((1+$Y$16)^AR$34))</f>
        <v>575712.69069932529</v>
      </c>
      <c r="AS613" s="209">
        <f t="shared" si="34"/>
        <v>87979547.917204648</v>
      </c>
      <c r="AU613" s="199">
        <f t="shared" si="33"/>
        <v>7.0295302646670686E-9</v>
      </c>
    </row>
    <row r="614" spans="1:47" x14ac:dyDescent="0.35">
      <c r="A614">
        <v>580</v>
      </c>
      <c r="B614" s="70">
        <v>56</v>
      </c>
      <c r="C614" s="70">
        <v>65.767790950569719</v>
      </c>
      <c r="D614" s="70">
        <v>74.940430596556737</v>
      </c>
      <c r="E614" s="70">
        <v>46.530894162933592</v>
      </c>
      <c r="F614" s="70">
        <v>68.121428543088541</v>
      </c>
      <c r="G614" s="70">
        <v>45.648230150077168</v>
      </c>
      <c r="H614" s="70">
        <v>37.004574187966782</v>
      </c>
      <c r="I614" s="70">
        <v>40.385071456004745</v>
      </c>
      <c r="J614" s="70">
        <v>32.68272994004522</v>
      </c>
      <c r="K614" s="70">
        <v>34.567110626518804</v>
      </c>
      <c r="L614" s="70">
        <v>49.826000132968446</v>
      </c>
      <c r="M614" s="70">
        <v>65.17981344483546</v>
      </c>
      <c r="N614" s="70">
        <v>86.033317870790256</v>
      </c>
      <c r="O614" s="70">
        <v>65.821734610909701</v>
      </c>
      <c r="P614" s="70">
        <v>94.375456081974875</v>
      </c>
      <c r="Q614" s="70">
        <v>90.694121694756703</v>
      </c>
      <c r="R614" s="70">
        <v>58.757004800309723</v>
      </c>
      <c r="S614" s="70">
        <v>70.488899865666113</v>
      </c>
      <c r="T614" s="70">
        <v>94.471075322887344</v>
      </c>
      <c r="U614" s="70">
        <v>110.65827203784995</v>
      </c>
      <c r="V614" s="70">
        <v>180.2991651281273</v>
      </c>
      <c r="X614" s="193">
        <f>((0-('Appendix K'!$I$30))/(1+$Y$16)^0)</f>
        <v>-33594902.4440751</v>
      </c>
      <c r="Y614" s="193">
        <f>(((B614*'Appendix K'!$C$5*1000)-('Appendix K'!$E$31+'Appendix K'!$F$31+'Appendix K'!$H$31+'Appendix K'!$G$31))/((1+$Y$16)^1))</f>
        <v>34971064.972647354</v>
      </c>
      <c r="Z614" s="193">
        <f>+(((C614*'Appendix K'!$C$6*1000)-('Appendix K'!$E$32+'Appendix K'!$F$32+'Appendix K'!$H$32+'Appendix K'!$G$32))/((1+$Y$16)^2))</f>
        <v>13126821.15891703</v>
      </c>
      <c r="AA614" s="193">
        <f>(((D614*'Appendix K'!$C$7*1000)-('Appendix K'!$E$33+'Appendix K'!$F$33+'Appendix K'!$H$33+'Appendix K'!$G$33))/((1+$Y$16)^3))</f>
        <v>6580629.7188034821</v>
      </c>
      <c r="AB614" s="193">
        <f>(((E614*'Appendix K'!$C$8*1000)-('Appendix K'!$E$34+'Appendix K'!$F$34+'Appendix K'!$H$34+'Appendix K'!$G$34))/((1+$Y$16)^4))</f>
        <v>6905938.1623222306</v>
      </c>
      <c r="AC614" s="193">
        <f>(((F614*'Appendix K'!$C$9*1000)-('Appendix K'!$E$35+'Appendix K'!$F$35+'Appendix K'!$H$35+'Appendix K'!$G$35))/((1+$Y$16)^AC$34))</f>
        <v>15122340.217755219</v>
      </c>
      <c r="AD614" s="193">
        <f>(((G614*'Appendix K'!$C$10*1000)-('Appendix K'!$E$36+'Appendix K'!$F$36+'Appendix K'!$H$36+'Appendix K'!$G$36))/((1+$Y$16)^AD$34))</f>
        <v>4653015.4647034993</v>
      </c>
      <c r="AE614" s="193">
        <f>(((H614*'Appendix K'!$C$11*1000)-('Appendix K'!$E$37+'Appendix K'!$F$37+'Appendix K'!$H$37+'Appendix K'!$G$37))/((1+$Y$16)^AE$34))</f>
        <v>1470807.520221181</v>
      </c>
      <c r="AF614" s="193">
        <f>(((I614*'Appendix K'!$C$12*1000)-('Appendix K'!$E$38+'Appendix K'!$F$38+'Appendix K'!$H$38+'Appendix K'!$G$38))/((1+$Y$16)^AF$34))</f>
        <v>655202.79730128089</v>
      </c>
      <c r="AG614" s="193">
        <f>(((J614*'Appendix K'!$C$13*1000)-('Appendix K'!$E$39+'Appendix K'!$F$39+'Appendix K'!$H$39+'Appendix K'!$G$39))/((1+$Y$16)^AG$34))</f>
        <v>-310919.52595566923</v>
      </c>
      <c r="AH614" s="193">
        <f>(((K614*'Appendix K'!$C$14*1000)-('Appendix K'!$E$40+'Appendix K'!$F$40+'Appendix K'!$H$40+'Appendix K'!$G$40))/((1+$Y$16)^AH$34))</f>
        <v>-467603.91684398922</v>
      </c>
      <c r="AI614" s="193">
        <f>(((L614*'Appendix K'!$C$15*1000)-('Appendix K'!$E$41+'Appendix K'!$F$41+'Appendix K'!$H$41+'Appendix K'!$G$41))/((1+$Y$16)^AI$34))</f>
        <v>-210946.9697701218</v>
      </c>
      <c r="AJ614" s="193">
        <f>(((M614*'Appendix K'!$C$16*1000)-('Appendix K'!$E$42+'Appendix K'!$F$42+'Appendix K'!$H$42+'Appendix K'!$G$42))/((1+$Y$16)^AJ$34))</f>
        <v>-75225.80799904374</v>
      </c>
      <c r="AK614" s="193">
        <f>(((N614*'Appendix K'!$C$17*1000)-('Appendix K'!$E$43+'Appendix K'!$F$43+'Appendix K'!$H$43))/((1+$Y$16)^AK$34))</f>
        <v>317548.457753303</v>
      </c>
      <c r="AL614" s="193">
        <f>(((O614*'Appendix K'!$C$18*1000)-('Appendix K'!$E$44+'Appendix K'!$F$44+'Appendix K'!$H$44+'Appendix K'!$G$44))/((1+$Y$16)^AL$34))</f>
        <v>-354384.73714173463</v>
      </c>
      <c r="AM614" s="193">
        <f>(((P614*'Appendix K'!$C$19*1000)-('Appendix K'!$E$45+'Appendix K'!$F$45+'Appendix K'!$H$45+'Appendix K'!$G$45))/((1+$Y$16)^AM$34))</f>
        <v>-152025.15191601365</v>
      </c>
      <c r="AN614" s="193">
        <f>(((Q614*'Appendix K'!$C$20*1000)-('Appendix K'!$E$46+'Appendix K'!$F$46+'Appendix K'!$H$46+'Appendix K'!$G$46))/((1+$Y$16)^AN$34))</f>
        <v>-259426.50355326571</v>
      </c>
      <c r="AO614" s="193">
        <f>(((R614*'Appendix K'!$C$21*1000)-('Appendix K'!$E$47+'Appendix K'!$F$47+'Appendix K'!$H$47+'Appendix K'!$G$47))/((1+$Y$16)^AO$34))</f>
        <v>-495738.53553491848</v>
      </c>
      <c r="AP614" s="193">
        <f>(((S614*'Appendix K'!$C$22*1000)-('Appendix K'!$E$48+'Appendix K'!$F$48+'Appendix K'!$H$48+'Appendix K'!$G$48))/((1+$Y$16)^AP$34))</f>
        <v>-426831.18575640605</v>
      </c>
      <c r="AQ614" s="193">
        <f>(((T614*'Appendix K'!$C$23*1000)-('Appendix K'!$E$49+'Appendix K'!$F$49+'Appendix K'!$H$49+'Appendix K'!$G$49))/((1+$Y$16)^AQ$34))</f>
        <v>-323750.0279135466</v>
      </c>
      <c r="AR614" s="193">
        <f>(((U614*'Appendix K'!$C$24*1000)-('Appendix K'!$E$50+'Appendix K'!$F$50+'Appendix K'!$H$50+'Appendix K'!$G$50))/((1+$Y$16)^AR$34))</f>
        <v>-272966.132827956</v>
      </c>
      <c r="AS614" s="209">
        <f t="shared" si="34"/>
        <v>50208466.026349463</v>
      </c>
      <c r="AU614" s="199">
        <f t="shared" si="33"/>
        <v>5.6569734361922508E-9</v>
      </c>
    </row>
    <row r="615" spans="1:47" x14ac:dyDescent="0.35">
      <c r="A615">
        <v>581</v>
      </c>
      <c r="B615" s="70">
        <v>56</v>
      </c>
      <c r="C615" s="70">
        <v>42.150248505781676</v>
      </c>
      <c r="D615" s="70">
        <v>60.452611386456802</v>
      </c>
      <c r="E615" s="70">
        <v>80.623731060490144</v>
      </c>
      <c r="F615" s="70">
        <v>124.10549960794671</v>
      </c>
      <c r="G615" s="70">
        <v>97.577548412447413</v>
      </c>
      <c r="H615" s="70">
        <v>97.816908926502492</v>
      </c>
      <c r="I615" s="70">
        <v>82.102417234845134</v>
      </c>
      <c r="J615" s="70">
        <v>88.890945201419441</v>
      </c>
      <c r="K615" s="70">
        <v>118.20237256958026</v>
      </c>
      <c r="L615" s="70">
        <v>124.99948451900099</v>
      </c>
      <c r="M615" s="70">
        <v>156.23251646033339</v>
      </c>
      <c r="N615" s="70">
        <v>208.45256310913675</v>
      </c>
      <c r="O615" s="70">
        <v>199.70666297257739</v>
      </c>
      <c r="P615" s="70">
        <v>241.54513198857029</v>
      </c>
      <c r="Q615" s="70">
        <v>332.76381674952682</v>
      </c>
      <c r="R615" s="70">
        <v>393.86964804154945</v>
      </c>
      <c r="S615" s="70">
        <v>277.11665473793778</v>
      </c>
      <c r="T615" s="70">
        <v>266.97223251416204</v>
      </c>
      <c r="U615" s="70">
        <v>461.15723209756391</v>
      </c>
      <c r="V615" s="70">
        <v>500</v>
      </c>
      <c r="X615" s="193">
        <f>((0-('Appendix K'!$I$30))/(1+$Y$16)^0)</f>
        <v>-33594902.4440751</v>
      </c>
      <c r="Y615" s="193">
        <f>(((B615*'Appendix K'!$C$5*1000)-('Appendix K'!$E$31+'Appendix K'!$F$31+'Appendix K'!$H$31+'Appendix K'!$G$31))/((1+$Y$16)^1))</f>
        <v>34971064.972647354</v>
      </c>
      <c r="Z615" s="193">
        <f>+(((C615*'Appendix K'!$C$6*1000)-('Appendix K'!$E$32+'Appendix K'!$F$32+'Appendix K'!$H$32+'Appendix K'!$G$32))/((1+$Y$16)^2))</f>
        <v>7160626.003604535</v>
      </c>
      <c r="AA615" s="193">
        <f>(((D615*'Appendix K'!$C$7*1000)-('Appendix K'!$E$33+'Appendix K'!$F$33+'Appendix K'!$H$33+'Appendix K'!$G$33))/((1+$Y$16)^3))</f>
        <v>4735245.5961644985</v>
      </c>
      <c r="AB615" s="193">
        <f>(((E615*'Appendix K'!$C$8*1000)-('Appendix K'!$E$34+'Appendix K'!$F$34+'Appendix K'!$H$34+'Appendix K'!$G$34))/((1+$Y$16)^4))</f>
        <v>14378775.920383593</v>
      </c>
      <c r="AC615" s="193">
        <f>(((F615*'Appendix K'!$C$9*1000)-('Appendix K'!$E$35+'Appendix K'!$F$35+'Appendix K'!$H$35+'Appendix K'!$G$35))/((1+$Y$16)^AC$34))</f>
        <v>30002818.396027364</v>
      </c>
      <c r="AD615" s="193">
        <f>(((G615*'Appendix K'!$C$10*1000)-('Appendix K'!$E$36+'Appendix K'!$F$36+'Appendix K'!$H$36+'Appendix K'!$G$36))/((1+$Y$16)^AD$34))</f>
        <v>12808200.804174626</v>
      </c>
      <c r="AE615" s="193">
        <f>(((H615*'Appendix K'!$C$11*1000)-('Appendix K'!$E$37+'Appendix K'!$F$37+'Appendix K'!$H$37+'Appendix K'!$G$37))/((1+$Y$16)^AE$34))</f>
        <v>7536085.5910532232</v>
      </c>
      <c r="AF615" s="193">
        <f>(((I615*'Appendix K'!$C$12*1000)-('Appendix K'!$E$38+'Appendix K'!$F$38+'Appendix K'!$H$38+'Appendix K'!$G$38))/((1+$Y$16)^AF$34))</f>
        <v>3394464.9707667287</v>
      </c>
      <c r="AG615" s="193">
        <f>(((J615*'Appendix K'!$C$13*1000)-('Appendix K'!$E$39+'Appendix K'!$F$39+'Appendix K'!$H$39+'Appendix K'!$G$39))/((1+$Y$16)^AG$34))</f>
        <v>2275722.5415762225</v>
      </c>
      <c r="AH615" s="193">
        <f>(((K615*'Appendix K'!$C$14*1000)-('Appendix K'!$E$40+'Appendix K'!$F$40+'Appendix K'!$H$40+'Appendix K'!$G$40))/((1+$Y$16)^AH$34))</f>
        <v>2351450.2775978581</v>
      </c>
      <c r="AI615" s="193">
        <f>(((L615*'Appendix K'!$C$15*1000)-('Appendix K'!$E$41+'Appendix K'!$F$41+'Appendix K'!$H$41+'Appendix K'!$G$41))/((1+$Y$16)^AI$34))</f>
        <v>1758738.8962490452</v>
      </c>
      <c r="AJ615" s="193">
        <f>(((M615*'Appendix K'!$C$16*1000)-('Appendix K'!$E$42+'Appendix K'!$F$42+'Appendix K'!$H$42+'Appendix K'!$G$42))/((1+$Y$16)^AJ$34))</f>
        <v>1749640.3538201565</v>
      </c>
      <c r="AK615" s="193">
        <f>(((N615*'Appendix K'!$C$17*1000)-('Appendix K'!$E$43+'Appendix K'!$F$43+'Appendix K'!$H$43))/((1+$Y$16)^AK$34))</f>
        <v>2198385.1890470716</v>
      </c>
      <c r="AL615" s="193">
        <f>(((O615*'Appendix K'!$C$18*1000)-('Appendix K'!$E$44+'Appendix K'!$F$44+'Appendix K'!$H$44+'Appendix K'!$G$44))/((1+$Y$16)^AL$34))</f>
        <v>1232592.7146539278</v>
      </c>
      <c r="AM615" s="193">
        <f>(((P615*'Appendix K'!$C$19*1000)-('Appendix K'!$E$45+'Appendix K'!$F$45+'Appendix K'!$H$45+'Appendix K'!$G$45))/((1+$Y$16)^AM$34))</f>
        <v>1212051.1020179016</v>
      </c>
      <c r="AN615" s="193">
        <f>(((Q615*'Appendix K'!$C$20*1000)-('Appendix K'!$E$46+'Appendix K'!$F$46+'Appendix K'!$H$46+'Appendix K'!$G$46))/((1+$Y$16)^AN$34))</f>
        <v>1492242.3125734443</v>
      </c>
      <c r="AO615" s="193">
        <f>(((R615*'Appendix K'!$C$21*1000)-('Appendix K'!$E$47+'Appendix K'!$F$47+'Appendix K'!$H$47+'Appendix K'!$G$47))/((1+$Y$16)^AO$34))</f>
        <v>1484814.2092791176</v>
      </c>
      <c r="AP615" s="193">
        <f>(((S615*'Appendix K'!$C$22*1000)-('Appendix K'!$E$48+'Appendix K'!$F$48+'Appendix K'!$H$48+'Appendix K'!$G$48))/((1+$Y$16)^AP$34))</f>
        <v>562857.76828420605</v>
      </c>
      <c r="AQ615" s="193">
        <f>(((T615*'Appendix K'!$C$23*1000)-('Appendix K'!$E$49+'Appendix K'!$F$49+'Appendix K'!$H$49+'Appendix K'!$G$49))/((1+$Y$16)^AQ$34))</f>
        <v>351375.33990429074</v>
      </c>
      <c r="AR615" s="193">
        <f>(((U615*'Appendix K'!$C$24*1000)-('Appendix K'!$E$50+'Appendix K'!$F$50+'Appendix K'!$H$50+'Appendix K'!$G$50))/((1+$Y$16)^AR$34))</f>
        <v>855650.33914511395</v>
      </c>
      <c r="AS615" s="209">
        <f t="shared" si="34"/>
        <v>98917900.854895145</v>
      </c>
      <c r="AU615" s="199">
        <f t="shared" si="33"/>
        <v>6.8916730978524677E-9</v>
      </c>
    </row>
    <row r="616" spans="1:47" x14ac:dyDescent="0.35">
      <c r="A616">
        <v>582</v>
      </c>
      <c r="B616" s="70">
        <v>56</v>
      </c>
      <c r="C616" s="70">
        <v>45.352119972489547</v>
      </c>
      <c r="D616" s="70">
        <v>48.965020603252711</v>
      </c>
      <c r="E616" s="70">
        <v>66.535056856617388</v>
      </c>
      <c r="F616" s="70">
        <v>112.40401528430424</v>
      </c>
      <c r="G616" s="70">
        <v>168.02541149491736</v>
      </c>
      <c r="H616" s="70">
        <v>231.37995099620667</v>
      </c>
      <c r="I616" s="70">
        <v>194.6317629619316</v>
      </c>
      <c r="J616" s="70">
        <v>77.387421308517034</v>
      </c>
      <c r="K616" s="70">
        <v>87.096179949151477</v>
      </c>
      <c r="L616" s="70">
        <v>125.49409848402308</v>
      </c>
      <c r="M616" s="70">
        <v>118.98494808396296</v>
      </c>
      <c r="N616" s="70">
        <v>122.73652084704023</v>
      </c>
      <c r="O616" s="70">
        <v>88.004646702345298</v>
      </c>
      <c r="P616" s="70">
        <v>95.014129453186058</v>
      </c>
      <c r="Q616" s="70">
        <v>124.93829437981266</v>
      </c>
      <c r="R616" s="70">
        <v>165.52771164950124</v>
      </c>
      <c r="S616" s="70">
        <v>234.88043820514702</v>
      </c>
      <c r="T616" s="70">
        <v>346.34457504442503</v>
      </c>
      <c r="U616" s="70">
        <v>500</v>
      </c>
      <c r="V616" s="70">
        <v>500</v>
      </c>
      <c r="X616" s="193">
        <f>((0-('Appendix K'!$I$30))/(1+$Y$16)^0)</f>
        <v>-33594902.4440751</v>
      </c>
      <c r="Y616" s="193">
        <f>(((B616*'Appendix K'!$C$5*1000)-('Appendix K'!$E$31+'Appendix K'!$F$31+'Appendix K'!$H$31+'Appendix K'!$G$31))/((1+$Y$16)^1))</f>
        <v>34971064.972647354</v>
      </c>
      <c r="Z616" s="193">
        <f>+(((C616*'Appendix K'!$C$6*1000)-('Appendix K'!$E$32+'Appendix K'!$F$32+'Appendix K'!$H$32+'Appendix K'!$G$32))/((1+$Y$16)^2))</f>
        <v>7969473.4980999455</v>
      </c>
      <c r="AA616" s="193">
        <f>(((D616*'Appendix K'!$C$7*1000)-('Appendix K'!$E$33+'Appendix K'!$F$33+'Appendix K'!$H$33+'Appendix K'!$G$33))/((1+$Y$16)^3))</f>
        <v>3272015.1864476101</v>
      </c>
      <c r="AB616" s="193">
        <f>(((E616*'Appendix K'!$C$8*1000)-('Appendix K'!$E$34+'Appendix K'!$F$34+'Appendix K'!$H$34+'Appendix K'!$G$34))/((1+$Y$16)^4))</f>
        <v>11290667.504293669</v>
      </c>
      <c r="AC616" s="193">
        <f>(((F616*'Appendix K'!$C$9*1000)-('Appendix K'!$E$35+'Appendix K'!$F$35+'Appendix K'!$H$35+'Appendix K'!$G$35))/((1+$Y$16)^AC$34))</f>
        <v>26892582.237430908</v>
      </c>
      <c r="AD616" s="193">
        <f>(((G616*'Appendix K'!$C$10*1000)-('Appendix K'!$E$36+'Appendix K'!$F$36+'Appendix K'!$H$36+'Appendix K'!$G$36))/((1+$Y$16)^AD$34))</f>
        <v>23871611.598526262</v>
      </c>
      <c r="AE616" s="193">
        <f>(((H616*'Appendix K'!$C$11*1000)-('Appendix K'!$E$37+'Appendix K'!$F$37+'Appendix K'!$H$37+'Appendix K'!$G$37))/((1+$Y$16)^AE$34))</f>
        <v>20857346.707272962</v>
      </c>
      <c r="AF616" s="193">
        <f>(((I616*'Appendix K'!$C$12*1000)-('Appendix K'!$E$38+'Appendix K'!$F$38+'Appendix K'!$H$38+'Appendix K'!$G$38))/((1+$Y$16)^AF$34))</f>
        <v>10783414.924322283</v>
      </c>
      <c r="AG616" s="193">
        <f>(((J616*'Appendix K'!$C$13*1000)-('Appendix K'!$E$39+'Appendix K'!$F$39+'Appendix K'!$H$39+'Appendix K'!$G$39))/((1+$Y$16)^AG$34))</f>
        <v>1746342.651325779</v>
      </c>
      <c r="AH616" s="193">
        <f>(((K616*'Appendix K'!$C$14*1000)-('Appendix K'!$E$40+'Appendix K'!$F$40+'Appendix K'!$H$40+'Appendix K'!$G$40))/((1+$Y$16)^AH$34))</f>
        <v>1302968.5637552582</v>
      </c>
      <c r="AI616" s="193">
        <f>(((L616*'Appendix K'!$C$15*1000)-('Appendix K'!$E$41+'Appendix K'!$F$41+'Appendix K'!$H$41+'Appendix K'!$G$41))/((1+$Y$16)^AI$34))</f>
        <v>1771698.7070652738</v>
      </c>
      <c r="AJ616" s="193">
        <f>(((M616*'Appendix K'!$C$16*1000)-('Appendix K'!$E$42+'Appendix K'!$F$42+'Appendix K'!$H$42+'Appendix K'!$G$42))/((1+$Y$16)^AJ$34))</f>
        <v>1003129.5431689237</v>
      </c>
      <c r="AK616" s="193">
        <f>(((N616*'Appendix K'!$C$17*1000)-('Appendix K'!$E$43+'Appendix K'!$F$43+'Appendix K'!$H$43))/((1+$Y$16)^AK$34))</f>
        <v>881452.70483028109</v>
      </c>
      <c r="AL616" s="193">
        <f>(((O616*'Appendix K'!$C$18*1000)-('Appendix K'!$E$44+'Appendix K'!$F$44+'Appendix K'!$H$44+'Appendix K'!$G$44))/((1+$Y$16)^AL$34))</f>
        <v>-91444.152752903872</v>
      </c>
      <c r="AM616" s="193">
        <f>(((P616*'Appendix K'!$C$19*1000)-('Appendix K'!$E$45+'Appendix K'!$F$45+'Appendix K'!$H$45+'Appendix K'!$G$45))/((1+$Y$16)^AM$34))</f>
        <v>-146105.45973539067</v>
      </c>
      <c r="AN616" s="193">
        <f>(((Q616*'Appendix K'!$C$20*1000)-('Appendix K'!$E$46+'Appendix K'!$F$46+'Appendix K'!$H$46+'Appendix K'!$G$46))/((1+$Y$16)^AN$34))</f>
        <v>-11628.242755280855</v>
      </c>
      <c r="AO616" s="193">
        <f>(((R616*'Appendix K'!$C$21*1000)-('Appendix K'!$E$47+'Appendix K'!$F$47+'Appendix K'!$H$47+'Appendix K'!$G$47))/((1+$Y$16)^AO$34))</f>
        <v>135288.13797579211</v>
      </c>
      <c r="AP616" s="193">
        <f>(((S616*'Appendix K'!$C$22*1000)-('Appendix K'!$E$48+'Appendix K'!$F$48+'Appendix K'!$H$48+'Appendix K'!$G$48))/((1+$Y$16)^AP$34))</f>
        <v>360558.14503751352</v>
      </c>
      <c r="AQ616" s="193">
        <f>(((T616*'Appendix K'!$C$23*1000)-('Appendix K'!$E$49+'Appendix K'!$F$49+'Appendix K'!$H$49+'Appendix K'!$G$49))/((1+$Y$16)^AQ$34))</f>
        <v>662018.36872692674</v>
      </c>
      <c r="AR616" s="193">
        <f>(((U616*'Appendix K'!$C$24*1000)-('Appendix K'!$E$50+'Appendix K'!$F$50+'Appendix K'!$H$50+'Appendix K'!$G$50))/((1+$Y$16)^AR$34))</f>
        <v>980725.14012097823</v>
      </c>
      <c r="AS616" s="209">
        <f t="shared" si="34"/>
        <v>115157456.14697266</v>
      </c>
      <c r="AU616" s="199">
        <f t="shared" si="33"/>
        <v>6.2488043324207451E-9</v>
      </c>
    </row>
    <row r="617" spans="1:47" x14ac:dyDescent="0.35">
      <c r="A617">
        <v>583</v>
      </c>
      <c r="B617" s="70">
        <v>56</v>
      </c>
      <c r="C617" s="70">
        <v>31.408620276617022</v>
      </c>
      <c r="D617" s="70">
        <v>43.21083190520541</v>
      </c>
      <c r="E617" s="70">
        <v>47.136681555298111</v>
      </c>
      <c r="F617" s="70">
        <v>55.640537306257499</v>
      </c>
      <c r="G617" s="70">
        <v>54.510387885051578</v>
      </c>
      <c r="H617" s="70">
        <v>62.166093779446726</v>
      </c>
      <c r="I617" s="70">
        <v>75.813217910967694</v>
      </c>
      <c r="J617" s="70">
        <v>47.879224700942729</v>
      </c>
      <c r="K617" s="70">
        <v>45.772526212138473</v>
      </c>
      <c r="L617" s="70">
        <v>67.460311941653586</v>
      </c>
      <c r="M617" s="70">
        <v>55.831245177489905</v>
      </c>
      <c r="N617" s="70">
        <v>63.611788065326913</v>
      </c>
      <c r="O617" s="70">
        <v>66.203156338298157</v>
      </c>
      <c r="P617" s="70">
        <v>90.980027525939292</v>
      </c>
      <c r="Q617" s="70">
        <v>108.96390514414702</v>
      </c>
      <c r="R617" s="70">
        <v>115.59356921355962</v>
      </c>
      <c r="S617" s="70">
        <v>71.440307260786227</v>
      </c>
      <c r="T617" s="70">
        <v>53.158187596290311</v>
      </c>
      <c r="U617" s="70">
        <v>43.838567006055413</v>
      </c>
      <c r="V617" s="70">
        <v>58.68353987010024</v>
      </c>
      <c r="X617" s="193">
        <f>((0-('Appendix K'!$I$30))/(1+$Y$16)^0)</f>
        <v>-33594902.4440751</v>
      </c>
      <c r="Y617" s="193">
        <f>(((B617*'Appendix K'!$C$5*1000)-('Appendix K'!$E$31+'Appendix K'!$F$31+'Appendix K'!$H$31+'Appendix K'!$G$31))/((1+$Y$16)^1))</f>
        <v>34971064.972647354</v>
      </c>
      <c r="Z617" s="193">
        <f>+(((C617*'Appendix K'!$C$6*1000)-('Appendix K'!$E$32+'Appendix K'!$F$32+'Appendix K'!$H$32+'Appendix K'!$G$32))/((1+$Y$16)^2))</f>
        <v>4447106.9975170568</v>
      </c>
      <c r="AA617" s="193">
        <f>(((D617*'Appendix K'!$C$7*1000)-('Appendix K'!$E$33+'Appendix K'!$F$33+'Appendix K'!$H$33+'Appendix K'!$G$33))/((1+$Y$16)^3))</f>
        <v>2539076.1355073191</v>
      </c>
      <c r="AB617" s="193">
        <f>(((E617*'Appendix K'!$C$8*1000)-('Appendix K'!$E$34+'Appendix K'!$F$34+'Appendix K'!$H$34+'Appendix K'!$G$34))/((1+$Y$16)^4))</f>
        <v>7038721.213278709</v>
      </c>
      <c r="AC617" s="193">
        <f>(((F617*'Appendix K'!$C$9*1000)-('Appendix K'!$E$35+'Appendix K'!$F$35+'Appendix K'!$H$35+'Appendix K'!$G$35))/((1+$Y$16)^AC$34))</f>
        <v>11804938.925521726</v>
      </c>
      <c r="AD617" s="193">
        <f>(((G617*'Appendix K'!$C$10*1000)-('Appendix K'!$E$36+'Appendix K'!$F$36+'Appendix K'!$H$36+'Appendix K'!$G$36))/((1+$Y$16)^AD$34))</f>
        <v>6044763.7343647843</v>
      </c>
      <c r="AE617" s="193">
        <f>(((H617*'Appendix K'!$C$11*1000)-('Appendix K'!$E$37+'Appendix K'!$F$37+'Appendix K'!$H$37+'Appendix K'!$G$37))/((1+$Y$16)^AE$34))</f>
        <v>3980357.8221981064</v>
      </c>
      <c r="AF617" s="193">
        <f>(((I617*'Appendix K'!$C$12*1000)-('Appendix K'!$E$38+'Appendix K'!$F$38+'Appendix K'!$H$38+'Appendix K'!$G$38))/((1+$Y$16)^AF$34))</f>
        <v>2981500.8790286561</v>
      </c>
      <c r="AG617" s="193">
        <f>(((J617*'Appendix K'!$C$13*1000)-('Appendix K'!$E$39+'Appendix K'!$F$39+'Appendix K'!$H$39+'Appendix K'!$G$39))/((1+$Y$16)^AG$34))</f>
        <v>388406.94162170461</v>
      </c>
      <c r="AH617" s="193">
        <f>(((K617*'Appendix K'!$C$14*1000)-('Appendix K'!$E$40+'Appendix K'!$F$40+'Appendix K'!$H$40+'Appendix K'!$G$40))/((1+$Y$16)^AH$34))</f>
        <v>-89908.276593461749</v>
      </c>
      <c r="AI617" s="193">
        <f>(((L617*'Appendix K'!$C$15*1000)-('Appendix K'!$E$41+'Appendix K'!$F$41+'Appendix K'!$H$41+'Appendix K'!$G$41))/((1+$Y$16)^AI$34))</f>
        <v>251104.97594221102</v>
      </c>
      <c r="AJ617" s="193">
        <f>(((M617*'Appendix K'!$C$16*1000)-('Appendix K'!$E$42+'Appendix K'!$F$42+'Appendix K'!$H$42+'Appendix K'!$G$42))/((1+$Y$16)^AJ$34))</f>
        <v>-262588.56964744767</v>
      </c>
      <c r="AK617" s="193">
        <f>(((N617*'Appendix K'!$C$17*1000)-('Appendix K'!$E$43+'Appendix K'!$F$43+'Appendix K'!$H$43))/((1+$Y$16)^AK$34))</f>
        <v>-26933.62713300217</v>
      </c>
      <c r="AL617" s="193">
        <f>(((O617*'Appendix K'!$C$18*1000)-('Appendix K'!$E$44+'Appendix K'!$F$44+'Appendix K'!$H$44+'Appendix K'!$G$44))/((1+$Y$16)^AL$34))</f>
        <v>-349863.63317284512</v>
      </c>
      <c r="AM617" s="193">
        <f>(((P617*'Appendix K'!$C$19*1000)-('Appendix K'!$E$45+'Appendix K'!$F$45+'Appendix K'!$H$45+'Appendix K'!$G$45))/((1+$Y$16)^AM$34))</f>
        <v>-183496.46852173089</v>
      </c>
      <c r="AN617" s="193">
        <f>(((Q617*'Appendix K'!$C$20*1000)-('Appendix K'!$E$46+'Appendix K'!$F$46+'Appendix K'!$H$46+'Appendix K'!$G$46))/((1+$Y$16)^AN$34))</f>
        <v>-127222.38796397609</v>
      </c>
      <c r="AO617" s="193">
        <f>(((R617*'Appendix K'!$C$21*1000)-('Appendix K'!$E$47+'Appendix K'!$F$47+'Appendix K'!$H$47+'Appendix K'!$G$47))/((1+$Y$16)^AO$34))</f>
        <v>-159828.16054668833</v>
      </c>
      <c r="AP617" s="193">
        <f>(((S617*'Appendix K'!$C$22*1000)-('Appendix K'!$E$48+'Appendix K'!$F$48+'Appendix K'!$H$48+'Appendix K'!$G$48))/((1+$Y$16)^AP$34))</f>
        <v>-422274.21135417739</v>
      </c>
      <c r="AQ617" s="193">
        <f>(((T617*'Appendix K'!$C$23*1000)-('Appendix K'!$E$49+'Appendix K'!$F$49+'Appendix K'!$H$49+'Appendix K'!$G$49))/((1+$Y$16)^AQ$34))</f>
        <v>-485438.09410494618</v>
      </c>
      <c r="AR617" s="193">
        <f>(((U617*'Appendix K'!$C$24*1000)-('Appendix K'!$E$50+'Appendix K'!$F$50+'Appendix K'!$H$50+'Appendix K'!$G$50))/((1+$Y$16)^AR$34))</f>
        <v>-488127.45524219942</v>
      </c>
      <c r="AS617" s="209">
        <f t="shared" si="34"/>
        <v>40852140.15355254</v>
      </c>
      <c r="AU617" s="199">
        <f t="shared" si="33"/>
        <v>5.0059360943264027E-9</v>
      </c>
    </row>
    <row r="618" spans="1:47" x14ac:dyDescent="0.35">
      <c r="A618">
        <v>584</v>
      </c>
      <c r="B618" s="70">
        <v>56</v>
      </c>
      <c r="C618" s="70">
        <v>50.934453352726933</v>
      </c>
      <c r="D618" s="70">
        <v>99.687407442347492</v>
      </c>
      <c r="E618" s="70">
        <v>73.755219714302115</v>
      </c>
      <c r="F618" s="70">
        <v>120.6278953446797</v>
      </c>
      <c r="G618" s="70">
        <v>84.033017794755764</v>
      </c>
      <c r="H618" s="70">
        <v>110.18610213754114</v>
      </c>
      <c r="I618" s="70">
        <v>181.47762294625244</v>
      </c>
      <c r="J618" s="70">
        <v>210.56659290395964</v>
      </c>
      <c r="K618" s="70">
        <v>252.41342908513224</v>
      </c>
      <c r="L618" s="70">
        <v>395.46176721943692</v>
      </c>
      <c r="M618" s="70">
        <v>500</v>
      </c>
      <c r="N618" s="70">
        <v>500</v>
      </c>
      <c r="O618" s="70">
        <v>500</v>
      </c>
      <c r="P618" s="70">
        <v>459.45041445330708</v>
      </c>
      <c r="Q618" s="70">
        <v>500</v>
      </c>
      <c r="R618" s="70">
        <v>499.42039328652726</v>
      </c>
      <c r="S618" s="70">
        <v>435.34055693962353</v>
      </c>
      <c r="T618" s="70">
        <v>407.90609973281016</v>
      </c>
      <c r="U618" s="70">
        <v>434.06453872564077</v>
      </c>
      <c r="V618" s="70">
        <v>298.30989068859401</v>
      </c>
      <c r="X618" s="193">
        <f>((0-('Appendix K'!$I$30))/(1+$Y$16)^0)</f>
        <v>-33594902.4440751</v>
      </c>
      <c r="Y618" s="193">
        <f>(((B618*'Appendix K'!$C$5*1000)-('Appendix K'!$E$31+'Appendix K'!$F$31+'Appendix K'!$H$31+'Appendix K'!$G$31))/((1+$Y$16)^1))</f>
        <v>34971064.972647354</v>
      </c>
      <c r="Z618" s="193">
        <f>+(((C618*'Appendix K'!$C$6*1000)-('Appendix K'!$E$32+'Appendix K'!$F$32+'Appendix K'!$H$32+'Appendix K'!$G$32))/((1+$Y$16)^2))</f>
        <v>9379666.3852883987</v>
      </c>
      <c r="AA618" s="193">
        <f>(((D618*'Appendix K'!$C$7*1000)-('Appendix K'!$E$33+'Appendix K'!$F$33+'Appendix K'!$H$33+'Appendix K'!$G$33))/((1+$Y$16)^3))</f>
        <v>9732772.7357939426</v>
      </c>
      <c r="AB618" s="193">
        <f>(((E618*'Appendix K'!$C$8*1000)-('Appendix K'!$E$34+'Appendix K'!$F$34+'Appendix K'!$H$34+'Appendix K'!$G$34))/((1+$Y$16)^4))</f>
        <v>12873261.108468791</v>
      </c>
      <c r="AC618" s="193">
        <f>(((F618*'Appendix K'!$C$9*1000)-('Appendix K'!$E$35+'Appendix K'!$F$35+'Appendix K'!$H$35+'Appendix K'!$G$35))/((1+$Y$16)^AC$34))</f>
        <v>29078476.643669631</v>
      </c>
      <c r="AD618" s="193">
        <f>(((G618*'Appendix K'!$C$10*1000)-('Appendix K'!$E$36+'Appendix K'!$F$36+'Appendix K'!$H$36+'Appendix K'!$G$36))/((1+$Y$16)^AD$34))</f>
        <v>10681114.194538575</v>
      </c>
      <c r="AE618" s="193">
        <f>(((H618*'Appendix K'!$C$11*1000)-('Appendix K'!$E$37+'Appendix K'!$F$37+'Appendix K'!$H$37+'Appendix K'!$G$37))/((1+$Y$16)^AE$34))</f>
        <v>8769759.592542544</v>
      </c>
      <c r="AF618" s="193">
        <f>(((I618*'Appendix K'!$C$12*1000)-('Appendix K'!$E$38+'Appendix K'!$F$38+'Appendix K'!$H$38+'Appendix K'!$G$38))/((1+$Y$16)^AF$34))</f>
        <v>9919682.1652814522</v>
      </c>
      <c r="AG618" s="193">
        <f>(((J618*'Appendix K'!$C$13*1000)-('Appendix K'!$E$39+'Appendix K'!$F$39+'Appendix K'!$H$39+'Appendix K'!$G$39))/((1+$Y$16)^AG$34))</f>
        <v>7875105.9676118335</v>
      </c>
      <c r="AH618" s="193">
        <f>(((K618*'Appendix K'!$C$14*1000)-('Appendix K'!$E$40+'Appendix K'!$F$40+'Appendix K'!$H$40+'Appendix K'!$G$40))/((1+$Y$16)^AH$34))</f>
        <v>6875238.8450111626</v>
      </c>
      <c r="AI618" s="193">
        <f>(((L618*'Appendix K'!$C$15*1000)-('Appendix K'!$E$41+'Appendix K'!$F$41+'Appendix K'!$H$41+'Appendix K'!$G$41))/((1+$Y$16)^AI$34))</f>
        <v>8845356.4699491523</v>
      </c>
      <c r="AJ618" s="193">
        <f>(((M618*'Appendix K'!$C$16*1000)-('Appendix K'!$E$42+'Appendix K'!$F$42+'Appendix K'!$H$42+'Appendix K'!$G$42))/((1+$Y$16)^AJ$34))</f>
        <v>8639382.5302660316</v>
      </c>
      <c r="AK618" s="193">
        <f>(((N618*'Appendix K'!$C$17*1000)-('Appendix K'!$E$43+'Appendix K'!$F$43+'Appendix K'!$H$43))/((1+$Y$16)^AK$34))</f>
        <v>6677690.1149291173</v>
      </c>
      <c r="AL618" s="193">
        <f>(((O618*'Appendix K'!$C$18*1000)-('Appendix K'!$E$44+'Appendix K'!$F$44+'Appendix K'!$H$44+'Appendix K'!$G$44))/((1+$Y$16)^AL$34))</f>
        <v>4792058.0003928225</v>
      </c>
      <c r="AM618" s="193">
        <f>(((P618*'Appendix K'!$C$19*1000)-('Appendix K'!$E$45+'Appendix K'!$F$45+'Appendix K'!$H$45+'Appendix K'!$G$45))/((1+$Y$16)^AM$34))</f>
        <v>3231756.721302947</v>
      </c>
      <c r="AN618" s="193">
        <f>(((Q618*'Appendix K'!$C$20*1000)-('Appendix K'!$E$46+'Appendix K'!$F$46+'Appendix K'!$H$46+'Appendix K'!$G$46))/((1+$Y$16)^AN$34))</f>
        <v>2702399.606577659</v>
      </c>
      <c r="AO618" s="193">
        <f>(((R618*'Appendix K'!$C$21*1000)-('Appendix K'!$E$47+'Appendix K'!$F$47+'Appendix K'!$H$47+'Appendix K'!$G$47))/((1+$Y$16)^AO$34))</f>
        <v>2108630.7749275179</v>
      </c>
      <c r="AP618" s="193">
        <f>(((S618*'Appendix K'!$C$22*1000)-('Appendix K'!$E$48+'Appendix K'!$F$48+'Appendix K'!$H$48+'Appendix K'!$G$48))/((1+$Y$16)^AP$34))</f>
        <v>1320705.8529764544</v>
      </c>
      <c r="AQ618" s="193">
        <f>(((T618*'Appendix K'!$C$23*1000)-('Appendix K'!$E$49+'Appendix K'!$F$49+'Appendix K'!$H$49+'Appendix K'!$G$49))/((1+$Y$16)^AQ$34))</f>
        <v>902954.41620275844</v>
      </c>
      <c r="AR618" s="193">
        <f>(((U618*'Appendix K'!$C$24*1000)-('Appendix K'!$E$50+'Appendix K'!$F$50+'Appendix K'!$H$50+'Appendix K'!$G$50))/((1+$Y$16)^AR$34))</f>
        <v>768411.1073811776</v>
      </c>
      <c r="AS618" s="209">
        <f t="shared" si="34"/>
        <v>146550585.76168424</v>
      </c>
      <c r="AU618" s="199">
        <f t="shared" si="33"/>
        <v>4.0998310577483069E-9</v>
      </c>
    </row>
    <row r="619" spans="1:47" x14ac:dyDescent="0.35">
      <c r="A619">
        <v>585</v>
      </c>
      <c r="B619" s="70">
        <v>56</v>
      </c>
      <c r="C619" s="70">
        <v>64.001588844958931</v>
      </c>
      <c r="D619" s="70">
        <v>77.327388329076115</v>
      </c>
      <c r="E619" s="70">
        <v>88.958285068924226</v>
      </c>
      <c r="F619" s="70">
        <v>88.232193790834842</v>
      </c>
      <c r="G619" s="70">
        <v>114.62469606231107</v>
      </c>
      <c r="H619" s="70">
        <v>76.868654898770714</v>
      </c>
      <c r="I619" s="70">
        <v>71.382410972398247</v>
      </c>
      <c r="J619" s="70">
        <v>55.111215790443318</v>
      </c>
      <c r="K619" s="70">
        <v>43.375622986570008</v>
      </c>
      <c r="L619" s="70">
        <v>34.847222381236392</v>
      </c>
      <c r="M619" s="70">
        <v>50.34534415858915</v>
      </c>
      <c r="N619" s="70">
        <v>52.413142123606463</v>
      </c>
      <c r="O619" s="70">
        <v>46.239163313700296</v>
      </c>
      <c r="P619" s="70">
        <v>53.672126468605128</v>
      </c>
      <c r="Q619" s="70">
        <v>66.382810494193478</v>
      </c>
      <c r="R619" s="70">
        <v>53.749444845688657</v>
      </c>
      <c r="S619" s="70">
        <v>67.845353935288827</v>
      </c>
      <c r="T619" s="70">
        <v>83.036727637538661</v>
      </c>
      <c r="U619" s="70">
        <v>123.1788233722588</v>
      </c>
      <c r="V619" s="70">
        <v>197.57888988765075</v>
      </c>
      <c r="X619" s="193">
        <f>((0-('Appendix K'!$I$30))/(1+$Y$16)^0)</f>
        <v>-33594902.4440751</v>
      </c>
      <c r="Y619" s="193">
        <f>(((B619*'Appendix K'!$C$5*1000)-('Appendix K'!$E$31+'Appendix K'!$F$31+'Appendix K'!$H$31+'Appendix K'!$G$31))/((1+$Y$16)^1))</f>
        <v>34971064.972647354</v>
      </c>
      <c r="Z619" s="193">
        <f>+(((C619*'Appendix K'!$C$6*1000)-('Appendix K'!$E$32+'Appendix K'!$F$32+'Appendix K'!$H$32+'Appendix K'!$G$32))/((1+$Y$16)^2))</f>
        <v>12680648.299465973</v>
      </c>
      <c r="AA619" s="193">
        <f>(((D619*'Appendix K'!$C$7*1000)-('Appendix K'!$E$33+'Appendix K'!$F$33+'Appendix K'!$H$33+'Appendix K'!$G$33))/((1+$Y$16)^3))</f>
        <v>6884668.155308187</v>
      </c>
      <c r="AB619" s="193">
        <f>(((E619*'Appendix K'!$C$8*1000)-('Appendix K'!$E$34+'Appendix K'!$F$34+'Appendix K'!$H$34+'Appendix K'!$G$34))/((1+$Y$16)^4))</f>
        <v>16205633.863533864</v>
      </c>
      <c r="AC619" s="193">
        <f>(((F619*'Appendix K'!$C$9*1000)-('Appendix K'!$E$35+'Appendix K'!$F$35+'Appendix K'!$H$35+'Appendix K'!$G$35))/((1+$Y$16)^AC$34))</f>
        <v>20467750.04103779</v>
      </c>
      <c r="AD619" s="193">
        <f>(((G619*'Appendix K'!$C$10*1000)-('Appendix K'!$E$36+'Appendix K'!$F$36+'Appendix K'!$H$36+'Appendix K'!$G$36))/((1+$Y$16)^AD$34))</f>
        <v>15485352.233191332</v>
      </c>
      <c r="AE619" s="193">
        <f>(((H619*'Appendix K'!$C$11*1000)-('Appendix K'!$E$37+'Appendix K'!$F$37+'Appendix K'!$H$37+'Appendix K'!$G$37))/((1+$Y$16)^AE$34))</f>
        <v>5446756.4060629513</v>
      </c>
      <c r="AF619" s="193">
        <f>(((I619*'Appendix K'!$C$12*1000)-('Appendix K'!$E$38+'Appendix K'!$F$38+'Appendix K'!$H$38+'Appendix K'!$G$38))/((1+$Y$16)^AF$34))</f>
        <v>2690563.3417007742</v>
      </c>
      <c r="AG619" s="193">
        <f>(((J619*'Appendix K'!$C$13*1000)-('Appendix K'!$E$39+'Appendix K'!$F$39+'Appendix K'!$H$39+'Appendix K'!$G$39))/((1+$Y$16)^AG$34))</f>
        <v>721215.45185691607</v>
      </c>
      <c r="AH619" s="193">
        <f>(((K619*'Appendix K'!$C$14*1000)-('Appendix K'!$E$40+'Appendix K'!$F$40+'Appendix K'!$H$40+'Appendix K'!$G$40))/((1+$Y$16)^AH$34))</f>
        <v>-170699.55929799983</v>
      </c>
      <c r="AI619" s="193">
        <f>(((L619*'Appendix K'!$C$15*1000)-('Appendix K'!$E$41+'Appendix K'!$F$41+'Appendix K'!$H$41+'Appendix K'!$G$41))/((1+$Y$16)^AI$34))</f>
        <v>-603418.95731724694</v>
      </c>
      <c r="AJ619" s="193">
        <f>(((M619*'Appendix K'!$C$16*1000)-('Appendix K'!$E$42+'Appendix K'!$F$42+'Appendix K'!$H$42+'Appendix K'!$G$42))/((1+$Y$16)^AJ$34))</f>
        <v>-372536.26812244527</v>
      </c>
      <c r="AK619" s="193">
        <f>(((N619*'Appendix K'!$C$17*1000)-('Appendix K'!$E$43+'Appendix K'!$F$43+'Appendix K'!$H$43))/((1+$Y$16)^AK$34))</f>
        <v>-198988.47510182485</v>
      </c>
      <c r="AL619" s="193">
        <f>(((O619*'Appendix K'!$C$18*1000)-('Appendix K'!$E$44+'Appendix K'!$F$44+'Appendix K'!$H$44+'Appendix K'!$G$44))/((1+$Y$16)^AL$34))</f>
        <v>-586502.7169407953</v>
      </c>
      <c r="AM619" s="193">
        <f>(((P619*'Appendix K'!$C$19*1000)-('Appendix K'!$E$45+'Appendix K'!$F$45+'Appendix K'!$H$45+'Appendix K'!$G$45))/((1+$Y$16)^AM$34))</f>
        <v>-529293.39715480444</v>
      </c>
      <c r="AN619" s="193">
        <f>(((Q619*'Appendix K'!$C$20*1000)-('Appendix K'!$E$46+'Appendix K'!$F$46+'Appendix K'!$H$46+'Appendix K'!$G$46))/((1+$Y$16)^AN$34))</f>
        <v>-435348.42430234305</v>
      </c>
      <c r="AO619" s="193">
        <f>(((R619*'Appendix K'!$C$21*1000)-('Appendix K'!$E$47+'Appendix K'!$F$47+'Appendix K'!$H$47+'Appendix K'!$G$47))/((1+$Y$16)^AO$34))</f>
        <v>-525333.76810215425</v>
      </c>
      <c r="AP619" s="193">
        <f>(((S619*'Appendix K'!$C$22*1000)-('Appendix K'!$E$48+'Appendix K'!$F$48+'Appendix K'!$H$48+'Appendix K'!$G$48))/((1+$Y$16)^AP$34))</f>
        <v>-439493.02882976609</v>
      </c>
      <c r="AQ619" s="193">
        <f>(((T619*'Appendix K'!$C$23*1000)-('Appendix K'!$E$49+'Appendix K'!$F$49+'Appendix K'!$H$49+'Appendix K'!$G$49))/((1+$Y$16)^AQ$34))</f>
        <v>-368501.1374859208</v>
      </c>
      <c r="AR619" s="193">
        <f>(((U619*'Appendix K'!$C$24*1000)-('Appendix K'!$E$50+'Appendix K'!$F$50+'Appendix K'!$H$50+'Appendix K'!$G$50))/((1+$Y$16)^AR$34))</f>
        <v>-232649.60671960251</v>
      </c>
      <c r="AS619" s="209">
        <f t="shared" si="34"/>
        <v>81958750.320730031</v>
      </c>
      <c r="AU619" s="199">
        <f t="shared" si="33"/>
        <v>6.994820248100444E-9</v>
      </c>
    </row>
    <row r="620" spans="1:47" x14ac:dyDescent="0.35">
      <c r="A620">
        <v>586</v>
      </c>
      <c r="B620" s="70">
        <v>56</v>
      </c>
      <c r="C620" s="70">
        <v>53.38851070222983</v>
      </c>
      <c r="D620" s="70">
        <v>62.647581686572281</v>
      </c>
      <c r="E620" s="70">
        <v>66.122381808211969</v>
      </c>
      <c r="F620" s="70">
        <v>89.274514139696421</v>
      </c>
      <c r="G620" s="70">
        <v>87.78224344522171</v>
      </c>
      <c r="H620" s="70">
        <v>36.108053328542596</v>
      </c>
      <c r="I620" s="70">
        <v>46.790873882768061</v>
      </c>
      <c r="J620" s="70">
        <v>70.427172510369488</v>
      </c>
      <c r="K620" s="70">
        <v>85.497396652109458</v>
      </c>
      <c r="L620" s="70">
        <v>144.70707657683408</v>
      </c>
      <c r="M620" s="70">
        <v>135.12517248234693</v>
      </c>
      <c r="N620" s="70">
        <v>171.85112474608314</v>
      </c>
      <c r="O620" s="70">
        <v>167.08739260627357</v>
      </c>
      <c r="P620" s="70">
        <v>203.2063750349252</v>
      </c>
      <c r="Q620" s="70">
        <v>193.39312823197241</v>
      </c>
      <c r="R620" s="70">
        <v>284.51152407113909</v>
      </c>
      <c r="S620" s="70">
        <v>232.38987466982584</v>
      </c>
      <c r="T620" s="70">
        <v>150.55396639857091</v>
      </c>
      <c r="U620" s="70">
        <v>125.97808213967649</v>
      </c>
      <c r="V620" s="70">
        <v>163.0311507095681</v>
      </c>
      <c r="X620" s="193">
        <f>((0-('Appendix K'!$I$30))/(1+$Y$16)^0)</f>
        <v>-33594902.4440751</v>
      </c>
      <c r="Y620" s="193">
        <f>(((B620*'Appendix K'!$C$5*1000)-('Appendix K'!$E$31+'Appendix K'!$F$31+'Appendix K'!$H$31+'Appendix K'!$G$31))/((1+$Y$16)^1))</f>
        <v>34971064.972647354</v>
      </c>
      <c r="Z620" s="193">
        <f>+(((C620*'Appendix K'!$C$6*1000)-('Appendix K'!$E$32+'Appendix K'!$F$32+'Appendix K'!$H$32+'Appendix K'!$G$32))/((1+$Y$16)^2))</f>
        <v>9999603.243820196</v>
      </c>
      <c r="AA620" s="193">
        <f>(((D620*'Appendix K'!$C$7*1000)-('Appendix K'!$E$33+'Appendix K'!$F$33+'Appendix K'!$H$33+'Appendix K'!$G$33))/((1+$Y$16)^3))</f>
        <v>5014829.6579723274</v>
      </c>
      <c r="AB620" s="193">
        <f>(((E620*'Appendix K'!$C$8*1000)-('Appendix K'!$E$34+'Appendix K'!$F$34+'Appendix K'!$H$34+'Appendix K'!$G$34))/((1+$Y$16)^4))</f>
        <v>11200212.911359666</v>
      </c>
      <c r="AC620" s="193">
        <f>(((F620*'Appendix K'!$C$9*1000)-('Appendix K'!$E$35+'Appendix K'!$F$35+'Appendix K'!$H$35+'Appendix K'!$G$35))/((1+$Y$16)^AC$34))</f>
        <v>20744797.15302854</v>
      </c>
      <c r="AD620" s="193">
        <f>(((G620*'Appendix K'!$C$10*1000)-('Appendix K'!$E$36+'Appendix K'!$F$36+'Appendix K'!$H$36+'Appendix K'!$G$36))/((1+$Y$16)^AD$34))</f>
        <v>11269907.405814083</v>
      </c>
      <c r="AE620" s="193">
        <f>(((H620*'Appendix K'!$C$11*1000)-('Appendix K'!$E$37+'Appendix K'!$F$37+'Appendix K'!$H$37+'Appendix K'!$G$37))/((1+$Y$16)^AE$34))</f>
        <v>1381390.6554997666</v>
      </c>
      <c r="AF620" s="193">
        <f>(((I620*'Appendix K'!$C$12*1000)-('Appendix K'!$E$38+'Appendix K'!$F$38+'Appendix K'!$H$38+'Appendix K'!$G$38))/((1+$Y$16)^AF$34))</f>
        <v>1075823.3317751233</v>
      </c>
      <c r="AG620" s="193">
        <f>(((J620*'Appendix K'!$C$13*1000)-('Appendix K'!$E$39+'Appendix K'!$F$39+'Appendix K'!$H$39+'Appendix K'!$G$39))/((1+$Y$16)^AG$34))</f>
        <v>1426039.4312705302</v>
      </c>
      <c r="AH620" s="193">
        <f>(((K620*'Appendix K'!$C$14*1000)-('Appendix K'!$E$40+'Appendix K'!$F$40+'Appendix K'!$H$40+'Appendix K'!$G$40))/((1+$Y$16)^AH$34))</f>
        <v>1249079.1317762178</v>
      </c>
      <c r="AI620" s="193">
        <f>(((L620*'Appendix K'!$C$15*1000)-('Appendix K'!$E$41+'Appendix K'!$F$41+'Appendix K'!$H$41+'Appendix K'!$G$41))/((1+$Y$16)^AI$34))</f>
        <v>2275114.6615421311</v>
      </c>
      <c r="AJ620" s="193">
        <f>(((M620*'Appendix K'!$C$16*1000)-('Appendix K'!$E$42+'Appendix K'!$F$42+'Appendix K'!$H$42+'Appendix K'!$G$42))/((1+$Y$16)^AJ$34))</f>
        <v>1326609.7735555638</v>
      </c>
      <c r="AK620" s="193">
        <f>(((N620*'Appendix K'!$C$17*1000)-('Appendix K'!$E$43+'Appendix K'!$F$43+'Appendix K'!$H$43))/((1+$Y$16)^AK$34))</f>
        <v>1636044.4430525664</v>
      </c>
      <c r="AL620" s="193">
        <f>(((O620*'Appendix K'!$C$18*1000)-('Appendix K'!$E$44+'Appendix K'!$F$44+'Appendix K'!$H$44+'Appendix K'!$G$44))/((1+$Y$16)^AL$34))</f>
        <v>845946.90471247339</v>
      </c>
      <c r="AM620" s="193">
        <f>(((P620*'Appendix K'!$C$19*1000)-('Appendix K'!$E$45+'Appendix K'!$F$45+'Appendix K'!$H$45+'Appendix K'!$G$45))/((1+$Y$16)^AM$34))</f>
        <v>856699.44656543923</v>
      </c>
      <c r="AN620" s="193">
        <f>(((Q620*'Appendix K'!$C$20*1000)-('Appendix K'!$E$46+'Appendix K'!$F$46+'Appendix K'!$H$46+'Appendix K'!$G$46))/((1+$Y$16)^AN$34))</f>
        <v>483725.78222844441</v>
      </c>
      <c r="AO620" s="193">
        <f>(((R620*'Appendix K'!$C$21*1000)-('Appendix K'!$E$47+'Appendix K'!$F$47+'Appendix K'!$H$47+'Appendix K'!$G$47))/((1+$Y$16)^AO$34))</f>
        <v>838495.61472405563</v>
      </c>
      <c r="AP620" s="193">
        <f>(((S620*'Appendix K'!$C$22*1000)-('Appendix K'!$E$48+'Appendix K'!$F$48+'Appendix K'!$H$48+'Appendix K'!$G$48))/((1+$Y$16)^AP$34))</f>
        <v>348629.04470069095</v>
      </c>
      <c r="AQ620" s="193">
        <f>(((T620*'Appendix K'!$C$23*1000)-('Appendix K'!$E$49+'Appendix K'!$F$49+'Appendix K'!$H$49+'Appendix K'!$G$49))/((1+$Y$16)^AQ$34))</f>
        <v>-104255.94983165349</v>
      </c>
      <c r="AR620" s="193">
        <f>(((U620*'Appendix K'!$C$24*1000)-('Appendix K'!$E$50+'Appendix K'!$F$50+'Appendix K'!$H$50+'Appendix K'!$G$50))/((1+$Y$16)^AR$34))</f>
        <v>-223635.91505648204</v>
      </c>
      <c r="AS620" s="209">
        <f t="shared" si="34"/>
        <v>73349111.121970057</v>
      </c>
      <c r="AU620" s="199">
        <f t="shared" si="33"/>
        <v>6.8109820871579257E-9</v>
      </c>
    </row>
    <row r="621" spans="1:47" x14ac:dyDescent="0.35">
      <c r="A621">
        <v>587</v>
      </c>
      <c r="B621" s="70">
        <v>56</v>
      </c>
      <c r="C621" s="70">
        <v>57.010667583003332</v>
      </c>
      <c r="D621" s="70">
        <v>72.59910596129339</v>
      </c>
      <c r="E621" s="70">
        <v>95.668612723796144</v>
      </c>
      <c r="F621" s="70">
        <v>141.54171881925657</v>
      </c>
      <c r="G621" s="70">
        <v>189.11550186105583</v>
      </c>
      <c r="H621" s="70">
        <v>224.4804659460988</v>
      </c>
      <c r="I621" s="70">
        <v>260.26190251852177</v>
      </c>
      <c r="J621" s="70">
        <v>340.27914480498782</v>
      </c>
      <c r="K621" s="70">
        <v>278.54553453336382</v>
      </c>
      <c r="L621" s="70">
        <v>265.8353150133774</v>
      </c>
      <c r="M621" s="70">
        <v>189.75610216762334</v>
      </c>
      <c r="N621" s="70">
        <v>95.511053463951171</v>
      </c>
      <c r="O621" s="70">
        <v>38.117917952763037</v>
      </c>
      <c r="P621" s="70">
        <v>62.630042934144882</v>
      </c>
      <c r="Q621" s="70">
        <v>60.260848736294491</v>
      </c>
      <c r="R621" s="70">
        <v>77.473998412129149</v>
      </c>
      <c r="S621" s="70">
        <v>87.776801194657679</v>
      </c>
      <c r="T621" s="70">
        <v>100.73428096779735</v>
      </c>
      <c r="U621" s="70">
        <v>91.295973958134923</v>
      </c>
      <c r="V621" s="70">
        <v>70.889263410822281</v>
      </c>
      <c r="X621" s="193">
        <f>((0-('Appendix K'!$I$30))/(1+$Y$16)^0)</f>
        <v>-33594902.4440751</v>
      </c>
      <c r="Y621" s="193">
        <f>(((B621*'Appendix K'!$C$5*1000)-('Appendix K'!$E$31+'Appendix K'!$F$31+'Appendix K'!$H$31+'Appendix K'!$G$31))/((1+$Y$16)^1))</f>
        <v>34971064.972647354</v>
      </c>
      <c r="Z621" s="193">
        <f>+(((C621*'Appendix K'!$C$6*1000)-('Appendix K'!$E$32+'Appendix K'!$F$32+'Appendix K'!$H$32+'Appendix K'!$G$32))/((1+$Y$16)^2))</f>
        <v>10914622.022102172</v>
      </c>
      <c r="AA621" s="193">
        <f>(((D621*'Appendix K'!$C$7*1000)-('Appendix K'!$E$33+'Appendix K'!$F$33+'Appendix K'!$H$33+'Appendix K'!$G$33))/((1+$Y$16)^3))</f>
        <v>6282403.7922370853</v>
      </c>
      <c r="AB621" s="193">
        <f>(((E621*'Appendix K'!$C$8*1000)-('Appendix K'!$E$34+'Appendix K'!$F$34+'Appendix K'!$H$34+'Appendix K'!$G$34))/((1+$Y$16)^4))</f>
        <v>17676476.25834449</v>
      </c>
      <c r="AC621" s="193">
        <f>(((F621*'Appendix K'!$C$9*1000)-('Appendix K'!$E$35+'Appendix K'!$F$35+'Appendix K'!$H$35+'Appendix K'!$G$35))/((1+$Y$16)^AC$34))</f>
        <v>34637338.082616061</v>
      </c>
      <c r="AD621" s="193">
        <f>(((G621*'Appendix K'!$C$10*1000)-('Appendix K'!$E$36+'Appendix K'!$F$36+'Appendix K'!$H$36+'Appendix K'!$G$36))/((1+$Y$16)^AD$34))</f>
        <v>27183682.727460876</v>
      </c>
      <c r="AE621" s="193">
        <f>(((H621*'Appendix K'!$C$11*1000)-('Appendix K'!$E$37+'Appendix K'!$F$37+'Appendix K'!$H$37+'Appendix K'!$G$37))/((1+$Y$16)^AE$34))</f>
        <v>20169208.428182442</v>
      </c>
      <c r="AF621" s="193">
        <f>(((I621*'Appendix K'!$C$12*1000)-('Appendix K'!$E$38+'Appendix K'!$F$38+'Appendix K'!$H$38+'Appendix K'!$G$38))/((1+$Y$16)^AF$34))</f>
        <v>15092849.174518799</v>
      </c>
      <c r="AG621" s="193">
        <f>(((J621*'Appendix K'!$C$13*1000)-('Appendix K'!$E$39+'Appendix K'!$F$39+'Appendix K'!$H$39+'Appendix K'!$G$39))/((1+$Y$16)^AG$34))</f>
        <v>13844339.145963248</v>
      </c>
      <c r="AH621" s="193">
        <f>(((K621*'Appendix K'!$C$14*1000)-('Appendix K'!$E$40+'Appendix K'!$F$40+'Appendix K'!$H$40+'Appendix K'!$G$40))/((1+$Y$16)^AH$34))</f>
        <v>7756061.3564966489</v>
      </c>
      <c r="AI621" s="193">
        <f>(((L621*'Appendix K'!$C$15*1000)-('Appendix K'!$E$41+'Appendix K'!$F$41+'Appendix K'!$H$41+'Appendix K'!$G$41))/((1+$Y$16)^AI$34))</f>
        <v>5448901.0194961429</v>
      </c>
      <c r="AJ621" s="193">
        <f>(((M621*'Appendix K'!$C$16*1000)-('Appendix K'!$E$42+'Appendix K'!$F$42+'Appendix K'!$H$42+'Appendix K'!$G$42))/((1+$Y$16)^AJ$34))</f>
        <v>2421515.5991894957</v>
      </c>
      <c r="AK621" s="193">
        <f>(((N621*'Appendix K'!$C$17*1000)-('Appendix K'!$E$43+'Appendix K'!$F$43+'Appendix K'!$H$43))/((1+$Y$16)^AK$34))</f>
        <v>463163.41558448848</v>
      </c>
      <c r="AL621" s="193">
        <f>(((O621*'Appendix K'!$C$18*1000)-('Appendix K'!$E$44+'Appendix K'!$F$44+'Appendix K'!$H$44+'Appendix K'!$G$44))/((1+$Y$16)^AL$34))</f>
        <v>-682766.22789769818</v>
      </c>
      <c r="AM621" s="193">
        <f>(((P621*'Appendix K'!$C$19*1000)-('Appendix K'!$E$45+'Appendix K'!$F$45+'Appendix K'!$H$45+'Appendix K'!$G$45))/((1+$Y$16)^AM$34))</f>
        <v>-446264.87201813399</v>
      </c>
      <c r="AN621" s="193">
        <f>(((Q621*'Appendix K'!$C$20*1000)-('Appendix K'!$E$46+'Appendix K'!$F$46+'Appendix K'!$H$46+'Appendix K'!$G$46))/((1+$Y$16)^AN$34))</f>
        <v>-479648.26738020382</v>
      </c>
      <c r="AO621" s="193">
        <f>(((R621*'Appendix K'!$C$21*1000)-('Appendix K'!$E$47+'Appendix K'!$F$47+'Appendix K'!$H$47+'Appendix K'!$G$47))/((1+$Y$16)^AO$34))</f>
        <v>-385119.03543485835</v>
      </c>
      <c r="AP621" s="193">
        <f>(((S621*'Appendix K'!$C$22*1000)-('Appendix K'!$E$48+'Appendix K'!$F$48+'Appendix K'!$H$48+'Appendix K'!$G$48))/((1+$Y$16)^AP$34))</f>
        <v>-344026.99038379791</v>
      </c>
      <c r="AQ621" s="193">
        <f>(((T621*'Appendix K'!$C$23*1000)-('Appendix K'!$E$49+'Appendix K'!$F$49+'Appendix K'!$H$49+'Appendix K'!$G$49))/((1+$Y$16)^AQ$34))</f>
        <v>-299237.44444113568</v>
      </c>
      <c r="AR621" s="193">
        <f>(((U621*'Appendix K'!$C$24*1000)-('Appendix K'!$E$50+'Appendix K'!$F$50+'Appendix K'!$H$50+'Appendix K'!$G$50))/((1+$Y$16)^AR$34))</f>
        <v>-335313.27515412995</v>
      </c>
      <c r="AS621" s="209">
        <f t="shared" si="34"/>
        <v>163266723.5507642</v>
      </c>
      <c r="AU621" s="199">
        <f t="shared" si="33"/>
        <v>2.8912448069359366E-9</v>
      </c>
    </row>
    <row r="622" spans="1:47" x14ac:dyDescent="0.35">
      <c r="A622">
        <v>588</v>
      </c>
      <c r="B622" s="70">
        <v>56</v>
      </c>
      <c r="C622" s="70">
        <v>60.919099941009947</v>
      </c>
      <c r="D622" s="70">
        <v>105.43763177370352</v>
      </c>
      <c r="E622" s="70">
        <v>108.83790374819056</v>
      </c>
      <c r="F622" s="70">
        <v>46.851426068313224</v>
      </c>
      <c r="G622" s="70">
        <v>63.637726046497718</v>
      </c>
      <c r="H622" s="70">
        <v>83.101102478204893</v>
      </c>
      <c r="I622" s="70">
        <v>35.899915676351391</v>
      </c>
      <c r="J622" s="70">
        <v>37.840681992838761</v>
      </c>
      <c r="K622" s="70">
        <v>26.189254634062159</v>
      </c>
      <c r="L622" s="70">
        <v>26.936004730551531</v>
      </c>
      <c r="M622" s="70">
        <v>23.06001622407322</v>
      </c>
      <c r="N622" s="70">
        <v>9.5343173448719547</v>
      </c>
      <c r="O622" s="70">
        <v>10.070882025197143</v>
      </c>
      <c r="P622" s="70">
        <v>11.201156885533178</v>
      </c>
      <c r="Q622" s="70">
        <v>11.142948422616911</v>
      </c>
      <c r="R622" s="70">
        <v>10.869053085955779</v>
      </c>
      <c r="S622" s="70">
        <v>7.4107490614525133</v>
      </c>
      <c r="T622" s="70">
        <v>7.7933585849944196</v>
      </c>
      <c r="U622" s="70">
        <v>8.5505953658913523</v>
      </c>
      <c r="V622" s="70">
        <v>8.8258073408170929</v>
      </c>
      <c r="X622" s="193">
        <f>((0-('Appendix K'!$I$30))/(1+$Y$16)^0)</f>
        <v>-33594902.4440751</v>
      </c>
      <c r="Y622" s="193">
        <f>(((B622*'Appendix K'!$C$5*1000)-('Appendix K'!$E$31+'Appendix K'!$F$31+'Appendix K'!$H$31+'Appendix K'!$G$31))/((1+$Y$16)^1))</f>
        <v>34971064.972647354</v>
      </c>
      <c r="Z622" s="193">
        <f>+(((C622*'Appendix K'!$C$6*1000)-('Appendix K'!$E$32+'Appendix K'!$F$32+'Appendix K'!$H$32+'Appendix K'!$G$32))/((1+$Y$16)^2))</f>
        <v>11901958.882138243</v>
      </c>
      <c r="AA622" s="193">
        <f>(((D622*'Appendix K'!$C$7*1000)-('Appendix K'!$E$33+'Appendix K'!$F$33+'Appendix K'!$H$33+'Appendix K'!$G$33))/((1+$Y$16)^3))</f>
        <v>10465206.82603295</v>
      </c>
      <c r="AB622" s="193">
        <f>(((E622*'Appendix K'!$C$8*1000)-('Appendix K'!$E$34+'Appendix K'!$F$34+'Appendix K'!$H$34+'Appendix K'!$G$34))/((1+$Y$16)^4))</f>
        <v>20563064.297635712</v>
      </c>
      <c r="AC622" s="193">
        <f>(((F622*'Appendix K'!$C$9*1000)-('Appendix K'!$E$35+'Appendix K'!$F$35+'Appendix K'!$H$35+'Appendix K'!$G$35))/((1+$Y$16)^AC$34))</f>
        <v>9468806.9598574359</v>
      </c>
      <c r="AD622" s="193">
        <f>(((G622*'Appendix K'!$C$10*1000)-('Appendix K'!$E$36+'Appendix K'!$F$36+'Appendix K'!$H$36+'Appendix K'!$G$36))/((1+$Y$16)^AD$34))</f>
        <v>7478156.986063974</v>
      </c>
      <c r="AE622" s="193">
        <f>(((H622*'Appendix K'!$C$11*1000)-('Appendix K'!$E$37+'Appendix K'!$F$37+'Appendix K'!$H$37+'Appendix K'!$G$37))/((1+$Y$16)^AE$34))</f>
        <v>6068365.9494833946</v>
      </c>
      <c r="AF622" s="193">
        <f>(((I622*'Appendix K'!$C$12*1000)-('Appendix K'!$E$38+'Appendix K'!$F$38+'Appendix K'!$H$38+'Appendix K'!$G$38))/((1+$Y$16)^AF$34))</f>
        <v>360696.58316107094</v>
      </c>
      <c r="AG622" s="193">
        <f>(((J622*'Appendix K'!$C$13*1000)-('Appendix K'!$E$39+'Appendix K'!$F$39+'Appendix K'!$H$39+'Appendix K'!$G$39))/((1+$Y$16)^AG$34))</f>
        <v>-73556.078281204464</v>
      </c>
      <c r="AH622" s="193">
        <f>(((K622*'Appendix K'!$C$14*1000)-('Appendix K'!$E$40+'Appendix K'!$F$40+'Appendix K'!$H$40+'Appendix K'!$G$40))/((1+$Y$16)^AH$34))</f>
        <v>-749992.34401294403</v>
      </c>
      <c r="AI622" s="193">
        <f>(((L622*'Appendix K'!$C$15*1000)-('Appendix K'!$E$41+'Appendix K'!$F$41+'Appendix K'!$H$41+'Appendix K'!$G$41))/((1+$Y$16)^AI$34))</f>
        <v>-810707.65381474001</v>
      </c>
      <c r="AJ622" s="193">
        <f>(((M622*'Appendix K'!$C$16*1000)-('Appendix K'!$E$42+'Appendix K'!$F$42+'Appendix K'!$H$42+'Appendix K'!$G$42))/((1+$Y$16)^AJ$34))</f>
        <v>-919385.18103569804</v>
      </c>
      <c r="AK622" s="193">
        <f>(((N622*'Appendix K'!$C$17*1000)-('Appendix K'!$E$43+'Appendix K'!$F$43+'Appendix K'!$H$43))/((1+$Y$16)^AK$34))</f>
        <v>-857774.34232012019</v>
      </c>
      <c r="AL622" s="193">
        <f>(((O622*'Appendix K'!$C$18*1000)-('Appendix K'!$E$44+'Appendix K'!$F$44+'Appendix K'!$H$44+'Appendix K'!$G$44))/((1+$Y$16)^AL$34))</f>
        <v>-1015215.9976470876</v>
      </c>
      <c r="AM622" s="193">
        <f>(((P622*'Appendix K'!$C$19*1000)-('Appendix K'!$E$45+'Appendix K'!$F$45+'Appendix K'!$H$45+'Appendix K'!$G$45))/((1+$Y$16)^AM$34))</f>
        <v>-922945.4231780658</v>
      </c>
      <c r="AN622" s="193">
        <f>(((Q622*'Appendix K'!$C$20*1000)-('Appendix K'!$E$46+'Appendix K'!$F$46+'Appendix K'!$H$46+'Appendix K'!$G$46))/((1+$Y$16)^AN$34))</f>
        <v>-835076.04727484344</v>
      </c>
      <c r="AO622" s="193">
        <f>(((R622*'Appendix K'!$C$21*1000)-('Appendix K'!$E$47+'Appendix K'!$F$47+'Appendix K'!$H$47+'Appendix K'!$G$47))/((1+$Y$16)^AO$34))</f>
        <v>-778761.62082958245</v>
      </c>
      <c r="AP622" s="193">
        <f>(((S622*'Appendix K'!$C$22*1000)-('Appendix K'!$E$48+'Appendix K'!$F$48+'Appendix K'!$H$48+'Appendix K'!$G$48))/((1+$Y$16)^AP$34))</f>
        <v>-728957.8247010546</v>
      </c>
      <c r="AQ622" s="193">
        <f>(((T622*'Appendix K'!$C$23*1000)-('Appendix K'!$E$49+'Appendix K'!$F$49+'Appendix K'!$H$49+'Appendix K'!$G$49))/((1+$Y$16)^AQ$34))</f>
        <v>-662984.4211610849</v>
      </c>
      <c r="AR622" s="193">
        <f>(((U622*'Appendix K'!$C$24*1000)-('Appendix K'!$E$50+'Appendix K'!$F$50+'Appendix K'!$H$50+'Appendix K'!$G$50))/((1+$Y$16)^AR$34))</f>
        <v>-601755.71265221434</v>
      </c>
      <c r="AS622" s="209">
        <f t="shared" si="34"/>
        <v>67682419.012945026</v>
      </c>
      <c r="AU622" s="199">
        <f t="shared" si="33"/>
        <v>6.6090987541454453E-9</v>
      </c>
    </row>
    <row r="623" spans="1:47" x14ac:dyDescent="0.35">
      <c r="A623">
        <v>589</v>
      </c>
      <c r="B623" s="70">
        <v>56</v>
      </c>
      <c r="C623" s="70">
        <v>69.752267256671502</v>
      </c>
      <c r="D623" s="70">
        <v>72.19696500101692</v>
      </c>
      <c r="E623" s="70">
        <v>80.212619087240938</v>
      </c>
      <c r="F623" s="70">
        <v>89.293655297453014</v>
      </c>
      <c r="G623" s="70">
        <v>128.41681788431816</v>
      </c>
      <c r="H623" s="70">
        <v>116.24052577892971</v>
      </c>
      <c r="I623" s="70">
        <v>110.83430174137912</v>
      </c>
      <c r="J623" s="70">
        <v>98.138162374431289</v>
      </c>
      <c r="K623" s="70">
        <v>158.67311273639581</v>
      </c>
      <c r="L623" s="70">
        <v>202.89071618790763</v>
      </c>
      <c r="M623" s="70">
        <v>223.79985484487105</v>
      </c>
      <c r="N623" s="70">
        <v>181.07748111088864</v>
      </c>
      <c r="O623" s="70">
        <v>215.97264994753755</v>
      </c>
      <c r="P623" s="70">
        <v>104.7399060988329</v>
      </c>
      <c r="Q623" s="70">
        <v>72.396958802418538</v>
      </c>
      <c r="R623" s="70">
        <v>81.065566063148367</v>
      </c>
      <c r="S623" s="70">
        <v>94.775504416267921</v>
      </c>
      <c r="T623" s="70">
        <v>54.692282082976426</v>
      </c>
      <c r="U623" s="70">
        <v>70.851018312175398</v>
      </c>
      <c r="V623" s="70">
        <v>96.04422685748554</v>
      </c>
      <c r="X623" s="193">
        <f>((0-('Appendix K'!$I$30))/(1+$Y$16)^0)</f>
        <v>-33594902.4440751</v>
      </c>
      <c r="Y623" s="193">
        <f>(((B623*'Appendix K'!$C$5*1000)-('Appendix K'!$E$31+'Appendix K'!$F$31+'Appendix K'!$H$31+'Appendix K'!$G$31))/((1+$Y$16)^1))</f>
        <v>34971064.972647354</v>
      </c>
      <c r="Z623" s="193">
        <f>+(((C623*'Appendix K'!$C$6*1000)-('Appendix K'!$E$32+'Appendix K'!$F$32+'Appendix K'!$H$32+'Appendix K'!$G$32))/((1+$Y$16)^2))</f>
        <v>14133368.020831022</v>
      </c>
      <c r="AA623" s="193">
        <f>(((D623*'Appendix K'!$C$7*1000)-('Appendix K'!$E$33+'Appendix K'!$F$33+'Appendix K'!$H$33+'Appendix K'!$G$33))/((1+$Y$16)^3))</f>
        <v>6231181.1387517592</v>
      </c>
      <c r="AB623" s="193">
        <f>(((E623*'Appendix K'!$C$8*1000)-('Appendix K'!$E$34+'Appendix K'!$F$34+'Appendix K'!$H$34+'Appendix K'!$G$34))/((1+$Y$16)^4))</f>
        <v>14288663.939215256</v>
      </c>
      <c r="AC623" s="193">
        <f>(((F623*'Appendix K'!$C$9*1000)-('Appendix K'!$E$35+'Appendix K'!$F$35+'Appendix K'!$H$35+'Appendix K'!$G$35))/((1+$Y$16)^AC$34))</f>
        <v>20749884.842703234</v>
      </c>
      <c r="AD623" s="193">
        <f>(((G623*'Appendix K'!$C$10*1000)-('Appendix K'!$E$36+'Appendix K'!$F$36+'Appendix K'!$H$36+'Appendix K'!$G$36))/((1+$Y$16)^AD$34))</f>
        <v>17651321.54391377</v>
      </c>
      <c r="AE623" s="193">
        <f>(((H623*'Appendix K'!$C$11*1000)-('Appendix K'!$E$37+'Appendix K'!$F$37+'Appendix K'!$H$37+'Appendix K'!$G$37))/((1+$Y$16)^AE$34))</f>
        <v>9373613.4505061861</v>
      </c>
      <c r="AF623" s="193">
        <f>(((I623*'Appendix K'!$C$12*1000)-('Appendix K'!$E$38+'Appendix K'!$F$38+'Appendix K'!$H$38+'Appendix K'!$G$38))/((1+$Y$16)^AF$34))</f>
        <v>5281070.2408710979</v>
      </c>
      <c r="AG623" s="193">
        <f>(((J623*'Appendix K'!$C$13*1000)-('Appendix K'!$E$39+'Appendix K'!$F$39+'Appendix K'!$H$39+'Appendix K'!$G$39))/((1+$Y$16)^AG$34))</f>
        <v>2701269.6050453032</v>
      </c>
      <c r="AH623" s="193">
        <f>(((K623*'Appendix K'!$C$14*1000)-('Appendix K'!$E$40+'Appendix K'!$F$40+'Appendix K'!$H$40+'Appendix K'!$G$40))/((1+$Y$16)^AH$34))</f>
        <v>3715578.3638720294</v>
      </c>
      <c r="AI623" s="193">
        <f>(((L623*'Appendix K'!$C$15*1000)-('Appendix K'!$E$41+'Appendix K'!$F$41+'Appendix K'!$H$41+'Appendix K'!$G$41))/((1+$Y$16)^AI$34))</f>
        <v>3799634.8232918531</v>
      </c>
      <c r="AJ623" s="193">
        <f>(((M623*'Appendix K'!$C$16*1000)-('Appendix K'!$E$42+'Appendix K'!$F$42+'Appendix K'!$H$42+'Appendix K'!$G$42))/((1+$Y$16)^AJ$34))</f>
        <v>3103815.9617770505</v>
      </c>
      <c r="AK623" s="193">
        <f>(((N623*'Appendix K'!$C$17*1000)-('Appendix K'!$E$43+'Appendix K'!$F$43+'Appendix K'!$H$43))/((1+$Y$16)^AK$34))</f>
        <v>1777797.2361950653</v>
      </c>
      <c r="AL623" s="193">
        <f>(((O623*'Appendix K'!$C$18*1000)-('Appendix K'!$E$44+'Appendix K'!$F$44+'Appendix K'!$H$44+'Appendix K'!$G$44))/((1+$Y$16)^AL$34))</f>
        <v>1425398.2445693803</v>
      </c>
      <c r="AM623" s="193">
        <f>(((P623*'Appendix K'!$C$19*1000)-('Appendix K'!$E$45+'Appendix K'!$F$45+'Appendix K'!$H$45+'Appendix K'!$G$45))/((1+$Y$16)^AM$34))</f>
        <v>-55959.844535341304</v>
      </c>
      <c r="AN623" s="193">
        <f>(((Q623*'Appendix K'!$C$20*1000)-('Appendix K'!$E$46+'Appendix K'!$F$46+'Appendix K'!$H$46+'Appendix K'!$G$46))/((1+$Y$16)^AN$34))</f>
        <v>-391828.74273007747</v>
      </c>
      <c r="AO623" s="193">
        <f>(((R623*'Appendix K'!$C$21*1000)-('Appendix K'!$E$47+'Appendix K'!$F$47+'Appendix K'!$H$47+'Appendix K'!$G$47))/((1+$Y$16)^AO$34))</f>
        <v>-363892.47382079612</v>
      </c>
      <c r="AP623" s="193">
        <f>(((S623*'Appendix K'!$C$22*1000)-('Appendix K'!$E$48+'Appendix K'!$F$48+'Appendix K'!$H$48+'Appendix K'!$G$48))/((1+$Y$16)^AP$34))</f>
        <v>-310505.16619654006</v>
      </c>
      <c r="AQ623" s="193">
        <f>(((T623*'Appendix K'!$C$23*1000)-('Appendix K'!$E$49+'Appendix K'!$F$49+'Appendix K'!$H$49+'Appendix K'!$G$49))/((1+$Y$16)^AQ$34))</f>
        <v>-479434.0410223176</v>
      </c>
      <c r="AR623" s="193">
        <f>(((U623*'Appendix K'!$C$24*1000)-('Appendix K'!$E$50+'Appendix K'!$F$50+'Appendix K'!$H$50+'Appendix K'!$G$50))/((1+$Y$16)^AR$34))</f>
        <v>-401146.60517844028</v>
      </c>
      <c r="AS623" s="209">
        <f t="shared" si="34"/>
        <v>105608759.94011527</v>
      </c>
      <c r="AU623" s="199">
        <f t="shared" si="33"/>
        <v>6.6851378213442509E-9</v>
      </c>
    </row>
    <row r="624" spans="1:47" x14ac:dyDescent="0.35">
      <c r="A624">
        <v>590</v>
      </c>
      <c r="B624" s="70">
        <v>56</v>
      </c>
      <c r="C624" s="70">
        <v>63.164682874029964</v>
      </c>
      <c r="D624" s="70">
        <v>62.106801604034999</v>
      </c>
      <c r="E624" s="70">
        <v>79.961108944769322</v>
      </c>
      <c r="F624" s="70">
        <v>141.41757696442835</v>
      </c>
      <c r="G624" s="70">
        <v>192.69095075852547</v>
      </c>
      <c r="H624" s="70">
        <v>326.48657174515779</v>
      </c>
      <c r="I624" s="70">
        <v>324.91236164242639</v>
      </c>
      <c r="J624" s="70">
        <v>230.67316906976984</v>
      </c>
      <c r="K624" s="70">
        <v>306.27647171573807</v>
      </c>
      <c r="L624" s="70">
        <v>338.12665091278541</v>
      </c>
      <c r="M624" s="70">
        <v>225.26617851888716</v>
      </c>
      <c r="N624" s="70">
        <v>119.21839126144758</v>
      </c>
      <c r="O624" s="70">
        <v>145.51777466681955</v>
      </c>
      <c r="P624" s="70">
        <v>180.80915349355067</v>
      </c>
      <c r="Q624" s="70">
        <v>236.8712233046179</v>
      </c>
      <c r="R624" s="70">
        <v>211.28498386215219</v>
      </c>
      <c r="S624" s="70">
        <v>202.27236605040247</v>
      </c>
      <c r="T624" s="70">
        <v>257.2936592327024</v>
      </c>
      <c r="U624" s="70">
        <v>247.44753738178986</v>
      </c>
      <c r="V624" s="70">
        <v>175.06251110459579</v>
      </c>
      <c r="X624" s="193">
        <f>((0-('Appendix K'!$I$30))/(1+$Y$16)^0)</f>
        <v>-33594902.4440751</v>
      </c>
      <c r="Y624" s="193">
        <f>(((B624*'Appendix K'!$C$5*1000)-('Appendix K'!$E$31+'Appendix K'!$F$31+'Appendix K'!$H$31+'Appendix K'!$G$31))/((1+$Y$16)^1))</f>
        <v>34971064.972647354</v>
      </c>
      <c r="Z624" s="193">
        <f>+(((C624*'Appendix K'!$C$6*1000)-('Appendix K'!$E$32+'Appendix K'!$F$32+'Appendix K'!$H$32+'Appendix K'!$G$32))/((1+$Y$16)^2))</f>
        <v>12469231.537502648</v>
      </c>
      <c r="AA624" s="193">
        <f>(((D624*'Appendix K'!$C$7*1000)-('Appendix K'!$E$33+'Appendix K'!$F$33+'Appendix K'!$H$33+'Appendix K'!$G$33))/((1+$Y$16)^3))</f>
        <v>4945947.8639851408</v>
      </c>
      <c r="AB624" s="193">
        <f>(((E624*'Appendix K'!$C$8*1000)-('Appendix K'!$E$34+'Appendix K'!$F$34+'Appendix K'!$H$34+'Appendix K'!$G$34))/((1+$Y$16)^4))</f>
        <v>14233535.218339227</v>
      </c>
      <c r="AC624" s="193">
        <f>(((F624*'Appendix K'!$C$9*1000)-('Appendix K'!$E$35+'Appendix K'!$F$35+'Appendix K'!$H$35+'Appendix K'!$G$35))/((1+$Y$16)^AC$34))</f>
        <v>34604341.372540414</v>
      </c>
      <c r="AD624" s="193">
        <f>(((G624*'Appendix K'!$C$10*1000)-('Appendix K'!$E$36+'Appendix K'!$F$36+'Appendix K'!$H$36+'Appendix K'!$G$36))/((1+$Y$16)^AD$34))</f>
        <v>27745185.35076417</v>
      </c>
      <c r="AE624" s="193">
        <f>(((H624*'Appendix K'!$C$11*1000)-('Appendix K'!$E$37+'Appendix K'!$F$37+'Appendix K'!$H$37+'Appendix K'!$G$37))/((1+$Y$16)^AE$34))</f>
        <v>30343055.547424015</v>
      </c>
      <c r="AF624" s="193">
        <f>(((I624*'Appendix K'!$C$12*1000)-('Appendix K'!$E$38+'Appendix K'!$F$38+'Appendix K'!$H$38+'Appendix K'!$G$38))/((1+$Y$16)^AF$34))</f>
        <v>19337955.229782525</v>
      </c>
      <c r="AG624" s="193">
        <f>(((J624*'Appendix K'!$C$13*1000)-('Appendix K'!$E$39+'Appendix K'!$F$39+'Appendix K'!$H$39+'Appendix K'!$G$39))/((1+$Y$16)^AG$34))</f>
        <v>8800389.1402347963</v>
      </c>
      <c r="AH624" s="193">
        <f>(((K624*'Appendix K'!$C$14*1000)-('Appendix K'!$E$40+'Appendix K'!$F$40+'Appendix K'!$H$40+'Appendix K'!$G$40))/((1+$Y$16)^AH$34))</f>
        <v>8690774.9326076042</v>
      </c>
      <c r="AI624" s="193">
        <f>(((L624*'Appendix K'!$C$15*1000)-('Appendix K'!$E$41+'Appendix K'!$F$41+'Appendix K'!$H$41+'Appendix K'!$G$41))/((1+$Y$16)^AI$34))</f>
        <v>7343069.2055216478</v>
      </c>
      <c r="AJ624" s="193">
        <f>(((M624*'Appendix K'!$C$16*1000)-('Appendix K'!$E$42+'Appendix K'!$F$42+'Appendix K'!$H$42+'Appendix K'!$G$42))/((1+$Y$16)^AJ$34))</f>
        <v>3133203.8257982968</v>
      </c>
      <c r="AK624" s="193">
        <f>(((N624*'Appendix K'!$C$17*1000)-('Appendix K'!$E$43+'Appendix K'!$F$43+'Appendix K'!$H$43))/((1+$Y$16)^AK$34))</f>
        <v>827400.52261701226</v>
      </c>
      <c r="AL624" s="193">
        <f>(((O624*'Appendix K'!$C$18*1000)-('Appendix K'!$E$44+'Appendix K'!$F$44+'Appendix K'!$H$44+'Appendix K'!$G$44))/((1+$Y$16)^AL$34))</f>
        <v>590275.87637018831</v>
      </c>
      <c r="AM624" s="193">
        <f>(((P624*'Appendix K'!$C$19*1000)-('Appendix K'!$E$45+'Appendix K'!$F$45+'Appendix K'!$H$45+'Appendix K'!$G$45))/((1+$Y$16)^AM$34))</f>
        <v>649105.60720632877</v>
      </c>
      <c r="AN624" s="193">
        <f>(((Q624*'Appendix K'!$C$20*1000)-('Appendix K'!$E$46+'Appendix K'!$F$46+'Appendix K'!$H$46+'Appendix K'!$G$46))/((1+$Y$16)^AN$34))</f>
        <v>798342.70817662578</v>
      </c>
      <c r="AO624" s="193">
        <f>(((R624*'Appendix K'!$C$21*1000)-('Appendix K'!$E$47+'Appendix K'!$F$47+'Appendix K'!$H$47+'Appendix K'!$G$47))/((1+$Y$16)^AO$34))</f>
        <v>405718.67201783456</v>
      </c>
      <c r="AP624" s="193">
        <f>(((S624*'Appendix K'!$C$22*1000)-('Appendix K'!$E$48+'Appendix K'!$F$48+'Appendix K'!$H$48+'Appendix K'!$G$48))/((1+$Y$16)^AP$34))</f>
        <v>204374.63114288205</v>
      </c>
      <c r="AQ624" s="193">
        <f>(((T624*'Appendix K'!$C$23*1000)-('Appendix K'!$E$49+'Appendix K'!$F$49+'Appendix K'!$H$49+'Appendix K'!$G$49))/((1+$Y$16)^AQ$34))</f>
        <v>313495.88185896323</v>
      </c>
      <c r="AR624" s="193">
        <f>(((U624*'Appendix K'!$C$24*1000)-('Appendix K'!$E$50+'Appendix K'!$F$50+'Appendix K'!$H$50+'Appendix K'!$G$50))/((1+$Y$16)^AR$34))</f>
        <v>167499.13425861002</v>
      </c>
      <c r="AS624" s="209">
        <f t="shared" si="34"/>
        <v>176979064.78672114</v>
      </c>
      <c r="AU624" s="199">
        <f t="shared" si="33"/>
        <v>2.0348307410969272E-9</v>
      </c>
    </row>
    <row r="625" spans="1:47" x14ac:dyDescent="0.35">
      <c r="A625">
        <v>591</v>
      </c>
      <c r="B625" s="70">
        <v>56</v>
      </c>
      <c r="C625" s="70">
        <v>75.262197452206848</v>
      </c>
      <c r="D625" s="70">
        <v>51.080207816225169</v>
      </c>
      <c r="E625" s="70">
        <v>80.339799590755803</v>
      </c>
      <c r="F625" s="70">
        <v>48.11537602003974</v>
      </c>
      <c r="G625" s="70">
        <v>39.658100609417772</v>
      </c>
      <c r="H625" s="70">
        <v>31.124398519330139</v>
      </c>
      <c r="I625" s="70">
        <v>22.003326423850261</v>
      </c>
      <c r="J625" s="70">
        <v>19.837573438262247</v>
      </c>
      <c r="K625" s="70">
        <v>27.694163708145524</v>
      </c>
      <c r="L625" s="70">
        <v>24.266423320778973</v>
      </c>
      <c r="M625" s="70">
        <v>25.288305559770912</v>
      </c>
      <c r="N625" s="70">
        <v>31.018824267834994</v>
      </c>
      <c r="O625" s="70">
        <v>41.133943178780726</v>
      </c>
      <c r="P625" s="70">
        <v>35.48862234221901</v>
      </c>
      <c r="Q625" s="70">
        <v>30.820738474623582</v>
      </c>
      <c r="R625" s="70">
        <v>29.008704263777769</v>
      </c>
      <c r="S625" s="70">
        <v>29.806527207532461</v>
      </c>
      <c r="T625" s="70">
        <v>34.708564743132328</v>
      </c>
      <c r="U625" s="70">
        <v>37.037516360098593</v>
      </c>
      <c r="V625" s="70">
        <v>54.474290046208807</v>
      </c>
      <c r="X625" s="193">
        <f>((0-('Appendix K'!$I$30))/(1+$Y$16)^0)</f>
        <v>-33594902.4440751</v>
      </c>
      <c r="Y625" s="193">
        <f>(((B625*'Appendix K'!$C$5*1000)-('Appendix K'!$E$31+'Appendix K'!$F$31+'Appendix K'!$H$31+'Appendix K'!$G$31))/((1+$Y$16)^1))</f>
        <v>34971064.972647354</v>
      </c>
      <c r="Z625" s="193">
        <f>+(((C625*'Appendix K'!$C$6*1000)-('Appendix K'!$E$32+'Appendix K'!$F$32+'Appendix K'!$H$32+'Appendix K'!$G$32))/((1+$Y$16)^2))</f>
        <v>15525270.625243086</v>
      </c>
      <c r="AA625" s="193">
        <f>(((D625*'Appendix K'!$C$7*1000)-('Appendix K'!$E$33+'Appendix K'!$F$33+'Appendix K'!$H$33+'Appendix K'!$G$33))/((1+$Y$16)^3))</f>
        <v>3541436.8877142328</v>
      </c>
      <c r="AB625" s="193">
        <f>(((E625*'Appendix K'!$C$8*1000)-('Appendix K'!$E$34+'Appendix K'!$F$34+'Appendix K'!$H$34+'Appendix K'!$G$34))/((1+$Y$16)^4))</f>
        <v>14316540.741360258</v>
      </c>
      <c r="AC625" s="193">
        <f>(((F625*'Appendix K'!$C$9*1000)-('Appendix K'!$E$35+'Appendix K'!$F$35+'Appendix K'!$H$35+'Appendix K'!$G$35))/((1+$Y$16)^AC$34))</f>
        <v>9804762.8722687569</v>
      </c>
      <c r="AD625" s="193">
        <f>(((G625*'Appendix K'!$C$10*1000)-('Appendix K'!$E$36+'Appendix K'!$F$36+'Appendix K'!$H$36+'Appendix K'!$G$36))/((1+$Y$16)^AD$34))</f>
        <v>3712301.8515437199</v>
      </c>
      <c r="AE625" s="193">
        <f>(((H625*'Appendix K'!$C$11*1000)-('Appendix K'!$E$37+'Appendix K'!$F$37+'Appendix K'!$H$37+'Appendix K'!$G$37))/((1+$Y$16)^AE$34))</f>
        <v>884332.74188938085</v>
      </c>
      <c r="AF625" s="193">
        <f>(((I625*'Appendix K'!$C$12*1000)-('Appendix K'!$E$38+'Appendix K'!$F$38+'Appendix K'!$H$38+'Appendix K'!$G$38))/((1+$Y$16)^AF$34))</f>
        <v>-551787.19472277118</v>
      </c>
      <c r="AG625" s="193">
        <f>(((J625*'Appendix K'!$C$13*1000)-('Appendix K'!$E$39+'Appendix K'!$F$39+'Appendix K'!$H$39+'Appendix K'!$G$39))/((1+$Y$16)^AG$34))</f>
        <v>-902039.91675688955</v>
      </c>
      <c r="AH625" s="193">
        <f>(((K625*'Appendix K'!$C$14*1000)-('Appendix K'!$E$40+'Appendix K'!$F$40+'Appendix K'!$H$40+'Appendix K'!$G$40))/((1+$Y$16)^AH$34))</f>
        <v>-699267.08604177251</v>
      </c>
      <c r="AI625" s="193">
        <f>(((L625*'Appendix K'!$C$15*1000)-('Appendix K'!$E$41+'Appendix K'!$F$41+'Appendix K'!$H$41+'Appendix K'!$G$41))/((1+$Y$16)^AI$34))</f>
        <v>-880655.67889249639</v>
      </c>
      <c r="AJ625" s="193">
        <f>(((M625*'Appendix K'!$C$16*1000)-('Appendix K'!$E$42+'Appendix K'!$F$42+'Appendix K'!$H$42+'Appendix K'!$G$42))/((1+$Y$16)^AJ$34))</f>
        <v>-874726.10258126515</v>
      </c>
      <c r="AK625" s="193">
        <f>(((N625*'Appendix K'!$C$17*1000)-('Appendix K'!$E$43+'Appendix K'!$F$43+'Appendix K'!$H$43))/((1+$Y$16)^AK$34))</f>
        <v>-527688.58092068206</v>
      </c>
      <c r="AL625" s="193">
        <f>(((O625*'Appendix K'!$C$18*1000)-('Appendix K'!$E$44+'Appendix K'!$F$44+'Appendix K'!$H$44+'Appendix K'!$G$44))/((1+$Y$16)^AL$34))</f>
        <v>-647016.39342187543</v>
      </c>
      <c r="AM625" s="193">
        <f>(((P625*'Appendix K'!$C$19*1000)-('Appendix K'!$E$45+'Appendix K'!$F$45+'Appendix K'!$H$45+'Appendix K'!$G$45))/((1+$Y$16)^AM$34))</f>
        <v>-697831.41994595947</v>
      </c>
      <c r="AN625" s="193">
        <f>(((Q625*'Appendix K'!$C$20*1000)-('Appendix K'!$E$46+'Appendix K'!$F$46+'Appendix K'!$H$46+'Appendix K'!$G$46))/((1+$Y$16)^AN$34))</f>
        <v>-692683.29052522383</v>
      </c>
      <c r="AO625" s="193">
        <f>(((R625*'Appendix K'!$C$21*1000)-('Appendix K'!$E$47+'Appendix K'!$F$47+'Appendix K'!$H$47+'Appendix K'!$G$47))/((1+$Y$16)^AO$34))</f>
        <v>-671554.27829926251</v>
      </c>
      <c r="AP625" s="193">
        <f>(((S625*'Appendix K'!$C$22*1000)-('Appendix K'!$E$48+'Appendix K'!$F$48+'Appendix K'!$H$48+'Appendix K'!$G$48))/((1+$Y$16)^AP$34))</f>
        <v>-621688.33294269512</v>
      </c>
      <c r="AQ625" s="193">
        <f>(((T625*'Appendix K'!$C$23*1000)-('Appendix K'!$E$49+'Appendix K'!$F$49+'Appendix K'!$H$49+'Appendix K'!$G$49))/((1+$Y$16)^AQ$34))</f>
        <v>-557645.1947276236</v>
      </c>
      <c r="AR625" s="193">
        <f>(((U625*'Appendix K'!$C$24*1000)-('Appendix K'!$E$50+'Appendix K'!$F$50+'Appendix K'!$H$50+'Appendix K'!$G$50))/((1+$Y$16)^AR$34))</f>
        <v>-510027.02887985657</v>
      </c>
      <c r="AS625" s="209">
        <f t="shared" si="34"/>
        <v>49160808.248591684</v>
      </c>
      <c r="AU625" s="199">
        <f t="shared" si="33"/>
        <v>5.5876009250803208E-9</v>
      </c>
    </row>
    <row r="626" spans="1:47" x14ac:dyDescent="0.35">
      <c r="A626">
        <v>592</v>
      </c>
      <c r="B626" s="70">
        <v>56</v>
      </c>
      <c r="C626" s="70">
        <v>58.775435429765935</v>
      </c>
      <c r="D626" s="70">
        <v>53.564513022166317</v>
      </c>
      <c r="E626" s="70">
        <v>89.982640844890426</v>
      </c>
      <c r="F626" s="70">
        <v>30.656754851298928</v>
      </c>
      <c r="G626" s="70">
        <v>31.598923707146557</v>
      </c>
      <c r="H626" s="70">
        <v>36.172295523196688</v>
      </c>
      <c r="I626" s="70">
        <v>55.44626879686772</v>
      </c>
      <c r="J626" s="70">
        <v>85.707270533862442</v>
      </c>
      <c r="K626" s="70">
        <v>93.895921706167229</v>
      </c>
      <c r="L626" s="70">
        <v>179.85463418447287</v>
      </c>
      <c r="M626" s="70">
        <v>288.29355977535931</v>
      </c>
      <c r="N626" s="70">
        <v>88.63329367554951</v>
      </c>
      <c r="O626" s="70">
        <v>91.672255714198073</v>
      </c>
      <c r="P626" s="70">
        <v>103.37128741945102</v>
      </c>
      <c r="Q626" s="70">
        <v>107.30726239650255</v>
      </c>
      <c r="R626" s="70">
        <v>140.77794281268271</v>
      </c>
      <c r="S626" s="70">
        <v>169.48586077408368</v>
      </c>
      <c r="T626" s="70">
        <v>186.46562380259905</v>
      </c>
      <c r="U626" s="70">
        <v>295.0493367569768</v>
      </c>
      <c r="V626" s="70">
        <v>270.88984147078327</v>
      </c>
      <c r="X626" s="193">
        <f>((0-('Appendix K'!$I$30))/(1+$Y$16)^0)</f>
        <v>-33594902.4440751</v>
      </c>
      <c r="Y626" s="193">
        <f>(((B626*'Appendix K'!$C$5*1000)-('Appendix K'!$E$31+'Appendix K'!$F$31+'Appendix K'!$H$31+'Appendix K'!$G$31))/((1+$Y$16)^1))</f>
        <v>34971064.972647354</v>
      </c>
      <c r="Z626" s="193">
        <f>+(((C626*'Appendix K'!$C$6*1000)-('Appendix K'!$E$32+'Appendix K'!$F$32+'Appendix K'!$H$32+'Appendix K'!$G$32))/((1+$Y$16)^2))</f>
        <v>11360432.563237868</v>
      </c>
      <c r="AA626" s="193">
        <f>(((D626*'Appendix K'!$C$7*1000)-('Appendix K'!$E$33+'Appendix K'!$F$33+'Appendix K'!$H$33+'Appendix K'!$G$33))/((1+$Y$16)^3))</f>
        <v>3857874.9462204529</v>
      </c>
      <c r="AB626" s="193">
        <f>(((E626*'Appendix K'!$C$8*1000)-('Appendix K'!$E$34+'Appendix K'!$F$34+'Appendix K'!$H$34+'Appendix K'!$G$34))/((1+$Y$16)^4))</f>
        <v>16430163.272551071</v>
      </c>
      <c r="AC626" s="193">
        <f>(((F626*'Appendix K'!$C$9*1000)-('Appendix K'!$E$35+'Appendix K'!$F$35+'Appendix K'!$H$35+'Appendix K'!$G$35))/((1+$Y$16)^AC$34))</f>
        <v>5164288.7805722971</v>
      </c>
      <c r="AD626" s="193">
        <f>(((G626*'Appendix K'!$C$10*1000)-('Appendix K'!$E$36+'Appendix K'!$F$36+'Appendix K'!$H$36+'Appendix K'!$G$36))/((1+$Y$16)^AD$34))</f>
        <v>2446656.8648420079</v>
      </c>
      <c r="AE626" s="193">
        <f>(((H626*'Appendix K'!$C$11*1000)-('Appendix K'!$E$37+'Appendix K'!$F$37+'Appendix K'!$H$37+'Appendix K'!$G$37))/((1+$Y$16)^AE$34))</f>
        <v>1387798.0196658175</v>
      </c>
      <c r="AF626" s="193">
        <f>(((I626*'Appendix K'!$C$12*1000)-('Appendix K'!$E$38+'Appendix K'!$F$38+'Appendix K'!$H$38+'Appendix K'!$G$38))/((1+$Y$16)^AF$34))</f>
        <v>1644157.5688162569</v>
      </c>
      <c r="AG626" s="193">
        <f>(((J626*'Appendix K'!$C$13*1000)-('Appendix K'!$E$39+'Appendix K'!$F$39+'Appendix K'!$H$39+'Appendix K'!$G$39))/((1+$Y$16)^AG$34))</f>
        <v>2129213.2317512301</v>
      </c>
      <c r="AH626" s="193">
        <f>(((K626*'Appendix K'!$C$14*1000)-('Appendix K'!$E$40+'Appendix K'!$F$40+'Appendix K'!$H$40+'Appendix K'!$G$40))/((1+$Y$16)^AH$34))</f>
        <v>1532164.2412230552</v>
      </c>
      <c r="AI626" s="193">
        <f>(((L626*'Appendix K'!$C$15*1000)-('Appendix K'!$E$41+'Appendix K'!$F$41+'Appendix K'!$H$41+'Appendix K'!$G$41))/((1+$Y$16)^AI$34))</f>
        <v>3196046.3971172837</v>
      </c>
      <c r="AJ626" s="193">
        <f>(((M626*'Appendix K'!$C$16*1000)-('Appendix K'!$E$42+'Appendix K'!$F$42+'Appendix K'!$H$42+'Appendix K'!$G$42))/((1+$Y$16)^AJ$34))</f>
        <v>4396390.216908914</v>
      </c>
      <c r="AK626" s="193">
        <f>(((N626*'Appendix K'!$C$17*1000)-('Appendix K'!$E$43+'Appendix K'!$F$43+'Appendix K'!$H$43))/((1+$Y$16)^AK$34))</f>
        <v>357494.21942292718</v>
      </c>
      <c r="AL626" s="193">
        <f>(((O626*'Appendix K'!$C$18*1000)-('Appendix K'!$E$44+'Appendix K'!$F$44+'Appendix K'!$H$44+'Appendix K'!$G$44))/((1+$Y$16)^AL$34))</f>
        <v>-47970.903933663678</v>
      </c>
      <c r="AM626" s="193">
        <f>(((P626*'Appendix K'!$C$19*1000)-('Appendix K'!$E$45+'Appendix K'!$F$45+'Appendix K'!$H$45+'Appendix K'!$G$45))/((1+$Y$16)^AM$34))</f>
        <v>-68645.204000426267</v>
      </c>
      <c r="AN626" s="193">
        <f>(((Q626*'Appendix K'!$C$20*1000)-('Appendix K'!$E$46+'Appendix K'!$F$46+'Appendix K'!$H$46+'Appendix K'!$G$46))/((1+$Y$16)^AN$34))</f>
        <v>-139210.21419664312</v>
      </c>
      <c r="AO626" s="193">
        <f>(((R626*'Appendix K'!$C$21*1000)-('Appendix K'!$E$47+'Appendix K'!$F$47+'Appendix K'!$H$47+'Appendix K'!$G$47))/((1+$Y$16)^AO$34))</f>
        <v>-10985.730205262265</v>
      </c>
      <c r="AP626" s="193">
        <f>(((S626*'Appendix K'!$C$22*1000)-('Appendix K'!$E$48+'Appendix K'!$F$48+'Appendix K'!$H$48+'Appendix K'!$G$48))/((1+$Y$16)^AP$34))</f>
        <v>47336.472674649383</v>
      </c>
      <c r="AQ626" s="193">
        <f>(((T626*'Appendix K'!$C$23*1000)-('Appendix K'!$E$49+'Appendix K'!$F$49+'Appendix K'!$H$49+'Appendix K'!$G$49))/((1+$Y$16)^AQ$34))</f>
        <v>36293.083627636224</v>
      </c>
      <c r="AR626" s="193">
        <f>(((U626*'Appendix K'!$C$24*1000)-('Appendix K'!$E$50+'Appendix K'!$F$50+'Appendix K'!$H$50+'Appendix K'!$G$50))/((1+$Y$16)^AR$34))</f>
        <v>320778.26199479634</v>
      </c>
      <c r="AS626" s="209">
        <f t="shared" si="34"/>
        <v>55683250.669198535</v>
      </c>
      <c r="AU626" s="199">
        <f t="shared" si="33"/>
        <v>6.0003974921083794E-9</v>
      </c>
    </row>
    <row r="627" spans="1:47" x14ac:dyDescent="0.35">
      <c r="A627">
        <v>593</v>
      </c>
      <c r="B627" s="70">
        <v>56</v>
      </c>
      <c r="C627" s="70">
        <v>35.545887815822489</v>
      </c>
      <c r="D627" s="70">
        <v>18.108305628121141</v>
      </c>
      <c r="E627" s="70">
        <v>10.154750075159335</v>
      </c>
      <c r="F627" s="70">
        <v>10.282921900008892</v>
      </c>
      <c r="G627" s="70">
        <v>9.0842689538620149</v>
      </c>
      <c r="H627" s="70">
        <v>8.9452213408023589</v>
      </c>
      <c r="I627" s="70">
        <v>9.6905921689910919</v>
      </c>
      <c r="J627" s="70">
        <v>10.262919422439877</v>
      </c>
      <c r="K627" s="70">
        <v>14.453311960170591</v>
      </c>
      <c r="L627" s="70">
        <v>17.094656946293853</v>
      </c>
      <c r="M627" s="70">
        <v>15.035642942670282</v>
      </c>
      <c r="N627" s="70">
        <v>12.819607278870897</v>
      </c>
      <c r="O627" s="70">
        <v>5.7176410441743082</v>
      </c>
      <c r="P627" s="70">
        <v>7.2350737729997228</v>
      </c>
      <c r="Q627" s="70">
        <v>7.9242137019182746</v>
      </c>
      <c r="R627" s="70">
        <v>9.7473133229333921</v>
      </c>
      <c r="S627" s="70">
        <v>6.101105296787205</v>
      </c>
      <c r="T627" s="70">
        <v>4.4672129418615967</v>
      </c>
      <c r="U627" s="70">
        <v>3.5718452788178947</v>
      </c>
      <c r="V627" s="70">
        <v>4.6431891997446755</v>
      </c>
      <c r="X627" s="193">
        <f>((0-('Appendix K'!$I$30))/(1+$Y$16)^0)</f>
        <v>-33594902.4440751</v>
      </c>
      <c r="Y627" s="193">
        <f>(((B627*'Appendix K'!$C$5*1000)-('Appendix K'!$E$31+'Appendix K'!$F$31+'Appendix K'!$H$31+'Appendix K'!$G$31))/((1+$Y$16)^1))</f>
        <v>34971064.972647354</v>
      </c>
      <c r="Z627" s="193">
        <f>+(((C627*'Appendix K'!$C$6*1000)-('Appendix K'!$E$32+'Appendix K'!$F$32+'Appendix K'!$H$32+'Appendix K'!$G$32))/((1+$Y$16)^2))</f>
        <v>5492251.538120457</v>
      </c>
      <c r="AA627" s="193">
        <f>(((D627*'Appendix K'!$C$7*1000)-('Appendix K'!$E$33+'Appendix K'!$F$33+'Appendix K'!$H$33+'Appendix K'!$G$33))/((1+$Y$16)^3))</f>
        <v>-658354.94491127972</v>
      </c>
      <c r="AB627" s="193">
        <f>(((E627*'Appendix K'!$C$8*1000)-('Appendix K'!$E$34+'Appendix K'!$F$34+'Appendix K'!$H$34+'Appendix K'!$G$34))/((1+$Y$16)^4))</f>
        <v>-1067379.630169315</v>
      </c>
      <c r="AC627" s="193">
        <f>(((F627*'Appendix K'!$C$9*1000)-('Appendix K'!$E$35+'Appendix K'!$F$35+'Appendix K'!$H$35+'Appendix K'!$G$35))/((1+$Y$16)^AC$34))</f>
        <v>-251044.0252217802</v>
      </c>
      <c r="AD627" s="193">
        <f>(((G627*'Appendix K'!$C$10*1000)-('Appendix K'!$E$36+'Appendix K'!$F$36+'Appendix K'!$H$36+'Appendix K'!$G$36))/((1+$Y$16)^AD$34))</f>
        <v>-1089133.4846394518</v>
      </c>
      <c r="AE627" s="193">
        <f>(((H627*'Appendix K'!$C$11*1000)-('Appendix K'!$E$37+'Appendix K'!$F$37+'Appendix K'!$H$37+'Appendix K'!$G$37))/((1+$Y$16)^AE$34))</f>
        <v>-1327765.7994412202</v>
      </c>
      <c r="AF627" s="193">
        <f>(((I627*'Appendix K'!$C$12*1000)-('Appendix K'!$E$38+'Appendix K'!$F$38+'Appendix K'!$H$38+'Appendix K'!$G$38))/((1+$Y$16)^AF$34))</f>
        <v>-1360271.2093835315</v>
      </c>
      <c r="AG627" s="193">
        <f>(((J627*'Appendix K'!$C$13*1000)-('Appendix K'!$E$39+'Appendix K'!$F$39+'Appendix K'!$H$39+'Appendix K'!$G$39))/((1+$Y$16)^AG$34))</f>
        <v>-1342655.2742135143</v>
      </c>
      <c r="AH627" s="193">
        <f>(((K627*'Appendix K'!$C$14*1000)-('Appendix K'!$E$40+'Appendix K'!$F$40+'Appendix K'!$H$40+'Appendix K'!$G$40))/((1+$Y$16)^AH$34))</f>
        <v>-1145570.2097591732</v>
      </c>
      <c r="AI627" s="193">
        <f>(((L627*'Appendix K'!$C$15*1000)-('Appendix K'!$E$41+'Appendix K'!$F$41+'Appendix K'!$H$41+'Appendix K'!$G$41))/((1+$Y$16)^AI$34))</f>
        <v>-1068569.369172889</v>
      </c>
      <c r="AJ627" s="193">
        <f>(((M627*'Appendix K'!$C$16*1000)-('Appendix K'!$E$42+'Appendix K'!$F$42+'Appendix K'!$H$42+'Appendix K'!$G$42))/((1+$Y$16)^AJ$34))</f>
        <v>-1080208.6029229746</v>
      </c>
      <c r="AK627" s="193">
        <f>(((N627*'Appendix K'!$C$17*1000)-('Appendix K'!$E$43+'Appendix K'!$F$43+'Appendix K'!$H$43))/((1+$Y$16)^AK$34))</f>
        <v>-807299.48463917</v>
      </c>
      <c r="AL627" s="193">
        <f>(((O627*'Appendix K'!$C$18*1000)-('Appendix K'!$E$44+'Appendix K'!$F$44+'Appendix K'!$H$44+'Appendix K'!$G$44))/((1+$Y$16)^AL$34))</f>
        <v>-1066816.2439455651</v>
      </c>
      <c r="AM627" s="193">
        <f>(((P627*'Appendix K'!$C$19*1000)-('Appendix K'!$E$45+'Appendix K'!$F$45+'Appendix K'!$H$45+'Appendix K'!$G$45))/((1+$Y$16)^AM$34))</f>
        <v>-959705.98381400004</v>
      </c>
      <c r="AN627" s="193">
        <f>(((Q627*'Appendix K'!$C$20*1000)-('Appendix K'!$E$46+'Appendix K'!$F$46+'Appendix K'!$H$46+'Appendix K'!$G$46))/((1+$Y$16)^AN$34))</f>
        <v>-858367.50982804096</v>
      </c>
      <c r="AO627" s="193">
        <f>(((R627*'Appendix K'!$C$21*1000)-('Appendix K'!$E$47+'Appendix K'!$F$47+'Appendix K'!$H$47+'Appendix K'!$G$47))/((1+$Y$16)^AO$34))</f>
        <v>-785391.22675889893</v>
      </c>
      <c r="AP627" s="193">
        <f>(((S627*'Appendix K'!$C$22*1000)-('Appendix K'!$E$48+'Appendix K'!$F$48+'Appendix K'!$H$48+'Appendix K'!$G$48))/((1+$Y$16)^AP$34))</f>
        <v>-735230.65077138878</v>
      </c>
      <c r="AQ627" s="193">
        <f>(((T627*'Appendix K'!$C$23*1000)-('Appendix K'!$E$49+'Appendix K'!$F$49+'Appendix K'!$H$49+'Appendix K'!$G$49))/((1+$Y$16)^AQ$34))</f>
        <v>-676002.10369318398</v>
      </c>
      <c r="AR627" s="193">
        <f>(((U627*'Appendix K'!$C$24*1000)-('Appendix K'!$E$50+'Appendix K'!$F$50+'Appendix K'!$H$50+'Appendix K'!$G$50))/((1+$Y$16)^AR$34))</f>
        <v>-617787.42743148538</v>
      </c>
      <c r="AS627" s="209">
        <f t="shared" si="34"/>
        <v>6868414.0666927099</v>
      </c>
      <c r="AU627" s="199">
        <f t="shared" si="33"/>
        <v>2.5545707413615957E-9</v>
      </c>
    </row>
    <row r="628" spans="1:47" x14ac:dyDescent="0.35">
      <c r="A628">
        <v>594</v>
      </c>
      <c r="B628" s="70">
        <v>56</v>
      </c>
      <c r="C628" s="70">
        <v>65.821101138421596</v>
      </c>
      <c r="D628" s="70">
        <v>56.526846084082983</v>
      </c>
      <c r="E628" s="70">
        <v>72.421479911202525</v>
      </c>
      <c r="F628" s="70">
        <v>115.88120262614017</v>
      </c>
      <c r="G628" s="70">
        <v>115.3241031029533</v>
      </c>
      <c r="H628" s="70">
        <v>107.43258149814507</v>
      </c>
      <c r="I628" s="70">
        <v>125.55478932320818</v>
      </c>
      <c r="J628" s="70">
        <v>148.51001011899453</v>
      </c>
      <c r="K628" s="70">
        <v>129.20963335765867</v>
      </c>
      <c r="L628" s="70">
        <v>155.06651944604812</v>
      </c>
      <c r="M628" s="70">
        <v>117.83548101623249</v>
      </c>
      <c r="N628" s="70">
        <v>212.14230999233024</v>
      </c>
      <c r="O628" s="70">
        <v>171.17828936670864</v>
      </c>
      <c r="P628" s="70">
        <v>110.3217197048624</v>
      </c>
      <c r="Q628" s="70">
        <v>119.42304763781635</v>
      </c>
      <c r="R628" s="70">
        <v>115.45782100192477</v>
      </c>
      <c r="S628" s="70">
        <v>169.3552415211127</v>
      </c>
      <c r="T628" s="70">
        <v>212.15549823938099</v>
      </c>
      <c r="U628" s="70">
        <v>283.31472793780847</v>
      </c>
      <c r="V628" s="70">
        <v>302.46851709393269</v>
      </c>
      <c r="X628" s="193">
        <f>((0-('Appendix K'!$I$30))/(1+$Y$16)^0)</f>
        <v>-33594902.4440751</v>
      </c>
      <c r="Y628" s="193">
        <f>(((B628*'Appendix K'!$C$5*1000)-('Appendix K'!$E$31+'Appendix K'!$F$31+'Appendix K'!$H$31+'Appendix K'!$G$31))/((1+$Y$16)^1))</f>
        <v>34971064.972647354</v>
      </c>
      <c r="Z628" s="193">
        <f>+(((C628*'Appendix K'!$C$6*1000)-('Appendix K'!$E$32+'Appendix K'!$F$32+'Appendix K'!$H$32+'Appendix K'!$G$32))/((1+$Y$16)^2))</f>
        <v>13140288.224139173</v>
      </c>
      <c r="AA628" s="193">
        <f>(((D628*'Appendix K'!$C$7*1000)-('Appendix K'!$E$33+'Appendix K'!$F$33+'Appendix K'!$H$33+'Appendix K'!$G$33))/((1+$Y$16)^3))</f>
        <v>4235201.7418653453</v>
      </c>
      <c r="AB628" s="193">
        <f>(((E628*'Appendix K'!$C$8*1000)-('Appendix K'!$E$34+'Appendix K'!$F$34+'Appendix K'!$H$34+'Appendix K'!$G$34))/((1+$Y$16)^4))</f>
        <v>12580917.552842118</v>
      </c>
      <c r="AC628" s="193">
        <f>(((F628*'Appendix K'!$C$9*1000)-('Appendix K'!$E$35+'Appendix K'!$F$35+'Appendix K'!$H$35+'Appendix K'!$G$35))/((1+$Y$16)^AC$34))</f>
        <v>27816813.172726948</v>
      </c>
      <c r="AD628" s="193">
        <f>(((G628*'Appendix K'!$C$10*1000)-('Appendix K'!$E$36+'Appendix K'!$F$36+'Appendix K'!$H$36+'Appendix K'!$G$36))/((1+$Y$16)^AD$34))</f>
        <v>15595189.878572121</v>
      </c>
      <c r="AE628" s="193">
        <f>(((H628*'Appendix K'!$C$11*1000)-('Appendix K'!$E$37+'Appendix K'!$F$37+'Appendix K'!$H$37+'Appendix K'!$G$37))/((1+$Y$16)^AE$34))</f>
        <v>8495129.9730168618</v>
      </c>
      <c r="AF628" s="193">
        <f>(((I628*'Appendix K'!$C$12*1000)-('Appendix K'!$E$38+'Appendix K'!$F$38+'Appendix K'!$H$38+'Appendix K'!$G$38))/((1+$Y$16)^AF$34))</f>
        <v>6247653.1826920202</v>
      </c>
      <c r="AG628" s="193">
        <f>(((J628*'Appendix K'!$C$13*1000)-('Appendix K'!$E$39+'Appendix K'!$F$39+'Appendix K'!$H$39+'Appendix K'!$G$39))/((1+$Y$16)^AG$34))</f>
        <v>5019328.2694152351</v>
      </c>
      <c r="AH628" s="193">
        <f>(((K628*'Appendix K'!$C$14*1000)-('Appendix K'!$E$40+'Appendix K'!$F$40+'Appendix K'!$H$40+'Appendix K'!$G$40))/((1+$Y$16)^AH$34))</f>
        <v>2722466.8078631996</v>
      </c>
      <c r="AI628" s="193">
        <f>(((L628*'Appendix K'!$C$15*1000)-('Appendix K'!$E$41+'Appendix K'!$F$41+'Appendix K'!$H$41+'Appendix K'!$G$41))/((1+$Y$16)^AI$34))</f>
        <v>2546551.4369686968</v>
      </c>
      <c r="AJ628" s="193">
        <f>(((M628*'Appendix K'!$C$16*1000)-('Appendix K'!$E$42+'Appendix K'!$F$42+'Appendix K'!$H$42+'Appendix K'!$G$42))/((1+$Y$16)^AJ$34))</f>
        <v>980092.07710193796</v>
      </c>
      <c r="AK628" s="193">
        <f>(((N628*'Appendix K'!$C$17*1000)-('Appendix K'!$E$43+'Appendix K'!$F$43+'Appendix K'!$H$43))/((1+$Y$16)^AK$34))</f>
        <v>2255074.0818234929</v>
      </c>
      <c r="AL628" s="193">
        <f>(((O628*'Appendix K'!$C$18*1000)-('Appendix K'!$E$44+'Appendix K'!$F$44+'Appendix K'!$H$44+'Appendix K'!$G$44))/((1+$Y$16)^AL$34))</f>
        <v>894437.50776897941</v>
      </c>
      <c r="AM628" s="193">
        <f>(((P628*'Appendix K'!$C$19*1000)-('Appendix K'!$E$45+'Appendix K'!$F$45+'Appendix K'!$H$45+'Appendix K'!$G$45))/((1+$Y$16)^AM$34))</f>
        <v>-4223.5113065960959</v>
      </c>
      <c r="AN628" s="193">
        <f>(((Q628*'Appendix K'!$C$20*1000)-('Appendix K'!$E$46+'Appendix K'!$F$46+'Appendix K'!$H$46+'Appendix K'!$G$46))/((1+$Y$16)^AN$34))</f>
        <v>-51537.764387112875</v>
      </c>
      <c r="AO628" s="193">
        <f>(((R628*'Appendix K'!$C$21*1000)-('Appendix K'!$E$47+'Appendix K'!$F$47+'Appendix K'!$H$47+'Appendix K'!$G$47))/((1+$Y$16)^AO$34))</f>
        <v>-160630.4474749181</v>
      </c>
      <c r="AP628" s="193">
        <f>(((S628*'Appendix K'!$C$22*1000)-('Appendix K'!$E$48+'Appendix K'!$F$48+'Appendix K'!$H$48+'Appendix K'!$G$48))/((1+$Y$16)^AP$34))</f>
        <v>46710.8431122978</v>
      </c>
      <c r="AQ628" s="193">
        <f>(((T628*'Appendix K'!$C$23*1000)-('Appendix K'!$E$49+'Appendix K'!$F$49+'Appendix K'!$H$49+'Appendix K'!$G$49))/((1+$Y$16)^AQ$34))</f>
        <v>136836.67539667588</v>
      </c>
      <c r="AR628" s="193">
        <f>(((U628*'Appendix K'!$C$24*1000)-('Appendix K'!$E$50+'Appendix K'!$F$50+'Appendix K'!$H$50+'Appendix K'!$G$50))/((1+$Y$16)^AR$34))</f>
        <v>282992.49280672951</v>
      </c>
      <c r="AS628" s="209">
        <f t="shared" si="34"/>
        <v>104371846.44668409</v>
      </c>
      <c r="AU628" s="199">
        <f t="shared" si="33"/>
        <v>6.729891749601265E-9</v>
      </c>
    </row>
    <row r="629" spans="1:47" x14ac:dyDescent="0.35">
      <c r="A629">
        <v>595</v>
      </c>
      <c r="B629" s="70">
        <v>56</v>
      </c>
      <c r="C629" s="70">
        <v>54.603876216045691</v>
      </c>
      <c r="D629" s="70">
        <v>44.619900958155526</v>
      </c>
      <c r="E629" s="70">
        <v>42.45063056047038</v>
      </c>
      <c r="F629" s="70">
        <v>42.395433711963136</v>
      </c>
      <c r="G629" s="70">
        <v>37.719985949244716</v>
      </c>
      <c r="H629" s="70">
        <v>54.178509788440522</v>
      </c>
      <c r="I629" s="70">
        <v>88.788622393796032</v>
      </c>
      <c r="J629" s="70">
        <v>96.92337275794965</v>
      </c>
      <c r="K629" s="70">
        <v>114.58988268387687</v>
      </c>
      <c r="L629" s="70">
        <v>88.197886043967671</v>
      </c>
      <c r="M629" s="70">
        <v>78.772572417278525</v>
      </c>
      <c r="N629" s="70">
        <v>80.803526822665688</v>
      </c>
      <c r="O629" s="70">
        <v>160.30531346211961</v>
      </c>
      <c r="P629" s="70">
        <v>180.24621613405986</v>
      </c>
      <c r="Q629" s="70">
        <v>101.20803276469279</v>
      </c>
      <c r="R629" s="70">
        <v>72.70347130772295</v>
      </c>
      <c r="S629" s="70">
        <v>78.053718069189884</v>
      </c>
      <c r="T629" s="70">
        <v>85.952787129054769</v>
      </c>
      <c r="U629" s="70">
        <v>77.755933283629744</v>
      </c>
      <c r="V629" s="70">
        <v>124.96277432788665</v>
      </c>
      <c r="X629" s="193">
        <f>((0-('Appendix K'!$I$30))/(1+$Y$16)^0)</f>
        <v>-33594902.4440751</v>
      </c>
      <c r="Y629" s="193">
        <f>(((B629*'Appendix K'!$C$5*1000)-('Appendix K'!$E$31+'Appendix K'!$F$31+'Appendix K'!$H$31+'Appendix K'!$G$31))/((1+$Y$16)^1))</f>
        <v>34971064.972647354</v>
      </c>
      <c r="Z629" s="193">
        <f>+(((C629*'Appendix K'!$C$6*1000)-('Appendix K'!$E$32+'Appendix K'!$F$32+'Appendix K'!$H$32+'Appendix K'!$G$32))/((1+$Y$16)^2))</f>
        <v>10306625.359157274</v>
      </c>
      <c r="AA629" s="193">
        <f>(((D629*'Appendix K'!$C$7*1000)-('Appendix K'!$E$33+'Appendix K'!$F$33+'Appendix K'!$H$33+'Appendix K'!$G$33))/((1+$Y$16)^3))</f>
        <v>2718556.1262711016</v>
      </c>
      <c r="AB629" s="193">
        <f>(((E629*'Appendix K'!$C$8*1000)-('Appendix K'!$E$34+'Appendix K'!$F$34+'Appendix K'!$H$34+'Appendix K'!$G$34))/((1+$Y$16)^4))</f>
        <v>6011581.7318805074</v>
      </c>
      <c r="AC629" s="193">
        <f>(((F629*'Appendix K'!$C$9*1000)-('Appendix K'!$E$35+'Appendix K'!$F$35+'Appendix K'!$H$35+'Appendix K'!$G$35))/((1+$Y$16)^AC$34))</f>
        <v>8284411.188703225</v>
      </c>
      <c r="AD629" s="193">
        <f>(((G629*'Appendix K'!$C$10*1000)-('Appendix K'!$E$36+'Appendix K'!$F$36+'Appendix K'!$H$36+'Appendix K'!$G$36))/((1+$Y$16)^AD$34))</f>
        <v>3407932.6668184358</v>
      </c>
      <c r="AE629" s="193">
        <f>(((H629*'Appendix K'!$C$11*1000)-('Appendix K'!$E$37+'Appendix K'!$F$37+'Appendix K'!$H$37+'Appendix K'!$G$37))/((1+$Y$16)^AE$34))</f>
        <v>3183695.1348028956</v>
      </c>
      <c r="AF629" s="193">
        <f>(((I629*'Appendix K'!$C$12*1000)-('Appendix K'!$E$38+'Appendix K'!$F$38+'Appendix K'!$H$38+'Appendix K'!$G$38))/((1+$Y$16)^AF$34))</f>
        <v>3833497.4291843846</v>
      </c>
      <c r="AG629" s="193">
        <f>(((J629*'Appendix K'!$C$13*1000)-('Appendix K'!$E$39+'Appendix K'!$F$39+'Appendix K'!$H$39+'Appendix K'!$G$39))/((1+$Y$16)^AG$34))</f>
        <v>2645366.2836076696</v>
      </c>
      <c r="AH629" s="193">
        <f>(((K629*'Appendix K'!$C$14*1000)-('Appendix K'!$E$40+'Appendix K'!$F$40+'Appendix K'!$H$40+'Appendix K'!$G$40))/((1+$Y$16)^AH$34))</f>
        <v>2229685.7906090566</v>
      </c>
      <c r="AI629" s="193">
        <f>(((L629*'Appendix K'!$C$15*1000)-('Appendix K'!$E$41+'Appendix K'!$F$41+'Appendix K'!$H$41+'Appendix K'!$G$41))/((1+$Y$16)^AI$34))</f>
        <v>794468.19687656721</v>
      </c>
      <c r="AJ629" s="193">
        <f>(((M629*'Appendix K'!$C$16*1000)-('Appendix K'!$E$42+'Appendix K'!$F$42+'Appendix K'!$H$42+'Appendix K'!$G$42))/((1+$Y$16)^AJ$34))</f>
        <v>197198.45918996731</v>
      </c>
      <c r="AK629" s="193">
        <f>(((N629*'Appendix K'!$C$17*1000)-('Appendix K'!$E$43+'Appendix K'!$F$43+'Appendix K'!$H$43))/((1+$Y$16)^AK$34))</f>
        <v>237198.4843389687</v>
      </c>
      <c r="AL629" s="193">
        <f>(((O629*'Appendix K'!$C$18*1000)-('Appendix K'!$E$44+'Appendix K'!$F$44+'Appendix K'!$H$44+'Appendix K'!$G$44))/((1+$Y$16)^AL$34))</f>
        <v>765556.92497560929</v>
      </c>
      <c r="AM629" s="193">
        <f>(((P629*'Appendix K'!$C$19*1000)-('Appendix K'!$E$45+'Appendix K'!$F$45+'Appendix K'!$H$45+'Appendix K'!$G$45))/((1+$Y$16)^AM$34))</f>
        <v>643887.89180535823</v>
      </c>
      <c r="AN629" s="193">
        <f>(((Q629*'Appendix K'!$C$20*1000)-('Appendix K'!$E$46+'Appendix K'!$F$46+'Appendix K'!$H$46+'Appendix K'!$G$46))/((1+$Y$16)^AN$34))</f>
        <v>-183345.56267973126</v>
      </c>
      <c r="AO629" s="193">
        <f>(((R629*'Appendix K'!$C$21*1000)-('Appendix K'!$E$47+'Appendix K'!$F$47+'Appendix K'!$H$47+'Appendix K'!$G$47))/((1+$Y$16)^AO$34))</f>
        <v>-413313.37766992539</v>
      </c>
      <c r="AP629" s="193">
        <f>(((S629*'Appendix K'!$C$22*1000)-('Appendix K'!$E$48+'Appendix K'!$F$48+'Appendix K'!$H$48+'Appendix K'!$G$48))/((1+$Y$16)^AP$34))</f>
        <v>-390597.82969065954</v>
      </c>
      <c r="AQ629" s="193">
        <f>(((T629*'Appendix K'!$C$23*1000)-('Appendix K'!$E$49+'Appendix K'!$F$49+'Appendix K'!$H$49+'Appendix K'!$G$49))/((1+$Y$16)^AQ$34))</f>
        <v>-357088.42716650217</v>
      </c>
      <c r="AR629" s="193">
        <f>(((U629*'Appendix K'!$C$24*1000)-('Appendix K'!$E$50+'Appendix K'!$F$50+'Appendix K'!$H$50+'Appendix K'!$G$50))/((1+$Y$16)^AR$34))</f>
        <v>-378912.58550252131</v>
      </c>
      <c r="AS629" s="209">
        <f t="shared" si="34"/>
        <v>46635824.196793295</v>
      </c>
      <c r="AU629" s="199">
        <f t="shared" si="33"/>
        <v>5.4162899362813114E-9</v>
      </c>
    </row>
    <row r="630" spans="1:47" x14ac:dyDescent="0.35">
      <c r="A630">
        <v>596</v>
      </c>
      <c r="B630" s="70">
        <v>56</v>
      </c>
      <c r="C630" s="70">
        <v>76.045497634082238</v>
      </c>
      <c r="D630" s="70">
        <v>84.433199418173274</v>
      </c>
      <c r="E630" s="70">
        <v>168.82718487807597</v>
      </c>
      <c r="F630" s="70">
        <v>254.97072566529943</v>
      </c>
      <c r="G630" s="70">
        <v>303.99000039096779</v>
      </c>
      <c r="H630" s="70">
        <v>288.95035152630305</v>
      </c>
      <c r="I630" s="70">
        <v>343.70600743322143</v>
      </c>
      <c r="J630" s="70">
        <v>415.34739125129568</v>
      </c>
      <c r="K630" s="70">
        <v>500</v>
      </c>
      <c r="L630" s="70">
        <v>500</v>
      </c>
      <c r="M630" s="70">
        <v>470.78410258708243</v>
      </c>
      <c r="N630" s="70">
        <v>500</v>
      </c>
      <c r="O630" s="70">
        <v>500</v>
      </c>
      <c r="P630" s="70">
        <v>369.89164471555625</v>
      </c>
      <c r="Q630" s="70">
        <v>470.83161512570211</v>
      </c>
      <c r="R630" s="70">
        <v>500</v>
      </c>
      <c r="S630" s="70">
        <v>379.04902732772388</v>
      </c>
      <c r="T630" s="70">
        <v>244.68203152842307</v>
      </c>
      <c r="U630" s="70">
        <v>239.59514194801304</v>
      </c>
      <c r="V630" s="70">
        <v>306.26355187927891</v>
      </c>
      <c r="X630" s="193">
        <f>((0-('Appendix K'!$I$30))/(1+$Y$16)^0)</f>
        <v>-33594902.4440751</v>
      </c>
      <c r="Y630" s="193">
        <f>(((B630*'Appendix K'!$C$5*1000)-('Appendix K'!$E$31+'Appendix K'!$F$31+'Appendix K'!$H$31+'Appendix K'!$G$31))/((1+$Y$16)^1))</f>
        <v>34971064.972647354</v>
      </c>
      <c r="Z630" s="193">
        <f>+(((C630*'Appendix K'!$C$6*1000)-('Appendix K'!$E$32+'Appendix K'!$F$32+'Appendix K'!$H$32+'Appendix K'!$G$32))/((1+$Y$16)^2))</f>
        <v>15723145.648065019</v>
      </c>
      <c r="AA630" s="193">
        <f>(((D630*'Appendix K'!$C$7*1000)-('Appendix K'!$E$33+'Appendix K'!$F$33+'Appendix K'!$H$33+'Appendix K'!$G$33))/((1+$Y$16)^3))</f>
        <v>7789769.9357852954</v>
      </c>
      <c r="AB630" s="193">
        <f>(((E630*'Appendix K'!$C$8*1000)-('Appendix K'!$E$34+'Appendix K'!$F$34+'Appendix K'!$H$34+'Appendix K'!$G$34))/((1+$Y$16)^4))</f>
        <v>33712165.572293632</v>
      </c>
      <c r="AC630" s="193">
        <f>(((F630*'Appendix K'!$C$9*1000)-('Appendix K'!$E$35+'Appendix K'!$F$35+'Appendix K'!$H$35+'Appendix K'!$G$35))/((1+$Y$16)^AC$34))</f>
        <v>64786589.986790672</v>
      </c>
      <c r="AD630" s="193">
        <f>(((G630*'Appendix K'!$C$10*1000)-('Appendix K'!$E$36+'Appendix K'!$F$36+'Appendix K'!$H$36+'Appendix K'!$G$36))/((1+$Y$16)^AD$34))</f>
        <v>45224027.905053735</v>
      </c>
      <c r="AE630" s="193">
        <f>(((H630*'Appendix K'!$C$11*1000)-('Appendix K'!$E$37+'Appendix K'!$F$37+'Appendix K'!$H$37+'Appendix K'!$G$37))/((1+$Y$16)^AE$34))</f>
        <v>26599281.947311386</v>
      </c>
      <c r="AF630" s="193">
        <f>(((I630*'Appendix K'!$C$12*1000)-('Appendix K'!$E$38+'Appendix K'!$F$38+'Appendix K'!$H$38+'Appendix K'!$G$38))/((1+$Y$16)^AF$34))</f>
        <v>20571991.62531814</v>
      </c>
      <c r="AG630" s="193">
        <f>(((J630*'Appendix K'!$C$13*1000)-('Appendix K'!$E$39+'Appendix K'!$F$39+'Appendix K'!$H$39+'Appendix K'!$G$39))/((1+$Y$16)^AG$34))</f>
        <v>17298899.716707904</v>
      </c>
      <c r="AH630" s="193">
        <f>(((K630*'Appendix K'!$C$14*1000)-('Appendix K'!$E$40+'Appendix K'!$F$40+'Appendix K'!$H$40+'Appendix K'!$G$40))/((1+$Y$16)^AH$34))</f>
        <v>15220522.22201786</v>
      </c>
      <c r="AI630" s="193">
        <f>(((L630*'Appendix K'!$C$15*1000)-('Appendix K'!$E$41+'Appendix K'!$F$41+'Appendix K'!$H$41+'Appendix K'!$G$41))/((1+$Y$16)^AI$34))</f>
        <v>11584453.656253781</v>
      </c>
      <c r="AJ630" s="193">
        <f>(((M630*'Appendix K'!$C$16*1000)-('Appendix K'!$E$42+'Appendix K'!$F$42+'Appendix K'!$H$42+'Appendix K'!$G$42))/((1+$Y$16)^AJ$34))</f>
        <v>8053841.4006749671</v>
      </c>
      <c r="AK630" s="193">
        <f>(((N630*'Appendix K'!$C$17*1000)-('Appendix K'!$E$43+'Appendix K'!$F$43+'Appendix K'!$H$43))/((1+$Y$16)^AK$34))</f>
        <v>6677690.1149291173</v>
      </c>
      <c r="AL630" s="193">
        <f>(((O630*'Appendix K'!$C$18*1000)-('Appendix K'!$E$44+'Appendix K'!$F$44+'Appendix K'!$H$44+'Appendix K'!$G$44))/((1+$Y$16)^AL$34))</f>
        <v>4792058.0003928225</v>
      </c>
      <c r="AM630" s="193">
        <f>(((P630*'Appendix K'!$C$19*1000)-('Appendix K'!$E$45+'Appendix K'!$F$45+'Appendix K'!$H$45+'Appendix K'!$G$45))/((1+$Y$16)^AM$34))</f>
        <v>2401660.5049578357</v>
      </c>
      <c r="AN630" s="193">
        <f>(((Q630*'Appendix K'!$C$20*1000)-('Appendix K'!$E$46+'Appendix K'!$F$46+'Appendix K'!$H$46+'Appendix K'!$G$46))/((1+$Y$16)^AN$34))</f>
        <v>2491330.8472704296</v>
      </c>
      <c r="AO630" s="193">
        <f>(((R630*'Appendix K'!$C$21*1000)-('Appendix K'!$E$47+'Appendix K'!$F$47+'Appendix K'!$H$47+'Appendix K'!$G$47))/((1+$Y$16)^AO$34))</f>
        <v>2112056.3146391152</v>
      </c>
      <c r="AP630" s="193">
        <f>(((S630*'Appendix K'!$C$22*1000)-('Appendix K'!$E$48+'Appendix K'!$F$48+'Appendix K'!$H$48+'Appendix K'!$G$48))/((1+$Y$16)^AP$34))</f>
        <v>1051085.2248213196</v>
      </c>
      <c r="AQ630" s="193">
        <f>(((T630*'Appendix K'!$C$23*1000)-('Appendix K'!$E$49+'Appendix K'!$F$49+'Appendix K'!$H$49+'Appendix K'!$G$49))/((1+$Y$16)^AQ$34))</f>
        <v>264137.19968390896</v>
      </c>
      <c r="AR630" s="193">
        <f>(((U630*'Appendix K'!$C$24*1000)-('Appendix K'!$E$50+'Appendix K'!$F$50+'Appendix K'!$H$50+'Appendix K'!$G$50))/((1+$Y$16)^AR$34))</f>
        <v>142214.20094669159</v>
      </c>
      <c r="AS630" s="209">
        <f t="shared" si="34"/>
        <v>287873084.55248588</v>
      </c>
      <c r="AU630" s="199">
        <f t="shared" si="33"/>
        <v>1.3903602784754002E-11</v>
      </c>
    </row>
    <row r="631" spans="1:47" x14ac:dyDescent="0.35">
      <c r="A631">
        <v>597</v>
      </c>
      <c r="B631" s="70">
        <v>56</v>
      </c>
      <c r="C631" s="70">
        <v>77.84682614127442</v>
      </c>
      <c r="D631" s="70">
        <v>102.83439446872573</v>
      </c>
      <c r="E631" s="70">
        <v>90.731340177755158</v>
      </c>
      <c r="F631" s="70">
        <v>71.527075732055835</v>
      </c>
      <c r="G631" s="70">
        <v>48.907113361996906</v>
      </c>
      <c r="H631" s="70">
        <v>66.518015207278523</v>
      </c>
      <c r="I631" s="70">
        <v>66.427651554482011</v>
      </c>
      <c r="J631" s="70">
        <v>0.34713106079558997</v>
      </c>
      <c r="K631" s="70">
        <v>0.38438664146996737</v>
      </c>
      <c r="L631" s="70">
        <v>0.31456782813977135</v>
      </c>
      <c r="M631" s="70">
        <v>0.35199518823928533</v>
      </c>
      <c r="N631" s="70">
        <v>0.25846966657797144</v>
      </c>
      <c r="O631" s="70">
        <v>0.40442615727924658</v>
      </c>
      <c r="P631" s="70">
        <v>0.5841492779059263</v>
      </c>
      <c r="Q631" s="70">
        <v>0.81389991749718149</v>
      </c>
      <c r="R631" s="70">
        <v>0.87249674535239974</v>
      </c>
      <c r="S631" s="70">
        <v>0.67663042350517744</v>
      </c>
      <c r="T631" s="70">
        <v>0.60597655283208751</v>
      </c>
      <c r="U631" s="70">
        <v>0.36803950524846613</v>
      </c>
      <c r="V631" s="70">
        <v>0.50756551127577743</v>
      </c>
      <c r="X631" s="193">
        <f>((0-('Appendix K'!$I$30))/(1+$Y$16)^0)</f>
        <v>-33594902.4440751</v>
      </c>
      <c r="Y631" s="193">
        <f>(((B631*'Appendix K'!$C$5*1000)-('Appendix K'!$E$31+'Appendix K'!$F$31+'Appendix K'!$H$31+'Appendix K'!$G$31))/((1+$Y$16)^1))</f>
        <v>34971064.972647354</v>
      </c>
      <c r="Z631" s="193">
        <f>+(((C631*'Appendix K'!$C$6*1000)-('Appendix K'!$E$32+'Appendix K'!$F$32+'Appendix K'!$H$32+'Appendix K'!$G$32))/((1+$Y$16)^2))</f>
        <v>16178192.037326744</v>
      </c>
      <c r="AA631" s="193">
        <f>(((D631*'Appendix K'!$C$7*1000)-('Appendix K'!$E$33+'Appendix K'!$F$33+'Appendix K'!$H$33+'Appendix K'!$G$33))/((1+$Y$16)^3))</f>
        <v>10133619.806592615</v>
      </c>
      <c r="AB631" s="193">
        <f>(((E631*'Appendix K'!$C$8*1000)-('Appendix K'!$E$34+'Appendix K'!$F$34+'Appendix K'!$H$34+'Appendix K'!$G$34))/((1+$Y$16)^4))</f>
        <v>16594271.312632298</v>
      </c>
      <c r="AC631" s="193">
        <f>(((F631*'Appendix K'!$C$9*1000)-('Appendix K'!$E$35+'Appendix K'!$F$35+'Appendix K'!$H$35+'Appendix K'!$G$35))/((1+$Y$16)^AC$34))</f>
        <v>16027555.892756971</v>
      </c>
      <c r="AD631" s="193">
        <f>(((G631*'Appendix K'!$C$10*1000)-('Appendix K'!$E$36+'Appendix K'!$F$36+'Appendix K'!$H$36+'Appendix K'!$G$36))/((1+$Y$16)^AD$34))</f>
        <v>5164803.3618335649</v>
      </c>
      <c r="AE631" s="193">
        <f>(((H631*'Appendix K'!$C$11*1000)-('Appendix K'!$E$37+'Appendix K'!$F$37+'Appendix K'!$H$37+'Appendix K'!$G$37))/((1+$Y$16)^AE$34))</f>
        <v>4414408.1462927321</v>
      </c>
      <c r="AF631" s="193">
        <f>(((I631*'Appendix K'!$C$12*1000)-('Appendix K'!$E$38+'Appendix K'!$F$38+'Appendix K'!$H$38+'Appendix K'!$G$38))/((1+$Y$16)^AF$34))</f>
        <v>2365221.8129258598</v>
      </c>
      <c r="AG631" s="193">
        <f>(((J631*'Appendix K'!$C$13*1000)-('Appendix K'!$E$39+'Appendix K'!$F$39+'Appendix K'!$H$39+'Appendix K'!$G$39))/((1+$Y$16)^AG$34))</f>
        <v>-1798969.2701250289</v>
      </c>
      <c r="AH631" s="193">
        <f>(((K631*'Appendix K'!$C$14*1000)-('Appendix K'!$E$40+'Appendix K'!$F$40+'Appendix K'!$H$40+'Appendix K'!$G$40))/((1+$Y$16)^AH$34))</f>
        <v>-1619784.8174443047</v>
      </c>
      <c r="AI631" s="193">
        <f>(((L631*'Appendix K'!$C$15*1000)-('Appendix K'!$E$41+'Appendix K'!$F$41+'Appendix K'!$H$41+'Appendix K'!$G$41))/((1+$Y$16)^AI$34))</f>
        <v>-1508239.0829890438</v>
      </c>
      <c r="AJ631" s="193">
        <f>(((M631*'Appendix K'!$C$16*1000)-('Appendix K'!$E$42+'Appendix K'!$F$42+'Appendix K'!$H$42+'Appendix K'!$G$42))/((1+$Y$16)^AJ$34))</f>
        <v>-1374496.3179683231</v>
      </c>
      <c r="AK631" s="193">
        <f>(((N631*'Appendix K'!$C$17*1000)-('Appendix K'!$E$43+'Appendix K'!$F$43+'Appendix K'!$H$43))/((1+$Y$16)^AK$34))</f>
        <v>-1000287.5149283473</v>
      </c>
      <c r="AL631" s="193">
        <f>(((O631*'Appendix K'!$C$18*1000)-('Appendix K'!$E$44+'Appendix K'!$F$44+'Appendix K'!$H$44+'Appendix K'!$G$44))/((1+$Y$16)^AL$34))</f>
        <v>-1129795.3434247088</v>
      </c>
      <c r="AM631" s="193">
        <f>(((P631*'Appendix K'!$C$19*1000)-('Appendix K'!$E$45+'Appendix K'!$F$45+'Appendix K'!$H$45+'Appendix K'!$G$45))/((1+$Y$16)^AM$34))</f>
        <v>-1021351.6191296806</v>
      </c>
      <c r="AN631" s="193">
        <f>(((Q631*'Appendix K'!$C$20*1000)-('Appendix K'!$E$46+'Appendix K'!$F$46+'Appendix K'!$H$46+'Appendix K'!$G$46))/((1+$Y$16)^AN$34))</f>
        <v>-909819.28253436135</v>
      </c>
      <c r="AO631" s="193">
        <f>(((R631*'Appendix K'!$C$21*1000)-('Appendix K'!$E$47+'Appendix K'!$F$47+'Appendix K'!$H$47+'Appendix K'!$G$47))/((1+$Y$16)^AO$34))</f>
        <v>-837842.3732224952</v>
      </c>
      <c r="AP631" s="193">
        <f>(((S631*'Appendix K'!$C$22*1000)-('Appendix K'!$E$48+'Appendix K'!$F$48+'Appendix K'!$H$48+'Appendix K'!$G$48))/((1+$Y$16)^AP$34))</f>
        <v>-761212.36299043056</v>
      </c>
      <c r="AQ631" s="193">
        <f>(((T631*'Appendix K'!$C$23*1000)-('Appendix K'!$E$49+'Appendix K'!$F$49+'Appendix K'!$H$49+'Appendix K'!$G$49))/((1+$Y$16)^AQ$34))</f>
        <v>-691113.99441797868</v>
      </c>
      <c r="AR631" s="193">
        <f>(((U631*'Appendix K'!$C$24*1000)-('Appendix K'!$E$50+'Appendix K'!$F$50+'Appendix K'!$H$50+'Appendix K'!$G$50))/((1+$Y$16)^AR$34))</f>
        <v>-628103.77178935974</v>
      </c>
      <c r="AS631" s="209">
        <f t="shared" si="34"/>
        <v>72254234.898933023</v>
      </c>
      <c r="AU631" s="199">
        <f t="shared" si="33"/>
        <v>6.7767649293716917E-9</v>
      </c>
    </row>
    <row r="632" spans="1:47" x14ac:dyDescent="0.35">
      <c r="A632">
        <v>598</v>
      </c>
      <c r="B632" s="70">
        <v>56</v>
      </c>
      <c r="C632" s="70">
        <v>34.184206269891426</v>
      </c>
      <c r="D632" s="70">
        <v>38.270769695253563</v>
      </c>
      <c r="E632" s="70">
        <v>69.378890561605644</v>
      </c>
      <c r="F632" s="70">
        <v>106.18884833000843</v>
      </c>
      <c r="G632" s="70">
        <v>94.906058790601307</v>
      </c>
      <c r="H632" s="70">
        <v>112.23790730221776</v>
      </c>
      <c r="I632" s="70">
        <v>186.27883350929312</v>
      </c>
      <c r="J632" s="70">
        <v>249.13492623354696</v>
      </c>
      <c r="K632" s="70">
        <v>264.30331287766944</v>
      </c>
      <c r="L632" s="70">
        <v>423.56412339817712</v>
      </c>
      <c r="M632" s="70">
        <v>209.32749997870422</v>
      </c>
      <c r="N632" s="70">
        <v>262.8553562122346</v>
      </c>
      <c r="O632" s="70">
        <v>297.22554001067363</v>
      </c>
      <c r="P632" s="70">
        <v>238.93165616703752</v>
      </c>
      <c r="Q632" s="70">
        <v>283.13802413814136</v>
      </c>
      <c r="R632" s="70">
        <v>328.3773362127672</v>
      </c>
      <c r="S632" s="70">
        <v>500</v>
      </c>
      <c r="T632" s="70">
        <v>500</v>
      </c>
      <c r="U632" s="70">
        <v>500</v>
      </c>
      <c r="V632" s="70">
        <v>474.54694736296506</v>
      </c>
      <c r="X632" s="193">
        <f>((0-('Appendix K'!$I$30))/(1+$Y$16)^0)</f>
        <v>-33594902.4440751</v>
      </c>
      <c r="Y632" s="193">
        <f>(((B632*'Appendix K'!$C$5*1000)-('Appendix K'!$E$31+'Appendix K'!$F$31+'Appendix K'!$H$31+'Appendix K'!$G$31))/((1+$Y$16)^1))</f>
        <v>34971064.972647354</v>
      </c>
      <c r="Z632" s="193">
        <f>+(((C632*'Appendix K'!$C$6*1000)-('Appendix K'!$E$32+'Appendix K'!$F$32+'Appendix K'!$H$32+'Appendix K'!$G$32))/((1+$Y$16)^2))</f>
        <v>5148267.4906098256</v>
      </c>
      <c r="AA632" s="193">
        <f>(((D632*'Appendix K'!$C$7*1000)-('Appendix K'!$E$33+'Appendix K'!$F$33+'Appendix K'!$H$33+'Appendix K'!$G$33))/((1+$Y$16)^3))</f>
        <v>1909836.3420718308</v>
      </c>
      <c r="AB632" s="193">
        <f>(((E632*'Appendix K'!$C$8*1000)-('Appendix K'!$E$34+'Appendix K'!$F$34+'Appendix K'!$H$34+'Appendix K'!$G$34))/((1+$Y$16)^4))</f>
        <v>11914009.819635192</v>
      </c>
      <c r="AC632" s="193">
        <f>(((F632*'Appendix K'!$C$9*1000)-('Appendix K'!$E$35+'Appendix K'!$F$35+'Appendix K'!$H$35+'Appendix K'!$G$35))/((1+$Y$16)^AC$34))</f>
        <v>25240600.620542556</v>
      </c>
      <c r="AD632" s="193">
        <f>(((G632*'Appendix K'!$C$10*1000)-('Appendix K'!$E$36+'Appendix K'!$F$36+'Appendix K'!$H$36+'Appendix K'!$G$36))/((1+$Y$16)^AD$34))</f>
        <v>12388659.517525082</v>
      </c>
      <c r="AE632" s="193">
        <f>(((H632*'Appendix K'!$C$11*1000)-('Appendix K'!$E$37+'Appendix K'!$F$37+'Appendix K'!$H$37+'Appendix K'!$G$37))/((1+$Y$16)^AE$34))</f>
        <v>8974401.7745018397</v>
      </c>
      <c r="AF632" s="193">
        <f>(((I632*'Appendix K'!$C$12*1000)-('Appendix K'!$E$38+'Appendix K'!$F$38+'Appendix K'!$H$38+'Appendix K'!$G$38))/((1+$Y$16)^AF$34))</f>
        <v>10234941.303576171</v>
      </c>
      <c r="AG632" s="193">
        <f>(((J632*'Appendix K'!$C$13*1000)-('Appendix K'!$E$39+'Appendix K'!$F$39+'Appendix K'!$H$39+'Appendix K'!$G$39))/((1+$Y$16)^AG$34))</f>
        <v>9649979.4981268439</v>
      </c>
      <c r="AH632" s="193">
        <f>(((K632*'Appendix K'!$C$14*1000)-('Appendix K'!$E$40+'Appendix K'!$F$40+'Appendix K'!$H$40+'Appendix K'!$G$40))/((1+$Y$16)^AH$34))</f>
        <v>7276005.5311918948</v>
      </c>
      <c r="AI632" s="193">
        <f>(((L632*'Appendix K'!$C$15*1000)-('Appendix K'!$E$41+'Appendix K'!$F$41+'Appendix K'!$H$41+'Appendix K'!$G$41))/((1+$Y$16)^AI$34))</f>
        <v>9581690.7534958869</v>
      </c>
      <c r="AJ632" s="193">
        <f>(((M632*'Appendix K'!$C$16*1000)-('Appendix K'!$E$42+'Appendix K'!$F$42+'Appendix K'!$H$42+'Appendix K'!$G$42))/((1+$Y$16)^AJ$34))</f>
        <v>2813762.9506916781</v>
      </c>
      <c r="AK632" s="193">
        <f>(((N632*'Appendix K'!$C$17*1000)-('Appendix K'!$E$43+'Appendix K'!$F$43+'Appendix K'!$H$43))/((1+$Y$16)^AK$34))</f>
        <v>3034224.1239634119</v>
      </c>
      <c r="AL632" s="193">
        <f>(((O632*'Appendix K'!$C$18*1000)-('Appendix K'!$E$44+'Appendix K'!$F$44+'Appendix K'!$H$44+'Appendix K'!$G$44))/((1+$Y$16)^AL$34))</f>
        <v>2388512.6593233799</v>
      </c>
      <c r="AM632" s="193">
        <f>(((P632*'Appendix K'!$C$19*1000)-('Appendix K'!$E$45+'Appendix K'!$F$45+'Appendix K'!$H$45+'Appendix K'!$G$45))/((1+$Y$16)^AM$34))</f>
        <v>1187827.4955825254</v>
      </c>
      <c r="AN632" s="193">
        <f>(((Q632*'Appendix K'!$C$20*1000)-('Appendix K'!$E$46+'Appendix K'!$F$46+'Appendix K'!$H$46+'Appendix K'!$G$46))/((1+$Y$16)^AN$34))</f>
        <v>1133139.313855381</v>
      </c>
      <c r="AO632" s="193">
        <f>(((R632*'Appendix K'!$C$21*1000)-('Appendix K'!$E$47+'Appendix K'!$F$47+'Appendix K'!$H$47+'Appendix K'!$G$47))/((1+$Y$16)^AO$34))</f>
        <v>1097747.4107777681</v>
      </c>
      <c r="AP632" s="193">
        <f>(((S632*'Appendix K'!$C$22*1000)-('Appendix K'!$E$48+'Appendix K'!$F$48+'Appendix K'!$H$48+'Appendix K'!$G$48))/((1+$Y$16)^AP$34))</f>
        <v>1630406.4380253027</v>
      </c>
      <c r="AQ632" s="193">
        <f>(((T632*'Appendix K'!$C$23*1000)-('Appendix K'!$E$49+'Appendix K'!$F$49+'Appendix K'!$H$49+'Appendix K'!$G$49))/((1+$Y$16)^AQ$34))</f>
        <v>1263386.3652054211</v>
      </c>
      <c r="AR632" s="193">
        <f>(((U632*'Appendix K'!$C$24*1000)-('Appendix K'!$E$50+'Appendix K'!$F$50+'Appendix K'!$H$50+'Appendix K'!$G$50))/((1+$Y$16)^AR$34))</f>
        <v>980725.14012097823</v>
      </c>
      <c r="AS632" s="209">
        <f t="shared" si="34"/>
        <v>119224287.07739523</v>
      </c>
      <c r="AU632" s="199">
        <f t="shared" si="33"/>
        <v>6.0197559778034018E-9</v>
      </c>
    </row>
    <row r="633" spans="1:47" x14ac:dyDescent="0.35">
      <c r="A633">
        <v>599</v>
      </c>
      <c r="B633" s="70">
        <v>56</v>
      </c>
      <c r="C633" s="70">
        <v>60.918232913252936</v>
      </c>
      <c r="D633" s="70">
        <v>66.388542506413785</v>
      </c>
      <c r="E633" s="70">
        <v>61.280397612685036</v>
      </c>
      <c r="F633" s="70">
        <v>39.524303712962279</v>
      </c>
      <c r="G633" s="70">
        <v>50.023308907353751</v>
      </c>
      <c r="H633" s="70">
        <v>70.362279337897959</v>
      </c>
      <c r="I633" s="70">
        <v>60.045920348329076</v>
      </c>
      <c r="J633" s="70">
        <v>43.227893439052956</v>
      </c>
      <c r="K633" s="70">
        <v>36.279931920583699</v>
      </c>
      <c r="L633" s="70">
        <v>52.418745763763575</v>
      </c>
      <c r="M633" s="70">
        <v>47.137385323049223</v>
      </c>
      <c r="N633" s="70">
        <v>55.258921183253285</v>
      </c>
      <c r="O633" s="70">
        <v>61.318114077467257</v>
      </c>
      <c r="P633" s="70">
        <v>85.814396861404688</v>
      </c>
      <c r="Q633" s="70">
        <v>88.711305906811504</v>
      </c>
      <c r="R633" s="70">
        <v>69.562894261225068</v>
      </c>
      <c r="S633" s="70">
        <v>69.189712802509362</v>
      </c>
      <c r="T633" s="70">
        <v>56.246796428651095</v>
      </c>
      <c r="U633" s="70">
        <v>65.993811865293793</v>
      </c>
      <c r="V633" s="70">
        <v>64.423091870682839</v>
      </c>
      <c r="X633" s="193">
        <f>((0-('Appendix K'!$I$30))/(1+$Y$16)^0)</f>
        <v>-33594902.4440751</v>
      </c>
      <c r="Y633" s="193">
        <f>(((B633*'Appendix K'!$C$5*1000)-('Appendix K'!$E$31+'Appendix K'!$F$31+'Appendix K'!$H$31+'Appendix K'!$G$31))/((1+$Y$16)^1))</f>
        <v>34971064.972647354</v>
      </c>
      <c r="Z633" s="193">
        <f>+(((C633*'Appendix K'!$C$6*1000)-('Appendix K'!$E$32+'Appendix K'!$F$32+'Appendix K'!$H$32+'Appendix K'!$G$32))/((1+$Y$16)^2))</f>
        <v>11901739.856097938</v>
      </c>
      <c r="AA633" s="193">
        <f>(((D633*'Appendix K'!$C$7*1000)-('Appendix K'!$E$33+'Appendix K'!$F$33+'Appendix K'!$H$33+'Appendix K'!$G$33))/((1+$Y$16)^3))</f>
        <v>5491334.0648976546</v>
      </c>
      <c r="AB633" s="193">
        <f>(((E633*'Appendix K'!$C$8*1000)-('Appendix K'!$E$34+'Appendix K'!$F$34+'Appendix K'!$H$34+'Appendix K'!$G$34))/((1+$Y$16)^4))</f>
        <v>10138894.299799263</v>
      </c>
      <c r="AC633" s="193">
        <f>(((F633*'Appendix K'!$C$9*1000)-('Appendix K'!$E$35+'Appendix K'!$F$35+'Appendix K'!$H$35+'Appendix K'!$G$35))/((1+$Y$16)^AC$34))</f>
        <v>7521269.3434519423</v>
      </c>
      <c r="AD633" s="193">
        <f>(((G633*'Appendix K'!$C$10*1000)-('Appendix K'!$E$36+'Appendix K'!$F$36+'Appendix K'!$H$36+'Appendix K'!$G$36))/((1+$Y$16)^AD$34))</f>
        <v>5340095.1209413158</v>
      </c>
      <c r="AE633" s="193">
        <f>(((H633*'Appendix K'!$C$11*1000)-('Appendix K'!$E$37+'Appendix K'!$F$37+'Appendix K'!$H$37+'Appendix K'!$G$37))/((1+$Y$16)^AE$34))</f>
        <v>4797825.9353018599</v>
      </c>
      <c r="AF633" s="193">
        <f>(((I633*'Appendix K'!$C$12*1000)-('Appendix K'!$E$38+'Appendix K'!$F$38+'Appendix K'!$H$38+'Appendix K'!$G$38))/((1+$Y$16)^AF$34))</f>
        <v>1946181.8532190884</v>
      </c>
      <c r="AG633" s="193">
        <f>(((J633*'Appendix K'!$C$13*1000)-('Appendix K'!$E$39+'Appendix K'!$F$39+'Appendix K'!$H$39+'Appendix K'!$G$39))/((1+$Y$16)^AG$34))</f>
        <v>174357.64195824237</v>
      </c>
      <c r="AH633" s="193">
        <f>(((K633*'Appendix K'!$C$14*1000)-('Appendix K'!$E$40+'Appendix K'!$F$40+'Appendix K'!$H$40+'Appendix K'!$G$40))/((1+$Y$16)^AH$34))</f>
        <v>-409870.66006707842</v>
      </c>
      <c r="AI633" s="193">
        <f>(((L633*'Appendix K'!$C$15*1000)-('Appendix K'!$E$41+'Appendix K'!$F$41+'Appendix K'!$H$41+'Appendix K'!$G$41))/((1+$Y$16)^AI$34))</f>
        <v>-143012.18578518531</v>
      </c>
      <c r="AJ633" s="193">
        <f>(((M633*'Appendix K'!$C$16*1000)-('Appendix K'!$E$42+'Appendix K'!$F$42+'Appendix K'!$H$42+'Appendix K'!$G$42))/((1+$Y$16)^AJ$34))</f>
        <v>-436829.7523750689</v>
      </c>
      <c r="AK633" s="193">
        <f>(((N633*'Appendix K'!$C$17*1000)-('Appendix K'!$E$43+'Appendix K'!$F$43+'Appendix K'!$H$43))/((1+$Y$16)^AK$34))</f>
        <v>-155266.21742812861</v>
      </c>
      <c r="AL633" s="193">
        <f>(((O633*'Appendix K'!$C$18*1000)-('Appendix K'!$E$44+'Appendix K'!$F$44+'Appendix K'!$H$44+'Appendix K'!$G$44))/((1+$Y$16)^AL$34))</f>
        <v>-407767.47652454482</v>
      </c>
      <c r="AM633" s="193">
        <f>(((P633*'Appendix K'!$C$19*1000)-('Appendix K'!$E$45+'Appendix K'!$F$45+'Appendix K'!$H$45+'Appendix K'!$G$45))/((1+$Y$16)^AM$34))</f>
        <v>-231375.31368924098</v>
      </c>
      <c r="AN633" s="193">
        <f>(((Q633*'Appendix K'!$C$20*1000)-('Appendix K'!$E$46+'Appendix K'!$F$46+'Appendix K'!$H$46+'Appendix K'!$G$46))/((1+$Y$16)^AN$34))</f>
        <v>-273774.58864950808</v>
      </c>
      <c r="AO633" s="193">
        <f>(((R633*'Appendix K'!$C$21*1000)-('Appendix K'!$E$47+'Appendix K'!$F$47+'Appendix K'!$H$47+'Appendix K'!$G$47))/((1+$Y$16)^AO$34))</f>
        <v>-431874.53498580639</v>
      </c>
      <c r="AP633" s="193">
        <f>(((S633*'Appendix K'!$C$22*1000)-('Appendix K'!$E$48+'Appendix K'!$F$48+'Appendix K'!$H$48+'Appendix K'!$G$48))/((1+$Y$16)^AP$34))</f>
        <v>-433053.92716127454</v>
      </c>
      <c r="AQ633" s="193">
        <f>(((T633*'Appendix K'!$C$23*1000)-('Appendix K'!$E$49+'Appendix K'!$F$49+'Appendix K'!$H$49+'Appendix K'!$G$49))/((1+$Y$16)^AQ$34))</f>
        <v>-473350.06983922567</v>
      </c>
      <c r="AR633" s="193">
        <f>(((U633*'Appendix K'!$C$24*1000)-('Appendix K'!$E$50+'Appendix K'!$F$50+'Appendix K'!$H$50+'Appendix K'!$G$50))/((1+$Y$16)^AR$34))</f>
        <v>-416786.94603077957</v>
      </c>
      <c r="AS633" s="209">
        <f t="shared" si="34"/>
        <v>48687860.644239552</v>
      </c>
      <c r="AU633" s="199">
        <f t="shared" si="33"/>
        <v>5.5559428580568006E-9</v>
      </c>
    </row>
    <row r="634" spans="1:47" x14ac:dyDescent="0.35">
      <c r="A634">
        <v>600</v>
      </c>
      <c r="B634" s="70">
        <v>56</v>
      </c>
      <c r="C634" s="70">
        <v>64.519405635989457</v>
      </c>
      <c r="D634" s="70">
        <v>40.645572376442196</v>
      </c>
      <c r="E634" s="70">
        <v>44.885746455043467</v>
      </c>
      <c r="F634" s="70">
        <v>75.128180750328028</v>
      </c>
      <c r="G634" s="70">
        <v>70.712591897670109</v>
      </c>
      <c r="H634" s="70">
        <v>86.960344011400906</v>
      </c>
      <c r="I634" s="70">
        <v>57.447537328443971</v>
      </c>
      <c r="J634" s="70">
        <v>59.156336365548789</v>
      </c>
      <c r="K634" s="70">
        <v>36.001927796977704</v>
      </c>
      <c r="L634" s="70">
        <v>25.50059781458463</v>
      </c>
      <c r="M634" s="70">
        <v>14.561218299249763</v>
      </c>
      <c r="N634" s="70">
        <v>27.346924410935422</v>
      </c>
      <c r="O634" s="70">
        <v>27.60605606608511</v>
      </c>
      <c r="P634" s="70">
        <v>29.446930185913036</v>
      </c>
      <c r="Q634" s="70">
        <v>35.717676345246687</v>
      </c>
      <c r="R634" s="70">
        <v>31.443034427892702</v>
      </c>
      <c r="S634" s="70">
        <v>28.672719503593882</v>
      </c>
      <c r="T634" s="70">
        <v>38.902342810445042</v>
      </c>
      <c r="U634" s="70">
        <v>36.715577134048942</v>
      </c>
      <c r="V634" s="70">
        <v>42.955710492321693</v>
      </c>
      <c r="X634" s="193">
        <f>((0-('Appendix K'!$I$30))/(1+$Y$16)^0)</f>
        <v>-33594902.4440751</v>
      </c>
      <c r="Y634" s="193">
        <f>(((B634*'Appendix K'!$C$5*1000)-('Appendix K'!$E$31+'Appendix K'!$F$31+'Appendix K'!$H$31+'Appendix K'!$G$31))/((1+$Y$16)^1))</f>
        <v>34971064.972647354</v>
      </c>
      <c r="Z634" s="193">
        <f>+(((C634*'Appendix K'!$C$6*1000)-('Appendix K'!$E$32+'Appendix K'!$F$32+'Appendix K'!$H$32+'Appendix K'!$G$32))/((1+$Y$16)^2))</f>
        <v>12811457.677165115</v>
      </c>
      <c r="AA634" s="193">
        <f>(((D634*'Appendix K'!$C$7*1000)-('Appendix K'!$E$33+'Appendix K'!$F$33+'Appendix K'!$H$33+'Appendix K'!$G$33))/((1+$Y$16)^3))</f>
        <v>2212326.5304647712</v>
      </c>
      <c r="AB634" s="193">
        <f>(((E634*'Appendix K'!$C$8*1000)-('Appendix K'!$E$34+'Appendix K'!$F$34+'Appendix K'!$H$34+'Appendix K'!$G$34))/((1+$Y$16)^4))</f>
        <v>6545336.844630463</v>
      </c>
      <c r="AC634" s="193">
        <f>(((F634*'Appendix K'!$C$9*1000)-('Appendix K'!$E$35+'Appendix K'!$F$35+'Appendix K'!$H$35+'Appendix K'!$G$35))/((1+$Y$16)^AC$34))</f>
        <v>16984723.951864097</v>
      </c>
      <c r="AD634" s="193">
        <f>(((G634*'Appendix K'!$C$10*1000)-('Appendix K'!$E$36+'Appendix K'!$F$36+'Appendix K'!$H$36+'Appendix K'!$G$36))/((1+$Y$16)^AD$34))</f>
        <v>8589221.8757799454</v>
      </c>
      <c r="AE634" s="193">
        <f>(((H634*'Appendix K'!$C$11*1000)-('Appendix K'!$E$37+'Appendix K'!$F$37+'Appendix K'!$H$37+'Appendix K'!$G$37))/((1+$Y$16)^AE$34))</f>
        <v>6453277.5491116373</v>
      </c>
      <c r="AF634" s="193">
        <f>(((I634*'Appendix K'!$C$12*1000)-('Appendix K'!$E$38+'Appendix K'!$F$38+'Appendix K'!$H$38+'Appendix K'!$G$38))/((1+$Y$16)^AF$34))</f>
        <v>1775565.7177564062</v>
      </c>
      <c r="AG634" s="193">
        <f>(((J634*'Appendix K'!$C$13*1000)-('Appendix K'!$E$39+'Appendix K'!$F$39+'Appendix K'!$H$39+'Appendix K'!$G$39))/((1+$Y$16)^AG$34))</f>
        <v>907367.58280701376</v>
      </c>
      <c r="AH634" s="193">
        <f>(((K634*'Appendix K'!$C$14*1000)-('Appendix K'!$E$40+'Appendix K'!$F$40+'Appendix K'!$H$40+'Appendix K'!$G$40))/((1+$Y$16)^AH$34))</f>
        <v>-419241.21349772543</v>
      </c>
      <c r="AI634" s="193">
        <f>(((L634*'Appendix K'!$C$15*1000)-('Appendix K'!$E$41+'Appendix K'!$F$41+'Appendix K'!$H$41+'Appendix K'!$G$41))/((1+$Y$16)^AI$34))</f>
        <v>-848317.99923716777</v>
      </c>
      <c r="AJ634" s="193">
        <f>(((M634*'Appendix K'!$C$16*1000)-('Appendix K'!$E$42+'Appendix K'!$F$42+'Appendix K'!$H$42+'Appendix K'!$G$42))/((1+$Y$16)^AJ$34))</f>
        <v>-1089716.9585174688</v>
      </c>
      <c r="AK634" s="193">
        <f>(((N634*'Appendix K'!$C$17*1000)-('Appendix K'!$E$43+'Appendix K'!$F$43+'Appendix K'!$H$43))/((1+$Y$16)^AK$34))</f>
        <v>-584103.27381511056</v>
      </c>
      <c r="AL634" s="193">
        <f>(((O634*'Appendix K'!$C$18*1000)-('Appendix K'!$E$44+'Appendix K'!$F$44+'Appendix K'!$H$44+'Appendix K'!$G$44))/((1+$Y$16)^AL$34))</f>
        <v>-807366.41997820034</v>
      </c>
      <c r="AM634" s="193">
        <f>(((P634*'Appendix K'!$C$19*1000)-('Appendix K'!$E$45+'Appendix K'!$F$45+'Appendix K'!$H$45+'Appendix K'!$G$45))/((1+$Y$16)^AM$34))</f>
        <v>-753830.24411423656</v>
      </c>
      <c r="AN634" s="193">
        <f>(((Q634*'Appendix K'!$C$20*1000)-('Appendix K'!$E$46+'Appendix K'!$F$46+'Appendix K'!$H$46+'Appendix K'!$G$46))/((1+$Y$16)^AN$34))</f>
        <v>-657247.98599220649</v>
      </c>
      <c r="AO634" s="193">
        <f>(((R634*'Appendix K'!$C$21*1000)-('Appendix K'!$E$47+'Appendix K'!$F$47+'Appendix K'!$H$47+'Appendix K'!$G$47))/((1+$Y$16)^AO$34))</f>
        <v>-657167.11808444886</v>
      </c>
      <c r="AP634" s="193">
        <f>(((S634*'Appendix K'!$C$22*1000)-('Appendix K'!$E$48+'Appendix K'!$F$48+'Appendix K'!$H$48+'Appendix K'!$G$48))/((1+$Y$16)^AP$34))</f>
        <v>-627118.95363200095</v>
      </c>
      <c r="AQ634" s="193">
        <f>(((T634*'Appendix K'!$C$23*1000)-('Appendix K'!$E$49+'Appendix K'!$F$49+'Appendix K'!$H$49+'Appendix K'!$G$49))/((1+$Y$16)^AQ$34))</f>
        <v>-541231.82100688142</v>
      </c>
      <c r="AR634" s="193">
        <f>(((U634*'Appendix K'!$C$24*1000)-('Appendix K'!$E$50+'Appendix K'!$F$50+'Appendix K'!$H$50+'Appendix K'!$G$50))/((1+$Y$16)^AR$34))</f>
        <v>-511063.6822081061</v>
      </c>
      <c r="AS634" s="209">
        <f t="shared" si="34"/>
        <v>57655440.258151703</v>
      </c>
      <c r="AU634" s="199">
        <f t="shared" si="33"/>
        <v>6.115193999436912E-9</v>
      </c>
    </row>
    <row r="635" spans="1:47" x14ac:dyDescent="0.35">
      <c r="A635">
        <v>601</v>
      </c>
      <c r="B635" s="70">
        <v>56</v>
      </c>
      <c r="C635" s="70">
        <v>78.395234213756879</v>
      </c>
      <c r="D635" s="70">
        <v>112.04248655525832</v>
      </c>
      <c r="E635" s="70">
        <v>51.721524469332792</v>
      </c>
      <c r="F635" s="70">
        <v>53.646248337797125</v>
      </c>
      <c r="G635" s="70">
        <v>85.052552147559368</v>
      </c>
      <c r="H635" s="70">
        <v>78.477770830101591</v>
      </c>
      <c r="I635" s="70">
        <v>90.285583639649772</v>
      </c>
      <c r="J635" s="70">
        <v>18.836132533355766</v>
      </c>
      <c r="K635" s="70">
        <v>26.101563880046779</v>
      </c>
      <c r="L635" s="70">
        <v>27.17325925175518</v>
      </c>
      <c r="M635" s="70">
        <v>47.752093499707556</v>
      </c>
      <c r="N635" s="70">
        <v>55.066737400469208</v>
      </c>
      <c r="O635" s="70">
        <v>88.223509974347166</v>
      </c>
      <c r="P635" s="70">
        <v>116.68582321695162</v>
      </c>
      <c r="Q635" s="70">
        <v>148.30084937575083</v>
      </c>
      <c r="R635" s="70">
        <v>193.76391877335737</v>
      </c>
      <c r="S635" s="70">
        <v>320.22428188188906</v>
      </c>
      <c r="T635" s="70">
        <v>384.7354343070017</v>
      </c>
      <c r="U635" s="70">
        <v>433.50476554607144</v>
      </c>
      <c r="V635" s="70">
        <v>500</v>
      </c>
      <c r="X635" s="193">
        <f>((0-('Appendix K'!$I$30))/(1+$Y$16)^0)</f>
        <v>-33594902.4440751</v>
      </c>
      <c r="Y635" s="193">
        <f>(((B635*'Appendix K'!$C$5*1000)-('Appendix K'!$E$31+'Appendix K'!$F$31+'Appendix K'!$H$31+'Appendix K'!$G$31))/((1+$Y$16)^1))</f>
        <v>34971064.972647354</v>
      </c>
      <c r="Z635" s="193">
        <f>+(((C635*'Appendix K'!$C$6*1000)-('Appendix K'!$E$32+'Appendix K'!$F$32+'Appendix K'!$H$32+'Appendix K'!$G$32))/((1+$Y$16)^2))</f>
        <v>16316729.295927124</v>
      </c>
      <c r="AA635" s="193">
        <f>(((D635*'Appendix K'!$C$7*1000)-('Appendix K'!$E$33+'Appendix K'!$F$33+'Appendix K'!$H$33+'Appendix K'!$G$33))/((1+$Y$16)^3))</f>
        <v>11306499.360779686</v>
      </c>
      <c r="AB635" s="193">
        <f>(((E635*'Appendix K'!$C$8*1000)-('Appendix K'!$E$34+'Appendix K'!$F$34+'Appendix K'!$H$34+'Appendix K'!$G$34))/((1+$Y$16)^4))</f>
        <v>8043676.8098378778</v>
      </c>
      <c r="AC635" s="193">
        <f>(((F635*'Appendix K'!$C$9*1000)-('Appendix K'!$E$35+'Appendix K'!$F$35+'Appendix K'!$H$35+'Appendix K'!$G$35))/((1+$Y$16)^AC$34))</f>
        <v>11274860.049300604</v>
      </c>
      <c r="AD635" s="193">
        <f>(((G635*'Appendix K'!$C$10*1000)-('Appendix K'!$E$36+'Appendix K'!$F$36+'Appendix K'!$H$36+'Appendix K'!$G$36))/((1+$Y$16)^AD$34))</f>
        <v>10841225.898009483</v>
      </c>
      <c r="AE635" s="193">
        <f>(((H635*'Appendix K'!$C$11*1000)-('Appendix K'!$E$37+'Appendix K'!$F$37+'Appendix K'!$H$37+'Appendix K'!$G$37))/((1+$Y$16)^AE$34))</f>
        <v>5607245.8135769013</v>
      </c>
      <c r="AF635" s="193">
        <f>(((I635*'Appendix K'!$C$12*1000)-('Appendix K'!$E$38+'Appendix K'!$F$38+'Appendix K'!$H$38+'Appendix K'!$G$38))/((1+$Y$16)^AF$34))</f>
        <v>3931791.5377705251</v>
      </c>
      <c r="AG635" s="193">
        <f>(((J635*'Appendix K'!$C$13*1000)-('Appendix K'!$E$39+'Appendix K'!$F$39+'Appendix K'!$H$39+'Appendix K'!$G$39))/((1+$Y$16)^AG$34))</f>
        <v>-948125.15822440118</v>
      </c>
      <c r="AH635" s="193">
        <f>(((K635*'Appendix K'!$C$14*1000)-('Appendix K'!$E$40+'Appendix K'!$F$40+'Appendix K'!$H$40+'Appendix K'!$G$40))/((1+$Y$16)^AH$34))</f>
        <v>-752948.09475943085</v>
      </c>
      <c r="AI635" s="193">
        <f>(((L635*'Appendix K'!$C$15*1000)-('Appendix K'!$E$41+'Appendix K'!$F$41+'Appendix K'!$H$41+'Appendix K'!$G$41))/((1+$Y$16)^AI$34))</f>
        <v>-804491.14169107412</v>
      </c>
      <c r="AJ635" s="193">
        <f>(((M635*'Appendix K'!$C$16*1000)-('Appendix K'!$E$42+'Appendix K'!$F$42+'Appendix K'!$H$42+'Appendix K'!$G$42))/((1+$Y$16)^AJ$34))</f>
        <v>-424509.85286822583</v>
      </c>
      <c r="AK635" s="193">
        <f>(((N635*'Appendix K'!$C$17*1000)-('Appendix K'!$E$43+'Appendix K'!$F$43+'Appendix K'!$H$43))/((1+$Y$16)^AK$34))</f>
        <v>-158218.90936080238</v>
      </c>
      <c r="AL635" s="193">
        <f>(((O635*'Appendix K'!$C$18*1000)-('Appendix K'!$E$44+'Appendix K'!$F$44+'Appendix K'!$H$44+'Appendix K'!$G$44))/((1+$Y$16)^AL$34))</f>
        <v>-88849.901988882644</v>
      </c>
      <c r="AM635" s="193">
        <f>(((P635*'Appendix K'!$C$19*1000)-('Appendix K'!$E$45+'Appendix K'!$F$45+'Appendix K'!$H$45+'Appendix K'!$G$45))/((1+$Y$16)^AM$34))</f>
        <v>54763.65724521895</v>
      </c>
      <c r="AN635" s="193">
        <f>(((Q635*'Appendix K'!$C$20*1000)-('Appendix K'!$E$46+'Appendix K'!$F$46+'Appendix K'!$H$46+'Appendix K'!$G$46))/((1+$Y$16)^AN$34))</f>
        <v>157428.27232055698</v>
      </c>
      <c r="AO635" s="193">
        <f>(((R635*'Appendix K'!$C$21*1000)-('Appendix K'!$E$47+'Appendix K'!$F$47+'Appendix K'!$H$47+'Appendix K'!$G$47))/((1+$Y$16)^AO$34))</f>
        <v>302167.24161508103</v>
      </c>
      <c r="AP635" s="193">
        <f>(((S635*'Appendix K'!$C$22*1000)-('Appendix K'!$E$48+'Appendix K'!$F$48+'Appendix K'!$H$48+'Appendix K'!$G$48))/((1+$Y$16)^AP$34))</f>
        <v>769331.20378972357</v>
      </c>
      <c r="AQ635" s="193">
        <f>(((T635*'Appendix K'!$C$23*1000)-('Appendix K'!$E$49+'Appendix K'!$F$49+'Appendix K'!$H$49+'Appendix K'!$G$49))/((1+$Y$16)^AQ$34))</f>
        <v>812270.36356862204</v>
      </c>
      <c r="AR635" s="193">
        <f>(((U635*'Appendix K'!$C$24*1000)-('Appendix K'!$E$50+'Appendix K'!$F$50+'Appendix K'!$H$50+'Appendix K'!$G$50))/((1+$Y$16)^AR$34))</f>
        <v>766608.62205875863</v>
      </c>
      <c r="AS635" s="209">
        <f t="shared" si="34"/>
        <v>71560760.654372424</v>
      </c>
      <c r="AU635" s="199">
        <f t="shared" si="33"/>
        <v>6.7538809286431633E-9</v>
      </c>
    </row>
    <row r="636" spans="1:47" x14ac:dyDescent="0.35">
      <c r="A636">
        <v>602</v>
      </c>
      <c r="B636" s="70">
        <v>56</v>
      </c>
      <c r="C636" s="70">
        <v>64.818114291174851</v>
      </c>
      <c r="D636" s="70">
        <v>96.914175603469317</v>
      </c>
      <c r="E636" s="70">
        <v>109.11615688273471</v>
      </c>
      <c r="F636" s="70">
        <v>137.30854475849182</v>
      </c>
      <c r="G636" s="70">
        <v>117.88537565746142</v>
      </c>
      <c r="H636" s="70">
        <v>130.73321208674264</v>
      </c>
      <c r="I636" s="70">
        <v>192.57695212448232</v>
      </c>
      <c r="J636" s="70">
        <v>157.94773778413258</v>
      </c>
      <c r="K636" s="70">
        <v>117.06588476112194</v>
      </c>
      <c r="L636" s="70">
        <v>118.38611165116428</v>
      </c>
      <c r="M636" s="70">
        <v>100.66497393095506</v>
      </c>
      <c r="N636" s="70">
        <v>71.546370699661949</v>
      </c>
      <c r="O636" s="70">
        <v>97.84662442915571</v>
      </c>
      <c r="P636" s="70">
        <v>84.677765951303996</v>
      </c>
      <c r="Q636" s="70">
        <v>99.4451003506652</v>
      </c>
      <c r="R636" s="70">
        <v>116.26195096359942</v>
      </c>
      <c r="S636" s="70">
        <v>121.53949175996065</v>
      </c>
      <c r="T636" s="70">
        <v>149.68979645416755</v>
      </c>
      <c r="U636" s="70">
        <v>152.5360489439922</v>
      </c>
      <c r="V636" s="70">
        <v>189.47841639248381</v>
      </c>
      <c r="X636" s="193">
        <f>((0-('Appendix K'!$I$30))/(1+$Y$16)^0)</f>
        <v>-33594902.4440751</v>
      </c>
      <c r="Y636" s="193">
        <f>(((B636*'Appendix K'!$C$5*1000)-('Appendix K'!$E$31+'Appendix K'!$F$31+'Appendix K'!$H$31+'Appendix K'!$G$31))/((1+$Y$16)^1))</f>
        <v>34971064.972647354</v>
      </c>
      <c r="Z636" s="193">
        <f>+(((C636*'Appendix K'!$C$6*1000)-('Appendix K'!$E$32+'Appendix K'!$F$32+'Appendix K'!$H$32+'Appendix K'!$G$32))/((1+$Y$16)^2))</f>
        <v>12886916.592316143</v>
      </c>
      <c r="AA636" s="193">
        <f>(((D636*'Appendix K'!$C$7*1000)-('Appendix K'!$E$33+'Appendix K'!$F$33+'Appendix K'!$H$33+'Appendix K'!$G$33))/((1+$Y$16)^3))</f>
        <v>9379532.6842964068</v>
      </c>
      <c r="AB636" s="193">
        <f>(((E636*'Appendix K'!$C$8*1000)-('Appendix K'!$E$34+'Appendix K'!$F$34+'Appendix K'!$H$34+'Appendix K'!$G$34))/((1+$Y$16)^4))</f>
        <v>20624054.837565508</v>
      </c>
      <c r="AC636" s="193">
        <f>(((F636*'Appendix K'!$C$9*1000)-('Appendix K'!$E$35+'Appendix K'!$F$35+'Appendix K'!$H$35+'Appendix K'!$G$35))/((1+$Y$16)^AC$34))</f>
        <v>33512167.064540919</v>
      </c>
      <c r="AD636" s="193">
        <f>(((G636*'Appendix K'!$C$10*1000)-('Appendix K'!$E$36+'Appendix K'!$F$36+'Appendix K'!$H$36+'Appendix K'!$G$36))/((1+$Y$16)^AD$34))</f>
        <v>15997422.241442375</v>
      </c>
      <c r="AE636" s="193">
        <f>(((H636*'Appendix K'!$C$11*1000)-('Appendix K'!$E$37+'Appendix K'!$F$37+'Appendix K'!$H$37+'Appendix K'!$G$37))/((1+$Y$16)^AE$34))</f>
        <v>10819079.618318412</v>
      </c>
      <c r="AF636" s="193">
        <f>(((I636*'Appendix K'!$C$12*1000)-('Appendix K'!$E$38+'Appendix K'!$F$38+'Appendix K'!$H$38+'Appendix K'!$G$38))/((1+$Y$16)^AF$34))</f>
        <v>10648491.057629243</v>
      </c>
      <c r="AG636" s="193">
        <f>(((J636*'Appendix K'!$C$13*1000)-('Appendix K'!$E$39+'Appendix K'!$F$39+'Appendix K'!$H$39+'Appendix K'!$G$39))/((1+$Y$16)^AG$34))</f>
        <v>5453642.4223737875</v>
      </c>
      <c r="AH636" s="193">
        <f>(((K636*'Appendix K'!$C$14*1000)-('Appendix K'!$E$40+'Appendix K'!$F$40+'Appendix K'!$H$40+'Appendix K'!$G$40))/((1+$Y$16)^AH$34))</f>
        <v>2313143.2208740124</v>
      </c>
      <c r="AI636" s="193">
        <f>(((L636*'Appendix K'!$C$15*1000)-('Appendix K'!$E$41+'Appendix K'!$F$41+'Appendix K'!$H$41+'Appendix K'!$G$41))/((1+$Y$16)^AI$34))</f>
        <v>1585456.1600438184</v>
      </c>
      <c r="AJ636" s="193">
        <f>(((M636*'Appendix K'!$C$16*1000)-('Appendix K'!$E$42+'Appendix K'!$F$42+'Appendix K'!$H$42+'Appendix K'!$G$42))/((1+$Y$16)^AJ$34))</f>
        <v>635963.05815489648</v>
      </c>
      <c r="AK636" s="193">
        <f>(((N636*'Appendix K'!$C$17*1000)-('Appendix K'!$E$43+'Appendix K'!$F$43+'Appendix K'!$H$43))/((1+$Y$16)^AK$34))</f>
        <v>94972.486869637869</v>
      </c>
      <c r="AL636" s="193">
        <f>(((O636*'Appendix K'!$C$18*1000)-('Appendix K'!$E$44+'Appendix K'!$F$44+'Appendix K'!$H$44+'Appendix K'!$G$44))/((1+$Y$16)^AL$34))</f>
        <v>25215.705265850633</v>
      </c>
      <c r="AM636" s="193">
        <f>(((P636*'Appendix K'!$C$19*1000)-('Appendix K'!$E$45+'Appendix K'!$F$45+'Appendix K'!$H$45+'Appendix K'!$G$45))/((1+$Y$16)^AM$34))</f>
        <v>-241910.44074177096</v>
      </c>
      <c r="AN636" s="193">
        <f>(((Q636*'Appendix K'!$C$20*1000)-('Appendix K'!$E$46+'Appendix K'!$F$46+'Appendix K'!$H$46+'Appendix K'!$G$46))/((1+$Y$16)^AN$34))</f>
        <v>-196102.52399160637</v>
      </c>
      <c r="AO636" s="193">
        <f>(((R636*'Appendix K'!$C$21*1000)-('Appendix K'!$E$47+'Appendix K'!$F$47+'Appendix K'!$H$47+'Appendix K'!$G$47))/((1+$Y$16)^AO$34))</f>
        <v>-155877.95056111043</v>
      </c>
      <c r="AP636" s="193">
        <f>(((S636*'Appendix K'!$C$22*1000)-('Appendix K'!$E$48+'Appendix K'!$F$48+'Appendix K'!$H$48+'Appendix K'!$G$48))/((1+$Y$16)^AP$34))</f>
        <v>-182313.17835584946</v>
      </c>
      <c r="AQ636" s="193">
        <f>(((T636*'Appendix K'!$C$23*1000)-('Appendix K'!$E$49+'Appendix K'!$F$49+'Appendix K'!$H$49+'Appendix K'!$G$49))/((1+$Y$16)^AQ$34))</f>
        <v>-107638.08976086864</v>
      </c>
      <c r="AR636" s="193">
        <f>(((U636*'Appendix K'!$C$24*1000)-('Appendix K'!$E$50+'Appendix K'!$F$50+'Appendix K'!$H$50+'Appendix K'!$G$50))/((1+$Y$16)^AR$34))</f>
        <v>-138118.51782266962</v>
      </c>
      <c r="AS636" s="209">
        <f t="shared" si="34"/>
        <v>125352219.67826325</v>
      </c>
      <c r="AU636" s="199">
        <f t="shared" si="33"/>
        <v>5.6354596920434223E-9</v>
      </c>
    </row>
    <row r="637" spans="1:47" x14ac:dyDescent="0.35">
      <c r="A637">
        <v>603</v>
      </c>
      <c r="B637" s="70">
        <v>56</v>
      </c>
      <c r="C637" s="70">
        <v>79.835362688961609</v>
      </c>
      <c r="D637" s="70">
        <v>97.21937609213353</v>
      </c>
      <c r="E637" s="70">
        <v>58.547188550224448</v>
      </c>
      <c r="F637" s="70">
        <v>29.115075877329058</v>
      </c>
      <c r="G637" s="70">
        <v>42.910253591507939</v>
      </c>
      <c r="H637" s="70">
        <v>54.63211916336715</v>
      </c>
      <c r="I637" s="70">
        <v>80.554751543952406</v>
      </c>
      <c r="J637" s="70">
        <v>103.44665343198716</v>
      </c>
      <c r="K637" s="70">
        <v>85.28744319196251</v>
      </c>
      <c r="L637" s="70">
        <v>73.392306046287445</v>
      </c>
      <c r="M637" s="70">
        <v>65.585244543227859</v>
      </c>
      <c r="N637" s="70">
        <v>86.699493583970906</v>
      </c>
      <c r="O637" s="70">
        <v>87.690811276652298</v>
      </c>
      <c r="P637" s="70">
        <v>118.54915531643012</v>
      </c>
      <c r="Q637" s="70">
        <v>147.04413620919172</v>
      </c>
      <c r="R637" s="70">
        <v>166.3675451210668</v>
      </c>
      <c r="S637" s="70">
        <v>143.45212241561867</v>
      </c>
      <c r="T637" s="70">
        <v>199.97452825452831</v>
      </c>
      <c r="U637" s="70">
        <v>219.61136841821727</v>
      </c>
      <c r="V637" s="70">
        <v>284.68310800087164</v>
      </c>
      <c r="X637" s="193">
        <f>((0-('Appendix K'!$I$30))/(1+$Y$16)^0)</f>
        <v>-33594902.4440751</v>
      </c>
      <c r="Y637" s="193">
        <f>(((B637*'Appendix K'!$C$5*1000)-('Appendix K'!$E$31+'Appendix K'!$F$31+'Appendix K'!$H$31+'Appendix K'!$G$31))/((1+$Y$16)^1))</f>
        <v>34971064.972647354</v>
      </c>
      <c r="Z637" s="193">
        <f>+(((C637*'Appendix K'!$C$6*1000)-('Appendix K'!$E$32+'Appendix K'!$F$32+'Appendix K'!$H$32+'Appendix K'!$G$32))/((1+$Y$16)^2))</f>
        <v>16680530.37945985</v>
      </c>
      <c r="AA637" s="193">
        <f>(((D637*'Appendix K'!$C$7*1000)-('Appendix K'!$E$33+'Appendix K'!$F$33+'Appendix K'!$H$33+'Appendix K'!$G$33))/((1+$Y$16)^3))</f>
        <v>9418407.5575837512</v>
      </c>
      <c r="AB637" s="193">
        <f>(((E637*'Appendix K'!$C$8*1000)-('Appendix K'!$E$34+'Appendix K'!$F$34+'Appendix K'!$H$34+'Appendix K'!$G$34))/((1+$Y$16)^4))</f>
        <v>9539799.8934286721</v>
      </c>
      <c r="AC637" s="193">
        <f>(((F637*'Appendix K'!$C$9*1000)-('Appendix K'!$E$35+'Appendix K'!$F$35+'Appendix K'!$H$35+'Appendix K'!$G$35))/((1+$Y$16)^AC$34))</f>
        <v>4754512.930161519</v>
      </c>
      <c r="AD637" s="193">
        <f>(((G637*'Appendix K'!$C$10*1000)-('Appendix K'!$E$36+'Appendix K'!$F$36+'Appendix K'!$H$36+'Appendix K'!$G$36))/((1+$Y$16)^AD$34))</f>
        <v>4223032.8067867374</v>
      </c>
      <c r="AE637" s="193">
        <f>(((H637*'Appendix K'!$C$11*1000)-('Appendix K'!$E$37+'Appendix K'!$F$37+'Appendix K'!$H$37+'Appendix K'!$G$37))/((1+$Y$16)^AE$34))</f>
        <v>3228937.0582760763</v>
      </c>
      <c r="AF637" s="193">
        <f>(((I637*'Appendix K'!$C$12*1000)-('Appendix K'!$E$38+'Appendix K'!$F$38+'Appendix K'!$H$38+'Appendix K'!$G$38))/((1+$Y$16)^AF$34))</f>
        <v>3292841.4852576624</v>
      </c>
      <c r="AG637" s="193">
        <f>(((J637*'Appendix K'!$C$13*1000)-('Appendix K'!$E$39+'Appendix K'!$F$39+'Appendix K'!$H$39+'Appendix K'!$G$39))/((1+$Y$16)^AG$34))</f>
        <v>2945560.6970278448</v>
      </c>
      <c r="AH637" s="193">
        <f>(((K637*'Appendix K'!$C$14*1000)-('Appendix K'!$E$40+'Appendix K'!$F$40+'Appendix K'!$H$40+'Appendix K'!$G$40))/((1+$Y$16)^AH$34))</f>
        <v>1242002.3298542271</v>
      </c>
      <c r="AI637" s="193">
        <f>(((L637*'Appendix K'!$C$15*1000)-('Appendix K'!$E$41+'Appendix K'!$F$41+'Appendix K'!$H$41+'Appendix K'!$G$41))/((1+$Y$16)^AI$34))</f>
        <v>406534.31436698802</v>
      </c>
      <c r="AJ637" s="193">
        <f>(((M637*'Appendix K'!$C$16*1000)-('Appendix K'!$E$42+'Appendix K'!$F$42+'Appendix K'!$H$42+'Appendix K'!$G$42))/((1+$Y$16)^AJ$34))</f>
        <v>-67100.211856339942</v>
      </c>
      <c r="AK637" s="193">
        <f>(((N637*'Appendix K'!$C$17*1000)-('Appendix K'!$E$43+'Appendix K'!$F$43+'Appendix K'!$H$43))/((1+$Y$16)^AK$34))</f>
        <v>327783.51310270093</v>
      </c>
      <c r="AL637" s="193">
        <f>(((O637*'Appendix K'!$C$18*1000)-('Appendix K'!$E$44+'Appendix K'!$F$44+'Appendix K'!$H$44+'Appendix K'!$G$44))/((1+$Y$16)^AL$34))</f>
        <v>-95164.136400384203</v>
      </c>
      <c r="AM637" s="193">
        <f>(((P637*'Appendix K'!$C$19*1000)-('Appendix K'!$E$45+'Appendix K'!$F$45+'Appendix K'!$H$45+'Appendix K'!$G$45))/((1+$Y$16)^AM$34))</f>
        <v>72034.382715217493</v>
      </c>
      <c r="AN637" s="193">
        <f>(((Q637*'Appendix K'!$C$20*1000)-('Appendix K'!$E$46+'Appendix K'!$F$46+'Appendix K'!$H$46+'Appendix K'!$G$46))/((1+$Y$16)^AN$34))</f>
        <v>148334.42327770431</v>
      </c>
      <c r="AO637" s="193">
        <f>(((R637*'Appendix K'!$C$21*1000)-('Appendix K'!$E$47+'Appendix K'!$F$47+'Appendix K'!$H$47+'Appendix K'!$G$47))/((1+$Y$16)^AO$34))</f>
        <v>140251.64657758031</v>
      </c>
      <c r="AP637" s="193">
        <f>(((S637*'Appendix K'!$C$22*1000)-('Appendix K'!$E$48+'Appendix K'!$F$48+'Appendix K'!$H$48+'Appendix K'!$G$48))/((1+$Y$16)^AP$34))</f>
        <v>-77357.827477250365</v>
      </c>
      <c r="AQ637" s="193">
        <f>(((T637*'Appendix K'!$C$23*1000)-('Appendix K'!$E$49+'Appendix K'!$F$49+'Appendix K'!$H$49+'Appendix K'!$G$49))/((1+$Y$16)^AQ$34))</f>
        <v>89163.47728425375</v>
      </c>
      <c r="AR637" s="193">
        <f>(((U637*'Appendix K'!$C$24*1000)-('Appendix K'!$E$50+'Appendix K'!$F$50+'Appendix K'!$H$50+'Appendix K'!$G$50))/((1+$Y$16)^AR$34))</f>
        <v>77865.890258224987</v>
      </c>
      <c r="AS637" s="209">
        <f t="shared" si="34"/>
        <v>57963755.313991226</v>
      </c>
      <c r="AU637" s="199">
        <f t="shared" si="33"/>
        <v>6.1326682889265186E-9</v>
      </c>
    </row>
    <row r="638" spans="1:47" x14ac:dyDescent="0.35">
      <c r="A638">
        <v>604</v>
      </c>
      <c r="B638" s="70">
        <v>56</v>
      </c>
      <c r="C638" s="70">
        <v>58.93458743774714</v>
      </c>
      <c r="D638" s="70">
        <v>45.006605648902422</v>
      </c>
      <c r="E638" s="70">
        <v>57.945832162292305</v>
      </c>
      <c r="F638" s="70">
        <v>78.570583352124515</v>
      </c>
      <c r="G638" s="70">
        <v>89.253078554613126</v>
      </c>
      <c r="H638" s="70">
        <v>134.24333966091996</v>
      </c>
      <c r="I638" s="70">
        <v>96.610464791199021</v>
      </c>
      <c r="J638" s="70">
        <v>153.8526504486565</v>
      </c>
      <c r="K638" s="70">
        <v>178.33624331561737</v>
      </c>
      <c r="L638" s="70">
        <v>192.59117860029193</v>
      </c>
      <c r="M638" s="70">
        <v>271.06761943792225</v>
      </c>
      <c r="N638" s="70">
        <v>323.07733876655482</v>
      </c>
      <c r="O638" s="70">
        <v>194.39747736207727</v>
      </c>
      <c r="P638" s="70">
        <v>179.99668287947929</v>
      </c>
      <c r="Q638" s="70">
        <v>218.42952079798087</v>
      </c>
      <c r="R638" s="70">
        <v>254.9196493243407</v>
      </c>
      <c r="S638" s="70">
        <v>143.1556266460895</v>
      </c>
      <c r="T638" s="70">
        <v>181.78002121236838</v>
      </c>
      <c r="U638" s="70">
        <v>127.44282440735923</v>
      </c>
      <c r="V638" s="70">
        <v>151.36508892621958</v>
      </c>
      <c r="X638" s="193">
        <f>((0-('Appendix K'!$I$30))/(1+$Y$16)^0)</f>
        <v>-33594902.4440751</v>
      </c>
      <c r="Y638" s="193">
        <f>(((B638*'Appendix K'!$C$5*1000)-('Appendix K'!$E$31+'Appendix K'!$F$31+'Appendix K'!$H$31+'Appendix K'!$G$31))/((1+$Y$16)^1))</f>
        <v>34971064.972647354</v>
      </c>
      <c r="Z638" s="193">
        <f>+(((C638*'Appendix K'!$C$6*1000)-('Appendix K'!$E$32+'Appendix K'!$F$32+'Appendix K'!$H$32+'Appendix K'!$G$32))/((1+$Y$16)^2))</f>
        <v>11400637.082450466</v>
      </c>
      <c r="AA638" s="193">
        <f>(((D638*'Appendix K'!$C$7*1000)-('Appendix K'!$E$33+'Appendix K'!$F$33+'Appendix K'!$H$33+'Appendix K'!$G$33))/((1+$Y$16)^3))</f>
        <v>2767812.5868954067</v>
      </c>
      <c r="AB638" s="193">
        <f>(((E638*'Appendix K'!$C$8*1000)-('Appendix K'!$E$34+'Appendix K'!$F$34+'Appendix K'!$H$34+'Appendix K'!$G$34))/((1+$Y$16)^4))</f>
        <v>9407988.0780818313</v>
      </c>
      <c r="AC638" s="193">
        <f>(((F638*'Appendix K'!$C$9*1000)-('Appendix K'!$E$35+'Appendix K'!$F$35+'Appendix K'!$H$35+'Appendix K'!$G$35))/((1+$Y$16)^AC$34))</f>
        <v>17899709.15787949</v>
      </c>
      <c r="AD638" s="193">
        <f>(((G638*'Appendix K'!$C$10*1000)-('Appendix K'!$E$36+'Appendix K'!$F$36+'Appendix K'!$H$36+'Appendix K'!$G$36))/((1+$Y$16)^AD$34))</f>
        <v>11500893.163421849</v>
      </c>
      <c r="AE638" s="193">
        <f>(((H638*'Appendix K'!$C$11*1000)-('Appendix K'!$E$37+'Appendix K'!$F$37+'Appendix K'!$H$37+'Appendix K'!$G$37))/((1+$Y$16)^AE$34))</f>
        <v>11169171.419480415</v>
      </c>
      <c r="AF638" s="193">
        <f>(((I638*'Appendix K'!$C$12*1000)-('Appendix K'!$E$38+'Appendix K'!$F$38+'Appendix K'!$H$38+'Appendix K'!$G$38))/((1+$Y$16)^AF$34))</f>
        <v>4347098.5849147169</v>
      </c>
      <c r="AG638" s="193">
        <f>(((J638*'Appendix K'!$C$13*1000)-('Appendix K'!$E$39+'Appendix K'!$F$39+'Appendix K'!$H$39+'Appendix K'!$G$39))/((1+$Y$16)^AG$34))</f>
        <v>5265190.8744478617</v>
      </c>
      <c r="AH638" s="193">
        <f>(((K638*'Appendix K'!$C$14*1000)-('Appendix K'!$E$40+'Appendix K'!$F$40+'Appendix K'!$H$40+'Appendix K'!$G$40))/((1+$Y$16)^AH$34))</f>
        <v>4378354.200850334</v>
      </c>
      <c r="AI638" s="193">
        <f>(((L638*'Appendix K'!$C$15*1000)-('Appendix K'!$E$41+'Appendix K'!$F$41+'Appendix K'!$H$41+'Appendix K'!$G$41))/((1+$Y$16)^AI$34))</f>
        <v>3529767.6782665895</v>
      </c>
      <c r="AJ638" s="193">
        <f>(((M638*'Appendix K'!$C$16*1000)-('Appendix K'!$E$42+'Appendix K'!$F$42+'Appendix K'!$H$42+'Appendix K'!$G$42))/((1+$Y$16)^AJ$34))</f>
        <v>4051150.2120959349</v>
      </c>
      <c r="AK638" s="193">
        <f>(((N638*'Appendix K'!$C$17*1000)-('Appendix K'!$E$43+'Appendix K'!$F$43+'Appendix K'!$H$43))/((1+$Y$16)^AK$34))</f>
        <v>3959468.4889239143</v>
      </c>
      <c r="AL638" s="193">
        <f>(((O638*'Appendix K'!$C$18*1000)-('Appendix K'!$E$44+'Appendix K'!$F$44+'Appendix K'!$H$44+'Appendix K'!$G$44))/((1+$Y$16)^AL$34))</f>
        <v>1169661.3753735165</v>
      </c>
      <c r="AM638" s="193">
        <f>(((P638*'Appendix K'!$C$19*1000)-('Appendix K'!$E$45+'Appendix K'!$F$45+'Appendix K'!$H$45+'Appendix K'!$G$45))/((1+$Y$16)^AM$34))</f>
        <v>641575.0349953979</v>
      </c>
      <c r="AN638" s="193">
        <f>(((Q638*'Appendix K'!$C$20*1000)-('Appendix K'!$E$46+'Appendix K'!$F$46+'Appendix K'!$H$46+'Appendix K'!$G$46))/((1+$Y$16)^AN$34))</f>
        <v>664894.54900142271</v>
      </c>
      <c r="AO638" s="193">
        <f>(((R638*'Appendix K'!$C$21*1000)-('Appendix K'!$E$47+'Appendix K'!$F$47+'Appendix K'!$H$47+'Appendix K'!$G$47))/((1+$Y$16)^AO$34))</f>
        <v>663604.3656589645</v>
      </c>
      <c r="AP638" s="193">
        <f>(((S638*'Appendix K'!$C$22*1000)-('Appendix K'!$E$48+'Appendix K'!$F$48+'Appendix K'!$H$48+'Appendix K'!$G$48))/((1+$Y$16)^AP$34))</f>
        <v>-78777.958999291994</v>
      </c>
      <c r="AQ638" s="193">
        <f>(((T638*'Appendix K'!$C$23*1000)-('Appendix K'!$E$49+'Appendix K'!$F$49+'Appendix K'!$H$49+'Appendix K'!$G$49))/((1+$Y$16)^AQ$34))</f>
        <v>17954.834634500261</v>
      </c>
      <c r="AR638" s="193">
        <f>(((U638*'Appendix K'!$C$24*1000)-('Appendix K'!$E$50+'Appendix K'!$F$50+'Appendix K'!$H$50+'Appendix K'!$G$50))/((1+$Y$16)^AR$34))</f>
        <v>-218919.40391413713</v>
      </c>
      <c r="AS638" s="209">
        <f t="shared" si="34"/>
        <v>94211094.215944856</v>
      </c>
      <c r="AU638" s="199">
        <f t="shared" si="33"/>
        <v>6.9823807232969694E-9</v>
      </c>
    </row>
    <row r="639" spans="1:47" x14ac:dyDescent="0.35">
      <c r="A639">
        <v>605</v>
      </c>
      <c r="B639" s="70">
        <v>56</v>
      </c>
      <c r="C639" s="70">
        <v>64.244076346113232</v>
      </c>
      <c r="D639" s="70">
        <v>55.115308886458983</v>
      </c>
      <c r="E639" s="70">
        <v>79.937742700659797</v>
      </c>
      <c r="F639" s="70">
        <v>116.90547819391976</v>
      </c>
      <c r="G639" s="70">
        <v>141.54863502827067</v>
      </c>
      <c r="H639" s="70">
        <v>216.64930124838128</v>
      </c>
      <c r="I639" s="70">
        <v>224.83015496909317</v>
      </c>
      <c r="J639" s="70">
        <v>341.28594843021523</v>
      </c>
      <c r="K639" s="70">
        <v>269.77216409929349</v>
      </c>
      <c r="L639" s="70">
        <v>164.05947232478991</v>
      </c>
      <c r="M639" s="70">
        <v>138.35936384303918</v>
      </c>
      <c r="N639" s="70">
        <v>156.91686927233474</v>
      </c>
      <c r="O639" s="70">
        <v>204.12971971124455</v>
      </c>
      <c r="P639" s="70">
        <v>159.56752671203958</v>
      </c>
      <c r="Q639" s="70">
        <v>169.33272411127624</v>
      </c>
      <c r="R639" s="70">
        <v>194.48481015559747</v>
      </c>
      <c r="S639" s="70">
        <v>80.306014442131769</v>
      </c>
      <c r="T639" s="70">
        <v>68.592298422924785</v>
      </c>
      <c r="U639" s="70">
        <v>54.321282744707574</v>
      </c>
      <c r="V639" s="70">
        <v>30.093862393766372</v>
      </c>
      <c r="X639" s="193">
        <f>((0-('Appendix K'!$I$30))/(1+$Y$16)^0)</f>
        <v>-33594902.4440751</v>
      </c>
      <c r="Y639" s="193">
        <f>(((B639*'Appendix K'!$C$5*1000)-('Appendix K'!$E$31+'Appendix K'!$F$31+'Appendix K'!$H$31+'Appendix K'!$G$31))/((1+$Y$16)^1))</f>
        <v>34971064.972647354</v>
      </c>
      <c r="Z639" s="193">
        <f>+(((C639*'Appendix K'!$C$6*1000)-('Appendix K'!$E$32+'Appendix K'!$F$32+'Appendix K'!$H$32+'Appendix K'!$G$32))/((1+$Y$16)^2))</f>
        <v>12741904.78955137</v>
      </c>
      <c r="AA639" s="193">
        <f>(((D639*'Appendix K'!$C$7*1000)-('Appendix K'!$E$33+'Appendix K'!$F$33+'Appendix K'!$H$33+'Appendix K'!$G$33))/((1+$Y$16)^3))</f>
        <v>4055407.3714887658</v>
      </c>
      <c r="AB639" s="193">
        <f>(((E639*'Appendix K'!$C$8*1000)-('Appendix K'!$E$34+'Appendix K'!$F$34+'Appendix K'!$H$34+'Appendix K'!$G$34))/((1+$Y$16)^4))</f>
        <v>14228413.551527798</v>
      </c>
      <c r="AC639" s="193">
        <f>(((F639*'Appendix K'!$C$9*1000)-('Appendix K'!$E$35+'Appendix K'!$F$35+'Appendix K'!$H$35+'Appendix K'!$G$35))/((1+$Y$16)^AC$34))</f>
        <v>28089064.01024149</v>
      </c>
      <c r="AD639" s="193">
        <f>(((G639*'Appendix K'!$C$10*1000)-('Appendix K'!$E$36+'Appendix K'!$F$36+'Appendix K'!$H$36+'Appendix K'!$G$36))/((1+$Y$16)^AD$34))</f>
        <v>19713593.998789798</v>
      </c>
      <c r="AE639" s="193">
        <f>(((H639*'Appendix K'!$C$11*1000)-('Appendix K'!$E$37+'Appendix K'!$F$37+'Appendix K'!$H$37+'Appendix K'!$G$37))/((1+$Y$16)^AE$34))</f>
        <v>19388146.630204123</v>
      </c>
      <c r="AF639" s="193">
        <f>(((I639*'Appendix K'!$C$12*1000)-('Appendix K'!$E$38+'Appendix K'!$F$38+'Appendix K'!$H$38+'Appendix K'!$G$38))/((1+$Y$16)^AF$34))</f>
        <v>12766314.636188813</v>
      </c>
      <c r="AG639" s="193">
        <f>(((J639*'Appendix K'!$C$13*1000)-('Appendix K'!$E$39+'Appendix K'!$F$39+'Appendix K'!$H$39+'Appendix K'!$G$39))/((1+$Y$16)^AG$34))</f>
        <v>13890671.174095556</v>
      </c>
      <c r="AH639" s="193">
        <f>(((K639*'Appendix K'!$C$14*1000)-('Appendix K'!$E$40+'Appendix K'!$F$40+'Appendix K'!$H$40+'Appendix K'!$G$40))/((1+$Y$16)^AH$34))</f>
        <v>7460341.5112189976</v>
      </c>
      <c r="AI639" s="193">
        <f>(((L639*'Appendix K'!$C$15*1000)-('Appendix K'!$E$41+'Appendix K'!$F$41+'Appendix K'!$H$41+'Appendix K'!$G$41))/((1+$Y$16)^AI$34))</f>
        <v>2782183.6192960762</v>
      </c>
      <c r="AJ639" s="193">
        <f>(((M639*'Appendix K'!$C$16*1000)-('Appendix K'!$E$42+'Appendix K'!$F$42+'Appendix K'!$H$42+'Appendix K'!$G$42))/((1+$Y$16)^AJ$34))</f>
        <v>1391429.0065877859</v>
      </c>
      <c r="AK639" s="193">
        <f>(((N639*'Appendix K'!$C$17*1000)-('Appendix K'!$E$43+'Appendix K'!$F$43+'Appendix K'!$H$43))/((1+$Y$16)^AK$34))</f>
        <v>1406596.0732732655</v>
      </c>
      <c r="AL639" s="193">
        <f>(((O639*'Appendix K'!$C$18*1000)-('Appendix K'!$E$44+'Appendix K'!$F$44+'Appendix K'!$H$44+'Appendix K'!$G$44))/((1+$Y$16)^AL$34))</f>
        <v>1285020.5076711986</v>
      </c>
      <c r="AM639" s="193">
        <f>(((P639*'Appendix K'!$C$19*1000)-('Appendix K'!$E$45+'Appendix K'!$F$45+'Appendix K'!$H$45+'Appendix K'!$G$45))/((1+$Y$16)^AM$34))</f>
        <v>452222.66573694773</v>
      </c>
      <c r="AN639" s="193">
        <f>(((Q639*'Appendix K'!$C$20*1000)-('Appendix K'!$E$46+'Appendix K'!$F$46+'Appendix K'!$H$46+'Appendix K'!$G$46))/((1+$Y$16)^AN$34))</f>
        <v>309619.47952874354</v>
      </c>
      <c r="AO639" s="193">
        <f>(((R639*'Appendix K'!$C$21*1000)-('Appendix K'!$E$47+'Appendix K'!$F$47+'Appendix K'!$H$47+'Appendix K'!$G$47))/((1+$Y$16)^AO$34))</f>
        <v>306427.78932822903</v>
      </c>
      <c r="AP639" s="193">
        <f>(((S639*'Appendix K'!$C$22*1000)-('Appendix K'!$E$48+'Appendix K'!$F$48+'Appendix K'!$H$48+'Appendix K'!$G$48))/((1+$Y$16)^AP$34))</f>
        <v>-379809.96218997339</v>
      </c>
      <c r="AQ639" s="193">
        <f>(((T639*'Appendix K'!$C$23*1000)-('Appendix K'!$E$49+'Appendix K'!$F$49+'Appendix K'!$H$49+'Appendix K'!$G$49))/((1+$Y$16)^AQ$34))</f>
        <v>-425032.9355632044</v>
      </c>
      <c r="AR639" s="193">
        <f>(((U639*'Appendix K'!$C$24*1000)-('Appendix K'!$E$50+'Appendix K'!$F$50+'Appendix K'!$H$50+'Appendix K'!$G$50))/((1+$Y$16)^AR$34))</f>
        <v>-454372.81685000978</v>
      </c>
      <c r="AS639" s="209">
        <f t="shared" si="34"/>
        <v>141643519.34330118</v>
      </c>
      <c r="AU639" s="199">
        <f t="shared" si="33"/>
        <v>4.4682595010764332E-9</v>
      </c>
    </row>
    <row r="640" spans="1:47" x14ac:dyDescent="0.35">
      <c r="A640">
        <v>606</v>
      </c>
      <c r="B640" s="70">
        <v>56</v>
      </c>
      <c r="C640" s="70">
        <v>49.187637610798724</v>
      </c>
      <c r="D640" s="70">
        <v>53.337640923391291</v>
      </c>
      <c r="E640" s="70">
        <v>86.465718571903068</v>
      </c>
      <c r="F640" s="70">
        <v>100.73064874175847</v>
      </c>
      <c r="G640" s="70">
        <v>48.528549051325811</v>
      </c>
      <c r="H640" s="70">
        <v>65.543287623864771</v>
      </c>
      <c r="I640" s="70">
        <v>34.401196478294068</v>
      </c>
      <c r="J640" s="70">
        <v>24.4410581337861</v>
      </c>
      <c r="K640" s="70">
        <v>22.23120807359529</v>
      </c>
      <c r="L640" s="70">
        <v>20.004017801206341</v>
      </c>
      <c r="M640" s="70">
        <v>27.116720553927603</v>
      </c>
      <c r="N640" s="70">
        <v>18.810067243585088</v>
      </c>
      <c r="O640" s="70">
        <v>24.343413878955957</v>
      </c>
      <c r="P640" s="70">
        <v>32.726776428118164</v>
      </c>
      <c r="Q640" s="70">
        <v>28.657040736683904</v>
      </c>
      <c r="R640" s="70">
        <v>23.372820366446284</v>
      </c>
      <c r="S640" s="70">
        <v>19.142617773138085</v>
      </c>
      <c r="T640" s="70">
        <v>21.421553524364231</v>
      </c>
      <c r="U640" s="70">
        <v>23.267830504856757</v>
      </c>
      <c r="V640" s="70">
        <v>29.97620370327531</v>
      </c>
      <c r="X640" s="193">
        <f>((0-('Appendix K'!$I$30))/(1+$Y$16)^0)</f>
        <v>-33594902.4440751</v>
      </c>
      <c r="Y640" s="193">
        <f>(((B640*'Appendix K'!$C$5*1000)-('Appendix K'!$E$31+'Appendix K'!$F$31+'Appendix K'!$H$31+'Appendix K'!$G$31))/((1+$Y$16)^1))</f>
        <v>34971064.972647354</v>
      </c>
      <c r="Z640" s="193">
        <f>+(((C640*'Appendix K'!$C$6*1000)-('Appendix K'!$E$32+'Appendix K'!$F$32+'Appendix K'!$H$32+'Appendix K'!$G$32))/((1+$Y$16)^2))</f>
        <v>8938390.8528709449</v>
      </c>
      <c r="AA640" s="193">
        <f>(((D640*'Appendix K'!$C$7*1000)-('Appendix K'!$E$33+'Appendix K'!$F$33+'Appendix K'!$H$33+'Appendix K'!$G$33))/((1+$Y$16)^3))</f>
        <v>3828977.1415972882</v>
      </c>
      <c r="AB640" s="193">
        <f>(((E640*'Appendix K'!$C$8*1000)-('Appendix K'!$E$34+'Appendix K'!$F$34+'Appendix K'!$H$34+'Appendix K'!$G$34))/((1+$Y$16)^4))</f>
        <v>15659286.104636939</v>
      </c>
      <c r="AC640" s="193">
        <f>(((F640*'Appendix K'!$C$9*1000)-('Appendix K'!$E$35+'Appendix K'!$F$35+'Appendix K'!$H$35+'Appendix K'!$G$35))/((1+$Y$16)^AC$34))</f>
        <v>23789819.740897119</v>
      </c>
      <c r="AD640" s="193">
        <f>(((G640*'Appendix K'!$C$10*1000)-('Appendix K'!$E$36+'Appendix K'!$F$36+'Appendix K'!$H$36+'Appendix K'!$G$36))/((1+$Y$16)^AD$34))</f>
        <v>5105352.1265827259</v>
      </c>
      <c r="AE640" s="193">
        <f>(((H640*'Appendix K'!$C$11*1000)-('Appendix K'!$E$37+'Appendix K'!$F$37+'Appendix K'!$H$37+'Appendix K'!$G$37))/((1+$Y$16)^AE$34))</f>
        <v>4317191.1283615306</v>
      </c>
      <c r="AF640" s="193">
        <f>(((I640*'Appendix K'!$C$12*1000)-('Appendix K'!$E$38+'Appendix K'!$F$38+'Appendix K'!$H$38+'Appendix K'!$G$38))/((1+$Y$16)^AF$34))</f>
        <v>262287.0431666256</v>
      </c>
      <c r="AG640" s="193">
        <f>(((J640*'Appendix K'!$C$13*1000)-('Appendix K'!$E$39+'Appendix K'!$F$39+'Appendix K'!$H$39+'Appendix K'!$G$39))/((1+$Y$16)^AG$34))</f>
        <v>-690192.46500433376</v>
      </c>
      <c r="AH640" s="193">
        <f>(((K640*'Appendix K'!$C$14*1000)-('Appendix K'!$E$40+'Appendix K'!$F$40+'Appendix K'!$H$40+'Appendix K'!$G$40))/((1+$Y$16)^AH$34))</f>
        <v>-883404.34630542854</v>
      </c>
      <c r="AI640" s="193">
        <f>(((L640*'Appendix K'!$C$15*1000)-('Appendix K'!$E$41+'Appendix K'!$F$41+'Appendix K'!$H$41+'Appendix K'!$G$41))/((1+$Y$16)^AI$34))</f>
        <v>-992338.67424270569</v>
      </c>
      <c r="AJ640" s="193">
        <f>(((M640*'Appendix K'!$C$16*1000)-('Appendix K'!$E$42+'Appendix K'!$F$42+'Appendix K'!$H$42+'Appendix K'!$G$42))/((1+$Y$16)^AJ$34))</f>
        <v>-838081.25248789124</v>
      </c>
      <c r="AK640" s="193">
        <f>(((N640*'Appendix K'!$C$17*1000)-('Appendix K'!$E$43+'Appendix K'!$F$43+'Appendix K'!$H$43))/((1+$Y$16)^AK$34))</f>
        <v>-715262.6719873473</v>
      </c>
      <c r="AL640" s="193">
        <f>(((O640*'Appendix K'!$C$18*1000)-('Appendix K'!$E$44+'Appendix K'!$F$44+'Appendix K'!$H$44+'Appendix K'!$G$44))/((1+$Y$16)^AL$34))</f>
        <v>-846039.47786164237</v>
      </c>
      <c r="AM640" s="193">
        <f>(((P640*'Appendix K'!$C$19*1000)-('Appendix K'!$E$45+'Appendix K'!$F$45+'Appendix K'!$H$45+'Appendix K'!$G$45))/((1+$Y$16)^AM$34))</f>
        <v>-723430.22897534398</v>
      </c>
      <c r="AN640" s="193">
        <f>(((Q640*'Appendix K'!$C$20*1000)-('Appendix K'!$E$46+'Appendix K'!$F$46+'Appendix K'!$H$46+'Appendix K'!$G$46))/((1+$Y$16)^AN$34))</f>
        <v>-708340.27664327261</v>
      </c>
      <c r="AO640" s="193">
        <f>(((R640*'Appendix K'!$C$21*1000)-('Appendix K'!$E$47+'Appendix K'!$F$47+'Appendix K'!$H$47+'Appendix K'!$G$47))/((1+$Y$16)^AO$34))</f>
        <v>-704862.97478517145</v>
      </c>
      <c r="AP640" s="193">
        <f>(((S640*'Appendix K'!$C$22*1000)-('Appendix K'!$E$48+'Appendix K'!$F$48+'Appendix K'!$H$48+'Appendix K'!$G$48))/((1+$Y$16)^AP$34))</f>
        <v>-672765.46621858818</v>
      </c>
      <c r="AQ640" s="193">
        <f>(((T640*'Appendix K'!$C$23*1000)-('Appendix K'!$E$49+'Appendix K'!$F$49+'Appendix K'!$H$49+'Appendix K'!$G$49))/((1+$Y$16)^AQ$34))</f>
        <v>-609647.15507577301</v>
      </c>
      <c r="AR640" s="193">
        <f>(((U640*'Appendix K'!$C$24*1000)-('Appendix K'!$E$50+'Appendix K'!$F$50+'Appendix K'!$H$50+'Appendix K'!$G$50))/((1+$Y$16)^AR$34))</f>
        <v>-554365.80314461584</v>
      </c>
      <c r="AS640" s="209">
        <f t="shared" si="34"/>
        <v>63277466.666685425</v>
      </c>
      <c r="AU640" s="199">
        <f t="shared" si="33"/>
        <v>6.4119944091661204E-9</v>
      </c>
    </row>
    <row r="641" spans="1:47" x14ac:dyDescent="0.35">
      <c r="A641">
        <v>607</v>
      </c>
      <c r="B641" s="70">
        <v>56</v>
      </c>
      <c r="C641" s="70">
        <v>49.803231864157361</v>
      </c>
      <c r="D641" s="70">
        <v>44.143587187015726</v>
      </c>
      <c r="E641" s="70">
        <v>70.127144342736287</v>
      </c>
      <c r="F641" s="70">
        <v>75.534724873259165</v>
      </c>
      <c r="G641" s="70">
        <v>87.081798213273245</v>
      </c>
      <c r="H641" s="70">
        <v>153.50233949736858</v>
      </c>
      <c r="I641" s="70">
        <v>207.45616076862936</v>
      </c>
      <c r="J641" s="70">
        <v>171.26754000133963</v>
      </c>
      <c r="K641" s="70">
        <v>196.65377003688084</v>
      </c>
      <c r="L641" s="70">
        <v>262.4151339063668</v>
      </c>
      <c r="M641" s="70">
        <v>115.66459535787277</v>
      </c>
      <c r="N641" s="70">
        <v>91.474404871535995</v>
      </c>
      <c r="O641" s="70">
        <v>72.265904550733111</v>
      </c>
      <c r="P641" s="70">
        <v>63.168686874104957</v>
      </c>
      <c r="Q641" s="70">
        <v>105.48641239561843</v>
      </c>
      <c r="R641" s="70">
        <v>107.87474127204486</v>
      </c>
      <c r="S641" s="70">
        <v>142.09792121237763</v>
      </c>
      <c r="T641" s="70">
        <v>124.95010369837627</v>
      </c>
      <c r="U641" s="70">
        <v>107.43918766180919</v>
      </c>
      <c r="V641" s="70">
        <v>87.028841483761852</v>
      </c>
      <c r="X641" s="193">
        <f>((0-('Appendix K'!$I$30))/(1+$Y$16)^0)</f>
        <v>-33594902.4440751</v>
      </c>
      <c r="Y641" s="193">
        <f>(((B641*'Appendix K'!$C$5*1000)-('Appendix K'!$E$31+'Appendix K'!$F$31+'Appendix K'!$H$31+'Appendix K'!$G$31))/((1+$Y$16)^1))</f>
        <v>34971064.972647354</v>
      </c>
      <c r="Z641" s="193">
        <f>+(((C641*'Appendix K'!$C$6*1000)-('Appendix K'!$E$32+'Appendix K'!$F$32+'Appendix K'!$H$32+'Appendix K'!$G$32))/((1+$Y$16)^2))</f>
        <v>9093900.4898542389</v>
      </c>
      <c r="AA641" s="193">
        <f>(((D641*'Appendix K'!$C$7*1000)-('Appendix K'!$E$33+'Appendix K'!$F$33+'Appendix K'!$H$33+'Appendix K'!$G$33))/((1+$Y$16)^3))</f>
        <v>2657885.7204695912</v>
      </c>
      <c r="AB641" s="193">
        <f>(((E641*'Appendix K'!$C$8*1000)-('Appendix K'!$E$34+'Appendix K'!$F$34+'Appendix K'!$H$34+'Appendix K'!$G$34))/((1+$Y$16)^4))</f>
        <v>12078020.198854942</v>
      </c>
      <c r="AC641" s="193">
        <f>(((F641*'Appendix K'!$C$9*1000)-('Appendix K'!$E$35+'Appendix K'!$F$35+'Appendix K'!$H$35+'Appendix K'!$G$35))/((1+$Y$16)^AC$34))</f>
        <v>17092782.741350364</v>
      </c>
      <c r="AD641" s="193">
        <f>(((G641*'Appendix K'!$C$10*1000)-('Appendix K'!$E$36+'Appendix K'!$F$36+'Appendix K'!$H$36+'Appendix K'!$G$36))/((1+$Y$16)^AD$34))</f>
        <v>11159906.718768131</v>
      </c>
      <c r="AE641" s="193">
        <f>(((H641*'Appendix K'!$C$11*1000)-('Appendix K'!$E$37+'Appendix K'!$F$37+'Appendix K'!$H$37+'Appendix K'!$G$37))/((1+$Y$16)^AE$34))</f>
        <v>13090018.396930017</v>
      </c>
      <c r="AF641" s="193">
        <f>(((I641*'Appendix K'!$C$12*1000)-('Appendix K'!$E$38+'Appendix K'!$F$38+'Appendix K'!$H$38+'Appendix K'!$G$38))/((1+$Y$16)^AF$34))</f>
        <v>11625496.009624178</v>
      </c>
      <c r="AG641" s="193">
        <f>(((J641*'Appendix K'!$C$13*1000)-('Appendix K'!$E$39+'Appendix K'!$F$39+'Appendix K'!$H$39+'Appendix K'!$G$39))/((1+$Y$16)^AG$34))</f>
        <v>6066605.5023438502</v>
      </c>
      <c r="AH641" s="193">
        <f>(((K641*'Appendix K'!$C$14*1000)-('Appendix K'!$E$40+'Appendix K'!$F$40+'Appendix K'!$H$40+'Appendix K'!$G$40))/((1+$Y$16)^AH$34))</f>
        <v>4995774.4053871874</v>
      </c>
      <c r="AI641" s="193">
        <f>(((L641*'Appendix K'!$C$15*1000)-('Appendix K'!$E$41+'Appendix K'!$F$41+'Appendix K'!$H$41+'Appendix K'!$G$41))/((1+$Y$16)^AI$34))</f>
        <v>5359285.878722433</v>
      </c>
      <c r="AJ641" s="193">
        <f>(((M641*'Appendix K'!$C$16*1000)-('Appendix K'!$E$42+'Appendix K'!$F$42+'Appendix K'!$H$42+'Appendix K'!$G$42))/((1+$Y$16)^AJ$34))</f>
        <v>936583.47551275778</v>
      </c>
      <c r="AK641" s="193">
        <f>(((N641*'Appendix K'!$C$17*1000)-('Appendix K'!$E$43+'Appendix K'!$F$43+'Appendix K'!$H$43))/((1+$Y$16)^AK$34))</f>
        <v>401144.76051797648</v>
      </c>
      <c r="AL641" s="193">
        <f>(((O641*'Appendix K'!$C$18*1000)-('Appendix K'!$E$44+'Appendix K'!$F$44+'Appendix K'!$H$44+'Appendix K'!$G$44))/((1+$Y$16)^AL$34))</f>
        <v>-278000.09463430237</v>
      </c>
      <c r="AM641" s="193">
        <f>(((P641*'Appendix K'!$C$19*1000)-('Appendix K'!$E$45+'Appendix K'!$F$45+'Appendix K'!$H$45+'Appendix K'!$G$45))/((1+$Y$16)^AM$34))</f>
        <v>-441272.32580711105</v>
      </c>
      <c r="AN641" s="193">
        <f>(((Q641*'Appendix K'!$C$20*1000)-('Appendix K'!$E$46+'Appendix K'!$F$46+'Appendix K'!$H$46+'Appendix K'!$G$46))/((1+$Y$16)^AN$34))</f>
        <v>-152386.27972880876</v>
      </c>
      <c r="AO641" s="193">
        <f>(((R641*'Appendix K'!$C$21*1000)-('Appendix K'!$E$47+'Appendix K'!$F$47+'Appendix K'!$H$47+'Appendix K'!$G$47))/((1+$Y$16)^AO$34))</f>
        <v>-205447.28645746218</v>
      </c>
      <c r="AP641" s="193">
        <f>(((S641*'Appendix K'!$C$22*1000)-('Appendix K'!$E$48+'Appendix K'!$F$48+'Appendix K'!$H$48+'Appendix K'!$G$48))/((1+$Y$16)^AP$34))</f>
        <v>-83844.071172946773</v>
      </c>
      <c r="AQ641" s="193">
        <f>(((T641*'Appendix K'!$C$23*1000)-('Appendix K'!$E$49+'Appendix K'!$F$49+'Appendix K'!$H$49+'Appendix K'!$G$49))/((1+$Y$16)^AQ$34))</f>
        <v>-204462.91368325974</v>
      </c>
      <c r="AR641" s="193">
        <f>(((U641*'Appendix K'!$C$24*1000)-('Appendix K'!$E$50+'Appendix K'!$F$50+'Appendix K'!$H$50+'Appendix K'!$G$50))/((1+$Y$16)^AR$34))</f>
        <v>-283331.67471387715</v>
      </c>
      <c r="AS641" s="209">
        <f t="shared" si="34"/>
        <v>95933566.826907933</v>
      </c>
      <c r="AU641" s="199">
        <f t="shared" si="33"/>
        <v>6.9545960313560872E-9</v>
      </c>
    </row>
    <row r="642" spans="1:47" x14ac:dyDescent="0.35">
      <c r="A642">
        <v>608</v>
      </c>
      <c r="B642" s="70">
        <v>56</v>
      </c>
      <c r="C642" s="70">
        <v>38.794145056998204</v>
      </c>
      <c r="D642" s="70">
        <v>67.258044888181331</v>
      </c>
      <c r="E642" s="70">
        <v>74.776512764973276</v>
      </c>
      <c r="F642" s="70">
        <v>108.28539303888746</v>
      </c>
      <c r="G642" s="70">
        <v>65.818725020689243</v>
      </c>
      <c r="H642" s="70">
        <v>26.242085126766298</v>
      </c>
      <c r="I642" s="70">
        <v>29.511925281058566</v>
      </c>
      <c r="J642" s="70">
        <v>38.314372248542682</v>
      </c>
      <c r="K642" s="70">
        <v>23.794025769433723</v>
      </c>
      <c r="L642" s="70">
        <v>17.860047179136572</v>
      </c>
      <c r="M642" s="70">
        <v>27.92621524804597</v>
      </c>
      <c r="N642" s="70">
        <v>42.043848533775162</v>
      </c>
      <c r="O642" s="70">
        <v>37.629102390665849</v>
      </c>
      <c r="P642" s="70">
        <v>53.053258290199032</v>
      </c>
      <c r="Q642" s="70">
        <v>69.506282178939159</v>
      </c>
      <c r="R642" s="70">
        <v>77.846940599385078</v>
      </c>
      <c r="S642" s="70">
        <v>62.380819194523738</v>
      </c>
      <c r="T642" s="70">
        <v>88.850754489346201</v>
      </c>
      <c r="U642" s="70">
        <v>122.20596145337748</v>
      </c>
      <c r="V642" s="70">
        <v>155.19197267404272</v>
      </c>
      <c r="X642" s="193">
        <f>((0-('Appendix K'!$I$30))/(1+$Y$16)^0)</f>
        <v>-33594902.4440751</v>
      </c>
      <c r="Y642" s="193">
        <f>(((B642*'Appendix K'!$C$5*1000)-('Appendix K'!$E$31+'Appendix K'!$F$31+'Appendix K'!$H$31+'Appendix K'!$G$31))/((1+$Y$16)^1))</f>
        <v>34971064.972647354</v>
      </c>
      <c r="Z642" s="193">
        <f>+(((C642*'Appendix K'!$C$6*1000)-('Appendix K'!$E$32+'Appendix K'!$F$32+'Appendix K'!$H$32+'Appendix K'!$G$32))/((1+$Y$16)^2))</f>
        <v>6312816.8725881008</v>
      </c>
      <c r="AA642" s="193">
        <f>(((D642*'Appendix K'!$C$7*1000)-('Appendix K'!$E$33+'Appendix K'!$F$33+'Appendix K'!$H$33+'Appendix K'!$G$33))/((1+$Y$16)^3))</f>
        <v>5602086.8197906753</v>
      </c>
      <c r="AB642" s="193">
        <f>(((E642*'Appendix K'!$C$8*1000)-('Appendix K'!$E$34+'Appendix K'!$F$34+'Appendix K'!$H$34+'Appendix K'!$G$34))/((1+$Y$16)^4))</f>
        <v>13097119.196137881</v>
      </c>
      <c r="AC642" s="193">
        <f>(((F642*'Appendix K'!$C$9*1000)-('Appendix K'!$E$35+'Appendix K'!$F$35+'Appendix K'!$H$35+'Appendix K'!$G$35))/((1+$Y$16)^AC$34))</f>
        <v>25797858.911996629</v>
      </c>
      <c r="AD642" s="193">
        <f>(((G642*'Appendix K'!$C$10*1000)-('Appendix K'!$E$36+'Appendix K'!$F$36+'Appendix K'!$H$36+'Appendix K'!$G$36))/((1+$Y$16)^AD$34))</f>
        <v>7820669.6832240475</v>
      </c>
      <c r="AE642" s="193">
        <f>(((H642*'Appendix K'!$C$11*1000)-('Appendix K'!$E$37+'Appendix K'!$F$37+'Appendix K'!$H$37+'Appendix K'!$G$37))/((1+$Y$16)^AE$34))</f>
        <v>397382.3808784578</v>
      </c>
      <c r="AF642" s="193">
        <f>(((I642*'Appendix K'!$C$12*1000)-('Appendix K'!$E$38+'Appendix K'!$F$38+'Appendix K'!$H$38+'Appendix K'!$G$38))/((1+$Y$16)^AF$34))</f>
        <v>-58754.370095923136</v>
      </c>
      <c r="AG642" s="193">
        <f>(((J642*'Appendix K'!$C$13*1000)-('Appendix K'!$E$39+'Appendix K'!$F$39+'Appendix K'!$H$39+'Appendix K'!$G$39))/((1+$Y$16)^AG$34))</f>
        <v>-51757.358348787609</v>
      </c>
      <c r="AH642" s="193">
        <f>(((K642*'Appendix K'!$C$14*1000)-('Appendix K'!$E$40+'Appendix K'!$F$40+'Appendix K'!$H$40+'Appendix K'!$G$40))/((1+$Y$16)^AH$34))</f>
        <v>-830727.18982565752</v>
      </c>
      <c r="AI642" s="193">
        <f>(((L642*'Appendix K'!$C$15*1000)-('Appendix K'!$E$41+'Appendix K'!$F$41+'Appendix K'!$H$41+'Appendix K'!$G$41))/((1+$Y$16)^AI$34))</f>
        <v>-1048514.7137856561</v>
      </c>
      <c r="AJ642" s="193">
        <f>(((M642*'Appendix K'!$C$16*1000)-('Appendix K'!$E$42+'Appendix K'!$F$42+'Appendix K'!$H$42+'Appendix K'!$G$42))/((1+$Y$16)^AJ$34))</f>
        <v>-821857.46750901651</v>
      </c>
      <c r="AK642" s="193">
        <f>(((N642*'Appendix K'!$C$17*1000)-('Appendix K'!$E$43+'Appendix K'!$F$43+'Appendix K'!$H$43))/((1+$Y$16)^AK$34))</f>
        <v>-358301.23857583653</v>
      </c>
      <c r="AL642" s="193">
        <f>(((O642*'Appendix K'!$C$18*1000)-('Appendix K'!$E$44+'Appendix K'!$F$44+'Appendix K'!$H$44+'Appendix K'!$G$44))/((1+$Y$16)^AL$34))</f>
        <v>-688560.30259025446</v>
      </c>
      <c r="AM642" s="193">
        <f>(((P642*'Appendix K'!$C$19*1000)-('Appendix K'!$E$45+'Appendix K'!$F$45+'Appendix K'!$H$45+'Appendix K'!$G$45))/((1+$Y$16)^AM$34))</f>
        <v>-535029.52031522291</v>
      </c>
      <c r="AN642" s="193">
        <f>(((Q642*'Appendix K'!$C$20*1000)-('Appendix K'!$E$46+'Appendix K'!$F$46+'Appendix K'!$H$46+'Appendix K'!$G$46))/((1+$Y$16)^AN$34))</f>
        <v>-412746.30573898536</v>
      </c>
      <c r="AO642" s="193">
        <f>(((R642*'Appendix K'!$C$21*1000)-('Appendix K'!$E$47+'Appendix K'!$F$47+'Appendix K'!$H$47+'Appendix K'!$G$47))/((1+$Y$16)^AO$34))</f>
        <v>-382914.90590550797</v>
      </c>
      <c r="AP642" s="193">
        <f>(((S642*'Appendix K'!$C$22*1000)-('Appendix K'!$E$48+'Appendix K'!$F$48+'Appendix K'!$H$48+'Appendix K'!$G$48))/((1+$Y$16)^AP$34))</f>
        <v>-465666.6165709169</v>
      </c>
      <c r="AQ642" s="193">
        <f>(((T642*'Appendix K'!$C$23*1000)-('Appendix K'!$E$49+'Appendix K'!$F$49+'Appendix K'!$H$49+'Appendix K'!$G$49))/((1+$Y$16)^AQ$34))</f>
        <v>-345746.52481699263</v>
      </c>
      <c r="AR642" s="193">
        <f>(((U642*'Appendix K'!$C$24*1000)-('Appendix K'!$E$50+'Appendix K'!$F$50+'Appendix K'!$H$50+'Appendix K'!$G$50))/((1+$Y$16)^AR$34))</f>
        <v>-235782.24935688084</v>
      </c>
      <c r="AS642" s="209">
        <f t="shared" si="34"/>
        <v>60404096.393188052</v>
      </c>
      <c r="AU642" s="199">
        <f t="shared" si="33"/>
        <v>6.2662235839980808E-9</v>
      </c>
    </row>
    <row r="643" spans="1:47" x14ac:dyDescent="0.35">
      <c r="A643">
        <v>609</v>
      </c>
      <c r="B643" s="70">
        <v>56</v>
      </c>
      <c r="C643" s="70">
        <v>51.680333494668965</v>
      </c>
      <c r="D643" s="70">
        <v>57.497510506693374</v>
      </c>
      <c r="E643" s="70">
        <v>69.355322613073525</v>
      </c>
      <c r="F643" s="70">
        <v>54.941319014659854</v>
      </c>
      <c r="G643" s="70">
        <v>68.258995764692486</v>
      </c>
      <c r="H643" s="70">
        <v>94.720711669986542</v>
      </c>
      <c r="I643" s="70">
        <v>121.84752724872854</v>
      </c>
      <c r="J643" s="70">
        <v>165.01264523870049</v>
      </c>
      <c r="K643" s="70">
        <v>161.68481588594324</v>
      </c>
      <c r="L643" s="70">
        <v>166.87123797174479</v>
      </c>
      <c r="M643" s="70">
        <v>160.80547458454697</v>
      </c>
      <c r="N643" s="70">
        <v>102.69375941545727</v>
      </c>
      <c r="O643" s="70">
        <v>149.51174138159462</v>
      </c>
      <c r="P643" s="70">
        <v>106.84153413179763</v>
      </c>
      <c r="Q643" s="70">
        <v>65.787292495574121</v>
      </c>
      <c r="R643" s="70">
        <v>64.604000520157342</v>
      </c>
      <c r="S643" s="70">
        <v>69.890722226621861</v>
      </c>
      <c r="T643" s="70">
        <v>118.42043482140136</v>
      </c>
      <c r="U643" s="70">
        <v>151.13118369074007</v>
      </c>
      <c r="V643" s="70">
        <v>142.26321204826993</v>
      </c>
      <c r="X643" s="193">
        <f>((0-('Appendix K'!$I$30))/(1+$Y$16)^0)</f>
        <v>-33594902.4440751</v>
      </c>
      <c r="Y643" s="193">
        <f>(((B643*'Appendix K'!$C$5*1000)-('Appendix K'!$E$31+'Appendix K'!$F$31+'Appendix K'!$H$31+'Appendix K'!$G$31))/((1+$Y$16)^1))</f>
        <v>34971064.972647354</v>
      </c>
      <c r="Z643" s="193">
        <f>+(((C643*'Appendix K'!$C$6*1000)-('Appendix K'!$E$32+'Appendix K'!$F$32+'Appendix K'!$H$32+'Appendix K'!$G$32))/((1+$Y$16)^2))</f>
        <v>9568088.4660235792</v>
      </c>
      <c r="AA643" s="193">
        <f>(((D643*'Appendix K'!$C$7*1000)-('Appendix K'!$E$33+'Appendix K'!$F$33+'Appendix K'!$H$33+'Appendix K'!$G$33))/((1+$Y$16)^3))</f>
        <v>4358839.9987982474</v>
      </c>
      <c r="AB643" s="193">
        <f>(((E643*'Appendix K'!$C$8*1000)-('Appendix K'!$E$34+'Appendix K'!$F$34+'Appendix K'!$H$34+'Appendix K'!$G$34))/((1+$Y$16)^4))</f>
        <v>11908843.941060754</v>
      </c>
      <c r="AC643" s="193">
        <f>(((F643*'Appendix K'!$C$9*1000)-('Appendix K'!$E$35+'Appendix K'!$F$35+'Appendix K'!$H$35+'Appendix K'!$G$35))/((1+$Y$16)^AC$34))</f>
        <v>11619087.801584816</v>
      </c>
      <c r="AD643" s="193">
        <f>(((G643*'Appendix K'!$C$10*1000)-('Appendix K'!$E$36+'Appendix K'!$F$36+'Appendix K'!$H$36+'Appendix K'!$G$36))/((1+$Y$16)^AD$34))</f>
        <v>8203899.4436319806</v>
      </c>
      <c r="AE643" s="193">
        <f>(((H643*'Appendix K'!$C$11*1000)-('Appendix K'!$E$37+'Appendix K'!$F$37+'Appendix K'!$H$37+'Appendix K'!$G$37))/((1+$Y$16)^AE$34))</f>
        <v>7227278.2182783</v>
      </c>
      <c r="AF643" s="193">
        <f>(((I643*'Appendix K'!$C$12*1000)-('Appendix K'!$E$38+'Appendix K'!$F$38+'Appendix K'!$H$38+'Appendix K'!$G$38))/((1+$Y$16)^AF$34))</f>
        <v>6004225.3572119055</v>
      </c>
      <c r="AG643" s="193">
        <f>(((J643*'Appendix K'!$C$13*1000)-('Appendix K'!$E$39+'Appendix K'!$F$39+'Appendix K'!$H$39+'Appendix K'!$G$39))/((1+$Y$16)^AG$34))</f>
        <v>5778761.9220808512</v>
      </c>
      <c r="AH643" s="193">
        <f>(((K643*'Appendix K'!$C$14*1000)-('Appendix K'!$E$40+'Appendix K'!$F$40+'Appendix K'!$H$40+'Appendix K'!$G$40))/((1+$Y$16)^AH$34))</f>
        <v>3817092.4166638455</v>
      </c>
      <c r="AI643" s="193">
        <f>(((L643*'Appendix K'!$C$15*1000)-('Appendix K'!$E$41+'Appendix K'!$F$41+'Appendix K'!$H$41+'Appendix K'!$G$41))/((1+$Y$16)^AI$34))</f>
        <v>2855857.1372738373</v>
      </c>
      <c r="AJ643" s="193">
        <f>(((M643*'Appendix K'!$C$16*1000)-('Appendix K'!$E$42+'Appendix K'!$F$42+'Appendix K'!$H$42+'Appendix K'!$G$42))/((1+$Y$16)^AJ$34))</f>
        <v>1841290.9722413716</v>
      </c>
      <c r="AK643" s="193">
        <f>(((N643*'Appendix K'!$C$17*1000)-('Appendix K'!$E$43+'Appendix K'!$F$43+'Appendix K'!$H$43))/((1+$Y$16)^AK$34))</f>
        <v>573517.77332760685</v>
      </c>
      <c r="AL643" s="193">
        <f>(((O643*'Appendix K'!$C$18*1000)-('Appendix K'!$E$44+'Appendix K'!$F$44+'Appendix K'!$H$44+'Appendix K'!$G$44))/((1+$Y$16)^AL$34))</f>
        <v>637617.53907361429</v>
      </c>
      <c r="AM643" s="193">
        <f>(((P643*'Appendix K'!$C$19*1000)-('Appendix K'!$E$45+'Appendix K'!$F$45+'Appendix K'!$H$45+'Appendix K'!$G$45))/((1+$Y$16)^AM$34))</f>
        <v>-36480.417970669849</v>
      </c>
      <c r="AN643" s="193">
        <f>(((Q643*'Appendix K'!$C$20*1000)-('Appendix K'!$E$46+'Appendix K'!$F$46+'Appendix K'!$H$46+'Appendix K'!$G$46))/((1+$Y$16)^AN$34))</f>
        <v>-439657.72170277848</v>
      </c>
      <c r="AO643" s="193">
        <f>(((R643*'Appendix K'!$C$21*1000)-('Appendix K'!$E$47+'Appendix K'!$F$47+'Appendix K'!$H$47+'Appendix K'!$G$47))/((1+$Y$16)^AO$34))</f>
        <v>-461182.14485429664</v>
      </c>
      <c r="AP643" s="193">
        <f>(((S643*'Appendix K'!$C$22*1000)-('Appendix K'!$E$48+'Appendix K'!$F$48+'Appendix K'!$H$48+'Appendix K'!$G$48))/((1+$Y$16)^AP$34))</f>
        <v>-429696.28876389965</v>
      </c>
      <c r="AQ643" s="193">
        <f>(((T643*'Appendix K'!$C$23*1000)-('Appendix K'!$E$49+'Appendix K'!$F$49+'Appendix K'!$H$49+'Appendix K'!$G$49))/((1+$Y$16)^AQ$34))</f>
        <v>-230018.36602963592</v>
      </c>
      <c r="AR643" s="193">
        <f>(((U643*'Appendix K'!$C$24*1000)-('Appendix K'!$E$50+'Appendix K'!$F$50+'Appendix K'!$H$50+'Appendix K'!$G$50))/((1+$Y$16)^AR$34))</f>
        <v>-142642.22330086233</v>
      </c>
      <c r="AS643" s="209">
        <f t="shared" si="34"/>
        <v>75770563.515822947</v>
      </c>
      <c r="AU643" s="199">
        <f t="shared" si="33"/>
        <v>6.8781743405643778E-9</v>
      </c>
    </row>
    <row r="644" spans="1:47" x14ac:dyDescent="0.35">
      <c r="A644">
        <v>610</v>
      </c>
      <c r="B644" s="70">
        <v>56</v>
      </c>
      <c r="C644" s="70">
        <v>55.450420807265317</v>
      </c>
      <c r="D644" s="70">
        <v>34.343945759622493</v>
      </c>
      <c r="E644" s="70">
        <v>41.439498636525208</v>
      </c>
      <c r="F644" s="70">
        <v>66.383989907812293</v>
      </c>
      <c r="G644" s="70">
        <v>82.165115376454239</v>
      </c>
      <c r="H644" s="70">
        <v>110.91686257209841</v>
      </c>
      <c r="I644" s="70">
        <v>102.64050361270034</v>
      </c>
      <c r="J644" s="70">
        <v>76.224192743917968</v>
      </c>
      <c r="K644" s="70">
        <v>94.068253712536546</v>
      </c>
      <c r="L644" s="70">
        <v>123.19025731922599</v>
      </c>
      <c r="M644" s="70">
        <v>91.626408493806338</v>
      </c>
      <c r="N644" s="70">
        <v>102.2630987173311</v>
      </c>
      <c r="O644" s="70">
        <v>82.533207982437006</v>
      </c>
      <c r="P644" s="70">
        <v>69.816199681438448</v>
      </c>
      <c r="Q644" s="70">
        <v>44.532286196824941</v>
      </c>
      <c r="R644" s="70">
        <v>39.668995367809373</v>
      </c>
      <c r="S644" s="70">
        <v>51.912535899659595</v>
      </c>
      <c r="T644" s="70">
        <v>44.873751396792528</v>
      </c>
      <c r="U644" s="70">
        <v>52.360369204408656</v>
      </c>
      <c r="V644" s="70">
        <v>64.080896716839888</v>
      </c>
      <c r="X644" s="193">
        <f>((0-('Appendix K'!$I$30))/(1+$Y$16)^0)</f>
        <v>-33594902.4440751</v>
      </c>
      <c r="Y644" s="193">
        <f>(((B644*'Appendix K'!$C$5*1000)-('Appendix K'!$E$31+'Appendix K'!$F$31+'Appendix K'!$H$31+'Appendix K'!$G$31))/((1+$Y$16)^1))</f>
        <v>34971064.972647354</v>
      </c>
      <c r="Z644" s="193">
        <f>+(((C644*'Appendix K'!$C$6*1000)-('Appendix K'!$E$32+'Appendix K'!$F$32+'Appendix K'!$H$32+'Appendix K'!$G$32))/((1+$Y$16)^2))</f>
        <v>10520477.001456538</v>
      </c>
      <c r="AA644" s="193">
        <f>(((D644*'Appendix K'!$C$7*1000)-('Appendix K'!$E$33+'Appendix K'!$F$33+'Appendix K'!$H$33+'Appendix K'!$G$33))/((1+$Y$16)^3))</f>
        <v>1409657.6444966616</v>
      </c>
      <c r="AB644" s="193">
        <f>(((E644*'Appendix K'!$C$8*1000)-('Appendix K'!$E$34+'Appendix K'!$F$34+'Appendix K'!$H$34+'Appendix K'!$G$34))/((1+$Y$16)^4))</f>
        <v>5789950.870173594</v>
      </c>
      <c r="AC644" s="193">
        <f>(((F644*'Appendix K'!$C$9*1000)-('Appendix K'!$E$35+'Appendix K'!$F$35+'Appendix K'!$H$35+'Appendix K'!$G$35))/((1+$Y$16)^AC$34))</f>
        <v>14660531.756767038</v>
      </c>
      <c r="AD644" s="193">
        <f>(((G644*'Appendix K'!$C$10*1000)-('Appendix K'!$E$36+'Appendix K'!$F$36+'Appendix K'!$H$36+'Appendix K'!$G$36))/((1+$Y$16)^AD$34))</f>
        <v>10387771.417721614</v>
      </c>
      <c r="AE644" s="193">
        <f>(((H644*'Appendix K'!$C$11*1000)-('Appendix K'!$E$37+'Appendix K'!$F$37+'Appendix K'!$H$37+'Appendix K'!$G$37))/((1+$Y$16)^AE$34))</f>
        <v>8842643.9055328034</v>
      </c>
      <c r="AF644" s="193">
        <f>(((I644*'Appendix K'!$C$12*1000)-('Appendix K'!$E$38+'Appendix K'!$F$38+'Appendix K'!$H$38+'Appendix K'!$G$38))/((1+$Y$16)^AF$34))</f>
        <v>4743045.5690741176</v>
      </c>
      <c r="AG644" s="193">
        <f>(((J644*'Appendix K'!$C$13*1000)-('Appendix K'!$E$39+'Appendix K'!$F$39+'Appendix K'!$H$39+'Appendix K'!$G$39))/((1+$Y$16)^AG$34))</f>
        <v>1692812.1144575439</v>
      </c>
      <c r="AH644" s="193">
        <f>(((K644*'Appendix K'!$C$14*1000)-('Appendix K'!$E$40+'Appendix K'!$F$40+'Appendix K'!$H$40+'Appendix K'!$G$40))/((1+$Y$16)^AH$34))</f>
        <v>1537972.9546066844</v>
      </c>
      <c r="AI644" s="193">
        <f>(((L644*'Appendix K'!$C$15*1000)-('Appendix K'!$E$41+'Appendix K'!$F$41+'Appendix K'!$H$41+'Appendix K'!$G$41))/((1+$Y$16)^AI$34))</f>
        <v>1711333.760343486</v>
      </c>
      <c r="AJ644" s="193">
        <f>(((M644*'Appendix K'!$C$16*1000)-('Appendix K'!$E$42+'Appendix K'!$F$42+'Appendix K'!$H$42+'Appendix K'!$G$42))/((1+$Y$16)^AJ$34))</f>
        <v>454813.33199208486</v>
      </c>
      <c r="AK644" s="193">
        <f>(((N644*'Appendix K'!$C$17*1000)-('Appendix K'!$E$43+'Appendix K'!$F$43+'Appendix K'!$H$43))/((1+$Y$16)^AK$34))</f>
        <v>566901.14652041427</v>
      </c>
      <c r="AL644" s="193">
        <f>(((O644*'Appendix K'!$C$18*1000)-('Appendix K'!$E$44+'Appendix K'!$F$44+'Appendix K'!$H$44+'Appendix K'!$G$44))/((1+$Y$16)^AL$34))</f>
        <v>-156298.72588245268</v>
      </c>
      <c r="AM644" s="193">
        <f>(((P644*'Appendix K'!$C$19*1000)-('Appendix K'!$E$45+'Appendix K'!$F$45+'Appendix K'!$H$45+'Appendix K'!$G$45))/((1+$Y$16)^AM$34))</f>
        <v>-379658.31251023983</v>
      </c>
      <c r="AN644" s="193">
        <f>(((Q644*'Appendix K'!$C$20*1000)-('Appendix K'!$E$46+'Appendix K'!$F$46+'Appendix K'!$H$46+'Appendix K'!$G$46))/((1+$Y$16)^AN$34))</f>
        <v>-593463.55729765457</v>
      </c>
      <c r="AO644" s="193">
        <f>(((R644*'Appendix K'!$C$21*1000)-('Appendix K'!$E$47+'Appendix K'!$F$47+'Appendix K'!$H$47+'Appendix K'!$G$47))/((1+$Y$16)^AO$34))</f>
        <v>-608550.78012504568</v>
      </c>
      <c r="AP644" s="193">
        <f>(((S644*'Appendix K'!$C$22*1000)-('Appendix K'!$E$48+'Appendix K'!$F$48+'Appendix K'!$H$48+'Appendix K'!$G$48))/((1+$Y$16)^AP$34))</f>
        <v>-515806.75554256293</v>
      </c>
      <c r="AQ644" s="193">
        <f>(((T644*'Appendix K'!$C$23*1000)-('Appendix K'!$E$49+'Appendix K'!$F$49+'Appendix K'!$H$49+'Appendix K'!$G$49))/((1+$Y$16)^AQ$34))</f>
        <v>-517861.25651972136</v>
      </c>
      <c r="AR644" s="193">
        <f>(((U644*'Appendix K'!$C$24*1000)-('Appendix K'!$E$50+'Appendix K'!$F$50+'Appendix K'!$H$50+'Appendix K'!$G$50))/((1+$Y$16)^AR$34))</f>
        <v>-460687.01339233149</v>
      </c>
      <c r="AS644" s="209">
        <f t="shared" si="34"/>
        <v>63694074.001714863</v>
      </c>
      <c r="AU644" s="199">
        <f t="shared" si="33"/>
        <v>6.4320404338819918E-9</v>
      </c>
    </row>
    <row r="645" spans="1:47" x14ac:dyDescent="0.35">
      <c r="A645">
        <v>611</v>
      </c>
      <c r="B645" s="70">
        <v>56</v>
      </c>
      <c r="C645" s="70">
        <v>54.912390528579351</v>
      </c>
      <c r="D645" s="70">
        <v>69.8142991027172</v>
      </c>
      <c r="E645" s="70">
        <v>132.57350699801108</v>
      </c>
      <c r="F645" s="70">
        <v>101.26365533980382</v>
      </c>
      <c r="G645" s="70">
        <v>62.914347323456951</v>
      </c>
      <c r="H645" s="70">
        <v>43.599893648841416</v>
      </c>
      <c r="I645" s="70">
        <v>40.786759544125339</v>
      </c>
      <c r="J645" s="70">
        <v>55.7661064919102</v>
      </c>
      <c r="K645" s="70">
        <v>36.908230108756534</v>
      </c>
      <c r="L645" s="70">
        <v>42.933156124048793</v>
      </c>
      <c r="M645" s="70">
        <v>24.178553726499615</v>
      </c>
      <c r="N645" s="70">
        <v>17.441625266178136</v>
      </c>
      <c r="O645" s="70">
        <v>10.697434738207349</v>
      </c>
      <c r="P645" s="70">
        <v>6.8337885411539627</v>
      </c>
      <c r="Q645" s="70">
        <v>2.0924127907191865</v>
      </c>
      <c r="R645" s="70">
        <v>1.977690285283318</v>
      </c>
      <c r="S645" s="70">
        <v>3.9282867547995743</v>
      </c>
      <c r="T645" s="70">
        <v>3.8689999671904554</v>
      </c>
      <c r="U645" s="70">
        <v>4.6074229539228462</v>
      </c>
      <c r="V645" s="70">
        <v>5.5684221178247659</v>
      </c>
      <c r="X645" s="193">
        <f>((0-('Appendix K'!$I$30))/(1+$Y$16)^0)</f>
        <v>-33594902.4440751</v>
      </c>
      <c r="Y645" s="193">
        <f>(((B645*'Appendix K'!$C$5*1000)-('Appendix K'!$E$31+'Appendix K'!$F$31+'Appendix K'!$H$31+'Appendix K'!$G$31))/((1+$Y$16)^1))</f>
        <v>34971064.972647354</v>
      </c>
      <c r="Z645" s="193">
        <f>+(((C645*'Appendix K'!$C$6*1000)-('Appendix K'!$E$32+'Appendix K'!$F$32+'Appendix K'!$H$32+'Appendix K'!$G$32))/((1+$Y$16)^2))</f>
        <v>10384561.351061845</v>
      </c>
      <c r="AA645" s="193">
        <f>(((D645*'Appendix K'!$C$7*1000)-('Appendix K'!$E$33+'Appendix K'!$F$33+'Appendix K'!$H$33+'Appendix K'!$G$33))/((1+$Y$16)^3))</f>
        <v>5927689.3740829686</v>
      </c>
      <c r="AB645" s="193">
        <f>(((E645*'Appendix K'!$C$8*1000)-('Appendix K'!$E$34+'Appendix K'!$F$34+'Appendix K'!$H$34+'Appendix K'!$G$34))/((1+$Y$16)^4))</f>
        <v>25765691.251461752</v>
      </c>
      <c r="AC645" s="193">
        <f>(((F645*'Appendix K'!$C$9*1000)-('Appendix K'!$E$35+'Appendix K'!$F$35+'Appendix K'!$H$35+'Appendix K'!$G$35))/((1+$Y$16)^AC$34))</f>
        <v>23931492.057687018</v>
      </c>
      <c r="AD645" s="193">
        <f>(((G645*'Appendix K'!$C$10*1000)-('Appendix K'!$E$36+'Appendix K'!$F$36+'Appendix K'!$H$36+'Appendix K'!$G$36))/((1+$Y$16)^AD$34))</f>
        <v>7364554.7329548215</v>
      </c>
      <c r="AE645" s="193">
        <f>(((H645*'Appendix K'!$C$11*1000)-('Appendix K'!$E$37+'Appendix K'!$F$37+'Appendix K'!$H$37+'Appendix K'!$G$37))/((1+$Y$16)^AE$34))</f>
        <v>2128609.0446679289</v>
      </c>
      <c r="AF645" s="193">
        <f>(((I645*'Appendix K'!$C$12*1000)-('Appendix K'!$E$38+'Appendix K'!$F$38+'Appendix K'!$H$38+'Appendix K'!$G$38))/((1+$Y$16)^AF$34))</f>
        <v>681578.6120799504</v>
      </c>
      <c r="AG645" s="193">
        <f>(((J645*'Appendix K'!$C$13*1000)-('Appendix K'!$E$39+'Appendix K'!$F$39+'Appendix K'!$H$39+'Appendix K'!$G$39))/((1+$Y$16)^AG$34))</f>
        <v>751352.82288306567</v>
      </c>
      <c r="AH645" s="193">
        <f>(((K645*'Appendix K'!$C$14*1000)-('Appendix K'!$E$40+'Appendix K'!$F$40+'Appendix K'!$H$40+'Appendix K'!$G$40))/((1+$Y$16)^AH$34))</f>
        <v>-388692.91037658707</v>
      </c>
      <c r="AI645" s="193">
        <f>(((L645*'Appendix K'!$C$15*1000)-('Appendix K'!$E$41+'Appendix K'!$F$41+'Appendix K'!$H$41+'Appendix K'!$G$41))/((1+$Y$16)^AI$34))</f>
        <v>-391552.37248531805</v>
      </c>
      <c r="AJ645" s="193">
        <f>(((M645*'Appendix K'!$C$16*1000)-('Appendix K'!$E$42+'Appendix K'!$F$42+'Appendix K'!$H$42+'Appendix K'!$G$42))/((1+$Y$16)^AJ$34))</f>
        <v>-896967.60120222217</v>
      </c>
      <c r="AK645" s="193">
        <f>(((N645*'Appendix K'!$C$17*1000)-('Appendix K'!$E$43+'Appendix K'!$F$43+'Appendix K'!$H$43))/((1+$Y$16)^AK$34))</f>
        <v>-736287.27421177807</v>
      </c>
      <c r="AL645" s="193">
        <f>(((O645*'Appendix K'!$C$18*1000)-('Appendix K'!$E$44+'Appendix K'!$F$44+'Appendix K'!$H$44+'Appendix K'!$G$44))/((1+$Y$16)^AL$34))</f>
        <v>-1007789.2839753097</v>
      </c>
      <c r="AM645" s="193">
        <f>(((P645*'Appendix K'!$C$19*1000)-('Appendix K'!$E$45+'Appendix K'!$F$45+'Appendix K'!$H$45+'Appendix K'!$G$45))/((1+$Y$16)^AM$34))</f>
        <v>-963425.38900017843</v>
      </c>
      <c r="AN645" s="193">
        <f>(((Q645*'Appendix K'!$C$20*1000)-('Appendix K'!$E$46+'Appendix K'!$F$46+'Appendix K'!$H$46+'Appendix K'!$G$46))/((1+$Y$16)^AN$34))</f>
        <v>-900567.68608593836</v>
      </c>
      <c r="AO645" s="193">
        <f>(((R645*'Appendix K'!$C$21*1000)-('Appendix K'!$E$47+'Appendix K'!$F$47+'Appendix K'!$H$47+'Appendix K'!$G$47))/((1+$Y$16)^AO$34))</f>
        <v>-831310.5572996767</v>
      </c>
      <c r="AP645" s="193">
        <f>(((S645*'Appendix K'!$C$22*1000)-('Appendix K'!$E$48+'Appendix K'!$F$48+'Appendix K'!$H$48+'Appendix K'!$G$48))/((1+$Y$16)^AP$34))</f>
        <v>-745637.8417679182</v>
      </c>
      <c r="AQ645" s="193">
        <f>(((T645*'Appendix K'!$C$23*1000)-('Appendix K'!$E$49+'Appendix K'!$F$49+'Appendix K'!$H$49+'Appendix K'!$G$49))/((1+$Y$16)^AQ$34))</f>
        <v>-678343.35612959776</v>
      </c>
      <c r="AR645" s="193">
        <f>(((U645*'Appendix K'!$C$24*1000)-('Appendix K'!$E$50+'Appendix K'!$F$50+'Appendix K'!$H$50+'Appendix K'!$G$50))/((1+$Y$16)^AR$34))</f>
        <v>-614452.83830194303</v>
      </c>
      <c r="AS645" s="209">
        <f t="shared" si="34"/>
        <v>78311691.775451601</v>
      </c>
      <c r="AU645" s="199">
        <f t="shared" si="33"/>
        <v>6.9358085959116849E-9</v>
      </c>
    </row>
    <row r="646" spans="1:47" x14ac:dyDescent="0.35">
      <c r="A646">
        <v>612</v>
      </c>
      <c r="B646" s="70">
        <v>56</v>
      </c>
      <c r="C646" s="70">
        <v>45.72679258468095</v>
      </c>
      <c r="D646" s="70">
        <v>55.939926709817215</v>
      </c>
      <c r="E646" s="70">
        <v>64.09481918348979</v>
      </c>
      <c r="F646" s="70">
        <v>95.812762326063222</v>
      </c>
      <c r="G646" s="70">
        <v>99.466336176954826</v>
      </c>
      <c r="H646" s="70">
        <v>132.12814339425333</v>
      </c>
      <c r="I646" s="70">
        <v>127.41584941451103</v>
      </c>
      <c r="J646" s="70">
        <v>129.19174920917584</v>
      </c>
      <c r="K646" s="70">
        <v>103.35199509718619</v>
      </c>
      <c r="L646" s="70">
        <v>118.19741269499563</v>
      </c>
      <c r="M646" s="70">
        <v>123.22458475065542</v>
      </c>
      <c r="N646" s="70">
        <v>126.27472374850836</v>
      </c>
      <c r="O646" s="70">
        <v>211.84238512948679</v>
      </c>
      <c r="P646" s="70">
        <v>291.72741224399147</v>
      </c>
      <c r="Q646" s="70">
        <v>279.30310505528928</v>
      </c>
      <c r="R646" s="70">
        <v>320.06301863476568</v>
      </c>
      <c r="S646" s="70">
        <v>220.14701888880876</v>
      </c>
      <c r="T646" s="70">
        <v>129.84995755568582</v>
      </c>
      <c r="U646" s="70">
        <v>147.02516744681787</v>
      </c>
      <c r="V646" s="70">
        <v>169.62244094848197</v>
      </c>
      <c r="X646" s="193">
        <f>((0-('Appendix K'!$I$30))/(1+$Y$16)^0)</f>
        <v>-33594902.4440751</v>
      </c>
      <c r="Y646" s="193">
        <f>(((B646*'Appendix K'!$C$5*1000)-('Appendix K'!$E$31+'Appendix K'!$F$31+'Appendix K'!$H$31+'Appendix K'!$G$31))/((1+$Y$16)^1))</f>
        <v>34971064.972647354</v>
      </c>
      <c r="Z646" s="193">
        <f>+(((C646*'Appendix K'!$C$6*1000)-('Appendix K'!$E$32+'Appendix K'!$F$32+'Appendix K'!$H$32+'Appendix K'!$G$32))/((1+$Y$16)^2))</f>
        <v>8064122.208011671</v>
      </c>
      <c r="AA646" s="193">
        <f>(((D646*'Appendix K'!$C$7*1000)-('Appendix K'!$E$33+'Appendix K'!$F$33+'Appendix K'!$H$33+'Appendix K'!$G$33))/((1+$Y$16)^3))</f>
        <v>4160442.9614835363</v>
      </c>
      <c r="AB646" s="193">
        <f>(((E646*'Appendix K'!$C$8*1000)-('Appendix K'!$E$34+'Appendix K'!$F$34+'Appendix K'!$H$34+'Appendix K'!$G$34))/((1+$Y$16)^4))</f>
        <v>10755789.744569933</v>
      </c>
      <c r="AC646" s="193">
        <f>(((F646*'Appendix K'!$C$9*1000)-('Appendix K'!$E$35+'Appendix K'!$F$35+'Appendix K'!$H$35+'Appendix K'!$G$35))/((1+$Y$16)^AC$34))</f>
        <v>22482653.254072793</v>
      </c>
      <c r="AD646" s="193">
        <f>(((G646*'Appendix K'!$C$10*1000)-('Appendix K'!$E$36+'Appendix K'!$F$36+'Appendix K'!$H$36+'Appendix K'!$G$36))/((1+$Y$16)^AD$34))</f>
        <v>13104823.498288546</v>
      </c>
      <c r="AE646" s="193">
        <f>(((H646*'Appendix K'!$C$11*1000)-('Appendix K'!$E$37+'Appendix K'!$F$37+'Appendix K'!$H$37+'Appendix K'!$G$37))/((1+$Y$16)^AE$34))</f>
        <v>10958206.759319304</v>
      </c>
      <c r="AF646" s="193">
        <f>(((I646*'Appendix K'!$C$12*1000)-('Appendix K'!$E$38+'Appendix K'!$F$38+'Appendix K'!$H$38+'Appendix K'!$G$38))/((1+$Y$16)^AF$34))</f>
        <v>6369854.9051524596</v>
      </c>
      <c r="AG646" s="193">
        <f>(((J646*'Appendix K'!$C$13*1000)-('Appendix K'!$E$39+'Appendix K'!$F$39+'Appendix K'!$H$39+'Appendix K'!$G$39))/((1+$Y$16)^AG$34))</f>
        <v>4130322.5233951779</v>
      </c>
      <c r="AH646" s="193">
        <f>(((K646*'Appendix K'!$C$14*1000)-('Appendix K'!$E$40+'Appendix K'!$F$40+'Appendix K'!$H$40+'Appendix K'!$G$40))/((1+$Y$16)^AH$34))</f>
        <v>1850895.6319856027</v>
      </c>
      <c r="AI646" s="193">
        <f>(((L646*'Appendix K'!$C$15*1000)-('Appendix K'!$E$41+'Appendix K'!$F$41+'Appendix K'!$H$41+'Appendix K'!$G$41))/((1+$Y$16)^AI$34))</f>
        <v>1580511.8945234213</v>
      </c>
      <c r="AJ646" s="193">
        <f>(((M646*'Appendix K'!$C$16*1000)-('Appendix K'!$E$42+'Appendix K'!$F$42+'Appendix K'!$H$42+'Appendix K'!$G$42))/((1+$Y$16)^AJ$34))</f>
        <v>1088099.7772776042</v>
      </c>
      <c r="AK646" s="193">
        <f>(((N646*'Appendix K'!$C$17*1000)-('Appendix K'!$E$43+'Appendix K'!$F$43+'Appendix K'!$H$43))/((1+$Y$16)^AK$34))</f>
        <v>935813.29141039634</v>
      </c>
      <c r="AL646" s="193">
        <f>(((O646*'Appendix K'!$C$18*1000)-('Appendix K'!$E$44+'Appendix K'!$F$44+'Appendix K'!$H$44+'Appendix K'!$G$44))/((1+$Y$16)^AL$34))</f>
        <v>1376441.0003418203</v>
      </c>
      <c r="AM646" s="193">
        <f>(((P646*'Appendix K'!$C$19*1000)-('Appendix K'!$E$45+'Appendix K'!$F$45+'Appendix K'!$H$45+'Appendix K'!$G$45))/((1+$Y$16)^AM$34))</f>
        <v>1677177.1984300574</v>
      </c>
      <c r="AN646" s="193">
        <f>(((Q646*'Appendix K'!$C$20*1000)-('Appendix K'!$E$46+'Appendix K'!$F$46+'Appendix K'!$H$46+'Appendix K'!$G$46))/((1+$Y$16)^AN$34))</f>
        <v>1105389.0076128694</v>
      </c>
      <c r="AO646" s="193">
        <f>(((R646*'Appendix K'!$C$21*1000)-('Appendix K'!$E$47+'Appendix K'!$F$47+'Appendix K'!$H$47+'Appendix K'!$G$47))/((1+$Y$16)^AO$34))</f>
        <v>1048608.8753256383</v>
      </c>
      <c r="AP646" s="193">
        <f>(((S646*'Appendix K'!$C$22*1000)-('Appendix K'!$E$48+'Appendix K'!$F$48+'Appendix K'!$H$48+'Appendix K'!$G$48))/((1+$Y$16)^AP$34))</f>
        <v>289989.20156889659</v>
      </c>
      <c r="AQ646" s="193">
        <f>(((T646*'Appendix K'!$C$23*1000)-('Appendix K'!$E$49+'Appendix K'!$F$49+'Appendix K'!$H$49+'Appendix K'!$G$49))/((1+$Y$16)^AQ$34))</f>
        <v>-185286.14008050802</v>
      </c>
      <c r="AR646" s="193">
        <f>(((U646*'Appendix K'!$C$24*1000)-('Appendix K'!$E$50+'Appendix K'!$F$50+'Appendix K'!$H$50+'Appendix K'!$G$50))/((1+$Y$16)^AR$34))</f>
        <v>-155863.71065218028</v>
      </c>
      <c r="AS646" s="209">
        <f t="shared" si="34"/>
        <v>92355304.261341989</v>
      </c>
      <c r="AU646" s="199">
        <f t="shared" si="33"/>
        <v>7.0052146768232482E-9</v>
      </c>
    </row>
    <row r="647" spans="1:47" x14ac:dyDescent="0.35">
      <c r="A647">
        <v>613</v>
      </c>
      <c r="B647" s="70">
        <v>56</v>
      </c>
      <c r="C647" s="70">
        <v>66.822880424101811</v>
      </c>
      <c r="D647" s="70">
        <v>38.109707404243849</v>
      </c>
      <c r="E647" s="70">
        <v>38.94293885159923</v>
      </c>
      <c r="F647" s="70">
        <v>48.728444661176205</v>
      </c>
      <c r="G647" s="70">
        <v>34.472902837691322</v>
      </c>
      <c r="H647" s="70">
        <v>35.987518528927552</v>
      </c>
      <c r="I647" s="70">
        <v>39.232630607143641</v>
      </c>
      <c r="J647" s="70">
        <v>49.312608024172448</v>
      </c>
      <c r="K647" s="70">
        <v>88.177642707440896</v>
      </c>
      <c r="L647" s="70">
        <v>127.09168726876837</v>
      </c>
      <c r="M647" s="70">
        <v>107.90636497061428</v>
      </c>
      <c r="N647" s="70">
        <v>123.79165023940264</v>
      </c>
      <c r="O647" s="70">
        <v>122.23598590054851</v>
      </c>
      <c r="P647" s="70">
        <v>117.75005450549713</v>
      </c>
      <c r="Q647" s="70">
        <v>145.53326182313563</v>
      </c>
      <c r="R647" s="70">
        <v>23.176932242752741</v>
      </c>
      <c r="S647" s="70">
        <v>32.191324829919552</v>
      </c>
      <c r="T647" s="70">
        <v>31.926472299065079</v>
      </c>
      <c r="U647" s="70">
        <v>41.443987053713826</v>
      </c>
      <c r="V647" s="70">
        <v>40.429250836340238</v>
      </c>
      <c r="X647" s="193">
        <f>((0-('Appendix K'!$I$30))/(1+$Y$16)^0)</f>
        <v>-33594902.4440751</v>
      </c>
      <c r="Y647" s="193">
        <f>(((B647*'Appendix K'!$C$5*1000)-('Appendix K'!$E$31+'Appendix K'!$F$31+'Appendix K'!$H$31+'Appendix K'!$G$31))/((1+$Y$16)^1))</f>
        <v>34971064.972647354</v>
      </c>
      <c r="Z647" s="193">
        <f>+(((C647*'Appendix K'!$C$6*1000)-('Appendix K'!$E$32+'Appendix K'!$F$32+'Appendix K'!$H$32+'Appendix K'!$G$32))/((1+$Y$16)^2))</f>
        <v>13393354.805257425</v>
      </c>
      <c r="AA647" s="193">
        <f>(((D647*'Appendix K'!$C$7*1000)-('Appendix K'!$E$33+'Appendix K'!$F$33+'Appendix K'!$H$33+'Appendix K'!$G$33))/((1+$Y$16)^3))</f>
        <v>1889321.0533127063</v>
      </c>
      <c r="AB647" s="193">
        <f>(((E647*'Appendix K'!$C$8*1000)-('Appendix K'!$E$34+'Appendix K'!$F$34+'Appendix K'!$H$34+'Appendix K'!$G$34))/((1+$Y$16)^4))</f>
        <v>5242727.8191229645</v>
      </c>
      <c r="AC647" s="193">
        <f>(((F647*'Appendix K'!$C$9*1000)-('Appendix K'!$E$35+'Appendix K'!$F$35+'Appendix K'!$H$35+'Appendix K'!$G$35))/((1+$Y$16)^AC$34))</f>
        <v>9967715.5543923061</v>
      </c>
      <c r="AD647" s="193">
        <f>(((G647*'Appendix K'!$C$10*1000)-('Appendix K'!$E$36+'Appendix K'!$F$36+'Appendix K'!$H$36+'Appendix K'!$G$36))/((1+$Y$16)^AD$34))</f>
        <v>2897997.9040781897</v>
      </c>
      <c r="AE647" s="193">
        <f>(((H647*'Appendix K'!$C$11*1000)-('Appendix K'!$E$37+'Appendix K'!$F$37+'Appendix K'!$H$37+'Appendix K'!$G$37))/((1+$Y$16)^AE$34))</f>
        <v>1369368.800393882</v>
      </c>
      <c r="AF647" s="193">
        <f>(((I647*'Appendix K'!$C$12*1000)-('Appendix K'!$E$38+'Appendix K'!$F$38+'Appendix K'!$H$38+'Appendix K'!$G$38))/((1+$Y$16)^AF$34))</f>
        <v>579530.73414613085</v>
      </c>
      <c r="AG647" s="193">
        <f>(((J647*'Appendix K'!$C$13*1000)-('Appendix K'!$E$39+'Appendix K'!$F$39+'Appendix K'!$H$39+'Appendix K'!$G$39))/((1+$Y$16)^AG$34))</f>
        <v>454369.7121086113</v>
      </c>
      <c r="AH647" s="193">
        <f>(((K647*'Appendix K'!$C$14*1000)-('Appendix K'!$E$40+'Appendix K'!$F$40+'Appendix K'!$H$40+'Appendix K'!$G$40))/((1+$Y$16)^AH$34))</f>
        <v>1339420.9171533261</v>
      </c>
      <c r="AI647" s="193">
        <f>(((L647*'Appendix K'!$C$15*1000)-('Appendix K'!$E$41+'Appendix K'!$F$41+'Appendix K'!$H$41+'Appendix K'!$G$41))/((1+$Y$16)^AI$34))</f>
        <v>1813558.5207312771</v>
      </c>
      <c r="AJ647" s="193">
        <f>(((M647*'Appendix K'!$C$16*1000)-('Appendix K'!$E$42+'Appendix K'!$F$42+'Appendix K'!$H$42+'Appendix K'!$G$42))/((1+$Y$16)^AJ$34))</f>
        <v>781094.05410705006</v>
      </c>
      <c r="AK647" s="193">
        <f>(((N647*'Appendix K'!$C$17*1000)-('Appendix K'!$E$43+'Appendix K'!$F$43+'Appendix K'!$H$43))/((1+$Y$16)^AK$34))</f>
        <v>897663.60462433798</v>
      </c>
      <c r="AL647" s="193">
        <f>(((O647*'Appendix K'!$C$18*1000)-('Appendix K'!$E$44+'Appendix K'!$F$44+'Appendix K'!$H$44+'Appendix K'!$G$44))/((1+$Y$16)^AL$34))</f>
        <v>314309.98340773513</v>
      </c>
      <c r="AM647" s="193">
        <f>(((P647*'Appendix K'!$C$19*1000)-('Appendix K'!$E$45+'Appendix K'!$F$45+'Appendix K'!$H$45+'Appendix K'!$G$45))/((1+$Y$16)^AM$34))</f>
        <v>64627.73162369198</v>
      </c>
      <c r="AN647" s="193">
        <f>(((Q647*'Appendix K'!$C$20*1000)-('Appendix K'!$E$46+'Appendix K'!$F$46+'Appendix K'!$H$46+'Appendix K'!$G$46))/((1+$Y$16)^AN$34))</f>
        <v>137401.40852531983</v>
      </c>
      <c r="AO647" s="193">
        <f>(((R647*'Appendix K'!$C$21*1000)-('Appendix K'!$E$47+'Appendix K'!$F$47+'Appendix K'!$H$47+'Appendix K'!$G$47))/((1+$Y$16)^AO$34))</f>
        <v>-706020.69523792807</v>
      </c>
      <c r="AP647" s="193">
        <f>(((S647*'Appendix K'!$C$22*1000)-('Appendix K'!$E$48+'Appendix K'!$F$48+'Appendix K'!$H$48+'Appendix K'!$G$48))/((1+$Y$16)^AP$34))</f>
        <v>-610265.8216447439</v>
      </c>
      <c r="AQ647" s="193">
        <f>(((T647*'Appendix K'!$C$23*1000)-('Appendix K'!$E$49+'Appendix K'!$F$49+'Appendix K'!$H$49+'Appendix K'!$G$49))/((1+$Y$16)^AQ$34))</f>
        <v>-568533.59231977107</v>
      </c>
      <c r="AR647" s="193">
        <f>(((U647*'Appendix K'!$C$24*1000)-('Appendix K'!$E$50+'Appendix K'!$F$50+'Appendix K'!$H$50+'Appendix K'!$G$50))/((1+$Y$16)^AR$34))</f>
        <v>-495838.06978213642</v>
      </c>
      <c r="AS647" s="209">
        <f t="shared" si="34"/>
        <v>42518625.131557204</v>
      </c>
      <c r="AU647" s="199">
        <f t="shared" si="33"/>
        <v>5.1263342886665078E-9</v>
      </c>
    </row>
    <row r="648" spans="1:47" x14ac:dyDescent="0.35">
      <c r="A648">
        <v>614</v>
      </c>
      <c r="B648" s="70">
        <v>56</v>
      </c>
      <c r="C648" s="70">
        <v>79.332535893943373</v>
      </c>
      <c r="D648" s="70">
        <v>70.352348672434317</v>
      </c>
      <c r="E648" s="70">
        <v>109.70114762849911</v>
      </c>
      <c r="F648" s="70">
        <v>133.43887003212913</v>
      </c>
      <c r="G648" s="70">
        <v>155.10203367082613</v>
      </c>
      <c r="H648" s="70">
        <v>114.63845248242393</v>
      </c>
      <c r="I648" s="70">
        <v>115.93913977798022</v>
      </c>
      <c r="J648" s="70">
        <v>107.33299470572406</v>
      </c>
      <c r="K648" s="70">
        <v>135.08484548692329</v>
      </c>
      <c r="L648" s="70">
        <v>144.49423288098885</v>
      </c>
      <c r="M648" s="70">
        <v>193.70081135301422</v>
      </c>
      <c r="N648" s="70">
        <v>219.49422504185162</v>
      </c>
      <c r="O648" s="70">
        <v>280.64915666885349</v>
      </c>
      <c r="P648" s="70">
        <v>452.17114914338435</v>
      </c>
      <c r="Q648" s="70">
        <v>500</v>
      </c>
      <c r="R648" s="70">
        <v>500</v>
      </c>
      <c r="S648" s="70">
        <v>500</v>
      </c>
      <c r="T648" s="70">
        <v>453.19668651225061</v>
      </c>
      <c r="U648" s="70">
        <v>374.78080015724356</v>
      </c>
      <c r="V648" s="70">
        <v>500</v>
      </c>
      <c r="X648" s="193">
        <f>((0-('Appendix K'!$I$30))/(1+$Y$16)^0)</f>
        <v>-33594902.4440751</v>
      </c>
      <c r="Y648" s="193">
        <f>(((B648*'Appendix K'!$C$5*1000)-('Appendix K'!$E$31+'Appendix K'!$F$31+'Appendix K'!$H$31+'Appendix K'!$G$31))/((1+$Y$16)^1))</f>
        <v>34971064.972647354</v>
      </c>
      <c r="Z648" s="193">
        <f>+(((C648*'Appendix K'!$C$6*1000)-('Appendix K'!$E$32+'Appendix K'!$F$32+'Appendix K'!$H$32+'Appendix K'!$G$32))/((1+$Y$16)^2))</f>
        <v>16553507.731129177</v>
      </c>
      <c r="AA648" s="193">
        <f>(((D648*'Appendix K'!$C$7*1000)-('Appendix K'!$E$33+'Appendix K'!$F$33+'Appendix K'!$H$33+'Appendix K'!$G$33))/((1+$Y$16)^3))</f>
        <v>5996223.3693482112</v>
      </c>
      <c r="AB648" s="193">
        <f>(((E648*'Appendix K'!$C$8*1000)-('Appendix K'!$E$34+'Appendix K'!$F$34+'Appendix K'!$H$34+'Appendix K'!$G$34))/((1+$Y$16)^4))</f>
        <v>20752279.453962214</v>
      </c>
      <c r="AC648" s="193">
        <f>(((F648*'Appendix K'!$C$9*1000)-('Appendix K'!$E$35+'Appendix K'!$F$35+'Appendix K'!$H$35+'Appendix K'!$G$35))/((1+$Y$16)^AC$34))</f>
        <v>32483613.59875346</v>
      </c>
      <c r="AD648" s="193">
        <f>(((G648*'Appendix K'!$C$10*1000)-('Appendix K'!$E$36+'Appendix K'!$F$36+'Appendix K'!$H$36+'Appendix K'!$G$36))/((1+$Y$16)^AD$34))</f>
        <v>21842073.278092615</v>
      </c>
      <c r="AE648" s="193">
        <f>(((H648*'Appendix K'!$C$11*1000)-('Appendix K'!$E$37+'Appendix K'!$F$37+'Appendix K'!$H$37+'Appendix K'!$G$37))/((1+$Y$16)^AE$34))</f>
        <v>9213826.4586904533</v>
      </c>
      <c r="AF648" s="193">
        <f>(((I648*'Appendix K'!$C$12*1000)-('Appendix K'!$E$38+'Appendix K'!$F$38+'Appendix K'!$H$38+'Appendix K'!$G$38))/((1+$Y$16)^AF$34))</f>
        <v>5616266.295995526</v>
      </c>
      <c r="AG648" s="193">
        <f>(((J648*'Appendix K'!$C$13*1000)-('Appendix K'!$E$39+'Appendix K'!$F$39+'Appendix K'!$H$39+'Appendix K'!$G$39))/((1+$Y$16)^AG$34))</f>
        <v>3124405.974016055</v>
      </c>
      <c r="AH648" s="193">
        <f>(((K648*'Appendix K'!$C$14*1000)-('Appendix K'!$E$40+'Appendix K'!$F$40+'Appendix K'!$H$40+'Appendix K'!$G$40))/((1+$Y$16)^AH$34))</f>
        <v>2920499.8026963454</v>
      </c>
      <c r="AI648" s="193">
        <f>(((L648*'Appendix K'!$C$15*1000)-('Appendix K'!$E$41+'Appendix K'!$F$41+'Appendix K'!$H$41+'Appendix K'!$G$41))/((1+$Y$16)^AI$34))</f>
        <v>2269537.758691323</v>
      </c>
      <c r="AJ648" s="193">
        <f>(((M648*'Appendix K'!$C$16*1000)-('Appendix K'!$E$42+'Appendix K'!$F$42+'Appendix K'!$H$42+'Appendix K'!$G$42))/((1+$Y$16)^AJ$34))</f>
        <v>2500574.9359497884</v>
      </c>
      <c r="AK648" s="193">
        <f>(((N648*'Appendix K'!$C$17*1000)-('Appendix K'!$E$43+'Appendix K'!$F$43+'Appendix K'!$H$43))/((1+$Y$16)^AK$34))</f>
        <v>2368028.1507982612</v>
      </c>
      <c r="AL648" s="193">
        <f>(((O648*'Appendix K'!$C$18*1000)-('Appendix K'!$E$44+'Appendix K'!$F$44+'Appendix K'!$H$44+'Appendix K'!$G$44))/((1+$Y$16)^AL$34))</f>
        <v>2192027.9099367457</v>
      </c>
      <c r="AM648" s="193">
        <f>(((P648*'Appendix K'!$C$19*1000)-('Appendix K'!$E$45+'Appendix K'!$F$45+'Appendix K'!$H$45+'Appendix K'!$G$45))/((1+$Y$16)^AM$34))</f>
        <v>3164287.1635004804</v>
      </c>
      <c r="AN648" s="193">
        <f>(((Q648*'Appendix K'!$C$20*1000)-('Appendix K'!$E$46+'Appendix K'!$F$46+'Appendix K'!$H$46+'Appendix K'!$G$46))/((1+$Y$16)^AN$34))</f>
        <v>2702399.606577659</v>
      </c>
      <c r="AO648" s="193">
        <f>(((R648*'Appendix K'!$C$21*1000)-('Appendix K'!$E$47+'Appendix K'!$F$47+'Appendix K'!$H$47+'Appendix K'!$G$47))/((1+$Y$16)^AO$34))</f>
        <v>2112056.3146391152</v>
      </c>
      <c r="AP648" s="193">
        <f>(((S648*'Appendix K'!$C$22*1000)-('Appendix K'!$E$48+'Appendix K'!$F$48+'Appendix K'!$H$48+'Appendix K'!$G$48))/((1+$Y$16)^AP$34))</f>
        <v>1630406.4380253027</v>
      </c>
      <c r="AQ648" s="193">
        <f>(((T648*'Appendix K'!$C$23*1000)-('Appendix K'!$E$49+'Appendix K'!$F$49+'Appendix K'!$H$49+'Appendix K'!$G$49))/((1+$Y$16)^AQ$34))</f>
        <v>1080210.1781699136</v>
      </c>
      <c r="AR648" s="193">
        <f>(((U648*'Appendix K'!$C$24*1000)-('Appendix K'!$E$50+'Appendix K'!$F$50+'Appendix K'!$H$50+'Appendix K'!$G$50))/((1+$Y$16)^AR$34))</f>
        <v>577515.80812825193</v>
      </c>
      <c r="AS648" s="209">
        <f t="shared" si="34"/>
        <v>140475902.75567317</v>
      </c>
      <c r="AU648" s="199">
        <f t="shared" si="33"/>
        <v>4.5556755268179866E-9</v>
      </c>
    </row>
    <row r="649" spans="1:47" x14ac:dyDescent="0.35">
      <c r="A649">
        <v>615</v>
      </c>
      <c r="B649" s="70">
        <v>56</v>
      </c>
      <c r="C649" s="70">
        <v>68.01313970642795</v>
      </c>
      <c r="D649" s="70">
        <v>87.615504453716198</v>
      </c>
      <c r="E649" s="70">
        <v>69.61469698145595</v>
      </c>
      <c r="F649" s="70">
        <v>93.380402714856956</v>
      </c>
      <c r="G649" s="70">
        <v>105.70798607212502</v>
      </c>
      <c r="H649" s="70">
        <v>114.54140882652574</v>
      </c>
      <c r="I649" s="70">
        <v>165.6613874908461</v>
      </c>
      <c r="J649" s="70">
        <v>226.62288285769597</v>
      </c>
      <c r="K649" s="70">
        <v>229.07447021082169</v>
      </c>
      <c r="L649" s="70">
        <v>187.91347289990256</v>
      </c>
      <c r="M649" s="70">
        <v>230.53943816283771</v>
      </c>
      <c r="N649" s="70">
        <v>214.36373295886131</v>
      </c>
      <c r="O649" s="70">
        <v>253.38836555783803</v>
      </c>
      <c r="P649" s="70">
        <v>360.91470589897261</v>
      </c>
      <c r="Q649" s="70">
        <v>295.98913089662744</v>
      </c>
      <c r="R649" s="70">
        <v>259.2237077962568</v>
      </c>
      <c r="S649" s="70">
        <v>218.22642633743413</v>
      </c>
      <c r="T649" s="70">
        <v>297.8311100664738</v>
      </c>
      <c r="U649" s="70">
        <v>207.63744003858218</v>
      </c>
      <c r="V649" s="70">
        <v>179.69460097760785</v>
      </c>
      <c r="X649" s="193">
        <f>((0-('Appendix K'!$I$30))/(1+$Y$16)^0)</f>
        <v>-33594902.4440751</v>
      </c>
      <c r="Y649" s="193">
        <f>(((B649*'Appendix K'!$C$5*1000)-('Appendix K'!$E$31+'Appendix K'!$F$31+'Appendix K'!$H$31+'Appendix K'!$G$31))/((1+$Y$16)^1))</f>
        <v>34971064.972647354</v>
      </c>
      <c r="Z649" s="193">
        <f>+(((C649*'Appendix K'!$C$6*1000)-('Appendix K'!$E$32+'Appendix K'!$F$32+'Appendix K'!$H$32+'Appendix K'!$G$32))/((1+$Y$16)^2))</f>
        <v>13694034.65712521</v>
      </c>
      <c r="AA649" s="193">
        <f>(((D649*'Appendix K'!$C$7*1000)-('Appendix K'!$E$33+'Appendix K'!$F$33+'Appendix K'!$H$33+'Appendix K'!$G$33))/((1+$Y$16)^3))</f>
        <v>8195115.6334932726</v>
      </c>
      <c r="AB649" s="193">
        <f>(((E649*'Appendix K'!$C$8*1000)-('Appendix K'!$E$34+'Appendix K'!$F$34+'Appendix K'!$H$34+'Appendix K'!$G$34))/((1+$Y$16)^4))</f>
        <v>11965696.428266371</v>
      </c>
      <c r="AC649" s="193">
        <f>(((F649*'Appendix K'!$C$9*1000)-('Appendix K'!$E$35+'Appendix K'!$F$35+'Appendix K'!$H$35+'Appendix K'!$G$35))/((1+$Y$16)^AC$34))</f>
        <v>21836135.888904162</v>
      </c>
      <c r="AD649" s="193">
        <f>(((G649*'Appendix K'!$C$10*1000)-('Appendix K'!$E$36+'Appendix K'!$F$36+'Appendix K'!$H$36+'Appendix K'!$G$36))/((1+$Y$16)^AD$34))</f>
        <v>14085036.861807486</v>
      </c>
      <c r="AE649" s="193">
        <f>(((H649*'Appendix K'!$C$11*1000)-('Appendix K'!$E$37+'Appendix K'!$F$37+'Appendix K'!$H$37+'Appendix K'!$G$37))/((1+$Y$16)^AE$34))</f>
        <v>9204147.5545575432</v>
      </c>
      <c r="AF649" s="193">
        <f>(((I649*'Appendix K'!$C$12*1000)-('Appendix K'!$E$38+'Appendix K'!$F$38+'Appendix K'!$H$38+'Appendix K'!$G$38))/((1+$Y$16)^AF$34))</f>
        <v>8881149.7586585786</v>
      </c>
      <c r="AG649" s="193">
        <f>(((J649*'Appendix K'!$C$13*1000)-('Appendix K'!$E$39+'Appendix K'!$F$39+'Appendix K'!$H$39+'Appendix K'!$G$39))/((1+$Y$16)^AG$34))</f>
        <v>8613999.2921854109</v>
      </c>
      <c r="AH649" s="193">
        <f>(((K649*'Appendix K'!$C$14*1000)-('Appendix K'!$E$40+'Appendix K'!$F$40+'Appendix K'!$H$40+'Appendix K'!$G$40))/((1+$Y$16)^AH$34))</f>
        <v>6088563.6032534093</v>
      </c>
      <c r="AI649" s="193">
        <f>(((L649*'Appendix K'!$C$15*1000)-('Appendix K'!$E$41+'Appendix K'!$F$41+'Appendix K'!$H$41+'Appendix K'!$G$41))/((1+$Y$16)^AI$34))</f>
        <v>3407203.0415638364</v>
      </c>
      <c r="AJ649" s="193">
        <f>(((M649*'Appendix K'!$C$16*1000)-('Appendix K'!$E$42+'Appendix K'!$F$42+'Appendix K'!$H$42+'Appendix K'!$G$42))/((1+$Y$16)^AJ$34))</f>
        <v>3238889.7941225348</v>
      </c>
      <c r="AK649" s="193">
        <f>(((N649*'Appendix K'!$C$17*1000)-('Appendix K'!$E$43+'Appendix K'!$F$43+'Appendix K'!$H$43))/((1+$Y$16)^AK$34))</f>
        <v>2289203.7965023937</v>
      </c>
      <c r="AL649" s="193">
        <f>(((O649*'Appendix K'!$C$18*1000)-('Appendix K'!$E$44+'Appendix K'!$F$44+'Appendix K'!$H$44+'Appendix K'!$G$44))/((1+$Y$16)^AL$34))</f>
        <v>1868897.7313521374</v>
      </c>
      <c r="AM649" s="193">
        <f>(((P649*'Appendix K'!$C$19*1000)-('Appendix K'!$E$45+'Appendix K'!$F$45+'Appendix K'!$H$45+'Appendix K'!$G$45))/((1+$Y$16)^AM$34))</f>
        <v>2318455.6667512809</v>
      </c>
      <c r="AN649" s="193">
        <f>(((Q649*'Appendix K'!$C$20*1000)-('Appendix K'!$E$46+'Appendix K'!$F$46+'Appendix K'!$H$46+'Appendix K'!$G$46))/((1+$Y$16)^AN$34))</f>
        <v>1226132.7096477044</v>
      </c>
      <c r="AO649" s="193">
        <f>(((R649*'Appendix K'!$C$21*1000)-('Appendix K'!$E$47+'Appendix K'!$F$47+'Appendix K'!$H$47+'Appendix K'!$G$47))/((1+$Y$16)^AO$34))</f>
        <v>689041.82674054184</v>
      </c>
      <c r="AP649" s="193">
        <f>(((S649*'Appendix K'!$C$22*1000)-('Appendix K'!$E$48+'Appendix K'!$F$48+'Appendix K'!$H$48+'Appendix K'!$G$48))/((1+$Y$16)^AP$34))</f>
        <v>280790.10227808199</v>
      </c>
      <c r="AQ649" s="193">
        <f>(((T649*'Appendix K'!$C$23*1000)-('Appendix K'!$E$49+'Appendix K'!$F$49+'Appendix K'!$H$49+'Appendix K'!$G$49))/((1+$Y$16)^AQ$34))</f>
        <v>472149.08656877902</v>
      </c>
      <c r="AR649" s="193">
        <f>(((U649*'Appendix K'!$C$24*1000)-('Appendix K'!$E$50+'Appendix K'!$F$50+'Appendix K'!$H$50+'Appendix K'!$G$50))/((1+$Y$16)^AR$34))</f>
        <v>39309.505379994167</v>
      </c>
      <c r="AS649" s="209">
        <f t="shared" si="34"/>
        <v>119770115.46773103</v>
      </c>
      <c r="AU649" s="199">
        <f t="shared" si="33"/>
        <v>5.9873195414856118E-9</v>
      </c>
    </row>
    <row r="650" spans="1:47" x14ac:dyDescent="0.35">
      <c r="A650">
        <v>616</v>
      </c>
      <c r="B650" s="70">
        <v>56</v>
      </c>
      <c r="C650" s="70">
        <v>62.429050592332203</v>
      </c>
      <c r="D650" s="70">
        <v>62.963738740438082</v>
      </c>
      <c r="E650" s="70">
        <v>55.896248850140182</v>
      </c>
      <c r="F650" s="70">
        <v>32.664299592710037</v>
      </c>
      <c r="G650" s="70">
        <v>29.728832905151879</v>
      </c>
      <c r="H650" s="70">
        <v>17.164484702185078</v>
      </c>
      <c r="I650" s="70">
        <v>23.796521855575403</v>
      </c>
      <c r="J650" s="70">
        <v>23.192313342750243</v>
      </c>
      <c r="K650" s="70">
        <v>19.753814360747402</v>
      </c>
      <c r="L650" s="70">
        <v>21.384300567697316</v>
      </c>
      <c r="M650" s="70">
        <v>16.743803501743329</v>
      </c>
      <c r="N650" s="70">
        <v>5.6445544857688894</v>
      </c>
      <c r="O650" s="70">
        <v>7.0355842236430988</v>
      </c>
      <c r="P650" s="70">
        <v>8.3243680174698298</v>
      </c>
      <c r="Q650" s="70">
        <v>10.916858305208113</v>
      </c>
      <c r="R650" s="70">
        <v>13.196109612518995</v>
      </c>
      <c r="S650" s="70">
        <v>11.589811352925734</v>
      </c>
      <c r="T650" s="70">
        <v>11.176069143919843</v>
      </c>
      <c r="U650" s="70">
        <v>8.4127102496336335</v>
      </c>
      <c r="V650" s="70">
        <v>10.677443846457486</v>
      </c>
      <c r="X650" s="193">
        <f>((0-('Appendix K'!$I$30))/(1+$Y$16)^0)</f>
        <v>-33594902.4440751</v>
      </c>
      <c r="Y650" s="193">
        <f>(((B650*'Appendix K'!$C$5*1000)-('Appendix K'!$E$31+'Appendix K'!$F$31+'Appendix K'!$H$31+'Appendix K'!$G$31))/((1+$Y$16)^1))</f>
        <v>34971064.972647354</v>
      </c>
      <c r="Z650" s="193">
        <f>+(((C650*'Appendix K'!$C$6*1000)-('Appendix K'!$E$32+'Appendix K'!$F$32+'Appendix K'!$H$32+'Appendix K'!$G$32))/((1+$Y$16)^2))</f>
        <v>12283398.2415356</v>
      </c>
      <c r="AA650" s="193">
        <f>(((D650*'Appendix K'!$C$7*1000)-('Appendix K'!$E$33+'Appendix K'!$F$33+'Appendix K'!$H$33+'Appendix K'!$G$33))/((1+$Y$16)^3))</f>
        <v>5055100.122353713</v>
      </c>
      <c r="AB650" s="193">
        <f>(((E650*'Appendix K'!$C$8*1000)-('Appendix K'!$E$34+'Appendix K'!$F$34+'Appendix K'!$H$34+'Appendix K'!$G$34))/((1+$Y$16)^4))</f>
        <v>8958738.1781874485</v>
      </c>
      <c r="AC650" s="193">
        <f>(((F650*'Appendix K'!$C$9*1000)-('Appendix K'!$E$35+'Appendix K'!$F$35+'Appendix K'!$H$35+'Appendix K'!$G$35))/((1+$Y$16)^AC$34))</f>
        <v>5697891.0204284256</v>
      </c>
      <c r="AD650" s="193">
        <f>(((G650*'Appendix K'!$C$10*1000)-('Appendix K'!$E$36+'Appendix K'!$F$36+'Appendix K'!$H$36+'Appendix K'!$G$36))/((1+$Y$16)^AD$34))</f>
        <v>2152970.4156024428</v>
      </c>
      <c r="AE650" s="193">
        <f>(((H650*'Appendix K'!$C$11*1000)-('Appendix K'!$E$37+'Appendix K'!$F$37+'Appendix K'!$H$37+'Appendix K'!$G$37))/((1+$Y$16)^AE$34))</f>
        <v>-507995.96099432593</v>
      </c>
      <c r="AF650" s="193">
        <f>(((I650*'Appendix K'!$C$12*1000)-('Appendix K'!$E$38+'Appendix K'!$F$38+'Appendix K'!$H$38+'Appendix K'!$G$38))/((1+$Y$16)^AF$34))</f>
        <v>-434041.63052038202</v>
      </c>
      <c r="AG650" s="193">
        <f>(((J650*'Appendix K'!$C$13*1000)-('Appendix K'!$E$39+'Appendix K'!$F$39+'Appendix K'!$H$39+'Appendix K'!$G$39))/((1+$Y$16)^AG$34))</f>
        <v>-747658.36732990248</v>
      </c>
      <c r="AH650" s="193">
        <f>(((K650*'Appendix K'!$C$14*1000)-('Appendix K'!$E$40+'Appendix K'!$F$40+'Appendix K'!$H$40+'Appendix K'!$G$40))/((1+$Y$16)^AH$34))</f>
        <v>-966908.68377306627</v>
      </c>
      <c r="AI650" s="193">
        <f>(((L650*'Appendix K'!$C$15*1000)-('Appendix K'!$E$41+'Appendix K'!$F$41+'Appendix K'!$H$41+'Appendix K'!$G$41))/((1+$Y$16)^AI$34))</f>
        <v>-956172.68461921194</v>
      </c>
      <c r="AJ650" s="193">
        <f>(((M650*'Appendix K'!$C$16*1000)-('Appendix K'!$E$42+'Appendix K'!$F$42+'Appendix K'!$H$42+'Appendix K'!$G$42))/((1+$Y$16)^AJ$34))</f>
        <v>-1045973.8762210554</v>
      </c>
      <c r="AK650" s="193">
        <f>(((N650*'Appendix K'!$C$17*1000)-('Appendix K'!$E$43+'Appendix K'!$F$43+'Appendix K'!$H$43))/((1+$Y$16)^AK$34))</f>
        <v>-917536.26004130254</v>
      </c>
      <c r="AL650" s="193">
        <f>(((O650*'Appendix K'!$C$18*1000)-('Appendix K'!$E$44+'Appendix K'!$F$44+'Appendix K'!$H$44+'Appendix K'!$G$44))/((1+$Y$16)^AL$34))</f>
        <v>-1051194.2756317388</v>
      </c>
      <c r="AM650" s="193">
        <f>(((P650*'Appendix K'!$C$19*1000)-('Appendix K'!$E$45+'Appendix K'!$F$45+'Appendix K'!$H$45+'Appendix K'!$G$45))/((1+$Y$16)^AM$34))</f>
        <v>-949609.60761914041</v>
      </c>
      <c r="AN650" s="193">
        <f>(((Q650*'Appendix K'!$C$20*1000)-('Appendix K'!$E$46+'Appendix K'!$F$46+'Appendix K'!$H$46+'Appendix K'!$G$46))/((1+$Y$16)^AN$34))</f>
        <v>-836712.08440129925</v>
      </c>
      <c r="AO650" s="193">
        <f>(((R650*'Appendix K'!$C$21*1000)-('Appendix K'!$E$47+'Appendix K'!$F$47+'Appendix K'!$H$47+'Appendix K'!$G$47))/((1+$Y$16)^AO$34))</f>
        <v>-765008.45966429519</v>
      </c>
      <c r="AP650" s="193">
        <f>(((S650*'Appendix K'!$C$22*1000)-('Appendix K'!$E$48+'Appendix K'!$F$48+'Appendix K'!$H$48+'Appendix K'!$G$48))/((1+$Y$16)^AP$34))</f>
        <v>-708941.28921347996</v>
      </c>
      <c r="AQ650" s="193">
        <f>(((T650*'Appendix K'!$C$23*1000)-('Appendix K'!$E$49+'Appendix K'!$F$49+'Appendix K'!$H$49+'Appendix K'!$G$49))/((1+$Y$16)^AQ$34))</f>
        <v>-649745.35802956333</v>
      </c>
      <c r="AR650" s="193">
        <f>(((U650*'Appendix K'!$C$24*1000)-('Appendix K'!$E$50+'Appendix K'!$F$50+'Appendix K'!$H$50+'Appendix K'!$G$50))/((1+$Y$16)^AR$34))</f>
        <v>-602199.7065899478</v>
      </c>
      <c r="AS650" s="209">
        <f t="shared" si="34"/>
        <v>35524260.506679885</v>
      </c>
      <c r="AU650" s="199">
        <f t="shared" si="33"/>
        <v>4.6128972532593646E-9</v>
      </c>
    </row>
    <row r="651" spans="1:47" x14ac:dyDescent="0.35">
      <c r="A651">
        <v>617</v>
      </c>
      <c r="B651" s="70">
        <v>56</v>
      </c>
      <c r="C651" s="70">
        <v>38.076278063828667</v>
      </c>
      <c r="D651" s="70">
        <v>44.045295509385561</v>
      </c>
      <c r="E651" s="70">
        <v>50.498723867740686</v>
      </c>
      <c r="F651" s="70">
        <v>61.610166046058836</v>
      </c>
      <c r="G651" s="70">
        <v>60.080057962604506</v>
      </c>
      <c r="H651" s="70">
        <v>75.881993337478804</v>
      </c>
      <c r="I651" s="70">
        <v>83.48003150124039</v>
      </c>
      <c r="J651" s="70">
        <v>104.05046841600512</v>
      </c>
      <c r="K651" s="70">
        <v>75.285901346531574</v>
      </c>
      <c r="L651" s="70">
        <v>117.30207339085527</v>
      </c>
      <c r="M651" s="70">
        <v>159.06955146905764</v>
      </c>
      <c r="N651" s="70">
        <v>172.68913871501846</v>
      </c>
      <c r="O651" s="70">
        <v>180.77877391568151</v>
      </c>
      <c r="P651" s="70">
        <v>220.30770362444167</v>
      </c>
      <c r="Q651" s="70">
        <v>310.52184044223043</v>
      </c>
      <c r="R651" s="70">
        <v>400.4592654624617</v>
      </c>
      <c r="S651" s="70">
        <v>349.45823998164218</v>
      </c>
      <c r="T651" s="70">
        <v>500</v>
      </c>
      <c r="U651" s="70">
        <v>286.97422576713529</v>
      </c>
      <c r="V651" s="70">
        <v>401.96187434959643</v>
      </c>
      <c r="X651" s="193">
        <f>((0-('Appendix K'!$I$30))/(1+$Y$16)^0)</f>
        <v>-33594902.4440751</v>
      </c>
      <c r="Y651" s="193">
        <f>(((B651*'Appendix K'!$C$5*1000)-('Appendix K'!$E$31+'Appendix K'!$F$31+'Appendix K'!$H$31+'Appendix K'!$G$31))/((1+$Y$16)^1))</f>
        <v>34971064.972647354</v>
      </c>
      <c r="Z651" s="193">
        <f>+(((C651*'Appendix K'!$C$6*1000)-('Appendix K'!$E$32+'Appendix K'!$F$32+'Appendix K'!$H$32+'Appendix K'!$G$32))/((1+$Y$16)^2))</f>
        <v>6131471.3923452152</v>
      </c>
      <c r="AA651" s="193">
        <f>(((D651*'Appendix K'!$C$7*1000)-('Appendix K'!$E$33+'Appendix K'!$F$33+'Appendix K'!$H$33+'Appendix K'!$G$33))/((1+$Y$16)^3))</f>
        <v>2645365.83057755</v>
      </c>
      <c r="AB651" s="193">
        <f>(((E651*'Appendix K'!$C$8*1000)-('Appendix K'!$E$34+'Appendix K'!$F$34+'Appendix K'!$H$34+'Appendix K'!$G$34))/((1+$Y$16)^4))</f>
        <v>7775650.1116310013</v>
      </c>
      <c r="AC651" s="193">
        <f>(((F651*'Appendix K'!$C$9*1000)-('Appendix K'!$E$35+'Appendix K'!$F$35+'Appendix K'!$H$35+'Appendix K'!$G$35))/((1+$Y$16)^AC$34))</f>
        <v>13391656.870561635</v>
      </c>
      <c r="AD651" s="193">
        <f>(((G651*'Appendix K'!$C$10*1000)-('Appendix K'!$E$36+'Appendix K'!$F$36+'Appendix K'!$H$36+'Appendix K'!$G$36))/((1+$Y$16)^AD$34))</f>
        <v>6919446.731985894</v>
      </c>
      <c r="AE651" s="193">
        <f>(((H651*'Appendix K'!$C$11*1000)-('Appendix K'!$E$37+'Appendix K'!$F$37+'Appendix K'!$H$37+'Appendix K'!$G$37))/((1+$Y$16)^AE$34))</f>
        <v>5348349.1214755941</v>
      </c>
      <c r="AF651" s="193">
        <f>(((I651*'Appendix K'!$C$12*1000)-('Appendix K'!$E$38+'Appendix K'!$F$38+'Appendix K'!$H$38+'Appendix K'!$G$38))/((1+$Y$16)^AF$34))</f>
        <v>3484922.4670218453</v>
      </c>
      <c r="AG651" s="193">
        <f>(((J651*'Appendix K'!$C$13*1000)-('Appendix K'!$E$39+'Appendix K'!$F$39+'Appendix K'!$H$39+'Appendix K'!$G$39))/((1+$Y$16)^AG$34))</f>
        <v>2973347.6180571676</v>
      </c>
      <c r="AH651" s="193">
        <f>(((K651*'Appendix K'!$C$14*1000)-('Appendix K'!$E$40+'Appendix K'!$F$40+'Appendix K'!$H$40+'Appendix K'!$G$40))/((1+$Y$16)^AH$34))</f>
        <v>904885.09203840373</v>
      </c>
      <c r="AI651" s="193">
        <f>(((L651*'Appendix K'!$C$15*1000)-('Appendix K'!$E$41+'Appendix K'!$F$41+'Appendix K'!$H$41+'Appendix K'!$G$41))/((1+$Y$16)^AI$34))</f>
        <v>1557052.3304622353</v>
      </c>
      <c r="AJ651" s="193">
        <f>(((M651*'Appendix K'!$C$16*1000)-('Appendix K'!$E$42+'Appendix K'!$F$42+'Appendix K'!$H$42+'Appendix K'!$G$42))/((1+$Y$16)^AJ$34))</f>
        <v>1806499.8320767896</v>
      </c>
      <c r="AK651" s="193">
        <f>(((N651*'Appendix K'!$C$17*1000)-('Appendix K'!$E$43+'Appendix K'!$F$43+'Appendix K'!$H$43))/((1+$Y$16)^AK$34))</f>
        <v>1648919.603743535</v>
      </c>
      <c r="AL651" s="193">
        <f>(((O651*'Appendix K'!$C$18*1000)-('Appendix K'!$E$44+'Appendix K'!$F$44+'Appendix K'!$H$44+'Appendix K'!$G$44))/((1+$Y$16)^AL$34))</f>
        <v>1008234.8760909444</v>
      </c>
      <c r="AM651" s="193">
        <f>(((P651*'Appendix K'!$C$19*1000)-('Appendix K'!$E$45+'Appendix K'!$F$45+'Appendix K'!$H$45+'Appendix K'!$G$45))/((1+$Y$16)^AM$34))</f>
        <v>1015207.0745531912</v>
      </c>
      <c r="AN651" s="193">
        <f>(((Q651*'Appendix K'!$C$20*1000)-('Appendix K'!$E$46+'Appendix K'!$F$46+'Appendix K'!$H$46+'Appendix K'!$G$46))/((1+$Y$16)^AN$34))</f>
        <v>1331294.5479319221</v>
      </c>
      <c r="AO651" s="193">
        <f>(((R651*'Appendix K'!$C$21*1000)-('Appendix K'!$E$47+'Appendix K'!$F$47+'Appendix K'!$H$47+'Appendix K'!$G$47))/((1+$Y$16)^AO$34))</f>
        <v>1523759.5762579069</v>
      </c>
      <c r="AP651" s="193">
        <f>(((S651*'Appendix K'!$C$22*1000)-('Appendix K'!$E$48+'Appendix K'!$F$48+'Appendix K'!$H$48+'Appendix K'!$G$48))/((1+$Y$16)^AP$34))</f>
        <v>909353.65833411226</v>
      </c>
      <c r="AQ651" s="193">
        <f>(((T651*'Appendix K'!$C$23*1000)-('Appendix K'!$E$49+'Appendix K'!$F$49+'Appendix K'!$H$49+'Appendix K'!$G$49))/((1+$Y$16)^AQ$34))</f>
        <v>1263386.3652054211</v>
      </c>
      <c r="AR651" s="193">
        <f>(((U651*'Appendix K'!$C$24*1000)-('Appendix K'!$E$50+'Appendix K'!$F$50+'Appendix K'!$H$50+'Appendix K'!$G$50))/((1+$Y$16)^AR$34))</f>
        <v>294776.17835211399</v>
      </c>
      <c r="AS651" s="209">
        <f t="shared" si="34"/>
        <v>63309741.807274722</v>
      </c>
      <c r="AU651" s="199">
        <f t="shared" si="33"/>
        <v>6.4135575178634988E-9</v>
      </c>
    </row>
    <row r="652" spans="1:47" x14ac:dyDescent="0.35">
      <c r="A652">
        <v>618</v>
      </c>
      <c r="B652" s="70">
        <v>56</v>
      </c>
      <c r="C652" s="70">
        <v>91.282648933814016</v>
      </c>
      <c r="D652" s="70">
        <v>106.09536165301766</v>
      </c>
      <c r="E652" s="70">
        <v>161.81651966173928</v>
      </c>
      <c r="F652" s="70">
        <v>310.94635824926536</v>
      </c>
      <c r="G652" s="70">
        <v>319.79899022629093</v>
      </c>
      <c r="H652" s="70">
        <v>365.39826152461126</v>
      </c>
      <c r="I652" s="70">
        <v>500</v>
      </c>
      <c r="J652" s="70">
        <v>500</v>
      </c>
      <c r="K652" s="70">
        <v>447.01552593467932</v>
      </c>
      <c r="L652" s="70">
        <v>500</v>
      </c>
      <c r="M652" s="70">
        <v>457.34732035685442</v>
      </c>
      <c r="N652" s="70">
        <v>365.31829905901634</v>
      </c>
      <c r="O652" s="70">
        <v>395.04603851645095</v>
      </c>
      <c r="P652" s="70">
        <v>454.55073550006648</v>
      </c>
      <c r="Q652" s="70">
        <v>490.21188740339278</v>
      </c>
      <c r="R652" s="70">
        <v>500</v>
      </c>
      <c r="S652" s="70">
        <v>442.24874026876421</v>
      </c>
      <c r="T652" s="70">
        <v>373.85508636566556</v>
      </c>
      <c r="U652" s="70">
        <v>427.40132416260326</v>
      </c>
      <c r="V652" s="70">
        <v>434.20352500493379</v>
      </c>
      <c r="X652" s="193">
        <f>((0-('Appendix K'!$I$30))/(1+$Y$16)^0)</f>
        <v>-33594902.4440751</v>
      </c>
      <c r="Y652" s="193">
        <f>(((B652*'Appendix K'!$C$5*1000)-('Appendix K'!$E$31+'Appendix K'!$F$31+'Appendix K'!$H$31+'Appendix K'!$G$31))/((1+$Y$16)^1))</f>
        <v>34971064.972647354</v>
      </c>
      <c r="Z652" s="193">
        <f>+(((C652*'Appendix K'!$C$6*1000)-('Appendix K'!$E$32+'Appendix K'!$F$32+'Appendix K'!$H$32+'Appendix K'!$G$32))/((1+$Y$16)^2))</f>
        <v>19572310.669266663</v>
      </c>
      <c r="AA652" s="193">
        <f>(((D652*'Appendix K'!$C$7*1000)-('Appendix K'!$E$33+'Appendix K'!$F$33+'Appendix K'!$H$33+'Appendix K'!$G$33))/((1+$Y$16)^3))</f>
        <v>10548985.085456939</v>
      </c>
      <c r="AB652" s="193">
        <f>(((E652*'Appendix K'!$C$8*1000)-('Appendix K'!$E$34+'Appendix K'!$F$34+'Appendix K'!$H$34+'Appendix K'!$G$34))/((1+$Y$16)^4))</f>
        <v>32175491.933335681</v>
      </c>
      <c r="AC652" s="193">
        <f>(((F652*'Appendix K'!$C$9*1000)-('Appendix K'!$E$35+'Appendix K'!$F$35+'Appendix K'!$H$35+'Appendix K'!$G$35))/((1+$Y$16)^AC$34))</f>
        <v>79664825.230092466</v>
      </c>
      <c r="AD652" s="193">
        <f>(((G652*'Appendix K'!$C$10*1000)-('Appendix K'!$E$36+'Appendix K'!$F$36+'Appendix K'!$H$36+'Appendix K'!$G$36))/((1+$Y$16)^AD$34))</f>
        <v>47706734.138274193</v>
      </c>
      <c r="AE652" s="193">
        <f>(((H652*'Appendix K'!$C$11*1000)-('Appendix K'!$E$37+'Appendix K'!$F$37+'Appendix K'!$H$37+'Appendix K'!$G$37))/((1+$Y$16)^AE$34))</f>
        <v>34224015.220047519</v>
      </c>
      <c r="AF652" s="193">
        <f>(((I652*'Appendix K'!$C$12*1000)-('Appendix K'!$E$38+'Appendix K'!$F$38+'Appendix K'!$H$38+'Appendix K'!$G$38))/((1+$Y$16)^AF$34))</f>
        <v>30834634.508874267</v>
      </c>
      <c r="AG652" s="193">
        <f>(((J652*'Appendix K'!$C$13*1000)-('Appendix K'!$E$39+'Appendix K'!$F$39+'Appendix K'!$H$39+'Appendix K'!$G$39))/((1+$Y$16)^AG$34))</f>
        <v>21194522.409894329</v>
      </c>
      <c r="AH652" s="193">
        <f>(((K652*'Appendix K'!$C$14*1000)-('Appendix K'!$E$40+'Appendix K'!$F$40+'Appendix K'!$H$40+'Appendix K'!$G$40))/((1+$Y$16)^AH$34))</f>
        <v>13434599.62927432</v>
      </c>
      <c r="AI652" s="193">
        <f>(((L652*'Appendix K'!$C$15*1000)-('Appendix K'!$E$41+'Appendix K'!$F$41+'Appendix K'!$H$41+'Appendix K'!$G$41))/((1+$Y$16)^AI$34))</f>
        <v>11584453.656253781</v>
      </c>
      <c r="AJ652" s="193">
        <f>(((M652*'Appendix K'!$C$16*1000)-('Appendix K'!$E$42+'Appendix K'!$F$42+'Appendix K'!$H$42+'Appendix K'!$G$42))/((1+$Y$16)^AJ$34))</f>
        <v>7784543.1986050839</v>
      </c>
      <c r="AK652" s="193">
        <f>(((N652*'Appendix K'!$C$17*1000)-('Appendix K'!$E$43+'Appendix K'!$F$43+'Appendix K'!$H$43))/((1+$Y$16)^AK$34))</f>
        <v>4608454.2715800619</v>
      </c>
      <c r="AL652" s="193">
        <f>(((O652*'Appendix K'!$C$18*1000)-('Appendix K'!$E$44+'Appendix K'!$F$44+'Appendix K'!$H$44+'Appendix K'!$G$44))/((1+$Y$16)^AL$34))</f>
        <v>3548007.8120020139</v>
      </c>
      <c r="AM652" s="193">
        <f>(((P652*'Appendix K'!$C$19*1000)-('Appendix K'!$E$45+'Appendix K'!$F$45+'Appendix K'!$H$45+'Appendix K'!$G$45))/((1+$Y$16)^AM$34))</f>
        <v>3186342.9112171177</v>
      </c>
      <c r="AN652" s="193">
        <f>(((Q652*'Appendix K'!$C$20*1000)-('Appendix K'!$E$46+'Appendix K'!$F$46+'Appendix K'!$H$46+'Appendix K'!$G$46))/((1+$Y$16)^AN$34))</f>
        <v>2631570.7008762052</v>
      </c>
      <c r="AO652" s="193">
        <f>(((R652*'Appendix K'!$C$21*1000)-('Appendix K'!$E$47+'Appendix K'!$F$47+'Appendix K'!$H$47+'Appendix K'!$G$47))/((1+$Y$16)^AO$34))</f>
        <v>2112056.3146391152</v>
      </c>
      <c r="AP652" s="193">
        <f>(((S652*'Appendix K'!$C$22*1000)-('Appendix K'!$E$48+'Appendix K'!$F$48+'Appendix K'!$H$48+'Appendix K'!$G$48))/((1+$Y$16)^AP$34))</f>
        <v>1353794.1122839439</v>
      </c>
      <c r="AQ652" s="193">
        <f>(((T652*'Appendix K'!$C$23*1000)-('Appendix K'!$E$49+'Appendix K'!$F$49+'Appendix K'!$H$49+'Appendix K'!$G$49))/((1+$Y$16)^AQ$34))</f>
        <v>769687.4671667415</v>
      </c>
      <c r="AR652" s="193">
        <f>(((U652*'Appendix K'!$C$24*1000)-('Appendix K'!$E$50+'Appendix K'!$F$50+'Appendix K'!$H$50+'Appendix K'!$G$50))/((1+$Y$16)^AR$34))</f>
        <v>746955.36979253008</v>
      </c>
      <c r="AS652" s="209">
        <f t="shared" si="34"/>
        <v>329058147.16750509</v>
      </c>
      <c r="AU652" s="199">
        <f t="shared" si="33"/>
        <v>8.2532244665416737E-13</v>
      </c>
    </row>
    <row r="653" spans="1:47" x14ac:dyDescent="0.35">
      <c r="A653">
        <v>619</v>
      </c>
      <c r="B653" s="70">
        <v>56</v>
      </c>
      <c r="C653" s="70">
        <v>47.249419742436984</v>
      </c>
      <c r="D653" s="70">
        <v>31.918232828508476</v>
      </c>
      <c r="E653" s="70">
        <v>48.246483513886503</v>
      </c>
      <c r="F653" s="70">
        <v>57.085718932888824</v>
      </c>
      <c r="G653" s="70">
        <v>53.565512499702564</v>
      </c>
      <c r="H653" s="70">
        <v>60.452639332508468</v>
      </c>
      <c r="I653" s="70">
        <v>71.203027226949615</v>
      </c>
      <c r="J653" s="70">
        <v>112.02581949833289</v>
      </c>
      <c r="K653" s="70">
        <v>120.50771212891206</v>
      </c>
      <c r="L653" s="70">
        <v>167.40267137318421</v>
      </c>
      <c r="M653" s="70">
        <v>187.21712080588799</v>
      </c>
      <c r="N653" s="70">
        <v>176.50285937360348</v>
      </c>
      <c r="O653" s="70">
        <v>228.02048889744046</v>
      </c>
      <c r="P653" s="70">
        <v>218.42541440873083</v>
      </c>
      <c r="Q653" s="70">
        <v>270.95333377873908</v>
      </c>
      <c r="R653" s="70">
        <v>228.78076033405625</v>
      </c>
      <c r="S653" s="70">
        <v>191.10703400402431</v>
      </c>
      <c r="T653" s="70">
        <v>115.65923191976508</v>
      </c>
      <c r="U653" s="70">
        <v>103.81749743536753</v>
      </c>
      <c r="V653" s="70">
        <v>132.8786962722813</v>
      </c>
      <c r="X653" s="193">
        <f>((0-('Appendix K'!$I$30))/(1+$Y$16)^0)</f>
        <v>-33594902.4440751</v>
      </c>
      <c r="Y653" s="193">
        <f>(((B653*'Appendix K'!$C$5*1000)-('Appendix K'!$E$31+'Appendix K'!$F$31+'Appendix K'!$H$31+'Appendix K'!$G$31))/((1+$Y$16)^1))</f>
        <v>34971064.972647354</v>
      </c>
      <c r="Z653" s="193">
        <f>+(((C653*'Appendix K'!$C$6*1000)-('Appendix K'!$E$32+'Appendix K'!$F$32+'Appendix K'!$H$32+'Appendix K'!$G$32))/((1+$Y$16)^2))</f>
        <v>8448763.8697420619</v>
      </c>
      <c r="AA653" s="193">
        <f>(((D653*'Appendix K'!$C$7*1000)-('Appendix K'!$E$33+'Appendix K'!$F$33+'Appendix K'!$H$33+'Appendix K'!$G$33))/((1+$Y$16)^3))</f>
        <v>1100682.7695177381</v>
      </c>
      <c r="AB653" s="193">
        <f>(((E653*'Appendix K'!$C$8*1000)-('Appendix K'!$E$34+'Appendix K'!$F$34+'Appendix K'!$H$34+'Appendix K'!$G$34))/((1+$Y$16)^4))</f>
        <v>7281979.6433421839</v>
      </c>
      <c r="AC653" s="193">
        <f>(((F653*'Appendix K'!$C$9*1000)-('Appendix K'!$E$35+'Appendix K'!$F$35+'Appendix K'!$H$35+'Appendix K'!$G$35))/((1+$Y$16)^AC$34))</f>
        <v>12189065.932537941</v>
      </c>
      <c r="AD653" s="193">
        <f>(((G653*'Appendix K'!$C$10*1000)-('Appendix K'!$E$36+'Appendix K'!$F$36+'Appendix K'!$H$36+'Appendix K'!$G$36))/((1+$Y$16)^AD$34))</f>
        <v>5896376.7701590713</v>
      </c>
      <c r="AE653" s="193">
        <f>(((H653*'Appendix K'!$C$11*1000)-('Appendix K'!$E$37+'Appendix K'!$F$37+'Appendix K'!$H$37+'Appendix K'!$G$37))/((1+$Y$16)^AE$34))</f>
        <v>3809461.9385411576</v>
      </c>
      <c r="AF653" s="193">
        <f>(((I653*'Appendix K'!$C$12*1000)-('Appendix K'!$E$38+'Appendix K'!$F$38+'Appendix K'!$H$38+'Appendix K'!$G$38))/((1+$Y$16)^AF$34))</f>
        <v>2678784.5696032634</v>
      </c>
      <c r="AG653" s="193">
        <f>(((J653*'Appendix K'!$C$13*1000)-('Appendix K'!$E$39+'Appendix K'!$F$39+'Appendix K'!$H$39+'Appendix K'!$G$39))/((1+$Y$16)^AG$34))</f>
        <v>3340364.7616714281</v>
      </c>
      <c r="AH653" s="193">
        <f>(((K653*'Appendix K'!$C$14*1000)-('Appendix K'!$E$40+'Appendix K'!$F$40+'Appendix K'!$H$40+'Appendix K'!$G$40))/((1+$Y$16)^AH$34))</f>
        <v>2429155.2671364974</v>
      </c>
      <c r="AI653" s="193">
        <f>(((L653*'Appendix K'!$C$15*1000)-('Appendix K'!$E$41+'Appendix K'!$F$41+'Appendix K'!$H$41+'Appendix K'!$G$41))/((1+$Y$16)^AI$34))</f>
        <v>2869781.6861768835</v>
      </c>
      <c r="AJ653" s="193">
        <f>(((M653*'Appendix K'!$C$16*1000)-('Appendix K'!$E$42+'Appendix K'!$F$42+'Appendix K'!$H$42+'Appendix K'!$G$42))/((1+$Y$16)^AJ$34))</f>
        <v>2370629.6724781068</v>
      </c>
      <c r="AK653" s="193">
        <f>(((N653*'Appendix K'!$C$17*1000)-('Appendix K'!$E$43+'Appendix K'!$F$43+'Appendix K'!$H$43))/((1+$Y$16)^AK$34))</f>
        <v>1707513.216893126</v>
      </c>
      <c r="AL653" s="193">
        <f>(((O653*'Appendix K'!$C$18*1000)-('Appendix K'!$E$44+'Appendix K'!$F$44+'Appendix K'!$H$44+'Appendix K'!$G$44))/((1+$Y$16)^AL$34))</f>
        <v>1568204.8247448043</v>
      </c>
      <c r="AM653" s="193">
        <f>(((P653*'Appendix K'!$C$19*1000)-('Appendix K'!$E$45+'Appendix K'!$F$45+'Appendix K'!$H$45+'Appendix K'!$G$45))/((1+$Y$16)^AM$34))</f>
        <v>997760.64065728011</v>
      </c>
      <c r="AN653" s="193">
        <f>(((Q653*'Appendix K'!$C$20*1000)-('Appendix K'!$E$46+'Appendix K'!$F$46+'Appendix K'!$H$46+'Appendix K'!$G$46))/((1+$Y$16)^AN$34))</f>
        <v>1044968.2516664703</v>
      </c>
      <c r="AO653" s="193">
        <f>(((R653*'Appendix K'!$C$21*1000)-('Appendix K'!$E$47+'Appendix K'!$F$47+'Appendix K'!$H$47+'Appendix K'!$G$47))/((1+$Y$16)^AO$34))</f>
        <v>509120.64390087588</v>
      </c>
      <c r="AP653" s="193">
        <f>(((S653*'Appendix K'!$C$22*1000)-('Appendix K'!$E$48+'Appendix K'!$F$48+'Appendix K'!$H$48+'Appendix K'!$G$48))/((1+$Y$16)^AP$34))</f>
        <v>150895.82428401211</v>
      </c>
      <c r="AQ653" s="193">
        <f>(((T653*'Appendix K'!$C$23*1000)-('Appendix K'!$E$49+'Appendix K'!$F$49+'Appendix K'!$H$49+'Appendix K'!$G$49))/((1+$Y$16)^AQ$34))</f>
        <v>-240825.0073005686</v>
      </c>
      <c r="AR653" s="193">
        <f>(((U653*'Appendix K'!$C$24*1000)-('Appendix K'!$E$50+'Appendix K'!$F$50+'Appendix K'!$H$50+'Appendix K'!$G$50))/((1+$Y$16)^AR$34))</f>
        <v>-294993.61871864554</v>
      </c>
      <c r="AS653" s="209">
        <f t="shared" si="34"/>
        <v>59769672.811625145</v>
      </c>
      <c r="AU653" s="199">
        <f t="shared" si="33"/>
        <v>6.232333949722316E-9</v>
      </c>
    </row>
    <row r="654" spans="1:47" x14ac:dyDescent="0.35">
      <c r="A654">
        <v>620</v>
      </c>
      <c r="B654" s="70">
        <v>56</v>
      </c>
      <c r="C654" s="70">
        <v>75.555083125580666</v>
      </c>
      <c r="D654" s="70">
        <v>82.969122289888389</v>
      </c>
      <c r="E654" s="70">
        <v>70.997869924358014</v>
      </c>
      <c r="F654" s="70">
        <v>94.82308210591124</v>
      </c>
      <c r="G654" s="70">
        <v>117.65926985353552</v>
      </c>
      <c r="H654" s="70">
        <v>95.17507036106133</v>
      </c>
      <c r="I654" s="70">
        <v>111.0673191742795</v>
      </c>
      <c r="J654" s="70">
        <v>40.581249411859687</v>
      </c>
      <c r="K654" s="70">
        <v>19.434006778200555</v>
      </c>
      <c r="L654" s="70">
        <v>26.605413383983645</v>
      </c>
      <c r="M654" s="70">
        <v>38.722604365066069</v>
      </c>
      <c r="N654" s="70">
        <v>28.992689741186055</v>
      </c>
      <c r="O654" s="70">
        <v>29.082907637373516</v>
      </c>
      <c r="P654" s="70">
        <v>38.767705161479682</v>
      </c>
      <c r="Q654" s="70">
        <v>51.198531462368329</v>
      </c>
      <c r="R654" s="70">
        <v>49.123404163758245</v>
      </c>
      <c r="S654" s="70">
        <v>64.083123685768044</v>
      </c>
      <c r="T654" s="70">
        <v>52.653316463577283</v>
      </c>
      <c r="U654" s="70">
        <v>56.459476253931882</v>
      </c>
      <c r="V654" s="70">
        <v>61.185819058968498</v>
      </c>
      <c r="X654" s="193">
        <f>((0-('Appendix K'!$I$30))/(1+$Y$16)^0)</f>
        <v>-33594902.4440751</v>
      </c>
      <c r="Y654" s="193">
        <f>(((B654*'Appendix K'!$C$5*1000)-('Appendix K'!$E$31+'Appendix K'!$F$31+'Appendix K'!$H$31+'Appendix K'!$G$31))/((1+$Y$16)^1))</f>
        <v>34971064.972647354</v>
      </c>
      <c r="Z654" s="193">
        <f>+(((C654*'Appendix K'!$C$6*1000)-('Appendix K'!$E$32+'Appendix K'!$F$32+'Appendix K'!$H$32+'Appendix K'!$G$32))/((1+$Y$16)^2))</f>
        <v>15599258.555597333</v>
      </c>
      <c r="AA654" s="193">
        <f>(((D654*'Appendix K'!$C$7*1000)-('Appendix K'!$E$33+'Appendix K'!$F$33+'Appendix K'!$H$33+'Appendix K'!$G$33))/((1+$Y$16)^3))</f>
        <v>7603283.2984470613</v>
      </c>
      <c r="AB654" s="193">
        <f>(((E654*'Appendix K'!$C$8*1000)-('Appendix K'!$E$34+'Appendix K'!$F$34+'Appendix K'!$H$34+'Appendix K'!$G$34))/((1+$Y$16)^4))</f>
        <v>12268875.275620908</v>
      </c>
      <c r="AC654" s="193">
        <f>(((F654*'Appendix K'!$C$9*1000)-('Appendix K'!$E$35+'Appendix K'!$F$35+'Appendix K'!$H$35+'Appendix K'!$G$35))/((1+$Y$16)^AC$34))</f>
        <v>22219597.805633213</v>
      </c>
      <c r="AD654" s="193">
        <f>(((G654*'Appendix K'!$C$10*1000)-('Appendix K'!$E$36+'Appendix K'!$F$36+'Appendix K'!$H$36+'Appendix K'!$G$36))/((1+$Y$16)^AD$34))</f>
        <v>15961913.692533076</v>
      </c>
      <c r="AE654" s="193">
        <f>(((H654*'Appendix K'!$C$11*1000)-('Appendix K'!$E$37+'Appendix K'!$F$37+'Appendix K'!$H$37+'Appendix K'!$G$37))/((1+$Y$16)^AE$34))</f>
        <v>7272594.8767673457</v>
      </c>
      <c r="AF654" s="193">
        <f>(((I654*'Appendix K'!$C$12*1000)-('Appendix K'!$E$38+'Appendix K'!$F$38+'Appendix K'!$H$38+'Appendix K'!$G$38))/((1+$Y$16)^AF$34))</f>
        <v>5296370.7310577417</v>
      </c>
      <c r="AG654" s="193">
        <f>(((J654*'Appendix K'!$C$13*1000)-('Appendix K'!$E$39+'Appendix K'!$F$39+'Appendix K'!$H$39+'Appendix K'!$G$39))/((1+$Y$16)^AG$34))</f>
        <v>52561.90895576476</v>
      </c>
      <c r="AH654" s="193">
        <f>(((K654*'Appendix K'!$C$14*1000)-('Appendix K'!$E$40+'Appendix K'!$F$40+'Appendix K'!$H$40+'Appendix K'!$G$40))/((1+$Y$16)^AH$34))</f>
        <v>-977688.28661100299</v>
      </c>
      <c r="AI654" s="193">
        <f>(((L654*'Appendix K'!$C$15*1000)-('Appendix K'!$E$41+'Appendix K'!$F$41+'Appendix K'!$H$41+'Appendix K'!$G$41))/((1+$Y$16)^AI$34))</f>
        <v>-819369.7653036681</v>
      </c>
      <c r="AJ654" s="193">
        <f>(((M654*'Appendix K'!$C$16*1000)-('Appendix K'!$E$42+'Appendix K'!$F$42+'Appendix K'!$H$42+'Appendix K'!$G$42))/((1+$Y$16)^AJ$34))</f>
        <v>-605477.67298353568</v>
      </c>
      <c r="AK654" s="193">
        <f>(((N654*'Appendix K'!$C$17*1000)-('Appendix K'!$E$43+'Appendix K'!$F$43+'Appendix K'!$H$43))/((1+$Y$16)^AK$34))</f>
        <v>-558817.90403359849</v>
      </c>
      <c r="AL654" s="193">
        <f>(((O654*'Appendix K'!$C$18*1000)-('Appendix K'!$E$44+'Appendix K'!$F$44+'Appendix K'!$H$44+'Appendix K'!$G$44))/((1+$Y$16)^AL$34))</f>
        <v>-789860.86373700423</v>
      </c>
      <c r="AM654" s="193">
        <f>(((P654*'Appendix K'!$C$19*1000)-('Appendix K'!$E$45+'Appendix K'!$F$45+'Appendix K'!$H$45+'Appendix K'!$G$45))/((1+$Y$16)^AM$34))</f>
        <v>-667438.48076958314</v>
      </c>
      <c r="AN654" s="193">
        <f>(((Q654*'Appendix K'!$C$20*1000)-('Appendix K'!$E$46+'Appendix K'!$F$46+'Appendix K'!$H$46+'Appendix K'!$G$46))/((1+$Y$16)^AN$34))</f>
        <v>-545225.16070834734</v>
      </c>
      <c r="AO654" s="193">
        <f>(((R654*'Appendix K'!$C$21*1000)-('Appendix K'!$E$47+'Appendix K'!$F$47+'Appendix K'!$H$47+'Appendix K'!$G$47))/((1+$Y$16)^AO$34))</f>
        <v>-552674.17961752368</v>
      </c>
      <c r="AP654" s="193">
        <f>(((S654*'Appendix K'!$C$22*1000)-('Appendix K'!$E$48+'Appendix K'!$F$48+'Appendix K'!$H$48+'Appendix K'!$G$48))/((1+$Y$16)^AP$34))</f>
        <v>-457513.05582376721</v>
      </c>
      <c r="AQ654" s="193">
        <f>(((T654*'Appendix K'!$C$23*1000)-('Appendix K'!$E$49+'Appendix K'!$F$49+'Appendix K'!$H$49+'Appendix K'!$G$49))/((1+$Y$16)^AQ$34))</f>
        <v>-487414.03046806023</v>
      </c>
      <c r="AR654" s="193">
        <f>(((U654*'Appendix K'!$C$24*1000)-('Appendix K'!$E$50+'Appendix K'!$F$50+'Appendix K'!$H$50+'Appendix K'!$G$50))/((1+$Y$16)^AR$34))</f>
        <v>-447487.77384056593</v>
      </c>
      <c r="AS654" s="209">
        <f t="shared" si="34"/>
        <v>87650618.673184723</v>
      </c>
      <c r="AU654" s="199">
        <f t="shared" si="33"/>
        <v>7.0296724522861392E-9</v>
      </c>
    </row>
    <row r="655" spans="1:47" x14ac:dyDescent="0.35">
      <c r="A655">
        <v>621</v>
      </c>
      <c r="B655" s="70">
        <v>56</v>
      </c>
      <c r="C655" s="70">
        <v>54.797817660373148</v>
      </c>
      <c r="D655" s="70">
        <v>63.154996783210507</v>
      </c>
      <c r="E655" s="70">
        <v>79.589852015723551</v>
      </c>
      <c r="F655" s="70">
        <v>79.012501205664236</v>
      </c>
      <c r="G655" s="70">
        <v>99.108372499354317</v>
      </c>
      <c r="H655" s="70">
        <v>94.116614360741579</v>
      </c>
      <c r="I655" s="70">
        <v>124.99903417419458</v>
      </c>
      <c r="J655" s="70">
        <v>138.67746882535016</v>
      </c>
      <c r="K655" s="70">
        <v>129.3804820327791</v>
      </c>
      <c r="L655" s="70">
        <v>206.71260574258255</v>
      </c>
      <c r="M655" s="70">
        <v>210.01422233068013</v>
      </c>
      <c r="N655" s="70">
        <v>197.72791975188821</v>
      </c>
      <c r="O655" s="70">
        <v>261.6191753816957</v>
      </c>
      <c r="P655" s="70">
        <v>253.79535186659672</v>
      </c>
      <c r="Q655" s="70">
        <v>161.23310308534809</v>
      </c>
      <c r="R655" s="70">
        <v>123.08585741420177</v>
      </c>
      <c r="S655" s="70">
        <v>217.35977833659024</v>
      </c>
      <c r="T655" s="70">
        <v>158.7191726054765</v>
      </c>
      <c r="U655" s="70">
        <v>121.76204091914181</v>
      </c>
      <c r="V655" s="70">
        <v>160.83458143760413</v>
      </c>
      <c r="X655" s="193">
        <f>((0-('Appendix K'!$I$30))/(1+$Y$16)^0)</f>
        <v>-33594902.4440751</v>
      </c>
      <c r="Y655" s="193">
        <f>(((B655*'Appendix K'!$C$5*1000)-('Appendix K'!$E$31+'Appendix K'!$F$31+'Appendix K'!$H$31+'Appendix K'!$G$31))/((1+$Y$16)^1))</f>
        <v>34971064.972647354</v>
      </c>
      <c r="Z655" s="193">
        <f>+(((C655*'Appendix K'!$C$6*1000)-('Appendix K'!$E$32+'Appendix K'!$F$32+'Appendix K'!$H$32+'Appendix K'!$G$32))/((1+$Y$16)^2))</f>
        <v>10355618.284998978</v>
      </c>
      <c r="AA655" s="193">
        <f>(((D655*'Appendix K'!$C$7*1000)-('Appendix K'!$E$33+'Appendix K'!$F$33+'Appendix K'!$H$33+'Appendix K'!$G$33))/((1+$Y$16)^3))</f>
        <v>5079461.5911393799</v>
      </c>
      <c r="AB655" s="193">
        <f>(((E655*'Appendix K'!$C$8*1000)-('Appendix K'!$E$34+'Appendix K'!$F$34+'Appendix K'!$H$34+'Appendix K'!$G$34))/((1+$Y$16)^4))</f>
        <v>14152159.098022472</v>
      </c>
      <c r="AC655" s="193">
        <f>(((F655*'Appendix K'!$C$9*1000)-('Appendix K'!$E$35+'Appendix K'!$F$35+'Appendix K'!$H$35+'Appendix K'!$G$35))/((1+$Y$16)^AC$34))</f>
        <v>18017170.229414795</v>
      </c>
      <c r="AD655" s="193">
        <f>(((G655*'Appendix K'!$C$10*1000)-('Appendix K'!$E$36+'Appendix K'!$F$36+'Appendix K'!$H$36+'Appendix K'!$G$36))/((1+$Y$16)^AD$34))</f>
        <v>13048607.467858847</v>
      </c>
      <c r="AE655" s="193">
        <f>(((H655*'Appendix K'!$C$11*1000)-('Appendix K'!$E$37+'Appendix K'!$F$37+'Appendix K'!$H$37+'Appendix K'!$G$37))/((1+$Y$16)^AE$34))</f>
        <v>7167026.9850677056</v>
      </c>
      <c r="AF655" s="193">
        <f>(((I655*'Appendix K'!$C$12*1000)-('Appendix K'!$E$38+'Appendix K'!$F$38+'Appendix K'!$H$38+'Appendix K'!$G$38))/((1+$Y$16)^AF$34))</f>
        <v>6211160.950768346</v>
      </c>
      <c r="AG655" s="193">
        <f>(((J655*'Appendix K'!$C$13*1000)-('Appendix K'!$E$39+'Appendix K'!$F$39+'Appendix K'!$H$39+'Appendix K'!$G$39))/((1+$Y$16)^AG$34))</f>
        <v>4566845.2147119753</v>
      </c>
      <c r="AH655" s="193">
        <f>(((K655*'Appendix K'!$C$14*1000)-('Appendix K'!$E$40+'Appendix K'!$F$40+'Appendix K'!$H$40+'Appendix K'!$G$40))/((1+$Y$16)^AH$34))</f>
        <v>2728225.5233024005</v>
      </c>
      <c r="AI655" s="193">
        <f>(((L655*'Appendix K'!$C$15*1000)-('Appendix K'!$E$41+'Appendix K'!$F$41+'Appendix K'!$H$41+'Appendix K'!$G$41))/((1+$Y$16)^AI$34))</f>
        <v>3899775.4765928476</v>
      </c>
      <c r="AJ655" s="193">
        <f>(((M655*'Appendix K'!$C$16*1000)-('Appendix K'!$E$42+'Appendix K'!$F$42+'Appendix K'!$H$42+'Appendix K'!$G$42))/((1+$Y$16)^AJ$34))</f>
        <v>2827526.1487207627</v>
      </c>
      <c r="AK655" s="193">
        <f>(((N655*'Appendix K'!$C$17*1000)-('Appendix K'!$E$43+'Appendix K'!$F$43+'Appendix K'!$H$43))/((1+$Y$16)^AK$34))</f>
        <v>2033612.8681830945</v>
      </c>
      <c r="AL655" s="193">
        <f>(((O655*'Appendix K'!$C$18*1000)-('Appendix K'!$E$44+'Appendix K'!$F$44+'Appendix K'!$H$44+'Appendix K'!$G$44))/((1+$Y$16)^AL$34))</f>
        <v>1966459.942127612</v>
      </c>
      <c r="AM655" s="193">
        <f>(((P655*'Appendix K'!$C$19*1000)-('Appendix K'!$E$45+'Appendix K'!$F$45+'Appendix K'!$H$45+'Appendix K'!$G$45))/((1+$Y$16)^AM$34))</f>
        <v>1325595.1044636951</v>
      </c>
      <c r="AN655" s="193">
        <f>(((Q655*'Appendix K'!$C$20*1000)-('Appendix K'!$E$46+'Appendix K'!$F$46+'Appendix K'!$H$46+'Appendix K'!$G$46))/((1+$Y$16)^AN$34))</f>
        <v>251008.86505115504</v>
      </c>
      <c r="AO655" s="193">
        <f>(((R655*'Appendix K'!$C$21*1000)-('Appendix K'!$E$47+'Appendix K'!$F$47+'Appendix K'!$H$47+'Appendix K'!$G$47))/((1+$Y$16)^AO$34))</f>
        <v>-115547.90953259132</v>
      </c>
      <c r="AP655" s="193">
        <f>(((S655*'Appendix K'!$C$22*1000)-('Appendix K'!$E$48+'Appendix K'!$F$48+'Appendix K'!$H$48+'Appendix K'!$G$48))/((1+$Y$16)^AP$34))</f>
        <v>276639.10158600763</v>
      </c>
      <c r="AQ655" s="193">
        <f>(((T655*'Appendix K'!$C$23*1000)-('Appendix K'!$E$49+'Appendix K'!$F$49+'Appendix K'!$H$49+'Appendix K'!$G$49))/((1+$Y$16)^AQ$34))</f>
        <v>-72299.423084223308</v>
      </c>
      <c r="AR655" s="193">
        <f>(((U655*'Appendix K'!$C$24*1000)-('Appendix K'!$E$50+'Appendix K'!$F$50+'Appendix K'!$H$50+'Appendix K'!$G$50))/((1+$Y$16)^AR$34))</f>
        <v>-237211.68591526634</v>
      </c>
      <c r="AS655" s="209">
        <f t="shared" si="34"/>
        <v>95283055.380582362</v>
      </c>
      <c r="AU655" s="199">
        <f t="shared" si="33"/>
        <v>6.9658302767134395E-9</v>
      </c>
    </row>
    <row r="656" spans="1:47" x14ac:dyDescent="0.35">
      <c r="A656">
        <v>622</v>
      </c>
      <c r="B656" s="70">
        <v>56</v>
      </c>
      <c r="C656" s="70">
        <v>37.953197570246303</v>
      </c>
      <c r="D656" s="70">
        <v>34.994704437199687</v>
      </c>
      <c r="E656" s="70">
        <v>24.434264457769334</v>
      </c>
      <c r="F656" s="70">
        <v>12.670685398021696</v>
      </c>
      <c r="G656" s="70">
        <v>20.509511272734528</v>
      </c>
      <c r="H656" s="70">
        <v>32.262746375379436</v>
      </c>
      <c r="I656" s="70">
        <v>43.362237099896269</v>
      </c>
      <c r="J656" s="70">
        <v>36.839561142063609</v>
      </c>
      <c r="K656" s="70">
        <v>30.989415121146525</v>
      </c>
      <c r="L656" s="70">
        <v>46.340200186132215</v>
      </c>
      <c r="M656" s="70">
        <v>46.396326761419303</v>
      </c>
      <c r="N656" s="70">
        <v>67.568858383966187</v>
      </c>
      <c r="O656" s="70">
        <v>66.601795621308725</v>
      </c>
      <c r="P656" s="70">
        <v>35.575015625604749</v>
      </c>
      <c r="Q656" s="70">
        <v>43.48487478497681</v>
      </c>
      <c r="R656" s="70">
        <v>58.205152654770977</v>
      </c>
      <c r="S656" s="70">
        <v>83.763106551835847</v>
      </c>
      <c r="T656" s="70">
        <v>49.946959945731805</v>
      </c>
      <c r="U656" s="70">
        <v>70.713312100010057</v>
      </c>
      <c r="V656" s="70">
        <v>55.891909410695035</v>
      </c>
      <c r="X656" s="193">
        <f>((0-('Appendix K'!$I$30))/(1+$Y$16)^0)</f>
        <v>-33594902.4440751</v>
      </c>
      <c r="Y656" s="193">
        <f>(((B656*'Appendix K'!$C$5*1000)-('Appendix K'!$E$31+'Appendix K'!$F$31+'Appendix K'!$H$31+'Appendix K'!$G$31))/((1+$Y$16)^1))</f>
        <v>34971064.972647354</v>
      </c>
      <c r="Z656" s="193">
        <f>+(((C656*'Appendix K'!$C$6*1000)-('Appendix K'!$E$32+'Appendix K'!$F$32+'Appendix K'!$H$32+'Appendix K'!$G$32))/((1+$Y$16)^2))</f>
        <v>6100379.1546053542</v>
      </c>
      <c r="AA656" s="193">
        <f>(((D656*'Appendix K'!$C$7*1000)-('Appendix K'!$E$33+'Appendix K'!$F$33+'Appendix K'!$H$33+'Appendix K'!$G$33))/((1+$Y$16)^3))</f>
        <v>1492547.9479892196</v>
      </c>
      <c r="AB656" s="193">
        <f>(((E656*'Appendix K'!$C$8*1000)-('Appendix K'!$E$34+'Appendix K'!$F$34+'Appendix K'!$H$34+'Appendix K'!$G$34))/((1+$Y$16)^4))</f>
        <v>2062559.2061261202</v>
      </c>
      <c r="AC656" s="193">
        <f>(((F656*'Appendix K'!$C$9*1000)-('Appendix K'!$E$35+'Appendix K'!$F$35+'Appendix K'!$H$35+'Appendix K'!$G$35))/((1+$Y$16)^AC$34))</f>
        <v>383619.76308849116</v>
      </c>
      <c r="AD656" s="193">
        <f>(((G656*'Appendix K'!$C$10*1000)-('Appendix K'!$E$36+'Appendix K'!$F$36+'Appendix K'!$H$36+'Appendix K'!$G$36))/((1+$Y$16)^AD$34))</f>
        <v>705131.71614774957</v>
      </c>
      <c r="AE656" s="193">
        <f>(((H656*'Appendix K'!$C$11*1000)-('Appendix K'!$E$37+'Appendix K'!$F$37+'Appendix K'!$H$37+'Appendix K'!$G$37))/((1+$Y$16)^AE$34))</f>
        <v>997868.85784283176</v>
      </c>
      <c r="AF656" s="193">
        <f>(((I656*'Appendix K'!$C$12*1000)-('Appendix K'!$E$38+'Appendix K'!$F$38+'Appendix K'!$H$38+'Appendix K'!$G$38))/((1+$Y$16)^AF$34))</f>
        <v>850690.71917644015</v>
      </c>
      <c r="AG656" s="193">
        <f>(((J656*'Appendix K'!$C$13*1000)-('Appendix K'!$E$39+'Appendix K'!$F$39+'Appendix K'!$H$39+'Appendix K'!$G$39))/((1+$Y$16)^AG$34))</f>
        <v>-119626.59119923066</v>
      </c>
      <c r="AH656" s="193">
        <f>(((K656*'Appendix K'!$C$14*1000)-('Appendix K'!$E$40+'Appendix K'!$F$40+'Appendix K'!$H$40+'Appendix K'!$G$40))/((1+$Y$16)^AH$34))</f>
        <v>-588195.60612119595</v>
      </c>
      <c r="AI656" s="193">
        <f>(((L656*'Appendix K'!$C$15*1000)-('Appendix K'!$E$41+'Appendix K'!$F$41+'Appendix K'!$H$41+'Appendix K'!$G$41))/((1+$Y$16)^AI$34))</f>
        <v>-302281.4468550951</v>
      </c>
      <c r="AJ656" s="193">
        <f>(((M656*'Appendix K'!$C$16*1000)-('Appendix K'!$E$42+'Appendix K'!$F$42+'Appendix K'!$H$42+'Appendix K'!$G$42))/((1+$Y$16)^AJ$34))</f>
        <v>-451681.94949012512</v>
      </c>
      <c r="AK656" s="193">
        <f>(((N656*'Appendix K'!$C$17*1000)-('Appendix K'!$E$43+'Appendix K'!$F$43+'Appendix K'!$H$43))/((1+$Y$16)^AK$34))</f>
        <v>33862.395494964265</v>
      </c>
      <c r="AL656" s="193">
        <f>(((O656*'Appendix K'!$C$18*1000)-('Appendix K'!$E$44+'Appendix K'!$F$44+'Appendix K'!$H$44+'Appendix K'!$G$44))/((1+$Y$16)^AL$34))</f>
        <v>-345138.44445086428</v>
      </c>
      <c r="AM656" s="193">
        <f>(((P656*'Appendix K'!$C$19*1000)-('Appendix K'!$E$45+'Appendix K'!$F$45+'Appendix K'!$H$45+'Appendix K'!$G$45))/((1+$Y$16)^AM$34))</f>
        <v>-697030.66377360316</v>
      </c>
      <c r="AN656" s="193">
        <f>(((Q656*'Appendix K'!$C$20*1000)-('Appendix K'!$E$46+'Appendix K'!$F$46+'Appendix K'!$H$46+'Appendix K'!$G$46))/((1+$Y$16)^AN$34))</f>
        <v>-601042.85344777582</v>
      </c>
      <c r="AO656" s="193">
        <f>(((R656*'Appendix K'!$C$21*1000)-('Appendix K'!$E$47+'Appendix K'!$F$47+'Appendix K'!$H$47+'Appendix K'!$G$47))/((1+$Y$16)^AO$34))</f>
        <v>-499000.04268369975</v>
      </c>
      <c r="AP656" s="193">
        <f>(((S656*'Appendix K'!$C$22*1000)-('Appendix K'!$E$48+'Appendix K'!$F$48+'Appendix K'!$H$48+'Appendix K'!$G$48))/((1+$Y$16)^AP$34))</f>
        <v>-363251.46124613809</v>
      </c>
      <c r="AQ656" s="193">
        <f>(((T656*'Appendix K'!$C$23*1000)-('Appendix K'!$E$49+'Appendix K'!$F$49+'Appendix K'!$H$49+'Appendix K'!$G$49))/((1+$Y$16)^AQ$34))</f>
        <v>-498006.01703387004</v>
      </c>
      <c r="AR656" s="193">
        <f>(((U656*'Appendix K'!$C$24*1000)-('Appendix K'!$E$50+'Appendix K'!$F$50+'Appendix K'!$H$50+'Appendix K'!$G$50))/((1+$Y$16)^AR$34))</f>
        <v>-401590.02303998359</v>
      </c>
      <c r="AS656" s="209">
        <f t="shared" si="34"/>
        <v>14002822.289043434</v>
      </c>
      <c r="AU656" s="199">
        <f t="shared" si="33"/>
        <v>3.0308847834500363E-9</v>
      </c>
    </row>
    <row r="657" spans="1:47" x14ac:dyDescent="0.35">
      <c r="A657">
        <v>623</v>
      </c>
      <c r="B657" s="70">
        <v>56</v>
      </c>
      <c r="C657" s="70">
        <v>48.547567342392853</v>
      </c>
      <c r="D657" s="70">
        <v>49.807451144475223</v>
      </c>
      <c r="E657" s="70">
        <v>61.336156801849938</v>
      </c>
      <c r="F657" s="70">
        <v>86.785608140888201</v>
      </c>
      <c r="G657" s="70">
        <v>62.254876214945497</v>
      </c>
      <c r="H657" s="70">
        <v>58.568177881307932</v>
      </c>
      <c r="I657" s="70">
        <v>85.509547386974717</v>
      </c>
      <c r="J657" s="70">
        <v>98.478158586949718</v>
      </c>
      <c r="K657" s="70">
        <v>156.25606074145057</v>
      </c>
      <c r="L657" s="70">
        <v>183.58454580889037</v>
      </c>
      <c r="M657" s="70">
        <v>317.03057852244615</v>
      </c>
      <c r="N657" s="70">
        <v>334.50577070644255</v>
      </c>
      <c r="O657" s="70">
        <v>233.03777218543115</v>
      </c>
      <c r="P657" s="70">
        <v>175.18696330782174</v>
      </c>
      <c r="Q657" s="70">
        <v>278.75849803835592</v>
      </c>
      <c r="R657" s="70">
        <v>249.59038129953586</v>
      </c>
      <c r="S657" s="70">
        <v>111.59463973516111</v>
      </c>
      <c r="T657" s="70">
        <v>149.30314990164581</v>
      </c>
      <c r="U657" s="70">
        <v>85.920852516066645</v>
      </c>
      <c r="V657" s="70">
        <v>135.88036027912688</v>
      </c>
      <c r="X657" s="193">
        <f>((0-('Appendix K'!$I$30))/(1+$Y$16)^0)</f>
        <v>-33594902.4440751</v>
      </c>
      <c r="Y657" s="193">
        <f>(((B657*'Appendix K'!$C$5*1000)-('Appendix K'!$E$31+'Appendix K'!$F$31+'Appendix K'!$H$31+'Appendix K'!$G$31))/((1+$Y$16)^1))</f>
        <v>34971064.972647354</v>
      </c>
      <c r="Z657" s="193">
        <f>+(((C657*'Appendix K'!$C$6*1000)-('Appendix K'!$E$32+'Appendix K'!$F$32+'Appendix K'!$H$32+'Appendix K'!$G$32))/((1+$Y$16)^2))</f>
        <v>8776698.1558703985</v>
      </c>
      <c r="AA657" s="193">
        <f>(((D657*'Appendix K'!$C$7*1000)-('Appendix K'!$E$33+'Appendix K'!$F$33+'Appendix K'!$H$33+'Appendix K'!$G$33))/((1+$Y$16)^3))</f>
        <v>3379319.6691067</v>
      </c>
      <c r="AB657" s="193">
        <f>(((E657*'Appendix K'!$C$8*1000)-('Appendix K'!$E$34+'Appendix K'!$F$34+'Appendix K'!$H$34+'Appendix K'!$G$34))/((1+$Y$16)^4))</f>
        <v>10151116.203637963</v>
      </c>
      <c r="AC657" s="193">
        <f>(((F657*'Appendix K'!$C$9*1000)-('Appendix K'!$E$35+'Appendix K'!$F$35+'Appendix K'!$H$35+'Appendix K'!$G$35))/((1+$Y$16)^AC$34))</f>
        <v>20083249.846829079</v>
      </c>
      <c r="AD657" s="193">
        <f>(((G657*'Appendix K'!$C$10*1000)-('Appendix K'!$E$36+'Appendix K'!$F$36+'Appendix K'!$H$36+'Appendix K'!$G$36))/((1+$Y$16)^AD$34))</f>
        <v>7260988.7841633372</v>
      </c>
      <c r="AE657" s="193">
        <f>(((H657*'Appendix K'!$C$11*1000)-('Appendix K'!$E$37+'Appendix K'!$F$37+'Appendix K'!$H$37+'Appendix K'!$G$37))/((1+$Y$16)^AE$34))</f>
        <v>3621510.2217646581</v>
      </c>
      <c r="AF657" s="193">
        <f>(((I657*'Appendix K'!$C$12*1000)-('Appendix K'!$E$38+'Appendix K'!$F$38+'Appendix K'!$H$38+'Appendix K'!$G$38))/((1+$Y$16)^AF$34))</f>
        <v>3618185.4057934457</v>
      </c>
      <c r="AG657" s="193">
        <f>(((J657*'Appendix K'!$C$13*1000)-('Appendix K'!$E$39+'Appendix K'!$F$39+'Appendix K'!$H$39+'Appendix K'!$G$39))/((1+$Y$16)^AG$34))</f>
        <v>2716915.8678204534</v>
      </c>
      <c r="AH657" s="193">
        <f>(((K657*'Appendix K'!$C$14*1000)-('Appendix K'!$E$40+'Appendix K'!$F$40+'Appendix K'!$H$40+'Appendix K'!$G$40))/((1+$Y$16)^AH$34))</f>
        <v>3634107.9361333894</v>
      </c>
      <c r="AI657" s="193">
        <f>(((L657*'Appendix K'!$C$15*1000)-('Appendix K'!$E$41+'Appendix K'!$F$41+'Appendix K'!$H$41+'Appendix K'!$G$41))/((1+$Y$16)^AI$34))</f>
        <v>3293777.056645961</v>
      </c>
      <c r="AJ657" s="193">
        <f>(((M657*'Appendix K'!$C$16*1000)-('Appendix K'!$E$42+'Appendix K'!$F$42+'Appendix K'!$H$42+'Appendix K'!$G$42))/((1+$Y$16)^AJ$34))</f>
        <v>4972333.7239808226</v>
      </c>
      <c r="AK657" s="193">
        <f>(((N657*'Appendix K'!$C$17*1000)-('Appendix K'!$E$43+'Appendix K'!$F$43+'Appendix K'!$H$43))/((1+$Y$16)^AK$34))</f>
        <v>4135053.7454069257</v>
      </c>
      <c r="AL657" s="193">
        <f>(((O657*'Appendix K'!$C$18*1000)-('Appendix K'!$E$44+'Appendix K'!$F$44+'Appendix K'!$H$44+'Appendix K'!$G$44))/((1+$Y$16)^AL$34))</f>
        <v>1627676.1599036325</v>
      </c>
      <c r="AM657" s="193">
        <f>(((P657*'Appendix K'!$C$19*1000)-('Appendix K'!$E$45+'Appendix K'!$F$45+'Appendix K'!$H$45+'Appendix K'!$G$45))/((1+$Y$16)^AM$34))</f>
        <v>596995.03428966005</v>
      </c>
      <c r="AN657" s="193">
        <f>(((Q657*'Appendix K'!$C$20*1000)-('Appendix K'!$E$46+'Appendix K'!$F$46+'Appendix K'!$H$46+'Appendix K'!$G$46))/((1+$Y$16)^AN$34))</f>
        <v>1101448.113118042</v>
      </c>
      <c r="AO657" s="193">
        <f>(((R657*'Appendix K'!$C$21*1000)-('Appendix K'!$E$47+'Appendix K'!$F$47+'Appendix K'!$H$47+'Appendix K'!$G$47))/((1+$Y$16)^AO$34))</f>
        <v>632107.80285462225</v>
      </c>
      <c r="AP657" s="193">
        <f>(((S657*'Appendix K'!$C$22*1000)-('Appendix K'!$E$48+'Appendix K'!$F$48+'Appendix K'!$H$48+'Appendix K'!$G$48))/((1+$Y$16)^AP$34))</f>
        <v>-229946.22844922452</v>
      </c>
      <c r="AQ657" s="193">
        <f>(((T657*'Appendix K'!$C$23*1000)-('Appendix K'!$E$49+'Appendix K'!$F$49+'Appendix K'!$H$49+'Appendix K'!$G$49))/((1+$Y$16)^AQ$34))</f>
        <v>-109151.32538338275</v>
      </c>
      <c r="AR657" s="193">
        <f>(((U657*'Appendix K'!$C$24*1000)-('Appendix K'!$E$50+'Appendix K'!$F$50+'Appendix K'!$H$50+'Appendix K'!$G$50))/((1+$Y$16)^AR$34))</f>
        <v>-352621.31680235721</v>
      </c>
      <c r="AS657" s="209">
        <f t="shared" si="34"/>
        <v>80977646.255891353</v>
      </c>
      <c r="AU657" s="199">
        <f t="shared" si="33"/>
        <v>6.9817306025632121E-9</v>
      </c>
    </row>
    <row r="658" spans="1:47" x14ac:dyDescent="0.35">
      <c r="A658">
        <v>624</v>
      </c>
      <c r="B658" s="70">
        <v>56</v>
      </c>
      <c r="C658" s="70">
        <v>52.376786934857101</v>
      </c>
      <c r="D658" s="70">
        <v>49.867008411910469</v>
      </c>
      <c r="E658" s="70">
        <v>56.668840561110933</v>
      </c>
      <c r="F658" s="70">
        <v>52.719004827345707</v>
      </c>
      <c r="G658" s="70">
        <v>55.562902479033419</v>
      </c>
      <c r="H658" s="70">
        <v>61.416254594566631</v>
      </c>
      <c r="I658" s="70">
        <v>24.598157225491995</v>
      </c>
      <c r="J658" s="70">
        <v>27.292676035601406</v>
      </c>
      <c r="K658" s="70">
        <v>28.91792188580742</v>
      </c>
      <c r="L658" s="70">
        <v>37.568436526979639</v>
      </c>
      <c r="M658" s="70">
        <v>36.651425188110061</v>
      </c>
      <c r="N658" s="70">
        <v>38.843694967571963</v>
      </c>
      <c r="O658" s="70">
        <v>37.706432251773371</v>
      </c>
      <c r="P658" s="70">
        <v>23.173062751798163</v>
      </c>
      <c r="Q658" s="70">
        <v>20.575439708617989</v>
      </c>
      <c r="R658" s="70">
        <v>28.462902597468769</v>
      </c>
      <c r="S658" s="70">
        <v>37.168564969378636</v>
      </c>
      <c r="T658" s="70">
        <v>37.705514992888965</v>
      </c>
      <c r="U658" s="70">
        <v>44.796642604901749</v>
      </c>
      <c r="V658" s="70">
        <v>45.622845102867345</v>
      </c>
      <c r="X658" s="193">
        <f>((0-('Appendix K'!$I$30))/(1+$Y$16)^0)</f>
        <v>-33594902.4440751</v>
      </c>
      <c r="Y658" s="193">
        <f>(((B658*'Appendix K'!$C$5*1000)-('Appendix K'!$E$31+'Appendix K'!$F$31+'Appendix K'!$H$31+'Appendix K'!$G$31))/((1+$Y$16)^1))</f>
        <v>34971064.972647354</v>
      </c>
      <c r="Z658" s="193">
        <f>+(((C658*'Appendix K'!$C$6*1000)-('Appendix K'!$E$32+'Appendix K'!$F$32+'Appendix K'!$H$32+'Appendix K'!$G$32))/((1+$Y$16)^2))</f>
        <v>9744024.516544709</v>
      </c>
      <c r="AA658" s="193">
        <f>(((D658*'Appendix K'!$C$7*1000)-('Appendix K'!$E$33+'Appendix K'!$F$33+'Appendix K'!$H$33+'Appendix K'!$G$33))/((1+$Y$16)^3))</f>
        <v>3386905.768444282</v>
      </c>
      <c r="AB658" s="193">
        <f>(((E658*'Appendix K'!$C$8*1000)-('Appendix K'!$E$34+'Appendix K'!$F$34+'Appendix K'!$H$34+'Appendix K'!$G$34))/((1+$Y$16)^4))</f>
        <v>9128083.208835844</v>
      </c>
      <c r="AC658" s="193">
        <f>(((F658*'Appendix K'!$C$9*1000)-('Appendix K'!$E$35+'Appendix K'!$F$35+'Appendix K'!$H$35+'Appendix K'!$G$35))/((1+$Y$16)^AC$34))</f>
        <v>11028400.180256212</v>
      </c>
      <c r="AD658" s="193">
        <f>(((G658*'Appendix K'!$C$10*1000)-('Appendix K'!$E$36+'Appendix K'!$F$36+'Appendix K'!$H$36+'Appendix K'!$G$36))/((1+$Y$16)^AD$34))</f>
        <v>6210054.785232286</v>
      </c>
      <c r="AE658" s="193">
        <f>(((H658*'Appendix K'!$C$11*1000)-('Appendix K'!$E$37+'Appendix K'!$F$37+'Appendix K'!$H$37+'Appendix K'!$G$37))/((1+$Y$16)^AE$34))</f>
        <v>3905570.6398894847</v>
      </c>
      <c r="AF658" s="193">
        <f>(((I658*'Appendix K'!$C$12*1000)-('Appendix K'!$E$38+'Appendix K'!$F$38+'Appendix K'!$H$38+'Appendix K'!$G$38))/((1+$Y$16)^AF$34))</f>
        <v>-381404.30653132114</v>
      </c>
      <c r="AG658" s="193">
        <f>(((J658*'Appendix K'!$C$13*1000)-('Appendix K'!$E$39+'Appendix K'!$F$39+'Appendix K'!$H$39+'Appendix K'!$G$39))/((1+$Y$16)^AG$34))</f>
        <v>-558964.05308869528</v>
      </c>
      <c r="AH658" s="193">
        <f>(((K658*'Appendix K'!$C$14*1000)-('Appendix K'!$E$40+'Appendix K'!$F$40+'Appendix K'!$H$40+'Appendix K'!$G$40))/((1+$Y$16)^AH$34))</f>
        <v>-658018.448283348</v>
      </c>
      <c r="AI658" s="193">
        <f>(((L658*'Appendix K'!$C$15*1000)-('Appendix K'!$E$41+'Appendix K'!$F$41+'Appendix K'!$H$41+'Appendix K'!$G$41))/((1+$Y$16)^AI$34))</f>
        <v>-532118.05800336879</v>
      </c>
      <c r="AJ658" s="193">
        <f>(((M658*'Appendix K'!$C$16*1000)-('Appendix K'!$E$42+'Appendix K'!$F$42+'Appendix K'!$H$42+'Appendix K'!$G$42))/((1+$Y$16)^AJ$34))</f>
        <v>-646987.97053558356</v>
      </c>
      <c r="AK658" s="193">
        <f>(((N658*'Appendix K'!$C$17*1000)-('Appendix K'!$E$43+'Appendix K'!$F$43+'Appendix K'!$H$43))/((1+$Y$16)^AK$34))</f>
        <v>-407468.06983163278</v>
      </c>
      <c r="AL658" s="193">
        <f>(((O658*'Appendix K'!$C$18*1000)-('Appendix K'!$E$44+'Appendix K'!$F$44+'Appendix K'!$H$44+'Appendix K'!$G$44))/((1+$Y$16)^AL$34))</f>
        <v>-687643.68899207108</v>
      </c>
      <c r="AM658" s="193">
        <f>(((P658*'Appendix K'!$C$19*1000)-('Appendix K'!$E$45+'Appendix K'!$F$45+'Appendix K'!$H$45+'Appendix K'!$G$45))/((1+$Y$16)^AM$34))</f>
        <v>-811981.03866132069</v>
      </c>
      <c r="AN658" s="193">
        <f>(((Q658*'Appendix K'!$C$20*1000)-('Appendix K'!$E$46+'Appendix K'!$F$46+'Appendix K'!$H$46+'Appendix K'!$G$46))/((1+$Y$16)^AN$34))</f>
        <v>-766820.49450795678</v>
      </c>
      <c r="AO658" s="193">
        <f>(((R658*'Appendix K'!$C$21*1000)-('Appendix K'!$E$47+'Appendix K'!$F$47+'Appendix K'!$H$47+'Appendix K'!$G$47))/((1+$Y$16)^AO$34))</f>
        <v>-674780.02644733887</v>
      </c>
      <c r="AP658" s="193">
        <f>(((S658*'Appendix K'!$C$22*1000)-('Appendix K'!$E$48+'Appendix K'!$F$48+'Appendix K'!$H$48+'Appendix K'!$G$48))/((1+$Y$16)^AP$34))</f>
        <v>-586426.23828056711</v>
      </c>
      <c r="AQ658" s="193">
        <f>(((T658*'Appendix K'!$C$23*1000)-('Appendix K'!$E$49+'Appendix K'!$F$49+'Appendix K'!$H$49+'Appendix K'!$G$49))/((1+$Y$16)^AQ$34))</f>
        <v>-545915.89868901682</v>
      </c>
      <c r="AR658" s="193">
        <f>(((U658*'Appendix K'!$C$24*1000)-('Appendix K'!$E$50+'Appendix K'!$F$50+'Appendix K'!$H$50+'Appendix K'!$G$50))/((1+$Y$16)^AR$34))</f>
        <v>-485042.42496972956</v>
      </c>
      <c r="AS658" s="209">
        <f t="shared" si="34"/>
        <v>44779201.627775081</v>
      </c>
      <c r="AU658" s="199">
        <f t="shared" si="33"/>
        <v>5.2870035448641728E-9</v>
      </c>
    </row>
    <row r="659" spans="1:47" x14ac:dyDescent="0.35">
      <c r="A659">
        <v>625</v>
      </c>
      <c r="B659" s="70">
        <v>56</v>
      </c>
      <c r="C659" s="70">
        <v>70.497864321180728</v>
      </c>
      <c r="D659" s="70">
        <v>88.323820912962162</v>
      </c>
      <c r="E659" s="70">
        <v>114.09344513268454</v>
      </c>
      <c r="F659" s="70">
        <v>167.5652355401206</v>
      </c>
      <c r="G659" s="70">
        <v>180.73325846540271</v>
      </c>
      <c r="H659" s="70">
        <v>251.44900774251863</v>
      </c>
      <c r="I659" s="70">
        <v>182.67033142879112</v>
      </c>
      <c r="J659" s="70">
        <v>236.50856186289508</v>
      </c>
      <c r="K659" s="70">
        <v>223.52542660830028</v>
      </c>
      <c r="L659" s="70">
        <v>242.46776149982577</v>
      </c>
      <c r="M659" s="70">
        <v>202.50801008853995</v>
      </c>
      <c r="N659" s="70">
        <v>164.08723848918765</v>
      </c>
      <c r="O659" s="70">
        <v>158.63297401974285</v>
      </c>
      <c r="P659" s="70">
        <v>160.6544383285482</v>
      </c>
      <c r="Q659" s="70">
        <v>141.78750742610606</v>
      </c>
      <c r="R659" s="70">
        <v>110.27490009212524</v>
      </c>
      <c r="S659" s="70">
        <v>106.16120072704493</v>
      </c>
      <c r="T659" s="70">
        <v>163.97916079072309</v>
      </c>
      <c r="U659" s="70">
        <v>218.96184096543197</v>
      </c>
      <c r="V659" s="70">
        <v>183.66845028736003</v>
      </c>
      <c r="X659" s="193">
        <f>((0-('Appendix K'!$I$30))/(1+$Y$16)^0)</f>
        <v>-33594902.4440751</v>
      </c>
      <c r="Y659" s="193">
        <f>(((B659*'Appendix K'!$C$5*1000)-('Appendix K'!$E$31+'Appendix K'!$F$31+'Appendix K'!$H$31+'Appendix K'!$G$31))/((1+$Y$16)^1))</f>
        <v>34971064.972647354</v>
      </c>
      <c r="Z659" s="193">
        <f>+(((C659*'Appendix K'!$C$6*1000)-('Appendix K'!$E$32+'Appendix K'!$F$32+'Appendix K'!$H$32+'Appendix K'!$G$32))/((1+$Y$16)^2))</f>
        <v>14321718.591365164</v>
      </c>
      <c r="AA659" s="193">
        <f>(((D659*'Appendix K'!$C$7*1000)-('Appendix K'!$E$33+'Appendix K'!$F$33+'Appendix K'!$H$33+'Appendix K'!$G$33))/((1+$Y$16)^3))</f>
        <v>8285337.3520791261</v>
      </c>
      <c r="AB659" s="193">
        <f>(((E659*'Appendix K'!$C$8*1000)-('Appendix K'!$E$34+'Appendix K'!$F$34+'Appendix K'!$H$34+'Appendix K'!$G$34))/((1+$Y$16)^4))</f>
        <v>21715030.859266005</v>
      </c>
      <c r="AC659" s="193">
        <f>(((F659*'Appendix K'!$C$9*1000)-('Appendix K'!$E$35+'Appendix K'!$F$35+'Appendix K'!$H$35+'Appendix K'!$G$35))/((1+$Y$16)^AC$34))</f>
        <v>41554347.962767385</v>
      </c>
      <c r="AD659" s="193">
        <f>(((G659*'Appendix K'!$C$10*1000)-('Appendix K'!$E$36+'Appendix K'!$F$36+'Appendix K'!$H$36+'Appendix K'!$G$36))/((1+$Y$16)^AD$34))</f>
        <v>25867302.102035951</v>
      </c>
      <c r="AE659" s="193">
        <f>(((H659*'Appendix K'!$C$11*1000)-('Appendix K'!$E$37+'Appendix K'!$F$37+'Appendix K'!$H$37+'Appendix K'!$G$37))/((1+$Y$16)^AE$34))</f>
        <v>22858986.840134945</v>
      </c>
      <c r="AF659" s="193">
        <f>(((I659*'Appendix K'!$C$12*1000)-('Appendix K'!$E$38+'Appendix K'!$F$38+'Appendix K'!$H$38+'Appendix K'!$G$38))/((1+$Y$16)^AF$34))</f>
        <v>9997998.2989949919</v>
      </c>
      <c r="AG659" s="193">
        <f>(((J659*'Appendix K'!$C$13*1000)-('Appendix K'!$E$39+'Appendix K'!$F$39+'Appendix K'!$H$39+'Appendix K'!$G$39))/((1+$Y$16)^AG$34))</f>
        <v>9068927.687653197</v>
      </c>
      <c r="AH659" s="193">
        <f>(((K659*'Appendix K'!$C$14*1000)-('Appendix K'!$E$40+'Appendix K'!$F$40+'Appendix K'!$H$40+'Appendix K'!$G$40))/((1+$Y$16)^AH$34))</f>
        <v>5901524.6165939495</v>
      </c>
      <c r="AI659" s="193">
        <f>(((L659*'Appendix K'!$C$15*1000)-('Appendix K'!$E$41+'Appendix K'!$F$41+'Appendix K'!$H$41+'Appendix K'!$G$41))/((1+$Y$16)^AI$34))</f>
        <v>4836627.4199017473</v>
      </c>
      <c r="AJ659" s="193">
        <f>(((M659*'Appendix K'!$C$16*1000)-('Appendix K'!$E$42+'Appendix K'!$F$42+'Appendix K'!$H$42+'Appendix K'!$G$42))/((1+$Y$16)^AJ$34))</f>
        <v>2677087.6414555465</v>
      </c>
      <c r="AK659" s="193">
        <f>(((N659*'Appendix K'!$C$17*1000)-('Appendix K'!$E$43+'Appendix K'!$F$43+'Appendix K'!$H$43))/((1+$Y$16)^AK$34))</f>
        <v>1516760.8906901493</v>
      </c>
      <c r="AL659" s="193">
        <f>(((O659*'Appendix K'!$C$18*1000)-('Appendix K'!$E$44+'Appendix K'!$F$44+'Appendix K'!$H$44+'Appendix K'!$G$44))/((1+$Y$16)^AL$34))</f>
        <v>745734.19347568112</v>
      </c>
      <c r="AM659" s="193">
        <f>(((P659*'Appendix K'!$C$19*1000)-('Appendix K'!$E$45+'Appendix K'!$F$45+'Appendix K'!$H$45+'Appendix K'!$G$45))/((1+$Y$16)^AM$34))</f>
        <v>462296.9579922714</v>
      </c>
      <c r="AN659" s="193">
        <f>(((Q659*'Appendix K'!$C$20*1000)-('Appendix K'!$E$46+'Appendix K'!$F$46+'Appendix K'!$H$46+'Appendix K'!$G$46))/((1+$Y$16)^AN$34))</f>
        <v>110296.31728842761</v>
      </c>
      <c r="AO659" s="193">
        <f>(((R659*'Appendix K'!$C$21*1000)-('Appendix K'!$E$47+'Appendix K'!$F$47+'Appendix K'!$H$47+'Appendix K'!$G$47))/((1+$Y$16)^AO$34))</f>
        <v>-191262.08266114403</v>
      </c>
      <c r="AP659" s="193">
        <f>(((S659*'Appendix K'!$C$22*1000)-('Appendix K'!$E$48+'Appendix K'!$F$48+'Appendix K'!$H$48+'Appendix K'!$G$48))/((1+$Y$16)^AP$34))</f>
        <v>-255970.87635826293</v>
      </c>
      <c r="AQ659" s="193">
        <f>(((T659*'Appendix K'!$C$23*1000)-('Appendix K'!$E$49+'Appendix K'!$F$49+'Appendix K'!$H$49+'Appendix K'!$G$49))/((1+$Y$16)^AQ$34))</f>
        <v>-51713.175918678447</v>
      </c>
      <c r="AR659" s="193">
        <f>(((U659*'Appendix K'!$C$24*1000)-('Appendix K'!$E$50+'Appendix K'!$F$50+'Appendix K'!$H$50+'Appendix K'!$G$50))/((1+$Y$16)^AR$34))</f>
        <v>75774.393661238486</v>
      </c>
      <c r="AS659" s="209">
        <f t="shared" si="34"/>
        <v>171371914.65392804</v>
      </c>
      <c r="AU659" s="199">
        <f t="shared" si="33"/>
        <v>2.365782184680474E-9</v>
      </c>
    </row>
    <row r="660" spans="1:47" x14ac:dyDescent="0.35">
      <c r="A660">
        <v>626</v>
      </c>
      <c r="B660" s="70">
        <v>56</v>
      </c>
      <c r="C660" s="70">
        <v>47.684689197275588</v>
      </c>
      <c r="D660" s="70">
        <v>67.358517263312734</v>
      </c>
      <c r="E660" s="70">
        <v>68.194066845177872</v>
      </c>
      <c r="F660" s="70">
        <v>89.787984599415722</v>
      </c>
      <c r="G660" s="70">
        <v>85.926173217979851</v>
      </c>
      <c r="H660" s="70">
        <v>127.9081017944626</v>
      </c>
      <c r="I660" s="70">
        <v>132.14606262455465</v>
      </c>
      <c r="J660" s="70">
        <v>151.44539059588476</v>
      </c>
      <c r="K660" s="70">
        <v>70.25817869060225</v>
      </c>
      <c r="L660" s="70">
        <v>78.191790533758663</v>
      </c>
      <c r="M660" s="70">
        <v>70.235702876168531</v>
      </c>
      <c r="N660" s="70">
        <v>55.586931059441767</v>
      </c>
      <c r="O660" s="70">
        <v>72.770218498309561</v>
      </c>
      <c r="P660" s="70">
        <v>109.86198121305196</v>
      </c>
      <c r="Q660" s="70">
        <v>118.97561193253102</v>
      </c>
      <c r="R660" s="70">
        <v>137.66911615967561</v>
      </c>
      <c r="S660" s="70">
        <v>139.25995563779512</v>
      </c>
      <c r="T660" s="70">
        <v>170.7026189352527</v>
      </c>
      <c r="U660" s="70">
        <v>238.52357414985534</v>
      </c>
      <c r="V660" s="70">
        <v>223.68703398055263</v>
      </c>
      <c r="X660" s="193">
        <f>((0-('Appendix K'!$I$30))/(1+$Y$16)^0)</f>
        <v>-33594902.4440751</v>
      </c>
      <c r="Y660" s="193">
        <f>(((B660*'Appendix K'!$C$5*1000)-('Appendix K'!$E$31+'Appendix K'!$F$31+'Appendix K'!$H$31+'Appendix K'!$G$31))/((1+$Y$16)^1))</f>
        <v>34971064.972647354</v>
      </c>
      <c r="Z660" s="193">
        <f>+(((C660*'Appendix K'!$C$6*1000)-('Appendix K'!$E$32+'Appendix K'!$F$32+'Appendix K'!$H$32+'Appendix K'!$G$32))/((1+$Y$16)^2))</f>
        <v>8558720.3785017896</v>
      </c>
      <c r="AA660" s="193">
        <f>(((D660*'Appendix K'!$C$7*1000)-('Appendix K'!$E$33+'Appendix K'!$F$33+'Appendix K'!$H$33+'Appendix K'!$G$33))/((1+$Y$16)^3))</f>
        <v>5614884.4757485893</v>
      </c>
      <c r="AB660" s="193">
        <f>(((E660*'Appendix K'!$C$8*1000)-('Appendix K'!$E$34+'Appendix K'!$F$34+'Appendix K'!$H$34+'Appendix K'!$G$34))/((1+$Y$16)^4))</f>
        <v>11654307.307011414</v>
      </c>
      <c r="AC660" s="193">
        <f>(((F660*'Appendix K'!$C$9*1000)-('Appendix K'!$E$35+'Appendix K'!$F$35+'Appendix K'!$H$35+'Appendix K'!$G$35))/((1+$Y$16)^AC$34))</f>
        <v>20881276.794928622</v>
      </c>
      <c r="AD660" s="193">
        <f>(((G660*'Appendix K'!$C$10*1000)-('Appendix K'!$E$36+'Appendix K'!$F$36+'Appendix K'!$H$36+'Appendix K'!$G$36))/((1+$Y$16)^AD$34))</f>
        <v>10978422.803036233</v>
      </c>
      <c r="AE660" s="193">
        <f>(((H660*'Appendix K'!$C$11*1000)-('Appendix K'!$E$37+'Appendix K'!$F$37+'Appendix K'!$H$37+'Appendix K'!$G$37))/((1+$Y$16)^AE$34))</f>
        <v>10537309.816564856</v>
      </c>
      <c r="AF660" s="193">
        <f>(((I660*'Appendix K'!$C$12*1000)-('Appendix K'!$E$38+'Appendix K'!$F$38+'Appendix K'!$H$38+'Appendix K'!$G$38))/((1+$Y$16)^AF$34))</f>
        <v>6680452.1849360447</v>
      </c>
      <c r="AG660" s="193">
        <f>(((J660*'Appendix K'!$C$13*1000)-('Appendix K'!$E$39+'Appendix K'!$F$39+'Appendix K'!$H$39+'Appendix K'!$G$39))/((1+$Y$16)^AG$34))</f>
        <v>5154411.3456244497</v>
      </c>
      <c r="AH660" s="193">
        <f>(((K660*'Appendix K'!$C$14*1000)-('Appendix K'!$E$40+'Appendix K'!$F$40+'Appendix K'!$H$40+'Appendix K'!$G$40))/((1+$Y$16)^AH$34))</f>
        <v>735418.02381379472</v>
      </c>
      <c r="AI660" s="193">
        <f>(((L660*'Appendix K'!$C$15*1000)-('Appendix K'!$E$41+'Appendix K'!$F$41+'Appendix K'!$H$41+'Appendix K'!$G$41))/((1+$Y$16)^AI$34))</f>
        <v>532289.78301873512</v>
      </c>
      <c r="AJ660" s="193">
        <f>(((M660*'Appendix K'!$C$16*1000)-('Appendix K'!$E$42+'Appendix K'!$F$42+'Appendix K'!$H$42+'Appendix K'!$G$42))/((1+$Y$16)^AJ$34))</f>
        <v>26103.655438946229</v>
      </c>
      <c r="AK660" s="193">
        <f>(((N660*'Appendix K'!$C$17*1000)-('Appendix K'!$E$43+'Appendix K'!$F$43+'Appendix K'!$H$43))/((1+$Y$16)^AK$34))</f>
        <v>-150226.70732364085</v>
      </c>
      <c r="AL660" s="193">
        <f>(((O660*'Appendix K'!$C$18*1000)-('Appendix K'!$E$44+'Appendix K'!$F$44+'Appendix K'!$H$44+'Appendix K'!$G$44))/((1+$Y$16)^AL$34))</f>
        <v>-272022.31301822746</v>
      </c>
      <c r="AM660" s="193">
        <f>(((P660*'Appendix K'!$C$19*1000)-('Appendix K'!$E$45+'Appendix K'!$F$45+'Appendix K'!$H$45+'Appendix K'!$G$45))/((1+$Y$16)^AM$34))</f>
        <v>-8484.7040817710495</v>
      </c>
      <c r="AN660" s="193">
        <f>(((Q660*'Appendix K'!$C$20*1000)-('Appendix K'!$E$46+'Appendix K'!$F$46+'Appendix K'!$H$46+'Appendix K'!$G$46))/((1+$Y$16)^AN$34))</f>
        <v>-54775.50619528367</v>
      </c>
      <c r="AO660" s="193">
        <f>(((R660*'Appendix K'!$C$21*1000)-('Appendix K'!$E$47+'Appendix K'!$F$47+'Appendix K'!$H$47+'Appendix K'!$G$47))/((1+$Y$16)^AO$34))</f>
        <v>-29359.23918782793</v>
      </c>
      <c r="AP660" s="193">
        <f>(((S660*'Appendix K'!$C$22*1000)-('Appendix K'!$E$48+'Appendix K'!$F$48+'Appendix K'!$H$48+'Appendix K'!$G$48))/((1+$Y$16)^AP$34))</f>
        <v>-97437.129776560076</v>
      </c>
      <c r="AQ660" s="193">
        <f>(((T660*'Appendix K'!$C$23*1000)-('Appendix K'!$E$49+'Appendix K'!$F$49+'Appendix K'!$H$49+'Appendix K'!$G$49))/((1+$Y$16)^AQ$34))</f>
        <v>-25399.281990417945</v>
      </c>
      <c r="AR660" s="193">
        <f>(((U660*'Appendix K'!$C$24*1000)-('Appendix K'!$E$50+'Appendix K'!$F$50+'Appendix K'!$H$50+'Appendix K'!$G$50))/((1+$Y$16)^AR$34))</f>
        <v>138763.72261251727</v>
      </c>
      <c r="AS660" s="209">
        <f t="shared" si="34"/>
        <v>82868522.819808245</v>
      </c>
      <c r="AU660" s="199">
        <f t="shared" si="33"/>
        <v>7.0051090682906348E-9</v>
      </c>
    </row>
    <row r="661" spans="1:47" x14ac:dyDescent="0.35">
      <c r="A661">
        <v>627</v>
      </c>
      <c r="B661" s="70">
        <v>56</v>
      </c>
      <c r="C661" s="70">
        <v>61.491322785466259</v>
      </c>
      <c r="D661" s="70">
        <v>48.133777463185922</v>
      </c>
      <c r="E661" s="70">
        <v>48.829971970663237</v>
      </c>
      <c r="F661" s="70">
        <v>39.54904582188135</v>
      </c>
      <c r="G661" s="70">
        <v>37.829092032598425</v>
      </c>
      <c r="H661" s="70">
        <v>45.955531094002524</v>
      </c>
      <c r="I661" s="70">
        <v>54.874970816535267</v>
      </c>
      <c r="J661" s="70">
        <v>60.795675948252025</v>
      </c>
      <c r="K661" s="70">
        <v>76.130274268863246</v>
      </c>
      <c r="L661" s="70">
        <v>60.854027035720527</v>
      </c>
      <c r="M661" s="70">
        <v>77.231340090467071</v>
      </c>
      <c r="N661" s="70">
        <v>124.7207363327656</v>
      </c>
      <c r="O661" s="70">
        <v>146.64922043453768</v>
      </c>
      <c r="P661" s="70">
        <v>162.21008182485829</v>
      </c>
      <c r="Q661" s="70">
        <v>175.78752407702103</v>
      </c>
      <c r="R661" s="70">
        <v>204.65222093005977</v>
      </c>
      <c r="S661" s="70">
        <v>148.87332902752226</v>
      </c>
      <c r="T661" s="70">
        <v>165.98344666069758</v>
      </c>
      <c r="U661" s="70">
        <v>128.63143857008649</v>
      </c>
      <c r="V661" s="70">
        <v>162.0792749362887</v>
      </c>
      <c r="X661" s="193">
        <f>((0-('Appendix K'!$I$30))/(1+$Y$16)^0)</f>
        <v>-33594902.4440751</v>
      </c>
      <c r="Y661" s="193">
        <f>(((B661*'Appendix K'!$C$5*1000)-('Appendix K'!$E$31+'Appendix K'!$F$31+'Appendix K'!$H$31+'Appendix K'!$G$31))/((1+$Y$16)^1))</f>
        <v>34971064.972647354</v>
      </c>
      <c r="Z661" s="193">
        <f>+(((C661*'Appendix K'!$C$6*1000)-('Appendix K'!$E$32+'Appendix K'!$F$32+'Appendix K'!$H$32+'Appendix K'!$G$32))/((1+$Y$16)^2))</f>
        <v>12046512.159446221</v>
      </c>
      <c r="AA661" s="193">
        <f>(((D661*'Appendix K'!$C$7*1000)-('Appendix K'!$E$33+'Appendix K'!$F$33+'Appendix K'!$H$33+'Appendix K'!$G$33))/((1+$Y$16)^3))</f>
        <v>3166135.6975827538</v>
      </c>
      <c r="AB661" s="193">
        <f>(((E661*'Appendix K'!$C$8*1000)-('Appendix K'!$E$34+'Appendix K'!$F$34+'Appendix K'!$H$34+'Appendix K'!$G$34))/((1+$Y$16)^4))</f>
        <v>7409874.9717449276</v>
      </c>
      <c r="AC661" s="193">
        <f>(((F661*'Appendix K'!$C$9*1000)-('Appendix K'!$E$35+'Appendix K'!$F$35+'Appendix K'!$H$35+'Appendix K'!$G$35))/((1+$Y$16)^AC$34))</f>
        <v>7527845.7571505494</v>
      </c>
      <c r="AD661" s="193">
        <f>(((G661*'Appendix K'!$C$10*1000)-('Appendix K'!$E$36+'Appendix K'!$F$36+'Appendix K'!$H$36+'Appendix K'!$G$36))/((1+$Y$16)^AD$34))</f>
        <v>3425067.1172827715</v>
      </c>
      <c r="AE661" s="193">
        <f>(((H661*'Appendix K'!$C$11*1000)-('Appendix K'!$E$37+'Appendix K'!$F$37+'Appendix K'!$H$37+'Appendix K'!$G$37))/((1+$Y$16)^AE$34))</f>
        <v>2363554.7378467293</v>
      </c>
      <c r="AF661" s="193">
        <f>(((I661*'Appendix K'!$C$12*1000)-('Appendix K'!$E$38+'Appendix K'!$F$38+'Appendix K'!$H$38+'Appendix K'!$G$38))/((1+$Y$16)^AF$34))</f>
        <v>1606644.756865127</v>
      </c>
      <c r="AG661" s="193">
        <f>(((J661*'Appendix K'!$C$13*1000)-('Appendix K'!$E$39+'Appendix K'!$F$39+'Appendix K'!$H$39+'Appendix K'!$G$39))/((1+$Y$16)^AG$34))</f>
        <v>982808.24050931085</v>
      </c>
      <c r="AH661" s="193">
        <f>(((K661*'Appendix K'!$C$14*1000)-('Appendix K'!$E$40+'Appendix K'!$F$40+'Appendix K'!$H$40+'Appendix K'!$G$40))/((1+$Y$16)^AH$34))</f>
        <v>933345.97053714911</v>
      </c>
      <c r="AI661" s="193">
        <f>(((L661*'Appendix K'!$C$15*1000)-('Appendix K'!$E$41+'Appendix K'!$F$41+'Appendix K'!$H$41+'Appendix K'!$G$41))/((1+$Y$16)^AI$34))</f>
        <v>78007.957593413812</v>
      </c>
      <c r="AJ661" s="193">
        <f>(((M661*'Appendix K'!$C$16*1000)-('Appendix K'!$E$42+'Appendix K'!$F$42+'Appendix K'!$H$42+'Appendix K'!$G$42))/((1+$Y$16)^AJ$34))</f>
        <v>166309.28591389922</v>
      </c>
      <c r="AK661" s="193">
        <f>(((N661*'Appendix K'!$C$17*1000)-('Appendix K'!$E$43+'Appendix K'!$F$43+'Appendix K'!$H$43))/((1+$Y$16)^AK$34))</f>
        <v>911937.98809671635</v>
      </c>
      <c r="AL661" s="193">
        <f>(((O661*'Appendix K'!$C$18*1000)-('Appendix K'!$E$44+'Appendix K'!$F$44+'Appendix K'!$H$44+'Appendix K'!$G$44))/((1+$Y$16)^AL$34))</f>
        <v>603687.23598527384</v>
      </c>
      <c r="AM661" s="193">
        <f>(((P661*'Appendix K'!$C$19*1000)-('Appendix K'!$E$45+'Appendix K'!$F$45+'Appendix K'!$H$45+'Appendix K'!$G$45))/((1+$Y$16)^AM$34))</f>
        <v>476715.80032396282</v>
      </c>
      <c r="AN661" s="193">
        <f>(((Q661*'Appendix K'!$C$20*1000)-('Appendix K'!$E$46+'Appendix K'!$F$46+'Appendix K'!$H$46+'Appendix K'!$G$46))/((1+$Y$16)^AN$34))</f>
        <v>356327.81206814985</v>
      </c>
      <c r="AO661" s="193">
        <f>(((R661*'Appendix K'!$C$21*1000)-('Appendix K'!$E$47+'Appendix K'!$F$47+'Appendix K'!$H$47+'Appendix K'!$G$47))/((1+$Y$16)^AO$34))</f>
        <v>366518.31030125276</v>
      </c>
      <c r="AP661" s="193">
        <f>(((S661*'Appendix K'!$C$22*1000)-('Appendix K'!$E$48+'Appendix K'!$F$48+'Appendix K'!$H$48+'Appendix K'!$G$48))/((1+$Y$16)^AP$34))</f>
        <v>-51391.769312946606</v>
      </c>
      <c r="AQ661" s="193">
        <f>(((T661*'Appendix K'!$C$23*1000)-('Appendix K'!$E$49+'Appendix K'!$F$49+'Appendix K'!$H$49+'Appendix K'!$G$49))/((1+$Y$16)^AQ$34))</f>
        <v>-43868.914133940263</v>
      </c>
      <c r="AR661" s="193">
        <f>(((U661*'Appendix K'!$C$24*1000)-('Appendix K'!$E$50+'Appendix K'!$F$50+'Appendix K'!$H$50+'Appendix K'!$G$50))/((1+$Y$16)^AR$34))</f>
        <v>-215092.03300654329</v>
      </c>
      <c r="AS661" s="209">
        <f t="shared" si="34"/>
        <v>43797456.327820487</v>
      </c>
      <c r="AU661" s="199">
        <f t="shared" si="33"/>
        <v>5.2176338993301846E-9</v>
      </c>
    </row>
    <row r="662" spans="1:47" x14ac:dyDescent="0.35">
      <c r="A662">
        <v>628</v>
      </c>
      <c r="B662" s="70">
        <v>56</v>
      </c>
      <c r="C662" s="70">
        <v>45.148768750070865</v>
      </c>
      <c r="D662" s="70">
        <v>44.028238941816248</v>
      </c>
      <c r="E662" s="70">
        <v>46.436832827562661</v>
      </c>
      <c r="F662" s="70">
        <v>58.081078974452566</v>
      </c>
      <c r="G662" s="70">
        <v>68.026530130353649</v>
      </c>
      <c r="H662" s="70">
        <v>76.926658343533774</v>
      </c>
      <c r="I662" s="70">
        <v>80.129062855246474</v>
      </c>
      <c r="J662" s="70">
        <v>103.66490158328206</v>
      </c>
      <c r="K662" s="70">
        <v>141.76470292139803</v>
      </c>
      <c r="L662" s="70">
        <v>179.25918892938765</v>
      </c>
      <c r="M662" s="70">
        <v>181.95970200393532</v>
      </c>
      <c r="N662" s="70">
        <v>212.83354065292272</v>
      </c>
      <c r="O662" s="70">
        <v>301.65629300253016</v>
      </c>
      <c r="P662" s="70">
        <v>334.05995364751408</v>
      </c>
      <c r="Q662" s="70">
        <v>211.24967103989405</v>
      </c>
      <c r="R662" s="70">
        <v>221.72817396160951</v>
      </c>
      <c r="S662" s="70">
        <v>229.95814429178256</v>
      </c>
      <c r="T662" s="70">
        <v>209.27572021573494</v>
      </c>
      <c r="U662" s="70">
        <v>196.01940147400566</v>
      </c>
      <c r="V662" s="70">
        <v>218.66778089711343</v>
      </c>
      <c r="X662" s="193">
        <f>((0-('Appendix K'!$I$30))/(1+$Y$16)^0)</f>
        <v>-33594902.4440751</v>
      </c>
      <c r="Y662" s="193">
        <f>(((B662*'Appendix K'!$C$5*1000)-('Appendix K'!$E$31+'Appendix K'!$F$31+'Appendix K'!$H$31+'Appendix K'!$G$31))/((1+$Y$16)^1))</f>
        <v>34971064.972647354</v>
      </c>
      <c r="Z662" s="193">
        <f>+(((C662*'Appendix K'!$C$6*1000)-('Appendix K'!$E$32+'Appendix K'!$F$32+'Appendix K'!$H$32+'Appendix K'!$G$32))/((1+$Y$16)^2))</f>
        <v>7918103.5013757953</v>
      </c>
      <c r="AA662" s="193">
        <f>(((D662*'Appendix K'!$C$7*1000)-('Appendix K'!$E$33+'Appendix K'!$F$33+'Appendix K'!$H$33+'Appendix K'!$G$33))/((1+$Y$16)^3))</f>
        <v>2643193.2524605347</v>
      </c>
      <c r="AB662" s="193">
        <f>(((E662*'Appendix K'!$C$8*1000)-('Appendix K'!$E$34+'Appendix K'!$F$34+'Appendix K'!$H$34+'Appendix K'!$G$34))/((1+$Y$16)^4))</f>
        <v>6885320.7786575723</v>
      </c>
      <c r="AC662" s="193">
        <f>(((F662*'Appendix K'!$C$9*1000)-('Appendix K'!$E$35+'Appendix K'!$F$35+'Appendix K'!$H$35+'Appendix K'!$G$35))/((1+$Y$16)^AC$34))</f>
        <v>12453631.068589842</v>
      </c>
      <c r="AD662" s="193">
        <f>(((G662*'Appendix K'!$C$10*1000)-('Appendix K'!$E$36+'Appendix K'!$F$36+'Appendix K'!$H$36+'Appendix K'!$G$36))/((1+$Y$16)^AD$34))</f>
        <v>8167392.1218236629</v>
      </c>
      <c r="AE662" s="193">
        <f>(((H662*'Appendix K'!$C$11*1000)-('Appendix K'!$E$37+'Appendix K'!$F$37+'Appendix K'!$H$37+'Appendix K'!$G$37))/((1+$Y$16)^AE$34))</f>
        <v>5452541.532107967</v>
      </c>
      <c r="AF662" s="193">
        <f>(((I662*'Appendix K'!$C$12*1000)-('Appendix K'!$E$38+'Appendix K'!$F$38+'Appendix K'!$H$38+'Appendix K'!$G$38))/((1+$Y$16)^AF$34))</f>
        <v>3264889.7327941647</v>
      </c>
      <c r="AG662" s="193">
        <f>(((J662*'Appendix K'!$C$13*1000)-('Appendix K'!$E$39+'Appendix K'!$F$39+'Appendix K'!$H$39+'Appendix K'!$G$39))/((1+$Y$16)^AG$34))</f>
        <v>2955604.2439840208</v>
      </c>
      <c r="AH662" s="193">
        <f>(((K662*'Appendix K'!$C$14*1000)-('Appendix K'!$E$40+'Appendix K'!$F$40+'Appendix K'!$H$40+'Appendix K'!$G$40))/((1+$Y$16)^AH$34))</f>
        <v>3145654.5960387704</v>
      </c>
      <c r="AI662" s="193">
        <f>(((L662*'Appendix K'!$C$15*1000)-('Appendix K'!$E$41+'Appendix K'!$F$41+'Appendix K'!$H$41+'Appendix K'!$G$41))/((1+$Y$16)^AI$34))</f>
        <v>3180444.617945964</v>
      </c>
      <c r="AJ662" s="193">
        <f>(((M662*'Appendix K'!$C$16*1000)-('Appendix K'!$E$42+'Appendix K'!$F$42+'Appendix K'!$H$42+'Appendix K'!$G$42))/((1+$Y$16)^AJ$34))</f>
        <v>2265261.1842020098</v>
      </c>
      <c r="AK662" s="193">
        <f>(((N662*'Appendix K'!$C$17*1000)-('Appendix K'!$E$43+'Appendix K'!$F$43+'Appendix K'!$H$43))/((1+$Y$16)^AK$34))</f>
        <v>2265694.0788158574</v>
      </c>
      <c r="AL662" s="193">
        <f>(((O662*'Appendix K'!$C$18*1000)-('Appendix K'!$E$44+'Appendix K'!$F$44+'Appendix K'!$H$44+'Appendix K'!$G$44))/((1+$Y$16)^AL$34))</f>
        <v>2441031.6782943434</v>
      </c>
      <c r="AM662" s="193">
        <f>(((P662*'Appendix K'!$C$19*1000)-('Appendix K'!$E$45+'Appendix K'!$F$45+'Appendix K'!$H$45+'Appendix K'!$G$45))/((1+$Y$16)^AM$34))</f>
        <v>2069546.1707845826</v>
      </c>
      <c r="AN662" s="193">
        <f>(((Q662*'Appendix K'!$C$20*1000)-('Appendix K'!$E$46+'Appendix K'!$F$46+'Appendix K'!$H$46+'Appendix K'!$G$46))/((1+$Y$16)^AN$34))</f>
        <v>612939.59890793799</v>
      </c>
      <c r="AO662" s="193">
        <f>(((R662*'Appendix K'!$C$21*1000)-('Appendix K'!$E$47+'Appendix K'!$F$47+'Appendix K'!$H$47+'Appendix K'!$G$47))/((1+$Y$16)^AO$34))</f>
        <v>467439.07926968974</v>
      </c>
      <c r="AP662" s="193">
        <f>(((S662*'Appendix K'!$C$22*1000)-('Appendix K'!$E$48+'Appendix K'!$F$48+'Appendix K'!$H$48+'Appendix K'!$G$48))/((1+$Y$16)^AP$34))</f>
        <v>336981.7386752147</v>
      </c>
      <c r="AQ662" s="193">
        <f>(((T662*'Appendix K'!$C$23*1000)-('Appendix K'!$E$49+'Appendix K'!$F$49+'Appendix K'!$H$49+'Appendix K'!$G$49))/((1+$Y$16)^AQ$34))</f>
        <v>125565.96145420676</v>
      </c>
      <c r="AR662" s="193">
        <f>(((U662*'Appendix K'!$C$24*1000)-('Appendix K'!$E$50+'Appendix K'!$F$50+'Appendix K'!$H$50+'Appendix K'!$G$50))/((1+$Y$16)^AR$34))</f>
        <v>1899.0956778783213</v>
      </c>
      <c r="AS662" s="209">
        <f t="shared" si="34"/>
        <v>68029296.560432285</v>
      </c>
      <c r="AU662" s="199">
        <f t="shared" si="33"/>
        <v>6.6231800821085808E-9</v>
      </c>
    </row>
    <row r="663" spans="1:47" x14ac:dyDescent="0.35">
      <c r="A663">
        <v>629</v>
      </c>
      <c r="B663" s="70">
        <v>56</v>
      </c>
      <c r="C663" s="70">
        <v>72.743507449870023</v>
      </c>
      <c r="D663" s="70">
        <v>115.55975231987335</v>
      </c>
      <c r="E663" s="70">
        <v>133.99651127994372</v>
      </c>
      <c r="F663" s="70">
        <v>130.54640075316334</v>
      </c>
      <c r="G663" s="70">
        <v>165.64317264369771</v>
      </c>
      <c r="H663" s="70">
        <v>196.42743782064451</v>
      </c>
      <c r="I663" s="70">
        <v>180.0032710352622</v>
      </c>
      <c r="J663" s="70">
        <v>83.022840579062759</v>
      </c>
      <c r="K663" s="70">
        <v>71.815487286291358</v>
      </c>
      <c r="L663" s="70">
        <v>82.558374658843803</v>
      </c>
      <c r="M663" s="70">
        <v>28.22535012474097</v>
      </c>
      <c r="N663" s="70">
        <v>31.999051245575437</v>
      </c>
      <c r="O663" s="70">
        <v>46.673192564693295</v>
      </c>
      <c r="P663" s="70">
        <v>60.47607928185424</v>
      </c>
      <c r="Q663" s="70">
        <v>35.332996355789476</v>
      </c>
      <c r="R663" s="70">
        <v>51.514223199423043</v>
      </c>
      <c r="S663" s="70">
        <v>88.28776000741135</v>
      </c>
      <c r="T663" s="70">
        <v>104.02113271863617</v>
      </c>
      <c r="U663" s="70">
        <v>97.118545321812036</v>
      </c>
      <c r="V663" s="70">
        <v>89.934449105942988</v>
      </c>
      <c r="X663" s="193">
        <f>((0-('Appendix K'!$I$30))/(1+$Y$16)^0)</f>
        <v>-33594902.4440751</v>
      </c>
      <c r="Y663" s="193">
        <f>(((B663*'Appendix K'!$C$5*1000)-('Appendix K'!$E$31+'Appendix K'!$F$31+'Appendix K'!$H$31+'Appendix K'!$G$31))/((1+$Y$16)^1))</f>
        <v>34971064.972647354</v>
      </c>
      <c r="Z663" s="193">
        <f>+(((C663*'Appendix K'!$C$6*1000)-('Appendix K'!$E$32+'Appendix K'!$F$32+'Appendix K'!$H$32+'Appendix K'!$G$32))/((1+$Y$16)^2))</f>
        <v>14889006.453185163</v>
      </c>
      <c r="AA663" s="193">
        <f>(((D663*'Appendix K'!$C$7*1000)-('Appendix K'!$E$33+'Appendix K'!$F$33+'Appendix K'!$H$33+'Appendix K'!$G$33))/((1+$Y$16)^3))</f>
        <v>11754510.638598319</v>
      </c>
      <c r="AB663" s="193">
        <f>(((E663*'Appendix K'!$C$8*1000)-('Appendix K'!$E$34+'Appendix K'!$F$34+'Appendix K'!$H$34+'Appendix K'!$G$34))/((1+$Y$16)^4))</f>
        <v>26077600.763710972</v>
      </c>
      <c r="AC663" s="193">
        <f>(((F663*'Appendix K'!$C$9*1000)-('Appendix K'!$E$35+'Appendix K'!$F$35+'Appendix K'!$H$35+'Appendix K'!$G$35))/((1+$Y$16)^AC$34))</f>
        <v>31714799.806396183</v>
      </c>
      <c r="AD663" s="193">
        <f>(((G663*'Appendix K'!$C$10*1000)-('Appendix K'!$E$36+'Appendix K'!$F$36+'Appendix K'!$H$36+'Appendix K'!$G$36))/((1+$Y$16)^AD$34))</f>
        <v>23497495.395875033</v>
      </c>
      <c r="AE663" s="193">
        <f>(((H663*'Appendix K'!$C$11*1000)-('Appendix K'!$E$37+'Appendix K'!$F$37+'Appendix K'!$H$37+'Appendix K'!$G$37))/((1+$Y$16)^AE$34))</f>
        <v>17371265.921266459</v>
      </c>
      <c r="AF663" s="193">
        <f>(((I663*'Appendix K'!$C$12*1000)-('Appendix K'!$E$38+'Appendix K'!$F$38+'Appendix K'!$H$38+'Appendix K'!$G$38))/((1+$Y$16)^AF$34))</f>
        <v>9822872.6404961888</v>
      </c>
      <c r="AG663" s="193">
        <f>(((J663*'Appendix K'!$C$13*1000)-('Appendix K'!$E$39+'Appendix K'!$F$39+'Appendix K'!$H$39+'Appendix K'!$G$39))/((1+$Y$16)^AG$34))</f>
        <v>2005678.6306944476</v>
      </c>
      <c r="AH663" s="193">
        <f>(((K663*'Appendix K'!$C$14*1000)-('Appendix K'!$E$40+'Appendix K'!$F$40+'Appendix K'!$H$40+'Appendix K'!$G$40))/((1+$Y$16)^AH$34))</f>
        <v>787909.48766197974</v>
      </c>
      <c r="AI663" s="193">
        <f>(((L663*'Appendix K'!$C$15*1000)-('Appendix K'!$E$41+'Appendix K'!$F$41+'Appendix K'!$H$41+'Appendix K'!$G$41))/((1+$Y$16)^AI$34))</f>
        <v>646702.45264831942</v>
      </c>
      <c r="AJ663" s="193">
        <f>(((M663*'Appendix K'!$C$16*1000)-('Appendix K'!$E$42+'Appendix K'!$F$42+'Appendix K'!$H$42+'Appendix K'!$G$42))/((1+$Y$16)^AJ$34))</f>
        <v>-815862.24610183039</v>
      </c>
      <c r="AK663" s="193">
        <f>(((N663*'Appendix K'!$C$17*1000)-('Appendix K'!$E$43+'Appendix K'!$F$43+'Appendix K'!$H$43))/((1+$Y$16)^AK$34))</f>
        <v>-512628.47414458008</v>
      </c>
      <c r="AL663" s="193">
        <f>(((O663*'Appendix K'!$C$18*1000)-('Appendix K'!$E$44+'Appendix K'!$F$44+'Appendix K'!$H$44+'Appendix K'!$G$44))/((1+$Y$16)^AL$34))</f>
        <v>-581358.0405147454</v>
      </c>
      <c r="AM663" s="193">
        <f>(((P663*'Appendix K'!$C$19*1000)-('Appendix K'!$E$45+'Appendix K'!$F$45+'Appendix K'!$H$45+'Appendix K'!$G$45))/((1+$Y$16)^AM$34))</f>
        <v>-466229.38340151979</v>
      </c>
      <c r="AN663" s="193">
        <f>(((Q663*'Appendix K'!$C$20*1000)-('Appendix K'!$E$46+'Appendix K'!$F$46+'Appendix K'!$H$46+'Appendix K'!$G$46))/((1+$Y$16)^AN$34))</f>
        <v>-660031.61382950225</v>
      </c>
      <c r="AO663" s="193">
        <f>(((R663*'Appendix K'!$C$21*1000)-('Appendix K'!$E$47+'Appendix K'!$F$47+'Appendix K'!$H$47+'Appendix K'!$G$47))/((1+$Y$16)^AO$34))</f>
        <v>-538544.17497896147</v>
      </c>
      <c r="AP663" s="193">
        <f>(((S663*'Appendix K'!$C$22*1000)-('Appendix K'!$E$48+'Appendix K'!$F$48+'Appendix K'!$H$48+'Appendix K'!$G$48))/((1+$Y$16)^AP$34))</f>
        <v>-341579.64107554738</v>
      </c>
      <c r="AQ663" s="193">
        <f>(((T663*'Appendix K'!$C$23*1000)-('Appendix K'!$E$49+'Appendix K'!$F$49+'Appendix K'!$H$49+'Appendix K'!$G$49))/((1+$Y$16)^AQ$34))</f>
        <v>-286373.54814398073</v>
      </c>
      <c r="AR663" s="193">
        <f>(((U663*'Appendix K'!$C$24*1000)-('Appendix K'!$E$50+'Appendix K'!$F$50+'Appendix K'!$H$50+'Appendix K'!$G$50))/((1+$Y$16)^AR$34))</f>
        <v>-316564.43222128606</v>
      </c>
      <c r="AS663" s="209">
        <f t="shared" si="34"/>
        <v>139944004.71910533</v>
      </c>
      <c r="AU663" s="199">
        <f t="shared" si="33"/>
        <v>4.5954171972478053E-9</v>
      </c>
    </row>
    <row r="664" spans="1:47" x14ac:dyDescent="0.35">
      <c r="A664">
        <v>630</v>
      </c>
      <c r="B664" s="70">
        <v>56</v>
      </c>
      <c r="C664" s="70">
        <v>28.751286055429361</v>
      </c>
      <c r="D664" s="70">
        <v>25.881336561292827</v>
      </c>
      <c r="E664" s="70">
        <v>28.478036413232036</v>
      </c>
      <c r="F664" s="70">
        <v>31.966169458991999</v>
      </c>
      <c r="G664" s="70">
        <v>42.059894860182879</v>
      </c>
      <c r="H664" s="70">
        <v>39.931625443687885</v>
      </c>
      <c r="I664" s="70">
        <v>46.554605842249302</v>
      </c>
      <c r="J664" s="70">
        <v>53.117365481433517</v>
      </c>
      <c r="K664" s="70">
        <v>70.848665863300525</v>
      </c>
      <c r="L664" s="70">
        <v>75.446562150757075</v>
      </c>
      <c r="M664" s="70">
        <v>67.967054784820633</v>
      </c>
      <c r="N664" s="70">
        <v>57.033805853256666</v>
      </c>
      <c r="O664" s="70">
        <v>41.33379608597734</v>
      </c>
      <c r="P664" s="70">
        <v>44.016829920672897</v>
      </c>
      <c r="Q664" s="70">
        <v>35.404120014975845</v>
      </c>
      <c r="R664" s="70">
        <v>39.911824359020919</v>
      </c>
      <c r="S664" s="70">
        <v>57.095174804933436</v>
      </c>
      <c r="T664" s="70">
        <v>31.25292051228697</v>
      </c>
      <c r="U664" s="70">
        <v>30.788283504884792</v>
      </c>
      <c r="V664" s="70">
        <v>36.660798857977838</v>
      </c>
      <c r="X664" s="193">
        <f>((0-('Appendix K'!$I$30))/(1+$Y$16)^0)</f>
        <v>-33594902.4440751</v>
      </c>
      <c r="Y664" s="193">
        <f>(((B664*'Appendix K'!$C$5*1000)-('Appendix K'!$E$31+'Appendix K'!$F$31+'Appendix K'!$H$31+'Appendix K'!$G$31))/((1+$Y$16)^1))</f>
        <v>34971064.972647354</v>
      </c>
      <c r="Z664" s="193">
        <f>+(((C664*'Appendix K'!$C$6*1000)-('Appendix K'!$E$32+'Appendix K'!$F$32+'Appendix K'!$H$32+'Appendix K'!$G$32))/((1+$Y$16)^2))</f>
        <v>3775818.9245281303</v>
      </c>
      <c r="AA664" s="193">
        <f>(((D664*'Appendix K'!$C$7*1000)-('Appendix K'!$E$33+'Appendix K'!$F$33+'Appendix K'!$H$33+'Appendix K'!$G$33))/((1+$Y$16)^3))</f>
        <v>331733.87803985662</v>
      </c>
      <c r="AB664" s="193">
        <f>(((E664*'Appendix K'!$C$8*1000)-('Appendix K'!$E$34+'Appendix K'!$F$34+'Appendix K'!$H$34+'Appendix K'!$G$34))/((1+$Y$16)^4))</f>
        <v>2948917.0015942077</v>
      </c>
      <c r="AC664" s="193">
        <f>(((F664*'Appendix K'!$C$9*1000)-('Appendix K'!$E$35+'Appendix K'!$F$35+'Appendix K'!$H$35+'Appendix K'!$G$35))/((1+$Y$16)^AC$34))</f>
        <v>5512329.1271472042</v>
      </c>
      <c r="AD664" s="193">
        <f>(((G664*'Appendix K'!$C$10*1000)-('Appendix K'!$E$36+'Appendix K'!$F$36+'Appendix K'!$H$36+'Appendix K'!$G$36))/((1+$Y$16)^AD$34))</f>
        <v>4089489.1114130472</v>
      </c>
      <c r="AE664" s="193">
        <f>(((H664*'Appendix K'!$C$11*1000)-('Appendix K'!$E$37+'Appendix K'!$F$37+'Appendix K'!$H$37+'Appendix K'!$G$37))/((1+$Y$16)^AE$34))</f>
        <v>1762744.6719496544</v>
      </c>
      <c r="AF664" s="193">
        <f>(((I664*'Appendix K'!$C$12*1000)-('Appendix K'!$E$38+'Appendix K'!$F$38+'Appendix K'!$H$38+'Appendix K'!$G$38))/((1+$Y$16)^AF$34))</f>
        <v>1060309.3988029032</v>
      </c>
      <c r="AG664" s="193">
        <f>(((J664*'Appendix K'!$C$13*1000)-('Appendix K'!$E$39+'Appendix K'!$F$39+'Appendix K'!$H$39+'Appendix K'!$G$39))/((1+$Y$16)^AG$34))</f>
        <v>629460.58894828544</v>
      </c>
      <c r="AH664" s="193">
        <f>(((K664*'Appendix K'!$C$14*1000)-('Appendix K'!$E$40+'Appendix K'!$F$40+'Appendix K'!$H$40+'Appendix K'!$G$40))/((1+$Y$16)^AH$34))</f>
        <v>755321.29549951537</v>
      </c>
      <c r="AI664" s="193">
        <f>(((L664*'Appendix K'!$C$15*1000)-('Appendix K'!$E$41+'Appendix K'!$F$41+'Appendix K'!$H$41+'Appendix K'!$G$41))/((1+$Y$16)^AI$34))</f>
        <v>460359.66578184429</v>
      </c>
      <c r="AJ664" s="193">
        <f>(((M664*'Appendix K'!$C$16*1000)-('Appendix K'!$E$42+'Appendix K'!$F$42+'Appendix K'!$H$42+'Appendix K'!$G$42))/((1+$Y$16)^AJ$34))</f>
        <v>-19364.287827623612</v>
      </c>
      <c r="AK664" s="193">
        <f>(((N664*'Appendix K'!$C$17*1000)-('Appendix K'!$E$43+'Appendix K'!$F$43+'Appendix K'!$H$43))/((1+$Y$16)^AK$34))</f>
        <v>-127997.07135021361</v>
      </c>
      <c r="AL664" s="193">
        <f>(((O664*'Appendix K'!$C$18*1000)-('Appendix K'!$E$44+'Appendix K'!$F$44+'Appendix K'!$H$44+'Appendix K'!$G$44))/((1+$Y$16)^AL$34))</f>
        <v>-644647.47810573119</v>
      </c>
      <c r="AM664" s="193">
        <f>(((P664*'Appendix K'!$C$19*1000)-('Appendix K'!$E$45+'Appendix K'!$F$45+'Appendix K'!$H$45+'Appendix K'!$G$45))/((1+$Y$16)^AM$34))</f>
        <v>-618785.75123244373</v>
      </c>
      <c r="AN664" s="193">
        <f>(((Q664*'Appendix K'!$C$20*1000)-('Appendix K'!$E$46+'Appendix K'!$F$46+'Appendix K'!$H$46+'Appendix K'!$G$46))/((1+$Y$16)^AN$34))</f>
        <v>-659516.94760555623</v>
      </c>
      <c r="AO664" s="193">
        <f>(((R664*'Appendix K'!$C$21*1000)-('Appendix K'!$E$47+'Appendix K'!$F$47+'Appendix K'!$H$47+'Appendix K'!$G$47))/((1+$Y$16)^AO$34))</f>
        <v>-607115.63395922864</v>
      </c>
      <c r="AP664" s="193">
        <f>(((S664*'Appendix K'!$C$22*1000)-('Appendix K'!$E$48+'Appendix K'!$F$48+'Appendix K'!$H$48+'Appendix K'!$G$48))/((1+$Y$16)^AP$34))</f>
        <v>-490983.36973700492</v>
      </c>
      <c r="AQ664" s="193">
        <f>(((T664*'Appendix K'!$C$23*1000)-('Appendix K'!$E$49+'Appendix K'!$F$49+'Appendix K'!$H$49+'Appendix K'!$G$49))/((1+$Y$16)^AQ$34))</f>
        <v>-571169.70157954097</v>
      </c>
      <c r="AR664" s="193">
        <f>(((U664*'Appendix K'!$C$24*1000)-('Appendix K'!$E$50+'Appendix K'!$F$50+'Appendix K'!$H$50+'Appendix K'!$G$50))/((1+$Y$16)^AR$34))</f>
        <v>-530149.73377001658</v>
      </c>
      <c r="AS664" s="209">
        <f t="shared" si="34"/>
        <v>22702646.19227691</v>
      </c>
      <c r="AU664" s="199">
        <f t="shared" si="33"/>
        <v>3.6544770092269436E-9</v>
      </c>
    </row>
    <row r="665" spans="1:47" x14ac:dyDescent="0.35">
      <c r="A665">
        <v>631</v>
      </c>
      <c r="B665" s="70">
        <v>56</v>
      </c>
      <c r="C665" s="70">
        <v>51.402824498186973</v>
      </c>
      <c r="D665" s="70">
        <v>61.179056034585855</v>
      </c>
      <c r="E665" s="70">
        <v>47.160581529082997</v>
      </c>
      <c r="F665" s="70">
        <v>26.694298083194223</v>
      </c>
      <c r="G665" s="70">
        <v>27.32041245170452</v>
      </c>
      <c r="H665" s="70">
        <v>22.160479242307936</v>
      </c>
      <c r="I665" s="70">
        <v>15.118155252340724</v>
      </c>
      <c r="J665" s="70">
        <v>13.175581692635102</v>
      </c>
      <c r="K665" s="70">
        <v>22.064855572879317</v>
      </c>
      <c r="L665" s="70">
        <v>25.231270115633642</v>
      </c>
      <c r="M665" s="70">
        <v>42.209970581962779</v>
      </c>
      <c r="N665" s="70">
        <v>65.969076780246496</v>
      </c>
      <c r="O665" s="70">
        <v>60.219565840518499</v>
      </c>
      <c r="P665" s="70">
        <v>112.91387642604568</v>
      </c>
      <c r="Q665" s="70">
        <v>123.33944615991793</v>
      </c>
      <c r="R665" s="70">
        <v>112.68993397710541</v>
      </c>
      <c r="S665" s="70">
        <v>180.42102078995316</v>
      </c>
      <c r="T665" s="70">
        <v>183.9554928357891</v>
      </c>
      <c r="U665" s="70">
        <v>217.93664827025412</v>
      </c>
      <c r="V665" s="70">
        <v>221.06377978761714</v>
      </c>
      <c r="X665" s="193">
        <f>((0-('Appendix K'!$I$30))/(1+$Y$16)^0)</f>
        <v>-33594902.4440751</v>
      </c>
      <c r="Y665" s="193">
        <f>(((B665*'Appendix K'!$C$5*1000)-('Appendix K'!$E$31+'Appendix K'!$F$31+'Appendix K'!$H$31+'Appendix K'!$G$31))/((1+$Y$16)^1))</f>
        <v>34971064.972647354</v>
      </c>
      <c r="Z665" s="193">
        <f>+(((C665*'Appendix K'!$C$6*1000)-('Appendix K'!$E$32+'Appendix K'!$F$32+'Appendix K'!$H$32+'Appendix K'!$G$32))/((1+$Y$16)^2))</f>
        <v>9497984.9472414255</v>
      </c>
      <c r="AA665" s="193">
        <f>(((D665*'Appendix K'!$C$7*1000)-('Appendix K'!$E$33+'Appendix K'!$F$33+'Appendix K'!$H$33+'Appendix K'!$G$33))/((1+$Y$16)^3))</f>
        <v>4827776.390495427</v>
      </c>
      <c r="AB665" s="193">
        <f>(((E665*'Appendix K'!$C$8*1000)-('Appendix K'!$E$34+'Appendix K'!$F$34+'Appendix K'!$H$34+'Appendix K'!$G$34))/((1+$Y$16)^4))</f>
        <v>7043959.8687491529</v>
      </c>
      <c r="AC665" s="193">
        <f>(((F665*'Appendix K'!$C$9*1000)-('Appendix K'!$E$35+'Appendix K'!$F$35+'Appendix K'!$H$35+'Appendix K'!$G$35))/((1+$Y$16)^AC$34))</f>
        <v>4111073.9937837604</v>
      </c>
      <c r="AD665" s="193">
        <f>(((G665*'Appendix K'!$C$10*1000)-('Appendix K'!$E$36+'Appendix K'!$F$36+'Appendix K'!$H$36+'Appendix K'!$G$36))/((1+$Y$16)^AD$34))</f>
        <v>1774742.5506803466</v>
      </c>
      <c r="AE665" s="193">
        <f>(((H665*'Appendix K'!$C$11*1000)-('Appendix K'!$E$37+'Appendix K'!$F$37+'Appendix K'!$H$37+'Appendix K'!$G$37))/((1+$Y$16)^AE$34))</f>
        <v>-9707.3118824560115</v>
      </c>
      <c r="AF665" s="193">
        <f>(((I665*'Appendix K'!$C$12*1000)-('Appendix K'!$E$38+'Appendix K'!$F$38+'Appendix K'!$H$38+'Appendix K'!$G$38))/((1+$Y$16)^AF$34))</f>
        <v>-1003884.2444233076</v>
      </c>
      <c r="AG665" s="193">
        <f>(((J665*'Appendix K'!$C$13*1000)-('Appendix K'!$E$39+'Appendix K'!$F$39+'Appendix K'!$H$39+'Appendix K'!$G$39))/((1+$Y$16)^AG$34))</f>
        <v>-1208617.6656261228</v>
      </c>
      <c r="AH665" s="193">
        <f>(((K665*'Appendix K'!$C$14*1000)-('Appendix K'!$E$40+'Appendix K'!$F$40+'Appendix K'!$H$40+'Appendix K'!$G$40))/((1+$Y$16)^AH$34))</f>
        <v>-889011.51132176467</v>
      </c>
      <c r="AI665" s="193">
        <f>(((L665*'Appendix K'!$C$15*1000)-('Appendix K'!$E$41+'Appendix K'!$F$41+'Appendix K'!$H$41+'Appendix K'!$G$41))/((1+$Y$16)^AI$34))</f>
        <v>-855374.8885949502</v>
      </c>
      <c r="AJ665" s="193">
        <f>(((M665*'Appendix K'!$C$16*1000)-('Appendix K'!$E$42+'Appendix K'!$F$42+'Appendix K'!$H$42+'Appendix K'!$G$42))/((1+$Y$16)^AJ$34))</f>
        <v>-535584.34316110273</v>
      </c>
      <c r="AK665" s="193">
        <f>(((N665*'Appendix K'!$C$17*1000)-('Appendix K'!$E$43+'Appendix K'!$F$43+'Appendix K'!$H$43))/((1+$Y$16)^AK$34))</f>
        <v>9283.5149728228917</v>
      </c>
      <c r="AL665" s="193">
        <f>(((O665*'Appendix K'!$C$18*1000)-('Appendix K'!$E$44+'Appendix K'!$F$44+'Appendix K'!$H$44+'Appendix K'!$G$44))/((1+$Y$16)^AL$34))</f>
        <v>-420788.89202725264</v>
      </c>
      <c r="AM665" s="193">
        <f>(((P665*'Appendix K'!$C$19*1000)-('Appendix K'!$E$45+'Appendix K'!$F$45+'Appendix K'!$H$45+'Appendix K'!$G$45))/((1+$Y$16)^AM$34))</f>
        <v>19802.49410558855</v>
      </c>
      <c r="AN665" s="193">
        <f>(((Q665*'Appendix K'!$C$20*1000)-('Appendix K'!$E$46+'Appendix K'!$F$46+'Appendix K'!$H$46+'Appendix K'!$G$46))/((1+$Y$16)^AN$34))</f>
        <v>-23197.855250044435</v>
      </c>
      <c r="AO665" s="193">
        <f>(((R665*'Appendix K'!$C$21*1000)-('Appendix K'!$E$47+'Appendix K'!$F$47+'Appendix K'!$H$47+'Appendix K'!$G$47))/((1+$Y$16)^AO$34))</f>
        <v>-176988.96558787042</v>
      </c>
      <c r="AP665" s="193">
        <f>(((S665*'Appendix K'!$C$22*1000)-('Appendix K'!$E$48+'Appendix K'!$F$48+'Appendix K'!$H$48+'Appendix K'!$G$48))/((1+$Y$16)^AP$34))</f>
        <v>99712.820107076899</v>
      </c>
      <c r="AQ665" s="193">
        <f>(((T665*'Appendix K'!$C$23*1000)-('Appendix K'!$E$49+'Appendix K'!$F$49+'Appendix K'!$H$49+'Appendix K'!$G$49))/((1+$Y$16)^AQ$34))</f>
        <v>26469.073633550157</v>
      </c>
      <c r="AR665" s="193">
        <f>(((U665*'Appendix K'!$C$24*1000)-('Appendix K'!$E$50+'Appendix K'!$F$50+'Appendix K'!$H$50+'Appendix K'!$G$50))/((1+$Y$16)^AR$34))</f>
        <v>72473.244458036628</v>
      </c>
      <c r="AS665" s="209">
        <f t="shared" si="34"/>
        <v>28859441.426799431</v>
      </c>
      <c r="AU665" s="199">
        <f t="shared" si="33"/>
        <v>4.1130334216904045E-9</v>
      </c>
    </row>
    <row r="666" spans="1:47" x14ac:dyDescent="0.35">
      <c r="A666">
        <v>632</v>
      </c>
      <c r="B666" s="70">
        <v>56</v>
      </c>
      <c r="C666" s="70">
        <v>43.954368181462087</v>
      </c>
      <c r="D666" s="70">
        <v>49.025733087422068</v>
      </c>
      <c r="E666" s="70">
        <v>56.508027811719039</v>
      </c>
      <c r="F666" s="70">
        <v>38.947731944583758</v>
      </c>
      <c r="G666" s="70">
        <v>29.184784049049775</v>
      </c>
      <c r="H666" s="70">
        <v>17.099043315132</v>
      </c>
      <c r="I666" s="70">
        <v>25.373498776826516</v>
      </c>
      <c r="J666" s="70">
        <v>30.879107717859853</v>
      </c>
      <c r="K666" s="70">
        <v>23.813818406553693</v>
      </c>
      <c r="L666" s="70">
        <v>26.687508315199246</v>
      </c>
      <c r="M666" s="70">
        <v>21.313243575452763</v>
      </c>
      <c r="N666" s="70">
        <v>15.134130178912162</v>
      </c>
      <c r="O666" s="70">
        <v>20.234271241831085</v>
      </c>
      <c r="P666" s="70">
        <v>32.137838873464709</v>
      </c>
      <c r="Q666" s="70">
        <v>28.411170894241149</v>
      </c>
      <c r="R666" s="70">
        <v>33.561353074348496</v>
      </c>
      <c r="S666" s="70">
        <v>22.439820007273038</v>
      </c>
      <c r="T666" s="70">
        <v>13.863634797104947</v>
      </c>
      <c r="U666" s="70">
        <v>8.071294624739302</v>
      </c>
      <c r="V666" s="70">
        <v>7.095431788600659</v>
      </c>
      <c r="X666" s="193">
        <f>((0-('Appendix K'!$I$30))/(1+$Y$16)^0)</f>
        <v>-33594902.4440751</v>
      </c>
      <c r="Y666" s="193">
        <f>(((B666*'Appendix K'!$C$5*1000)-('Appendix K'!$E$31+'Appendix K'!$F$31+'Appendix K'!$H$31+'Appendix K'!$G$31))/((1+$Y$16)^1))</f>
        <v>34971064.972647354</v>
      </c>
      <c r="Z666" s="193">
        <f>+(((C666*'Appendix K'!$C$6*1000)-('Appendix K'!$E$32+'Appendix K'!$F$32+'Appendix K'!$H$32+'Appendix K'!$G$32))/((1+$Y$16)^2))</f>
        <v>7616377.4897640869</v>
      </c>
      <c r="AA666" s="193">
        <f>(((D666*'Appendix K'!$C$7*1000)-('Appendix K'!$E$33+'Appendix K'!$F$33+'Appendix K'!$H$33+'Appendix K'!$G$33))/((1+$Y$16)^3))</f>
        <v>3279748.4313692469</v>
      </c>
      <c r="AB666" s="193">
        <f>(((E666*'Appendix K'!$C$8*1000)-('Appendix K'!$E$34+'Appendix K'!$F$34+'Appendix K'!$H$34+'Appendix K'!$G$34))/((1+$Y$16)^4))</f>
        <v>9092834.5262681693</v>
      </c>
      <c r="AC666" s="193">
        <f>(((F666*'Appendix K'!$C$9*1000)-('Appendix K'!$E$35+'Appendix K'!$F$35+'Appendix K'!$H$35+'Appendix K'!$G$35))/((1+$Y$16)^AC$34))</f>
        <v>7368017.4727970771</v>
      </c>
      <c r="AD666" s="193">
        <f>(((G666*'Appendix K'!$C$10*1000)-('Appendix K'!$E$36+'Appendix K'!$F$36+'Appendix K'!$H$36+'Appendix K'!$G$36))/((1+$Y$16)^AD$34))</f>
        <v>2067530.8334222359</v>
      </c>
      <c r="AE666" s="193">
        <f>(((H666*'Appendix K'!$C$11*1000)-('Appendix K'!$E$37+'Appendix K'!$F$37+'Appendix K'!$H$37+'Appendix K'!$G$37))/((1+$Y$16)^AE$34))</f>
        <v>-514522.92976677016</v>
      </c>
      <c r="AF666" s="193">
        <f>(((I666*'Appendix K'!$C$12*1000)-('Appendix K'!$E$38+'Appendix K'!$F$38+'Appendix K'!$H$38+'Appendix K'!$G$38))/((1+$Y$16)^AF$34))</f>
        <v>-330493.49848648335</v>
      </c>
      <c r="AG666" s="193">
        <f>(((J666*'Appendix K'!$C$13*1000)-('Appendix K'!$E$39+'Appendix K'!$F$39+'Appendix K'!$H$39+'Appendix K'!$G$39))/((1+$Y$16)^AG$34))</f>
        <v>-393920.29536536813</v>
      </c>
      <c r="AH666" s="193">
        <f>(((K666*'Appendix K'!$C$14*1000)-('Appendix K'!$E$40+'Appendix K'!$F$40+'Appendix K'!$H$40+'Appendix K'!$G$40))/((1+$Y$16)^AH$34))</f>
        <v>-830060.04877299839</v>
      </c>
      <c r="AI666" s="193">
        <f>(((L666*'Appendix K'!$C$15*1000)-('Appendix K'!$E$41+'Appendix K'!$F$41+'Appendix K'!$H$41+'Appendix K'!$G$41))/((1+$Y$16)^AI$34))</f>
        <v>-817218.72458754515</v>
      </c>
      <c r="AJ666" s="193">
        <f>(((M666*'Appendix K'!$C$16*1000)-('Appendix K'!$E$42+'Appendix K'!$F$42+'Appendix K'!$H$42+'Appendix K'!$G$42))/((1+$Y$16)^AJ$34))</f>
        <v>-954393.76610006671</v>
      </c>
      <c r="AK666" s="193">
        <f>(((N666*'Appendix K'!$C$17*1000)-('Appendix K'!$E$43+'Appendix K'!$F$43+'Appendix K'!$H$43))/((1+$Y$16)^AK$34))</f>
        <v>-771739.3921280409</v>
      </c>
      <c r="AL666" s="193">
        <f>(((O666*'Appendix K'!$C$18*1000)-('Appendix K'!$E$44+'Appendix K'!$F$44+'Appendix K'!$H$44+'Appendix K'!$G$44))/((1+$Y$16)^AL$34))</f>
        <v>-894746.35466344061</v>
      </c>
      <c r="AM666" s="193">
        <f>(((P666*'Appendix K'!$C$19*1000)-('Appendix K'!$E$45+'Appendix K'!$F$45+'Appendix K'!$H$45+'Appendix K'!$G$45))/((1+$Y$16)^AM$34))</f>
        <v>-728888.93321182381</v>
      </c>
      <c r="AN666" s="193">
        <f>(((Q666*'Appendix K'!$C$20*1000)-('Appendix K'!$E$46+'Appendix K'!$F$46+'Appendix K'!$H$46+'Appendix K'!$G$46))/((1+$Y$16)^AN$34))</f>
        <v>-710119.44415011618</v>
      </c>
      <c r="AO666" s="193">
        <f>(((R666*'Appendix K'!$C$21*1000)-('Appendix K'!$E$47+'Appendix K'!$F$47+'Appendix K'!$H$47+'Appendix K'!$G$47))/((1+$Y$16)^AO$34))</f>
        <v>-644647.62085196574</v>
      </c>
      <c r="AP666" s="193">
        <f>(((S666*'Appendix K'!$C$22*1000)-('Appendix K'!$E$48+'Appendix K'!$F$48+'Appendix K'!$H$48+'Appendix K'!$G$48))/((1+$Y$16)^AP$34))</f>
        <v>-656972.79290430597</v>
      </c>
      <c r="AQ666" s="193">
        <f>(((T666*'Appendix K'!$C$23*1000)-('Appendix K'!$E$49+'Appendix K'!$F$49+'Appendix K'!$H$49+'Appendix K'!$G$49))/((1+$Y$16)^AQ$34))</f>
        <v>-639226.91409744939</v>
      </c>
      <c r="AR666" s="193">
        <f>(((U666*'Appendix K'!$C$24*1000)-('Appendix K'!$E$50+'Appendix K'!$F$50+'Appendix K'!$H$50+'Appendix K'!$G$50))/((1+$Y$16)^AR$34))</f>
        <v>-603299.07446818368</v>
      </c>
      <c r="AS666" s="209">
        <f t="shared" si="34"/>
        <v>30800671.282193065</v>
      </c>
      <c r="AU666" s="199">
        <f t="shared" si="33"/>
        <v>4.2588156612479137E-9</v>
      </c>
    </row>
    <row r="667" spans="1:47" x14ac:dyDescent="0.35">
      <c r="A667">
        <v>633</v>
      </c>
      <c r="B667" s="70">
        <v>56</v>
      </c>
      <c r="C667" s="70">
        <v>43.086611847805997</v>
      </c>
      <c r="D667" s="70">
        <v>26.868563022427207</v>
      </c>
      <c r="E667" s="70">
        <v>38.945385871957868</v>
      </c>
      <c r="F667" s="70">
        <v>19.500773433233384</v>
      </c>
      <c r="G667" s="70">
        <v>15.401450783451613</v>
      </c>
      <c r="H667" s="70">
        <v>20.523782982905011</v>
      </c>
      <c r="I667" s="70">
        <v>8.9574942944525269</v>
      </c>
      <c r="J667" s="70">
        <v>14.663316330522484</v>
      </c>
      <c r="K667" s="70">
        <v>19.264237945338817</v>
      </c>
      <c r="L667" s="70">
        <v>21.068176424502454</v>
      </c>
      <c r="M667" s="70">
        <v>18.567064593058635</v>
      </c>
      <c r="N667" s="70">
        <v>31.866544735678321</v>
      </c>
      <c r="O667" s="70">
        <v>16.51546740648249</v>
      </c>
      <c r="P667" s="70">
        <v>24.958799865735656</v>
      </c>
      <c r="Q667" s="70">
        <v>23.455491302873039</v>
      </c>
      <c r="R667" s="70">
        <v>27.08931460507787</v>
      </c>
      <c r="S667" s="70">
        <v>27.060941139955403</v>
      </c>
      <c r="T667" s="70">
        <v>50.401463290484656</v>
      </c>
      <c r="U667" s="70">
        <v>61.942713372042</v>
      </c>
      <c r="V667" s="70">
        <v>101.69349174510747</v>
      </c>
      <c r="X667" s="193">
        <f>((0-('Appendix K'!$I$30))/(1+$Y$16)^0)</f>
        <v>-33594902.4440751</v>
      </c>
      <c r="Y667" s="193">
        <f>(((B667*'Appendix K'!$C$5*1000)-('Appendix K'!$E$31+'Appendix K'!$F$31+'Appendix K'!$H$31+'Appendix K'!$G$31))/((1+$Y$16)^1))</f>
        <v>34971064.972647354</v>
      </c>
      <c r="Z667" s="193">
        <f>+(((C667*'Appendix K'!$C$6*1000)-('Appendix K'!$E$32+'Appendix K'!$F$32+'Appendix K'!$H$32+'Appendix K'!$G$32))/((1+$Y$16)^2))</f>
        <v>7397167.3985383073</v>
      </c>
      <c r="AA667" s="193">
        <f>(((D667*'Appendix K'!$C$7*1000)-('Appendix K'!$E$33+'Appendix K'!$F$33+'Appendix K'!$H$33+'Appendix K'!$G$33))/((1+$Y$16)^3))</f>
        <v>457481.72251574625</v>
      </c>
      <c r="AB667" s="193">
        <f>(((E667*'Appendix K'!$C$8*1000)-('Appendix K'!$E$34+'Appendix K'!$F$34+'Appendix K'!$H$34+'Appendix K'!$G$34))/((1+$Y$16)^4))</f>
        <v>5243264.1835852629</v>
      </c>
      <c r="AC667" s="193">
        <f>(((F667*'Appendix K'!$C$9*1000)-('Appendix K'!$E$35+'Appendix K'!$F$35+'Appendix K'!$H$35+'Appendix K'!$G$35))/((1+$Y$16)^AC$34))</f>
        <v>2199046.4376849122</v>
      </c>
      <c r="AD667" s="193">
        <f>(((G667*'Appendix K'!$C$10*1000)-('Appendix K'!$E$36+'Appendix K'!$F$36+'Appendix K'!$H$36+'Appendix K'!$G$36))/((1+$Y$16)^AD$34))</f>
        <v>-97058.287673617262</v>
      </c>
      <c r="AE667" s="193">
        <f>(((H667*'Appendix K'!$C$11*1000)-('Appendix K'!$E$37+'Appendix K'!$F$37+'Appendix K'!$H$37+'Appendix K'!$G$37))/((1+$Y$16)^AE$34))</f>
        <v>-172947.51592084512</v>
      </c>
      <c r="AF667" s="193">
        <f>(((I667*'Appendix K'!$C$12*1000)-('Appendix K'!$E$38+'Appendix K'!$F$38+'Appendix K'!$H$38+'Appendix K'!$G$38))/((1+$Y$16)^AF$34))</f>
        <v>-1408408.1950828943</v>
      </c>
      <c r="AG667" s="193">
        <f>(((J667*'Appendix K'!$C$13*1000)-('Appendix K'!$E$39+'Appendix K'!$F$39+'Appendix K'!$H$39+'Appendix K'!$G$39))/((1+$Y$16)^AG$34))</f>
        <v>-1140153.7056553408</v>
      </c>
      <c r="AH667" s="193">
        <f>(((K667*'Appendix K'!$C$14*1000)-('Appendix K'!$E$40+'Appendix K'!$F$40+'Appendix K'!$H$40+'Appendix K'!$G$40))/((1+$Y$16)^AH$34))</f>
        <v>-983410.60431821842</v>
      </c>
      <c r="AI667" s="193">
        <f>(((L667*'Appendix K'!$C$15*1000)-('Appendix K'!$E$41+'Appendix K'!$F$41+'Appendix K'!$H$41+'Appendix K'!$G$41))/((1+$Y$16)^AI$34))</f>
        <v>-964455.72832596395</v>
      </c>
      <c r="AJ667" s="193">
        <f>(((M667*'Appendix K'!$C$16*1000)-('Appendix K'!$E$42+'Appendix K'!$F$42+'Appendix K'!$H$42+'Appendix K'!$G$42))/((1+$Y$16)^AJ$34))</f>
        <v>-1009432.319962846</v>
      </c>
      <c r="AK667" s="193">
        <f>(((N667*'Appendix K'!$C$17*1000)-('Appendix K'!$E$43+'Appendix K'!$F$43+'Appendix K'!$H$43))/((1+$Y$16)^AK$34))</f>
        <v>-514664.2905757695</v>
      </c>
      <c r="AL667" s="193">
        <f>(((O667*'Appendix K'!$C$18*1000)-('Appendix K'!$E$44+'Appendix K'!$F$44+'Appendix K'!$H$44+'Appendix K'!$G$44))/((1+$Y$16)^AL$34))</f>
        <v>-938826.43078976241</v>
      </c>
      <c r="AM667" s="193">
        <f>(((P667*'Appendix K'!$C$19*1000)-('Appendix K'!$E$45+'Appendix K'!$F$45+'Appendix K'!$H$45+'Appendix K'!$G$45))/((1+$Y$16)^AM$34))</f>
        <v>-795429.5203007271</v>
      </c>
      <c r="AN667" s="193">
        <f>(((Q667*'Appendix K'!$C$20*1000)-('Appendix K'!$E$46+'Appendix K'!$F$46+'Appendix K'!$H$46+'Appendix K'!$G$46))/((1+$Y$16)^AN$34))</f>
        <v>-745979.81651498808</v>
      </c>
      <c r="AO667" s="193">
        <f>(((R667*'Appendix K'!$C$21*1000)-('Appendix K'!$E$47+'Appendix K'!$F$47+'Appendix K'!$H$47+'Appendix K'!$G$47))/((1+$Y$16)^AO$34))</f>
        <v>-682898.08323642577</v>
      </c>
      <c r="AP667" s="193">
        <f>(((S667*'Appendix K'!$C$22*1000)-('Appendix K'!$E$48+'Appendix K'!$F$48+'Appendix K'!$H$48+'Appendix K'!$G$48))/((1+$Y$16)^AP$34))</f>
        <v>-634838.91963482916</v>
      </c>
      <c r="AQ667" s="193">
        <f>(((T667*'Appendix K'!$C$23*1000)-('Appendix K'!$E$49+'Appendix K'!$F$49+'Appendix K'!$H$49+'Appendix K'!$G$49))/((1+$Y$16)^AQ$34))</f>
        <v>-496227.20729834778</v>
      </c>
      <c r="AR667" s="193">
        <f>(((U667*'Appendix K'!$C$24*1000)-('Appendix K'!$E$50+'Appendix K'!$F$50+'Appendix K'!$H$50+'Appendix K'!$G$50))/((1+$Y$16)^AR$34))</f>
        <v>-429831.59668620606</v>
      </c>
      <c r="AS667" s="209">
        <f t="shared" si="34"/>
        <v>16673122.270896487</v>
      </c>
      <c r="AU667" s="199">
        <f t="shared" si="33"/>
        <v>3.2180693959460032E-9</v>
      </c>
    </row>
    <row r="668" spans="1:47" x14ac:dyDescent="0.35">
      <c r="A668">
        <v>634</v>
      </c>
      <c r="B668" s="70">
        <v>56</v>
      </c>
      <c r="C668" s="70">
        <v>73.606036405145019</v>
      </c>
      <c r="D668" s="70">
        <v>43.671960456495533</v>
      </c>
      <c r="E668" s="70">
        <v>29.514650598461913</v>
      </c>
      <c r="F668" s="70">
        <v>26.257819667037385</v>
      </c>
      <c r="G668" s="70">
        <v>31.508770053719331</v>
      </c>
      <c r="H668" s="70">
        <v>36.654728848516775</v>
      </c>
      <c r="I668" s="70">
        <v>36.655812155729855</v>
      </c>
      <c r="J668" s="70">
        <v>33.689939778473686</v>
      </c>
      <c r="K668" s="70">
        <v>24.832347752381882</v>
      </c>
      <c r="L668" s="70">
        <v>20.156433851865671</v>
      </c>
      <c r="M668" s="70">
        <v>17.828370893306321</v>
      </c>
      <c r="N668" s="70">
        <v>24.706248710212307</v>
      </c>
      <c r="O668" s="70">
        <v>24.520880192135156</v>
      </c>
      <c r="P668" s="70">
        <v>34.30878699213978</v>
      </c>
      <c r="Q668" s="70">
        <v>40.969519970607649</v>
      </c>
      <c r="R668" s="70">
        <v>51.932548987747431</v>
      </c>
      <c r="S668" s="70">
        <v>55.40300387045405</v>
      </c>
      <c r="T668" s="70">
        <v>73.460098508660565</v>
      </c>
      <c r="U668" s="70">
        <v>93.120826971417188</v>
      </c>
      <c r="V668" s="70">
        <v>150.33011371009275</v>
      </c>
      <c r="X668" s="193">
        <f>((0-('Appendix K'!$I$30))/(1+$Y$16)^0)</f>
        <v>-33594902.4440751</v>
      </c>
      <c r="Y668" s="193">
        <f>(((B668*'Appendix K'!$C$5*1000)-('Appendix K'!$E$31+'Appendix K'!$F$31+'Appendix K'!$H$31+'Appendix K'!$G$31))/((1+$Y$16)^1))</f>
        <v>34971064.972647354</v>
      </c>
      <c r="Z668" s="193">
        <f>+(((C668*'Appendix K'!$C$6*1000)-('Appendix K'!$E$32+'Appendix K'!$F$32+'Appendix K'!$H$32+'Appendix K'!$G$32))/((1+$Y$16)^2))</f>
        <v>15106896.019227376</v>
      </c>
      <c r="AA668" s="193">
        <f>(((D668*'Appendix K'!$C$7*1000)-('Appendix K'!$E$33+'Appendix K'!$F$33+'Appendix K'!$H$33+'Appendix K'!$G$33))/((1+$Y$16)^3))</f>
        <v>2597812.3258687421</v>
      </c>
      <c r="AB668" s="193">
        <f>(((E668*'Appendix K'!$C$8*1000)-('Appendix K'!$E$34+'Appendix K'!$F$34+'Appendix K'!$H$34+'Appendix K'!$G$34))/((1+$Y$16)^4))</f>
        <v>3176133.3417070783</v>
      </c>
      <c r="AC668" s="193">
        <f>(((F668*'Appendix K'!$C$9*1000)-('Appendix K'!$E$35+'Appendix K'!$F$35+'Appendix K'!$H$35+'Appendix K'!$G$35))/((1+$Y$16)^AC$34))</f>
        <v>3995058.716163381</v>
      </c>
      <c r="AD668" s="193">
        <f>(((G668*'Appendix K'!$C$10*1000)-('Appendix K'!$E$36+'Appendix K'!$F$36+'Appendix K'!$H$36+'Appendix K'!$G$36))/((1+$Y$16)^AD$34))</f>
        <v>2432498.7788641634</v>
      </c>
      <c r="AE668" s="193">
        <f>(((H668*'Appendix K'!$C$11*1000)-('Appendix K'!$E$37+'Appendix K'!$F$37+'Appendix K'!$H$37+'Appendix K'!$G$37))/((1+$Y$16)^AE$34))</f>
        <v>1435914.775604943</v>
      </c>
      <c r="AF668" s="193">
        <f>(((I668*'Appendix K'!$C$12*1000)-('Appendix K'!$E$38+'Appendix K'!$F$38+'Appendix K'!$H$38+'Appendix K'!$G$38))/((1+$Y$16)^AF$34))</f>
        <v>410330.58058732521</v>
      </c>
      <c r="AG668" s="193">
        <f>(((J668*'Appendix K'!$C$13*1000)-('Appendix K'!$E$39+'Appendix K'!$F$39+'Appendix K'!$H$39+'Appendix K'!$G$39))/((1+$Y$16)^AG$34))</f>
        <v>-264568.80432545597</v>
      </c>
      <c r="AH668" s="193">
        <f>(((K668*'Appendix K'!$C$14*1000)-('Appendix K'!$E$40+'Appendix K'!$F$40+'Appendix K'!$H$40+'Appendix K'!$G$40))/((1+$Y$16)^AH$34))</f>
        <v>-795728.96212591138</v>
      </c>
      <c r="AI668" s="193">
        <f>(((L668*'Appendix K'!$C$15*1000)-('Appendix K'!$E$41+'Appendix K'!$F$41+'Appendix K'!$H$41+'Appendix K'!$G$41))/((1+$Y$16)^AI$34))</f>
        <v>-988345.08869601868</v>
      </c>
      <c r="AJ668" s="193">
        <f>(((M668*'Appendix K'!$C$16*1000)-('Appendix K'!$E$42+'Appendix K'!$F$42+'Appendix K'!$H$42+'Appendix K'!$G$42))/((1+$Y$16)^AJ$34))</f>
        <v>-1024237.1208307302</v>
      </c>
      <c r="AK668" s="193">
        <f>(((N668*'Appendix K'!$C$17*1000)-('Appendix K'!$E$43+'Appendix K'!$F$43+'Appendix K'!$H$43))/((1+$Y$16)^AK$34))</f>
        <v>-624674.34451306309</v>
      </c>
      <c r="AL668" s="193">
        <f>(((O668*'Appendix K'!$C$18*1000)-('Appendix K'!$E$44+'Appendix K'!$F$44+'Appendix K'!$H$44+'Appendix K'!$G$44))/((1+$Y$16)^AL$34))</f>
        <v>-843935.91743168922</v>
      </c>
      <c r="AM668" s="193">
        <f>(((P668*'Appendix K'!$C$19*1000)-('Appendix K'!$E$45+'Appendix K'!$F$45+'Appendix K'!$H$45+'Appendix K'!$G$45))/((1+$Y$16)^AM$34))</f>
        <v>-708766.99736488576</v>
      </c>
      <c r="AN668" s="193">
        <f>(((Q668*'Appendix K'!$C$20*1000)-('Appendix K'!$E$46+'Appendix K'!$F$46+'Appendix K'!$H$46+'Appendix K'!$G$46))/((1+$Y$16)^AN$34))</f>
        <v>-619244.5064420827</v>
      </c>
      <c r="AO668" s="193">
        <f>(((R668*'Appendix K'!$C$21*1000)-('Appendix K'!$E$47+'Appendix K'!$F$47+'Appendix K'!$H$47+'Appendix K'!$G$47))/((1+$Y$16)^AO$34))</f>
        <v>-536071.82335331442</v>
      </c>
      <c r="AP668" s="193">
        <f>(((S668*'Appendix K'!$C$22*1000)-('Appendix K'!$E$48+'Appendix K'!$F$48+'Appendix K'!$H$48+'Appendix K'!$G$48))/((1+$Y$16)^AP$34))</f>
        <v>-499088.39359131764</v>
      </c>
      <c r="AQ668" s="193">
        <f>(((T668*'Appendix K'!$C$23*1000)-('Appendix K'!$E$49+'Appendix K'!$F$49+'Appendix K'!$H$49+'Appendix K'!$G$49))/((1+$Y$16)^AQ$34))</f>
        <v>-405981.61221641651</v>
      </c>
      <c r="AR668" s="193">
        <f>(((U668*'Appendix K'!$C$24*1000)-('Appendix K'!$E$50+'Appendix K'!$F$50+'Appendix K'!$H$50+'Appendix K'!$G$50))/((1+$Y$16)^AR$34))</f>
        <v>-329437.19732106262</v>
      </c>
      <c r="AS668" s="209">
        <f t="shared" si="34"/>
        <v>30530807.066595264</v>
      </c>
      <c r="AU668" s="199">
        <f t="shared" si="33"/>
        <v>4.2385410696050648E-9</v>
      </c>
    </row>
    <row r="669" spans="1:47" x14ac:dyDescent="0.35">
      <c r="A669">
        <v>635</v>
      </c>
      <c r="B669" s="70">
        <v>56</v>
      </c>
      <c r="C669" s="70">
        <v>63.551108320910409</v>
      </c>
      <c r="D669" s="70">
        <v>54.558043881337582</v>
      </c>
      <c r="E669" s="70">
        <v>50.750762803770066</v>
      </c>
      <c r="F669" s="70">
        <v>64.335547466063957</v>
      </c>
      <c r="G669" s="70">
        <v>63.989950075855496</v>
      </c>
      <c r="H669" s="70">
        <v>39.175243027466337</v>
      </c>
      <c r="I669" s="70">
        <v>38.339586455824417</v>
      </c>
      <c r="J669" s="70">
        <v>38.520755693867798</v>
      </c>
      <c r="K669" s="70">
        <v>28.318133160730731</v>
      </c>
      <c r="L669" s="70">
        <v>31.639899052323159</v>
      </c>
      <c r="M669" s="70">
        <v>50.602716147464434</v>
      </c>
      <c r="N669" s="70">
        <v>40.82821354751664</v>
      </c>
      <c r="O669" s="70">
        <v>36.963629920668701</v>
      </c>
      <c r="P669" s="70">
        <v>55.105647311331694</v>
      </c>
      <c r="Q669" s="70">
        <v>72.463477119783562</v>
      </c>
      <c r="R669" s="70">
        <v>74.461698779773485</v>
      </c>
      <c r="S669" s="70">
        <v>95.973194719467756</v>
      </c>
      <c r="T669" s="70">
        <v>116.36201107518343</v>
      </c>
      <c r="U669" s="70">
        <v>101.58889410945812</v>
      </c>
      <c r="V669" s="70">
        <v>99.624738040644814</v>
      </c>
      <c r="X669" s="193">
        <f>((0-('Appendix K'!$I$30))/(1+$Y$16)^0)</f>
        <v>-33594902.4440751</v>
      </c>
      <c r="Y669" s="193">
        <f>(((B669*'Appendix K'!$C$5*1000)-('Appendix K'!$E$31+'Appendix K'!$F$31+'Appendix K'!$H$31+'Appendix K'!$G$31))/((1+$Y$16)^1))</f>
        <v>34971064.972647354</v>
      </c>
      <c r="Z669" s="193">
        <f>+(((C669*'Appendix K'!$C$6*1000)-('Appendix K'!$E$32+'Appendix K'!$F$32+'Appendix K'!$H$32+'Appendix K'!$G$32))/((1+$Y$16)^2))</f>
        <v>12566849.214467013</v>
      </c>
      <c r="AA669" s="193">
        <f>(((D669*'Appendix K'!$C$7*1000)-('Appendix K'!$E$33+'Appendix K'!$F$33+'Appendix K'!$H$33+'Appendix K'!$G$33))/((1+$Y$16)^3))</f>
        <v>3984425.8125915895</v>
      </c>
      <c r="AB669" s="193">
        <f>(((E669*'Appendix K'!$C$8*1000)-('Appendix K'!$E$34+'Appendix K'!$F$34+'Appendix K'!$H$34+'Appendix K'!$G$34))/((1+$Y$16)^4))</f>
        <v>7830894.7392142499</v>
      </c>
      <c r="AC669" s="193">
        <f>(((F669*'Appendix K'!$C$9*1000)-('Appendix K'!$E$35+'Appendix K'!$F$35+'Appendix K'!$H$35+'Appendix K'!$G$35))/((1+$Y$16)^AC$34))</f>
        <v>14116058.97238219</v>
      </c>
      <c r="AD669" s="193">
        <f>(((G669*'Appendix K'!$C$10*1000)-('Appendix K'!$E$36+'Appendix K'!$F$36+'Appendix K'!$H$36+'Appendix K'!$G$36))/((1+$Y$16)^AD$34))</f>
        <v>7533471.639453318</v>
      </c>
      <c r="AE669" s="193">
        <f>(((H669*'Appendix K'!$C$11*1000)-('Appendix K'!$E$37+'Appendix K'!$F$37+'Appendix K'!$H$37+'Appendix K'!$G$37))/((1+$Y$16)^AE$34))</f>
        <v>1687304.8832621076</v>
      </c>
      <c r="AF669" s="193">
        <f>(((I669*'Appendix K'!$C$12*1000)-('Appendix K'!$E$38+'Appendix K'!$F$38+'Appendix K'!$H$38+'Appendix K'!$G$38))/((1+$Y$16)^AF$34))</f>
        <v>520891.28771749255</v>
      </c>
      <c r="AG669" s="193">
        <f>(((J669*'Appendix K'!$C$13*1000)-('Appendix K'!$E$39+'Appendix K'!$F$39+'Appendix K'!$H$39+'Appendix K'!$G$39))/((1+$Y$16)^AG$34))</f>
        <v>-42259.812496500999</v>
      </c>
      <c r="AH669" s="193">
        <f>(((K669*'Appendix K'!$C$14*1000)-('Appendix K'!$E$40+'Appendix K'!$F$40+'Appendix K'!$H$40+'Appendix K'!$G$40))/((1+$Y$16)^AH$34))</f>
        <v>-678235.24299318541</v>
      </c>
      <c r="AI669" s="193">
        <f>(((L669*'Appendix K'!$C$15*1000)-('Appendix K'!$E$41+'Appendix K'!$F$41+'Appendix K'!$H$41+'Appendix K'!$G$41))/((1+$Y$16)^AI$34))</f>
        <v>-687456.82625880872</v>
      </c>
      <c r="AJ669" s="193">
        <f>(((M669*'Appendix K'!$C$16*1000)-('Appendix K'!$E$42+'Appendix K'!$F$42+'Appendix K'!$H$42+'Appendix K'!$G$42))/((1+$Y$16)^AJ$34))</f>
        <v>-367378.05295755679</v>
      </c>
      <c r="AK669" s="193">
        <f>(((N669*'Appendix K'!$C$17*1000)-('Appendix K'!$E$43+'Appendix K'!$F$43+'Appendix K'!$H$43))/((1+$Y$16)^AK$34))</f>
        <v>-376978.12985669076</v>
      </c>
      <c r="AL669" s="193">
        <f>(((O669*'Appendix K'!$C$18*1000)-('Appendix K'!$E$44+'Appendix K'!$F$44+'Appendix K'!$H$44+'Appendix K'!$G$44))/((1+$Y$16)^AL$34))</f>
        <v>-696448.34359381977</v>
      </c>
      <c r="AM669" s="193">
        <f>(((P669*'Appendix K'!$C$19*1000)-('Appendix K'!$E$45+'Appendix K'!$F$45+'Appendix K'!$H$45+'Appendix K'!$G$45))/((1+$Y$16)^AM$34))</f>
        <v>-516006.47694493929</v>
      </c>
      <c r="AN669" s="193">
        <f>(((Q669*'Appendix K'!$C$20*1000)-('Appendix K'!$E$46+'Appendix K'!$F$46+'Appendix K'!$H$46+'Appendix K'!$G$46))/((1+$Y$16)^AN$34))</f>
        <v>-391347.40175840742</v>
      </c>
      <c r="AO669" s="193">
        <f>(((R669*'Appendix K'!$C$21*1000)-('Appendix K'!$E$47+'Appendix K'!$F$47+'Appendix K'!$H$47+'Appendix K'!$G$47))/((1+$Y$16)^AO$34))</f>
        <v>-402922.05906106479</v>
      </c>
      <c r="AP669" s="193">
        <f>(((S669*'Appendix K'!$C$22*1000)-('Appendix K'!$E$48+'Appendix K'!$F$48+'Appendix K'!$H$48+'Appendix K'!$G$48))/((1+$Y$16)^AP$34))</f>
        <v>-304768.56578595558</v>
      </c>
      <c r="AQ669" s="193">
        <f>(((T669*'Appendix K'!$C$23*1000)-('Appendix K'!$E$49+'Appendix K'!$F$49+'Appendix K'!$H$49+'Appendix K'!$G$49))/((1+$Y$16)^AQ$34))</f>
        <v>-238074.50960233909</v>
      </c>
      <c r="AR669" s="193">
        <f>(((U669*'Appendix K'!$C$24*1000)-('Appendix K'!$E$50+'Appendix K'!$F$50+'Appendix K'!$H$50+'Appendix K'!$G$50))/((1+$Y$16)^AR$34))</f>
        <v>-302169.78387099522</v>
      </c>
      <c r="AS669" s="209">
        <f t="shared" si="34"/>
        <v>49616059.077660225</v>
      </c>
      <c r="AU669" s="199">
        <f t="shared" si="33"/>
        <v>5.6178762364467107E-9</v>
      </c>
    </row>
    <row r="670" spans="1:47" x14ac:dyDescent="0.35">
      <c r="A670">
        <v>636</v>
      </c>
      <c r="B670" s="70">
        <v>56</v>
      </c>
      <c r="C670" s="70">
        <v>74.516944655967109</v>
      </c>
      <c r="D670" s="70">
        <v>82.815780213685628</v>
      </c>
      <c r="E670" s="70">
        <v>76.656241673626837</v>
      </c>
      <c r="F670" s="70">
        <v>101.77548681161838</v>
      </c>
      <c r="G670" s="70">
        <v>118.11673083930141</v>
      </c>
      <c r="H670" s="70">
        <v>147.68757861402764</v>
      </c>
      <c r="I670" s="70">
        <v>177.26147338379246</v>
      </c>
      <c r="J670" s="70">
        <v>223.4736107457783</v>
      </c>
      <c r="K670" s="70">
        <v>187.1105630718024</v>
      </c>
      <c r="L670" s="70">
        <v>207.23070122786675</v>
      </c>
      <c r="M670" s="70">
        <v>196.75361809310593</v>
      </c>
      <c r="N670" s="70">
        <v>44.677565141630112</v>
      </c>
      <c r="O670" s="70">
        <v>55.952491665393175</v>
      </c>
      <c r="P670" s="70">
        <v>58.366805684055926</v>
      </c>
      <c r="Q670" s="70">
        <v>100.18019637876408</v>
      </c>
      <c r="R670" s="70">
        <v>91.18897452462754</v>
      </c>
      <c r="S670" s="70">
        <v>76.595973526334006</v>
      </c>
      <c r="T670" s="70">
        <v>83.434097992052742</v>
      </c>
      <c r="U670" s="70">
        <v>110.80360910175762</v>
      </c>
      <c r="V670" s="70">
        <v>94.843630297749357</v>
      </c>
      <c r="X670" s="193">
        <f>((0-('Appendix K'!$I$30))/(1+$Y$16)^0)</f>
        <v>-33594902.4440751</v>
      </c>
      <c r="Y670" s="193">
        <f>(((B670*'Appendix K'!$C$5*1000)-('Appendix K'!$E$31+'Appendix K'!$F$31+'Appendix K'!$H$31+'Appendix K'!$G$31))/((1+$Y$16)^1))</f>
        <v>34971064.972647354</v>
      </c>
      <c r="Z670" s="193">
        <f>+(((C670*'Appendix K'!$C$6*1000)-('Appendix K'!$E$32+'Appendix K'!$F$32+'Appendix K'!$H$32+'Appendix K'!$G$32))/((1+$Y$16)^2))</f>
        <v>15337007.022761881</v>
      </c>
      <c r="AA670" s="193">
        <f>(((D670*'Appendix K'!$C$7*1000)-('Appendix K'!$E$33+'Appendix K'!$F$33+'Appendix K'!$H$33+'Appendix K'!$G$33))/((1+$Y$16)^3))</f>
        <v>7583751.3710635528</v>
      </c>
      <c r="AB670" s="193">
        <f>(((E670*'Appendix K'!$C$8*1000)-('Appendix K'!$E$34+'Appendix K'!$F$34+'Appendix K'!$H$34+'Appendix K'!$G$34))/((1+$Y$16)^4))</f>
        <v>13509138.565652788</v>
      </c>
      <c r="AC670" s="193">
        <f>(((F670*'Appendix K'!$C$9*1000)-('Appendix K'!$E$35+'Appendix K'!$F$35+'Appendix K'!$H$35+'Appendix K'!$G$35))/((1+$Y$16)^AC$34))</f>
        <v>24067536.059175689</v>
      </c>
      <c r="AD670" s="193">
        <f>(((G670*'Appendix K'!$C$10*1000)-('Appendix K'!$E$36+'Appendix K'!$F$36+'Appendix K'!$H$36+'Appendix K'!$G$36))/((1+$Y$16)^AD$34))</f>
        <v>16033755.173402302</v>
      </c>
      <c r="AE670" s="193">
        <f>(((H670*'Appendix K'!$C$11*1000)-('Appendix K'!$E$37+'Appendix K'!$F$37+'Appendix K'!$H$37+'Appendix K'!$G$37))/((1+$Y$16)^AE$34))</f>
        <v>12510067.934174459</v>
      </c>
      <c r="AF670" s="193">
        <f>(((I670*'Appendix K'!$C$12*1000)-('Appendix K'!$E$38+'Appendix K'!$F$38+'Appendix K'!$H$38+'Appendix K'!$G$38))/((1+$Y$16)^AF$34))</f>
        <v>9642839.5522507504</v>
      </c>
      <c r="AG670" s="193">
        <f>(((J670*'Appendix K'!$C$13*1000)-('Appendix K'!$E$39+'Appendix K'!$F$39+'Appendix K'!$H$39+'Appendix K'!$G$39))/((1+$Y$16)^AG$34))</f>
        <v>8469073.1512483377</v>
      </c>
      <c r="AH670" s="193">
        <f>(((K670*'Appendix K'!$C$14*1000)-('Appendix K'!$E$40+'Appendix K'!$F$40+'Appendix K'!$H$40+'Appendix K'!$G$40))/((1+$Y$16)^AH$34))</f>
        <v>4674106.0444792453</v>
      </c>
      <c r="AI670" s="193">
        <f>(((L670*'Appendix K'!$C$15*1000)-('Appendix K'!$E$41+'Appendix K'!$F$41+'Appendix K'!$H$41+'Appendix K'!$G$41))/((1+$Y$16)^AI$34))</f>
        <v>3913350.5471506016</v>
      </c>
      <c r="AJ670" s="193">
        <f>(((M670*'Appendix K'!$C$16*1000)-('Appendix K'!$E$42+'Appendix K'!$F$42+'Appendix K'!$H$42+'Appendix K'!$G$42))/((1+$Y$16)^AJ$34))</f>
        <v>2561758.8825440896</v>
      </c>
      <c r="AK670" s="193">
        <f>(((N670*'Appendix K'!$C$17*1000)-('Appendix K'!$E$43+'Appendix K'!$F$43+'Appendix K'!$H$43))/((1+$Y$16)^AK$34))</f>
        <v>-317837.08666714345</v>
      </c>
      <c r="AL670" s="193">
        <f>(((O670*'Appendix K'!$C$18*1000)-('Appendix K'!$E$44+'Appendix K'!$F$44+'Appendix K'!$H$44+'Appendix K'!$G$44))/((1+$Y$16)^AL$34))</f>
        <v>-471367.77782066108</v>
      </c>
      <c r="AM670" s="193">
        <f>(((P670*'Appendix K'!$C$19*1000)-('Appendix K'!$E$45+'Appendix K'!$F$45+'Appendix K'!$H$45+'Appendix K'!$G$45))/((1+$Y$16)^AM$34))</f>
        <v>-485779.67465603427</v>
      </c>
      <c r="AN670" s="193">
        <f>(((Q670*'Appendix K'!$C$20*1000)-('Appendix K'!$E$46+'Appendix K'!$F$46+'Appendix K'!$H$46+'Appendix K'!$G$46))/((1+$Y$16)^AN$34))</f>
        <v>-190783.20969665484</v>
      </c>
      <c r="AO670" s="193">
        <f>(((R670*'Appendix K'!$C$21*1000)-('Appendix K'!$E$47+'Appendix K'!$F$47+'Appendix K'!$H$47+'Appendix K'!$G$47))/((1+$Y$16)^AO$34))</f>
        <v>-304062.01137888007</v>
      </c>
      <c r="AP670" s="193">
        <f>(((S670*'Appendix K'!$C$22*1000)-('Appendix K'!$E$48+'Appendix K'!$F$48+'Appendix K'!$H$48+'Appendix K'!$G$48))/((1+$Y$16)^AP$34))</f>
        <v>-397580.01692281163</v>
      </c>
      <c r="AQ670" s="193">
        <f>(((T670*'Appendix K'!$C$23*1000)-('Appendix K'!$E$49+'Appendix K'!$F$49+'Appendix K'!$H$49+'Appendix K'!$G$49))/((1+$Y$16)^AQ$34))</f>
        <v>-366945.93164777238</v>
      </c>
      <c r="AR670" s="193">
        <f>(((U670*'Appendix K'!$C$24*1000)-('Appendix K'!$E$50+'Appendix K'!$F$50+'Appendix K'!$H$50+'Appendix K'!$G$50))/((1+$Y$16)^AR$34))</f>
        <v>-272498.14340999472</v>
      </c>
      <c r="AS670" s="209">
        <f t="shared" si="34"/>
        <v>119678546.83247596</v>
      </c>
      <c r="AU670" s="199">
        <f t="shared" si="33"/>
        <v>5.9927875778654099E-9</v>
      </c>
    </row>
    <row r="671" spans="1:47" x14ac:dyDescent="0.35">
      <c r="A671">
        <v>637</v>
      </c>
      <c r="B671" s="70">
        <v>56</v>
      </c>
      <c r="C671" s="70">
        <v>108.50560975280089</v>
      </c>
      <c r="D671" s="70">
        <v>146.94209583743</v>
      </c>
      <c r="E671" s="70">
        <v>139.30406807229545</v>
      </c>
      <c r="F671" s="70">
        <v>124.76778255651625</v>
      </c>
      <c r="G671" s="70">
        <v>167.88168962615629</v>
      </c>
      <c r="H671" s="70">
        <v>207.29108275992979</v>
      </c>
      <c r="I671" s="70">
        <v>201.74965193007563</v>
      </c>
      <c r="J671" s="70">
        <v>275.50062348843466</v>
      </c>
      <c r="K671" s="70">
        <v>184.11656545646736</v>
      </c>
      <c r="L671" s="70">
        <v>146.04874144451824</v>
      </c>
      <c r="M671" s="70">
        <v>174.24719112785638</v>
      </c>
      <c r="N671" s="70">
        <v>289.17271739544094</v>
      </c>
      <c r="O671" s="70">
        <v>305.72175737471201</v>
      </c>
      <c r="P671" s="70">
        <v>284.27877394838379</v>
      </c>
      <c r="Q671" s="70">
        <v>468.23053348040753</v>
      </c>
      <c r="R671" s="70">
        <v>500</v>
      </c>
      <c r="S671" s="70">
        <v>500</v>
      </c>
      <c r="T671" s="70">
        <v>356.82181828746786</v>
      </c>
      <c r="U671" s="70">
        <v>480.60716750905351</v>
      </c>
      <c r="V671" s="70">
        <v>448.75044004823809</v>
      </c>
      <c r="X671" s="193">
        <f>((0-('Appendix K'!$I$30))/(1+$Y$16)^0)</f>
        <v>-33594902.4440751</v>
      </c>
      <c r="Y671" s="193">
        <f>(((B671*'Appendix K'!$C$5*1000)-('Appendix K'!$E$31+'Appendix K'!$F$31+'Appendix K'!$H$31+'Appendix K'!$G$31))/((1+$Y$16)^1))</f>
        <v>34971064.972647354</v>
      </c>
      <c r="Z671" s="193">
        <f>+(((C671*'Appendix K'!$C$6*1000)-('Appendix K'!$E$32+'Appendix K'!$F$32+'Appendix K'!$H$32+'Appendix K'!$G$32))/((1+$Y$16)^2))</f>
        <v>23923125.138578761</v>
      </c>
      <c r="AA671" s="193">
        <f>(((D671*'Appendix K'!$C$7*1000)-('Appendix K'!$E$33+'Appendix K'!$F$33+'Appendix K'!$H$33+'Appendix K'!$G$33))/((1+$Y$16)^3))</f>
        <v>15751832.638456574</v>
      </c>
      <c r="AB671" s="193">
        <f>(((E671*'Appendix K'!$C$8*1000)-('Appendix K'!$E$34+'Appendix K'!$F$34+'Appendix K'!$H$34+'Appendix K'!$G$34))/((1+$Y$16)^4))</f>
        <v>27240968.626588464</v>
      </c>
      <c r="AC671" s="193">
        <f>(((F671*'Appendix K'!$C$9*1000)-('Appendix K'!$E$35+'Appendix K'!$F$35+'Appendix K'!$H$35+'Appendix K'!$G$35))/((1+$Y$16)^AC$34))</f>
        <v>30178852.163786296</v>
      </c>
      <c r="AD671" s="193">
        <f>(((G671*'Appendix K'!$C$10*1000)-('Appendix K'!$E$36+'Appendix K'!$F$36+'Appendix K'!$H$36+'Appendix K'!$G$36))/((1+$Y$16)^AD$34))</f>
        <v>23849040.948336709</v>
      </c>
      <c r="AE671" s="193">
        <f>(((H671*'Appendix K'!$C$11*1000)-('Appendix K'!$E$37+'Appendix K'!$F$37+'Appendix K'!$H$37+'Appendix K'!$G$37))/((1+$Y$16)^AE$34))</f>
        <v>18454780.10803223</v>
      </c>
      <c r="AF671" s="193">
        <f>(((I671*'Appendix K'!$C$12*1000)-('Appendix K'!$E$38+'Appendix K'!$F$38+'Appendix K'!$H$38+'Appendix K'!$G$38))/((1+$Y$16)^AF$34))</f>
        <v>11250792.789365016</v>
      </c>
      <c r="AG671" s="193">
        <f>(((J671*'Appendix K'!$C$13*1000)-('Appendix K'!$E$39+'Appendix K'!$F$39+'Appendix K'!$H$39+'Appendix K'!$G$39))/((1+$Y$16)^AG$34))</f>
        <v>10863300.742044156</v>
      </c>
      <c r="AH671" s="193">
        <f>(((K671*'Appendix K'!$C$14*1000)-('Appendix K'!$E$40+'Appendix K'!$F$40+'Appendix K'!$H$40+'Appendix K'!$G$40))/((1+$Y$16)^AH$34))</f>
        <v>4573188.7837500898</v>
      </c>
      <c r="AI671" s="193">
        <f>(((L671*'Appendix K'!$C$15*1000)-('Appendix K'!$E$41+'Appendix K'!$F$41+'Appendix K'!$H$41+'Appendix K'!$G$41))/((1+$Y$16)^AI$34))</f>
        <v>2310268.7900010608</v>
      </c>
      <c r="AJ671" s="193">
        <f>(((M671*'Appendix K'!$C$16*1000)-('Appendix K'!$E$42+'Appendix K'!$F$42+'Appendix K'!$H$42+'Appendix K'!$G$42))/((1+$Y$16)^AJ$34))</f>
        <v>2110688.0671576597</v>
      </c>
      <c r="AK671" s="193">
        <f>(((N671*'Appendix K'!$C$17*1000)-('Appendix K'!$E$43+'Appendix K'!$F$43+'Appendix K'!$H$43))/((1+$Y$16)^AK$34))</f>
        <v>3438561.362669033</v>
      </c>
      <c r="AL671" s="193">
        <f>(((O671*'Appendix K'!$C$18*1000)-('Appendix K'!$E$44+'Appendix K'!$F$44+'Appendix K'!$H$44+'Appendix K'!$G$44))/((1+$Y$16)^AL$34))</f>
        <v>2489220.8237693491</v>
      </c>
      <c r="AM671" s="193">
        <f>(((P671*'Appendix K'!$C$19*1000)-('Appendix K'!$E$45+'Appendix K'!$F$45+'Appendix K'!$H$45+'Appendix K'!$G$45))/((1+$Y$16)^AM$34))</f>
        <v>1608137.7678504193</v>
      </c>
      <c r="AN671" s="193">
        <f>(((Q671*'Appendix K'!$C$20*1000)-('Appendix K'!$E$46+'Appendix K'!$F$46+'Appendix K'!$H$46+'Appendix K'!$G$46))/((1+$Y$16)^AN$34))</f>
        <v>2472508.8563341782</v>
      </c>
      <c r="AO671" s="193">
        <f>(((R671*'Appendix K'!$C$21*1000)-('Appendix K'!$E$47+'Appendix K'!$F$47+'Appendix K'!$H$47+'Appendix K'!$G$47))/((1+$Y$16)^AO$34))</f>
        <v>2112056.3146391152</v>
      </c>
      <c r="AP671" s="193">
        <f>(((S671*'Appendix K'!$C$22*1000)-('Appendix K'!$E$48+'Appendix K'!$F$48+'Appendix K'!$H$48+'Appendix K'!$G$48))/((1+$Y$16)^AP$34))</f>
        <v>1630406.4380253027</v>
      </c>
      <c r="AQ671" s="193">
        <f>(((T671*'Appendix K'!$C$23*1000)-('Appendix K'!$E$49+'Appendix K'!$F$49+'Appendix K'!$H$49+'Appendix K'!$G$49))/((1+$Y$16)^AQ$34))</f>
        <v>703023.61653713661</v>
      </c>
      <c r="AR671" s="193">
        <f>(((U671*'Appendix K'!$C$24*1000)-('Appendix K'!$E$50+'Appendix K'!$F$50+'Appendix K'!$H$50+'Appendix K'!$G$50))/((1+$Y$16)^AR$34))</f>
        <v>918279.67613509973</v>
      </c>
      <c r="AS671" s="209">
        <f t="shared" si="34"/>
        <v>187255196.18062887</v>
      </c>
      <c r="AU671" s="199">
        <f t="shared" si="33"/>
        <v>1.5051543153904851E-9</v>
      </c>
    </row>
    <row r="672" spans="1:47" x14ac:dyDescent="0.35">
      <c r="A672">
        <v>638</v>
      </c>
      <c r="B672" s="70">
        <v>56</v>
      </c>
      <c r="C672" s="70">
        <v>66.130919955049791</v>
      </c>
      <c r="D672" s="70">
        <v>57.558874420901759</v>
      </c>
      <c r="E672" s="70">
        <v>75.011690171003991</v>
      </c>
      <c r="F672" s="70">
        <v>100.20477981901459</v>
      </c>
      <c r="G672" s="70">
        <v>115.67543930686155</v>
      </c>
      <c r="H672" s="70">
        <v>156.09730145139523</v>
      </c>
      <c r="I672" s="70">
        <v>139.98728444127244</v>
      </c>
      <c r="J672" s="70">
        <v>129.35271114017024</v>
      </c>
      <c r="K672" s="70">
        <v>148.2164681574296</v>
      </c>
      <c r="L672" s="70">
        <v>89.143106934604802</v>
      </c>
      <c r="M672" s="70">
        <v>85.291013251856782</v>
      </c>
      <c r="N672" s="70">
        <v>65.425402081872789</v>
      </c>
      <c r="O672" s="70">
        <v>48.73062329096561</v>
      </c>
      <c r="P672" s="70">
        <v>57.25393082023087</v>
      </c>
      <c r="Q672" s="70">
        <v>42.722822614794694</v>
      </c>
      <c r="R672" s="70">
        <v>41.95604807522033</v>
      </c>
      <c r="S672" s="70">
        <v>42.887651228400507</v>
      </c>
      <c r="T672" s="70">
        <v>25.014880001918552</v>
      </c>
      <c r="U672" s="70">
        <v>19.661245964208263</v>
      </c>
      <c r="V672" s="70">
        <v>23.728860118054389</v>
      </c>
      <c r="X672" s="193">
        <f>((0-('Appendix K'!$I$30))/(1+$Y$16)^0)</f>
        <v>-33594902.4440751</v>
      </c>
      <c r="Y672" s="193">
        <f>(((B672*'Appendix K'!$C$5*1000)-('Appendix K'!$E$31+'Appendix K'!$F$31+'Appendix K'!$H$31+'Appendix K'!$G$31))/((1+$Y$16)^1))</f>
        <v>34971064.972647354</v>
      </c>
      <c r="Z672" s="193">
        <f>+(((C672*'Appendix K'!$C$6*1000)-('Appendix K'!$E$32+'Appendix K'!$F$32+'Appendix K'!$H$32+'Appendix K'!$G$32))/((1+$Y$16)^2))</f>
        <v>13218553.756089121</v>
      </c>
      <c r="AA672" s="193">
        <f>(((D672*'Appendix K'!$C$7*1000)-('Appendix K'!$E$33+'Appendix K'!$F$33+'Appendix K'!$H$33+'Appendix K'!$G$33))/((1+$Y$16)^3))</f>
        <v>4366656.2195379566</v>
      </c>
      <c r="AB672" s="193">
        <f>(((E672*'Appendix K'!$C$8*1000)-('Appendix K'!$E$34+'Appendix K'!$F$34+'Appendix K'!$H$34+'Appendix K'!$G$34))/((1+$Y$16)^4))</f>
        <v>13148667.930697871</v>
      </c>
      <c r="AC672" s="193">
        <f>(((F672*'Appendix K'!$C$9*1000)-('Appendix K'!$E$35+'Appendix K'!$F$35+'Appendix K'!$H$35+'Appendix K'!$G$35))/((1+$Y$16)^AC$34))</f>
        <v>23650044.606994189</v>
      </c>
      <c r="AD672" s="193">
        <f>(((G672*'Appendix K'!$C$10*1000)-('Appendix K'!$E$36+'Appendix K'!$F$36+'Appendix K'!$H$36+'Appendix K'!$G$36))/((1+$Y$16)^AD$34))</f>
        <v>15650365.104344616</v>
      </c>
      <c r="AE672" s="193">
        <f>(((H672*'Appendix K'!$C$11*1000)-('Appendix K'!$E$37+'Appendix K'!$F$37+'Appendix K'!$H$37+'Appendix K'!$G$37))/((1+$Y$16)^AE$34))</f>
        <v>13348833.749145523</v>
      </c>
      <c r="AF672" s="193">
        <f>(((I672*'Appendix K'!$C$12*1000)-('Appendix K'!$E$38+'Appendix K'!$F$38+'Appendix K'!$H$38+'Appendix K'!$G$38))/((1+$Y$16)^AF$34))</f>
        <v>7195325.8403731938</v>
      </c>
      <c r="AG672" s="193">
        <f>(((J672*'Appendix K'!$C$13*1000)-('Appendix K'!$E$39+'Appendix K'!$F$39+'Appendix K'!$H$39+'Appendix K'!$G$39))/((1+$Y$16)^AG$34))</f>
        <v>4137729.8196426257</v>
      </c>
      <c r="AH672" s="193">
        <f>(((K672*'Appendix K'!$C$14*1000)-('Appendix K'!$E$40+'Appendix K'!$F$40+'Appendix K'!$H$40+'Appendix K'!$G$40))/((1+$Y$16)^AH$34))</f>
        <v>3363121.1935914997</v>
      </c>
      <c r="AI672" s="193">
        <f>(((L672*'Appendix K'!$C$15*1000)-('Appendix K'!$E$41+'Appendix K'!$F$41+'Appendix K'!$H$41+'Appendix K'!$G$41))/((1+$Y$16)^AI$34))</f>
        <v>819234.75178299285</v>
      </c>
      <c r="AJ672" s="193">
        <f>(((M672*'Appendix K'!$C$16*1000)-('Appendix K'!$E$42+'Appendix K'!$F$42+'Appendix K'!$H$42+'Appendix K'!$G$42))/((1+$Y$16)^AJ$34))</f>
        <v>327840.18330020813</v>
      </c>
      <c r="AK672" s="193">
        <f>(((N672*'Appendix K'!$C$17*1000)-('Appendix K'!$E$43+'Appendix K'!$F$43+'Appendix K'!$H$43))/((1+$Y$16)^AK$34))</f>
        <v>930.55265398620679</v>
      </c>
      <c r="AL672" s="193">
        <f>(((O672*'Appendix K'!$C$18*1000)-('Appendix K'!$E$44+'Appendix K'!$F$44+'Appendix K'!$H$44+'Appendix K'!$G$44))/((1+$Y$16)^AL$34))</f>
        <v>-556970.70871287421</v>
      </c>
      <c r="AM672" s="193">
        <f>(((P672*'Appendix K'!$C$19*1000)-('Appendix K'!$E$45+'Appendix K'!$F$45+'Appendix K'!$H$45+'Appendix K'!$G$45))/((1+$Y$16)^AM$34))</f>
        <v>-496094.6132871905</v>
      </c>
      <c r="AN672" s="193">
        <f>(((Q672*'Appendix K'!$C$20*1000)-('Appendix K'!$E$46+'Appendix K'!$F$46+'Appendix K'!$H$46+'Appendix K'!$G$46))/((1+$Y$16)^AN$34))</f>
        <v>-606557.22823338315</v>
      </c>
      <c r="AO672" s="193">
        <f>(((R672*'Appendix K'!$C$21*1000)-('Appendix K'!$E$47+'Appendix K'!$F$47+'Appendix K'!$H$47+'Appendix K'!$G$47))/((1+$Y$16)^AO$34))</f>
        <v>-595034.04595057177</v>
      </c>
      <c r="AP672" s="193">
        <f>(((S672*'Appendix K'!$C$22*1000)-('Appendix K'!$E$48+'Appendix K'!$F$48+'Appendix K'!$H$48+'Appendix K'!$G$48))/((1+$Y$16)^AP$34))</f>
        <v>-559033.42020896659</v>
      </c>
      <c r="AQ672" s="193">
        <f>(((T672*'Appendix K'!$C$23*1000)-('Appendix K'!$E$49+'Appendix K'!$F$49+'Appendix K'!$H$49+'Appendix K'!$G$49))/((1+$Y$16)^AQ$34))</f>
        <v>-595583.79515779589</v>
      </c>
      <c r="AR672" s="193">
        <f>(((U672*'Appendix K'!$C$24*1000)-('Appendix K'!$E$50+'Appendix K'!$F$50+'Appendix K'!$H$50+'Appendix K'!$G$50))/((1+$Y$16)^AR$34))</f>
        <v>-565979.1064178861</v>
      </c>
      <c r="AS672" s="209">
        <f t="shared" si="34"/>
        <v>100603466.23672608</v>
      </c>
      <c r="AU672" s="199">
        <f t="shared" si="33"/>
        <v>6.8480124227925831E-9</v>
      </c>
    </row>
    <row r="673" spans="1:47" x14ac:dyDescent="0.35">
      <c r="A673">
        <v>639</v>
      </c>
      <c r="B673" s="70">
        <v>56</v>
      </c>
      <c r="C673" s="70">
        <v>40.483102367602342</v>
      </c>
      <c r="D673" s="70">
        <v>44.444050940767923</v>
      </c>
      <c r="E673" s="70">
        <v>48.370356221634161</v>
      </c>
      <c r="F673" s="70">
        <v>55.007231838653126</v>
      </c>
      <c r="G673" s="70">
        <v>46.630028312390472</v>
      </c>
      <c r="H673" s="70">
        <v>67.521128390649494</v>
      </c>
      <c r="I673" s="70">
        <v>74.783996780503116</v>
      </c>
      <c r="J673" s="70">
        <v>138.50729511715153</v>
      </c>
      <c r="K673" s="70">
        <v>213.37969561177877</v>
      </c>
      <c r="L673" s="70">
        <v>348.69561975201384</v>
      </c>
      <c r="M673" s="70">
        <v>332.44355424759215</v>
      </c>
      <c r="N673" s="70">
        <v>239.29491098511005</v>
      </c>
      <c r="O673" s="70">
        <v>266.35476789302874</v>
      </c>
      <c r="P673" s="70">
        <v>354.57829536197215</v>
      </c>
      <c r="Q673" s="70">
        <v>294.0129585368615</v>
      </c>
      <c r="R673" s="70">
        <v>402.19319483810773</v>
      </c>
      <c r="S673" s="70">
        <v>320.32309812671548</v>
      </c>
      <c r="T673" s="70">
        <v>363.88498434767945</v>
      </c>
      <c r="U673" s="70">
        <v>475.45393379262703</v>
      </c>
      <c r="V673" s="70">
        <v>497.84104755394992</v>
      </c>
      <c r="X673" s="193">
        <f>((0-('Appendix K'!$I$30))/(1+$Y$16)^0)</f>
        <v>-33594902.4440751</v>
      </c>
      <c r="Y673" s="193">
        <f>(((B673*'Appendix K'!$C$5*1000)-('Appendix K'!$E$31+'Appendix K'!$F$31+'Appendix K'!$H$31+'Appendix K'!$G$31))/((1+$Y$16)^1))</f>
        <v>34971064.972647354</v>
      </c>
      <c r="Z673" s="193">
        <f>+(((C673*'Appendix K'!$C$6*1000)-('Appendix K'!$E$32+'Appendix K'!$F$32+'Appendix K'!$H$32+'Appendix K'!$G$32))/((1+$Y$16)^2))</f>
        <v>6739476.3756931648</v>
      </c>
      <c r="AA673" s="193">
        <f>(((D673*'Appendix K'!$C$7*1000)-('Appendix K'!$E$33+'Appendix K'!$F$33+'Appendix K'!$H$33+'Appendix K'!$G$33))/((1+$Y$16)^3))</f>
        <v>2696157.2527521225</v>
      </c>
      <c r="AB673" s="193">
        <f>(((E673*'Appendix K'!$C$8*1000)-('Appendix K'!$E$34+'Appendix K'!$F$34+'Appendix K'!$H$34+'Appendix K'!$G$34))/((1+$Y$16)^4))</f>
        <v>7309131.4069349747</v>
      </c>
      <c r="AC673" s="193">
        <f>(((F673*'Appendix K'!$C$9*1000)-('Appendix K'!$E$35+'Appendix K'!$F$35+'Appendix K'!$H$35+'Appendix K'!$G$35))/((1+$Y$16)^AC$34))</f>
        <v>11636607.326700525</v>
      </c>
      <c r="AD673" s="193">
        <f>(((G673*'Appendix K'!$C$10*1000)-('Appendix K'!$E$36+'Appendix K'!$F$36+'Appendix K'!$H$36+'Appendix K'!$G$36))/((1+$Y$16)^AD$34))</f>
        <v>4807200.9277046388</v>
      </c>
      <c r="AE673" s="193">
        <f>(((H673*'Appendix K'!$C$11*1000)-('Appendix K'!$E$37+'Appendix K'!$F$37+'Appendix K'!$H$37+'Appendix K'!$G$37))/((1+$Y$16)^AE$34))</f>
        <v>4514456.2766567701</v>
      </c>
      <c r="AF673" s="193">
        <f>(((I673*'Appendix K'!$C$12*1000)-('Appendix K'!$E$38+'Appendix K'!$F$38+'Appendix K'!$H$38+'Appendix K'!$G$38))/((1+$Y$16)^AF$34))</f>
        <v>2913919.7216424891</v>
      </c>
      <c r="AG673" s="193">
        <f>(((J673*'Appendix K'!$C$13*1000)-('Appendix K'!$E$39+'Appendix K'!$F$39+'Appendix K'!$H$39+'Appendix K'!$G$39))/((1+$Y$16)^AG$34))</f>
        <v>4559014.0023105927</v>
      </c>
      <c r="AH673" s="193">
        <f>(((K673*'Appendix K'!$C$14*1000)-('Appendix K'!$E$40+'Appendix K'!$F$40+'Appendix K'!$H$40+'Appendix K'!$G$40))/((1+$Y$16)^AH$34))</f>
        <v>5559547.2632989446</v>
      </c>
      <c r="AI673" s="193">
        <f>(((L673*'Appendix K'!$C$15*1000)-('Appendix K'!$E$41+'Appendix K'!$F$41+'Appendix K'!$H$41+'Appendix K'!$G$41))/((1+$Y$16)^AI$34))</f>
        <v>7619995.9531780761</v>
      </c>
      <c r="AJ673" s="193">
        <f>(((M673*'Appendix K'!$C$16*1000)-('Appendix K'!$E$42+'Appendix K'!$F$42+'Appendix K'!$H$42+'Appendix K'!$G$42))/((1+$Y$16)^AJ$34))</f>
        <v>5281238.5331985392</v>
      </c>
      <c r="AK673" s="193">
        <f>(((N673*'Appendix K'!$C$17*1000)-('Appendix K'!$E$43+'Appendix K'!$F$43+'Appendix K'!$H$43))/((1+$Y$16)^AK$34))</f>
        <v>2672243.8593201037</v>
      </c>
      <c r="AL673" s="193">
        <f>(((O673*'Appendix K'!$C$18*1000)-('Appendix K'!$E$44+'Appendix K'!$F$44+'Appendix K'!$H$44+'Appendix K'!$G$44))/((1+$Y$16)^AL$34))</f>
        <v>2022592.3136226067</v>
      </c>
      <c r="AM673" s="193">
        <f>(((P673*'Appendix K'!$C$19*1000)-('Appendix K'!$E$45+'Appendix K'!$F$45+'Appendix K'!$H$45+'Appendix K'!$G$45))/((1+$Y$16)^AM$34))</f>
        <v>2259725.1769580934</v>
      </c>
      <c r="AN673" s="193">
        <f>(((Q673*'Appendix K'!$C$20*1000)-('Appendix K'!$E$46+'Appendix K'!$F$46+'Appendix K'!$H$46+'Appendix K'!$G$46))/((1+$Y$16)^AN$34))</f>
        <v>1211832.6978386657</v>
      </c>
      <c r="AO673" s="193">
        <f>(((R673*'Appendix K'!$C$21*1000)-('Appendix K'!$E$47+'Appendix K'!$F$47+'Appendix K'!$H$47+'Appendix K'!$G$47))/((1+$Y$16)^AO$34))</f>
        <v>1534007.2904325619</v>
      </c>
      <c r="AP673" s="193">
        <f>(((S673*'Appendix K'!$C$22*1000)-('Appendix K'!$E$48+'Appendix K'!$F$48+'Appendix K'!$H$48+'Appendix K'!$G$48))/((1+$Y$16)^AP$34))</f>
        <v>769804.5058688412</v>
      </c>
      <c r="AQ673" s="193">
        <f>(((T673*'Appendix K'!$C$23*1000)-('Appendix K'!$E$49+'Appendix K'!$F$49+'Appendix K'!$H$49+'Appendix K'!$G$49))/((1+$Y$16)^AQ$34))</f>
        <v>730667.04027991998</v>
      </c>
      <c r="AR673" s="193">
        <f>(((U673*'Appendix K'!$C$24*1000)-('Appendix K'!$E$50+'Appendix K'!$F$50+'Appendix K'!$H$50+'Appendix K'!$G$50))/((1+$Y$16)^AR$34))</f>
        <v>901686.11918047979</v>
      </c>
      <c r="AS673" s="209">
        <f t="shared" si="34"/>
        <v>77115466.572144389</v>
      </c>
      <c r="AU673" s="199">
        <f t="shared" si="33"/>
        <v>6.9103433204830721E-9</v>
      </c>
    </row>
    <row r="674" spans="1:47" x14ac:dyDescent="0.35">
      <c r="A674">
        <v>640</v>
      </c>
      <c r="B674" s="70">
        <v>56</v>
      </c>
      <c r="C674" s="70">
        <v>47.002486998282166</v>
      </c>
      <c r="D674" s="70">
        <v>61.938842915928753</v>
      </c>
      <c r="E674" s="70">
        <v>69.855841479248213</v>
      </c>
      <c r="F674" s="70">
        <v>85.063910865321645</v>
      </c>
      <c r="G674" s="70">
        <v>98.297239064826087</v>
      </c>
      <c r="H674" s="70">
        <v>72.064103414928951</v>
      </c>
      <c r="I674" s="70">
        <v>33.432971253233468</v>
      </c>
      <c r="J674" s="70">
        <v>30.580750502880285</v>
      </c>
      <c r="K674" s="70">
        <v>28.461106402794648</v>
      </c>
      <c r="L674" s="70">
        <v>23.524098656454466</v>
      </c>
      <c r="M674" s="70">
        <v>17.948665603109276</v>
      </c>
      <c r="N674" s="70">
        <v>20.566974505602175</v>
      </c>
      <c r="O674" s="70">
        <v>27.561971147654425</v>
      </c>
      <c r="P674" s="70">
        <v>18.1071564507074</v>
      </c>
      <c r="Q674" s="70">
        <v>19.595615656124195</v>
      </c>
      <c r="R674" s="70">
        <v>7.2893036052149132</v>
      </c>
      <c r="S674" s="70">
        <v>8.6390835140392443</v>
      </c>
      <c r="T674" s="70">
        <v>9.5144816572411131</v>
      </c>
      <c r="U674" s="70">
        <v>9.7894651535996857</v>
      </c>
      <c r="V674" s="70">
        <v>10.589414030545679</v>
      </c>
      <c r="X674" s="193">
        <f>((0-('Appendix K'!$I$30))/(1+$Y$16)^0)</f>
        <v>-33594902.4440751</v>
      </c>
      <c r="Y674" s="193">
        <f>(((B674*'Appendix K'!$C$5*1000)-('Appendix K'!$E$31+'Appendix K'!$F$31+'Appendix K'!$H$31+'Appendix K'!$G$31))/((1+$Y$16)^1))</f>
        <v>34971064.972647354</v>
      </c>
      <c r="Z674" s="193">
        <f>+(((C674*'Appendix K'!$C$6*1000)-('Appendix K'!$E$32+'Appendix K'!$F$32+'Appendix K'!$H$32+'Appendix K'!$G$32))/((1+$Y$16)^2))</f>
        <v>8386384.4352471903</v>
      </c>
      <c r="AA674" s="193">
        <f>(((D674*'Appendix K'!$C$7*1000)-('Appendix K'!$E$33+'Appendix K'!$F$33+'Appendix K'!$H$33+'Appendix K'!$G$33))/((1+$Y$16)^3))</f>
        <v>4924554.1475261133</v>
      </c>
      <c r="AB674" s="193">
        <f>(((E674*'Appendix K'!$C$8*1000)-('Appendix K'!$E$34+'Appendix K'!$F$34+'Appendix K'!$H$34+'Appendix K'!$G$34))/((1+$Y$16)^4))</f>
        <v>12018553.094717028</v>
      </c>
      <c r="AC674" s="193">
        <f>(((F674*'Appendix K'!$C$9*1000)-('Appendix K'!$E$35+'Appendix K'!$F$35+'Appendix K'!$H$35+'Appendix K'!$G$35))/((1+$Y$16)^AC$34))</f>
        <v>19625625.414533362</v>
      </c>
      <c r="AD674" s="193">
        <f>(((G674*'Appendix K'!$C$10*1000)-('Appendix K'!$E$36+'Appendix K'!$F$36+'Appendix K'!$H$36+'Appendix K'!$G$36))/((1+$Y$16)^AD$34))</f>
        <v>12921223.868093532</v>
      </c>
      <c r="AE674" s="193">
        <f>(((H674*'Appendix K'!$C$11*1000)-('Appendix K'!$E$37+'Appendix K'!$F$37+'Appendix K'!$H$37+'Appendix K'!$G$37))/((1+$Y$16)^AE$34))</f>
        <v>4967561.833441765</v>
      </c>
      <c r="AF674" s="193">
        <f>(((I674*'Appendix K'!$C$12*1000)-('Appendix K'!$E$38+'Appendix K'!$F$38+'Appendix K'!$H$38+'Appendix K'!$G$38))/((1+$Y$16)^AF$34))</f>
        <v>198711.0249687272</v>
      </c>
      <c r="AG674" s="193">
        <f>(((J674*'Appendix K'!$C$13*1000)-('Appendix K'!$E$39+'Appendix K'!$F$39+'Appendix K'!$H$39+'Appendix K'!$G$39))/((1+$Y$16)^AG$34))</f>
        <v>-407650.37592083693</v>
      </c>
      <c r="AH674" s="193">
        <f>(((K674*'Appendix K'!$C$14*1000)-('Appendix K'!$E$40+'Appendix K'!$F$40+'Appendix K'!$H$40+'Appendix K'!$G$40))/((1+$Y$16)^AH$34))</f>
        <v>-673416.11158414383</v>
      </c>
      <c r="AI674" s="193">
        <f>(((L674*'Appendix K'!$C$15*1000)-('Appendix K'!$E$41+'Appendix K'!$F$41+'Appendix K'!$H$41+'Appendix K'!$G$41))/((1+$Y$16)^AI$34))</f>
        <v>-900105.97325172753</v>
      </c>
      <c r="AJ674" s="193">
        <f>(((M674*'Appendix K'!$C$16*1000)-('Appendix K'!$E$42+'Appendix K'!$F$42+'Appendix K'!$H$42+'Appendix K'!$G$42))/((1+$Y$16)^AJ$34))</f>
        <v>-1021826.1902587085</v>
      </c>
      <c r="AK674" s="193">
        <f>(((N674*'Appendix K'!$C$17*1000)-('Appendix K'!$E$43+'Appendix K'!$F$43+'Appendix K'!$H$43))/((1+$Y$16)^AK$34))</f>
        <v>-688269.7289623773</v>
      </c>
      <c r="AL674" s="193">
        <f>(((O674*'Appendix K'!$C$18*1000)-('Appendix K'!$E$44+'Appendix K'!$F$44+'Appendix K'!$H$44+'Appendix K'!$G$44))/((1+$Y$16)^AL$34))</f>
        <v>-807888.97148844029</v>
      </c>
      <c r="AM674" s="193">
        <f>(((P674*'Appendix K'!$C$19*1000)-('Appendix K'!$E$45+'Appendix K'!$F$45+'Appendix K'!$H$45+'Appendix K'!$G$45))/((1+$Y$16)^AM$34))</f>
        <v>-858935.56545091467</v>
      </c>
      <c r="AN674" s="193">
        <f>(((Q674*'Appendix K'!$C$20*1000)-('Appendix K'!$E$46+'Appendix K'!$F$46+'Appendix K'!$H$46+'Appendix K'!$G$46))/((1+$Y$16)^AN$34))</f>
        <v>-773910.71386670787</v>
      </c>
      <c r="AO674" s="193">
        <f>(((R674*'Appendix K'!$C$21*1000)-('Appendix K'!$E$47+'Appendix K'!$F$47+'Appendix K'!$H$47+'Appendix K'!$G$47))/((1+$Y$16)^AO$34))</f>
        <v>-799918.33575162769</v>
      </c>
      <c r="AP674" s="193">
        <f>(((S674*'Appendix K'!$C$22*1000)-('Appendix K'!$E$48+'Appendix K'!$F$48+'Appendix K'!$H$48+'Appendix K'!$G$48))/((1+$Y$16)^AP$34))</f>
        <v>-723074.44741544221</v>
      </c>
      <c r="AQ674" s="193">
        <f>(((T674*'Appendix K'!$C$23*1000)-('Appendix K'!$E$49+'Appendix K'!$F$49+'Appendix K'!$H$49+'Appendix K'!$G$49))/((1+$Y$16)^AQ$34))</f>
        <v>-656248.38607511797</v>
      </c>
      <c r="AR674" s="193">
        <f>(((U674*'Appendix K'!$C$24*1000)-('Appendix K'!$E$50+'Appendix K'!$F$50+'Appendix K'!$H$50+'Appendix K'!$G$50))/((1+$Y$16)^AR$34))</f>
        <v>-597766.51722407609</v>
      </c>
      <c r="AS674" s="209">
        <f t="shared" si="34"/>
        <v>64418776.347099967</v>
      </c>
      <c r="AU674" s="199">
        <f t="shared" si="33"/>
        <v>6.4662302532573152E-9</v>
      </c>
    </row>
    <row r="675" spans="1:47" x14ac:dyDescent="0.35">
      <c r="A675">
        <v>641</v>
      </c>
      <c r="B675" s="70">
        <v>56</v>
      </c>
      <c r="C675" s="70">
        <v>57.552005337491607</v>
      </c>
      <c r="D675" s="70">
        <v>46.110171651215609</v>
      </c>
      <c r="E675" s="70">
        <v>69.732077217115645</v>
      </c>
      <c r="F675" s="70">
        <v>86.381106740821679</v>
      </c>
      <c r="G675" s="70">
        <v>87.330622896800946</v>
      </c>
      <c r="H675" s="70">
        <v>111.46785411037045</v>
      </c>
      <c r="I675" s="70">
        <v>72.802495990201237</v>
      </c>
      <c r="J675" s="70">
        <v>87.880805704382851</v>
      </c>
      <c r="K675" s="70">
        <v>101.28875546815287</v>
      </c>
      <c r="L675" s="70">
        <v>76.854365111797719</v>
      </c>
      <c r="M675" s="70">
        <v>92.412366762511013</v>
      </c>
      <c r="N675" s="70">
        <v>111.95136383419143</v>
      </c>
      <c r="O675" s="70">
        <v>166.13545677743113</v>
      </c>
      <c r="P675" s="70">
        <v>154.53933794677695</v>
      </c>
      <c r="Q675" s="70">
        <v>115.77095017771128</v>
      </c>
      <c r="R675" s="70">
        <v>154.90504203397319</v>
      </c>
      <c r="S675" s="70">
        <v>175.00846255389595</v>
      </c>
      <c r="T675" s="70">
        <v>157.18529182969863</v>
      </c>
      <c r="U675" s="70">
        <v>230.22179766135972</v>
      </c>
      <c r="V675" s="70">
        <v>310.95360271776582</v>
      </c>
      <c r="X675" s="193">
        <f>((0-('Appendix K'!$I$30))/(1+$Y$16)^0)</f>
        <v>-33594902.4440751</v>
      </c>
      <c r="Y675" s="193">
        <f>(((B675*'Appendix K'!$C$5*1000)-('Appendix K'!$E$31+'Appendix K'!$F$31+'Appendix K'!$H$31+'Appendix K'!$G$31))/((1+$Y$16)^1))</f>
        <v>34971064.972647354</v>
      </c>
      <c r="Z675" s="193">
        <f>+(((C675*'Appendix K'!$C$6*1000)-('Appendix K'!$E$32+'Appendix K'!$F$32+'Appendix K'!$H$32+'Appendix K'!$G$32))/((1+$Y$16)^2))</f>
        <v>11051373.197452698</v>
      </c>
      <c r="AA675" s="193">
        <f>(((D675*'Appendix K'!$C$7*1000)-('Appendix K'!$E$33+'Appendix K'!$F$33+'Appendix K'!$H$33+'Appendix K'!$G$33))/((1+$Y$16)^3))</f>
        <v>2908379.16557919</v>
      </c>
      <c r="AB675" s="193">
        <f>(((E675*'Appendix K'!$C$8*1000)-('Appendix K'!$E$34+'Appendix K'!$F$34+'Appendix K'!$H$34+'Appendix K'!$G$34))/((1+$Y$16)^4))</f>
        <v>11991425.101410341</v>
      </c>
      <c r="AC675" s="193">
        <f>(((F675*'Appendix K'!$C$9*1000)-('Appendix K'!$E$35+'Appendix K'!$F$35+'Appendix K'!$H$35+'Appendix K'!$G$35))/((1+$Y$16)^AC$34))</f>
        <v>19975734.009872574</v>
      </c>
      <c r="AD675" s="193">
        <f>(((G675*'Appendix K'!$C$10*1000)-('Appendix K'!$E$36+'Appendix K'!$F$36+'Appendix K'!$H$36+'Appendix K'!$G$36))/((1+$Y$16)^AD$34))</f>
        <v>11198983.130304119</v>
      </c>
      <c r="AE675" s="193">
        <f>(((H675*'Appendix K'!$C$11*1000)-('Appendix K'!$E$37+'Appendix K'!$F$37+'Appendix K'!$H$37+'Appendix K'!$G$37))/((1+$Y$16)^AE$34))</f>
        <v>8897598.4950690232</v>
      </c>
      <c r="AF675" s="193">
        <f>(((I675*'Appendix K'!$C$12*1000)-('Appendix K'!$E$38+'Appendix K'!$F$38+'Appendix K'!$H$38+'Appendix K'!$G$38))/((1+$Y$16)^AF$34))</f>
        <v>2783809.5705714943</v>
      </c>
      <c r="AG675" s="193">
        <f>(((J675*'Appendix K'!$C$13*1000)-('Appendix K'!$E$39+'Appendix K'!$F$39+'Appendix K'!$H$39+'Appendix K'!$G$39))/((1+$Y$16)^AG$34))</f>
        <v>2229237.0001840931</v>
      </c>
      <c r="AH675" s="193">
        <f>(((K675*'Appendix K'!$C$14*1000)-('Appendix K'!$E$40+'Appendix K'!$F$40+'Appendix K'!$H$40+'Appendix K'!$G$40))/((1+$Y$16)^AH$34))</f>
        <v>1781350.9902252315</v>
      </c>
      <c r="AI675" s="193">
        <f>(((L675*'Appendix K'!$C$15*1000)-('Appendix K'!$E$41+'Appendix K'!$F$41+'Appendix K'!$H$41+'Appendix K'!$G$41))/((1+$Y$16)^AI$34))</f>
        <v>497246.73596555524</v>
      </c>
      <c r="AJ675" s="193">
        <f>(((M675*'Appendix K'!$C$16*1000)-('Appendix K'!$E$42+'Appendix K'!$F$42+'Appendix K'!$H$42+'Appendix K'!$G$42))/((1+$Y$16)^AJ$34))</f>
        <v>470565.4030636822</v>
      </c>
      <c r="AK675" s="193">
        <f>(((N675*'Appendix K'!$C$17*1000)-('Appendix K'!$E$43+'Appendix K'!$F$43+'Appendix K'!$H$43))/((1+$Y$16)^AK$34))</f>
        <v>715750.65836657269</v>
      </c>
      <c r="AL675" s="193">
        <f>(((O675*'Appendix K'!$C$18*1000)-('Appendix K'!$E$44+'Appendix K'!$F$44+'Appendix K'!$H$44+'Appendix K'!$G$44))/((1+$Y$16)^AL$34))</f>
        <v>834663.32922406239</v>
      </c>
      <c r="AM675" s="193">
        <f>(((P675*'Appendix K'!$C$19*1000)-('Appendix K'!$E$45+'Appendix K'!$F$45+'Appendix K'!$H$45+'Appendix K'!$G$45))/((1+$Y$16)^AM$34))</f>
        <v>405617.73267081007</v>
      </c>
      <c r="AN675" s="193">
        <f>(((Q675*'Appendix K'!$C$20*1000)-('Appendix K'!$E$46+'Appendix K'!$F$46+'Appendix K'!$H$46+'Appendix K'!$G$46))/((1+$Y$16)^AN$34))</f>
        <v>-77965.133715083444</v>
      </c>
      <c r="AO675" s="193">
        <f>(((R675*'Appendix K'!$C$21*1000)-('Appendix K'!$E$47+'Appendix K'!$F$47+'Appendix K'!$H$47+'Appendix K'!$G$47))/((1+$Y$16)^AO$34))</f>
        <v>72506.986955054846</v>
      </c>
      <c r="AP675" s="193">
        <f>(((S675*'Appendix K'!$C$22*1000)-('Appendix K'!$E$48+'Appendix K'!$F$48+'Appendix K'!$H$48+'Appendix K'!$G$48))/((1+$Y$16)^AP$34))</f>
        <v>73788.18523583874</v>
      </c>
      <c r="AQ675" s="193">
        <f>(((T675*'Appendix K'!$C$23*1000)-('Appendix K'!$E$49+'Appendix K'!$F$49+'Appendix K'!$H$49+'Appendix K'!$G$49))/((1+$Y$16)^AQ$34))</f>
        <v>-78302.639757068464</v>
      </c>
      <c r="AR675" s="193">
        <f>(((U675*'Appendix K'!$C$24*1000)-('Appendix K'!$E$50+'Appendix K'!$F$50+'Appendix K'!$H$50+'Appendix K'!$G$50))/((1+$Y$16)^AR$34))</f>
        <v>112031.76971325987</v>
      </c>
      <c r="AS675" s="209">
        <f t="shared" si="34"/>
        <v>77376223.990435839</v>
      </c>
      <c r="AU675" s="199">
        <f t="shared" ref="AU675:AU738" si="35">_xlfn.NORM.DIST(AS675,$Y$17,$Y$19,FALSE)</f>
        <v>6.916148254449765E-9</v>
      </c>
    </row>
    <row r="676" spans="1:47" x14ac:dyDescent="0.35">
      <c r="A676">
        <v>642</v>
      </c>
      <c r="B676" s="70">
        <v>56</v>
      </c>
      <c r="C676" s="70">
        <v>72.348248507503484</v>
      </c>
      <c r="D676" s="70">
        <v>71.971994212131492</v>
      </c>
      <c r="E676" s="70">
        <v>72.865389036463725</v>
      </c>
      <c r="F676" s="70">
        <v>102.44124411848378</v>
      </c>
      <c r="G676" s="70">
        <v>111.21317934948893</v>
      </c>
      <c r="H676" s="70">
        <v>202.94582872330642</v>
      </c>
      <c r="I676" s="70">
        <v>225.55652960075784</v>
      </c>
      <c r="J676" s="70">
        <v>162.20816761706391</v>
      </c>
      <c r="K676" s="70">
        <v>220.18897672881226</v>
      </c>
      <c r="L676" s="70">
        <v>175.9070473301791</v>
      </c>
      <c r="M676" s="70">
        <v>257.85578892328249</v>
      </c>
      <c r="N676" s="70">
        <v>349.70592395568093</v>
      </c>
      <c r="O676" s="70">
        <v>500</v>
      </c>
      <c r="P676" s="70">
        <v>500</v>
      </c>
      <c r="Q676" s="70">
        <v>500</v>
      </c>
      <c r="R676" s="70">
        <v>480.73939383716612</v>
      </c>
      <c r="S676" s="70">
        <v>500</v>
      </c>
      <c r="T676" s="70">
        <v>500</v>
      </c>
      <c r="U676" s="70">
        <v>401.89121311579038</v>
      </c>
      <c r="V676" s="70">
        <v>482.55590626371361</v>
      </c>
      <c r="X676" s="193">
        <f>((0-('Appendix K'!$I$30))/(1+$Y$16)^0)</f>
        <v>-33594902.4440751</v>
      </c>
      <c r="Y676" s="193">
        <f>(((B676*'Appendix K'!$C$5*1000)-('Appendix K'!$E$31+'Appendix K'!$F$31+'Appendix K'!$H$31+'Appendix K'!$G$31))/((1+$Y$16)^1))</f>
        <v>34971064.972647354</v>
      </c>
      <c r="Z676" s="193">
        <f>+(((C676*'Appendix K'!$C$6*1000)-('Appendix K'!$E$32+'Appendix K'!$F$32+'Appendix K'!$H$32+'Appendix K'!$G$32))/((1+$Y$16)^2))</f>
        <v>14789157.284180636</v>
      </c>
      <c r="AA676" s="193">
        <f>(((D676*'Appendix K'!$C$7*1000)-('Appendix K'!$E$33+'Appendix K'!$F$33+'Appendix K'!$H$33+'Appendix K'!$G$33))/((1+$Y$16)^3))</f>
        <v>6202525.5132330954</v>
      </c>
      <c r="AB676" s="193">
        <f>(((E676*'Appendix K'!$C$8*1000)-('Appendix K'!$E$34+'Appendix K'!$F$34+'Appendix K'!$H$34+'Appendix K'!$G$34))/((1+$Y$16)^4))</f>
        <v>12678218.369502453</v>
      </c>
      <c r="AC676" s="193">
        <f>(((F676*'Appendix K'!$C$9*1000)-('Appendix K'!$E$35+'Appendix K'!$F$35+'Appendix K'!$H$35+'Appendix K'!$G$35))/((1+$Y$16)^AC$34))</f>
        <v>24244493.305913944</v>
      </c>
      <c r="AD676" s="193">
        <f>(((G676*'Appendix K'!$C$10*1000)-('Appendix K'!$E$36+'Appendix K'!$F$36+'Appendix K'!$H$36+'Appendix K'!$G$36))/((1+$Y$16)^AD$34))</f>
        <v>14949594.167945784</v>
      </c>
      <c r="AE676" s="193">
        <f>(((H676*'Appendix K'!$C$11*1000)-('Appendix K'!$E$37+'Appendix K'!$F$37+'Appendix K'!$H$37+'Appendix K'!$G$37))/((1+$Y$16)^AE$34))</f>
        <v>18021394.773727261</v>
      </c>
      <c r="AF676" s="193">
        <f>(((I676*'Appendix K'!$C$12*1000)-('Appendix K'!$E$38+'Appendix K'!$F$38+'Appendix K'!$H$38+'Appendix K'!$G$38))/((1+$Y$16)^AF$34))</f>
        <v>12814010.157443503</v>
      </c>
      <c r="AG676" s="193">
        <f>(((J676*'Appendix K'!$C$13*1000)-('Appendix K'!$E$39+'Appendix K'!$F$39+'Appendix K'!$H$39+'Appendix K'!$G$39))/((1+$Y$16)^AG$34))</f>
        <v>5649702.8555397009</v>
      </c>
      <c r="AH676" s="193">
        <f>(((K676*'Appendix K'!$C$14*1000)-('Appendix K'!$E$40+'Appendix K'!$F$40+'Appendix K'!$H$40+'Appendix K'!$G$40))/((1+$Y$16)^AH$34))</f>
        <v>5789064.4794604173</v>
      </c>
      <c r="AI676" s="193">
        <f>(((L676*'Appendix K'!$C$15*1000)-('Appendix K'!$E$41+'Appendix K'!$F$41+'Appendix K'!$H$41+'Appendix K'!$G$41))/((1+$Y$16)^AI$34))</f>
        <v>3092612.2395111709</v>
      </c>
      <c r="AJ676" s="193">
        <f>(((M676*'Appendix K'!$C$16*1000)-('Appendix K'!$E$42+'Appendix K'!$F$42+'Appendix K'!$H$42+'Appendix K'!$G$42))/((1+$Y$16)^AJ$34))</f>
        <v>3786360.4623863338</v>
      </c>
      <c r="AK676" s="193">
        <f>(((N676*'Appendix K'!$C$17*1000)-('Appendix K'!$E$43+'Appendix K'!$F$43+'Appendix K'!$H$43))/((1+$Y$16)^AK$34))</f>
        <v>4368587.3413443947</v>
      </c>
      <c r="AL676" s="193">
        <f>(((O676*'Appendix K'!$C$18*1000)-('Appendix K'!$E$44+'Appendix K'!$F$44+'Appendix K'!$H$44+'Appendix K'!$G$44))/((1+$Y$16)^AL$34))</f>
        <v>4792058.0003928225</v>
      </c>
      <c r="AM676" s="193">
        <f>(((P676*'Appendix K'!$C$19*1000)-('Appendix K'!$E$45+'Appendix K'!$F$45+'Appendix K'!$H$45+'Appendix K'!$G$45))/((1+$Y$16)^AM$34))</f>
        <v>3607599.9540230581</v>
      </c>
      <c r="AN676" s="193">
        <f>(((Q676*'Appendix K'!$C$20*1000)-('Appendix K'!$E$46+'Appendix K'!$F$46+'Appendix K'!$H$46+'Appendix K'!$G$46))/((1+$Y$16)^AN$34))</f>
        <v>2702399.606577659</v>
      </c>
      <c r="AO676" s="193">
        <f>(((R676*'Appendix K'!$C$21*1000)-('Appendix K'!$E$47+'Appendix K'!$F$47+'Appendix K'!$H$47+'Appendix K'!$G$47))/((1+$Y$16)^AO$34))</f>
        <v>1998224.0043042225</v>
      </c>
      <c r="AP676" s="193">
        <f>(((S676*'Appendix K'!$C$22*1000)-('Appendix K'!$E$48+'Appendix K'!$F$48+'Appendix K'!$H$48+'Appendix K'!$G$48))/((1+$Y$16)^AP$34))</f>
        <v>1630406.4380253027</v>
      </c>
      <c r="AQ676" s="193">
        <f>(((T676*'Appendix K'!$C$23*1000)-('Appendix K'!$E$49+'Appendix K'!$F$49+'Appendix K'!$H$49+'Appendix K'!$G$49))/((1+$Y$16)^AQ$34))</f>
        <v>1263386.3652054211</v>
      </c>
      <c r="AR676" s="193">
        <f>(((U676*'Appendix K'!$C$24*1000)-('Appendix K'!$E$50+'Appendix K'!$F$50+'Appendix K'!$H$50+'Appendix K'!$G$50))/((1+$Y$16)^AR$34))</f>
        <v>664812.09745759948</v>
      </c>
      <c r="AS676" s="209">
        <f t="shared" ref="AS676:AS739" si="36">SUMIF(Y676:AR676,"&gt;0")+X676</f>
        <v>144420769.944747</v>
      </c>
      <c r="AU676" s="199">
        <f t="shared" si="35"/>
        <v>4.2597639596222866E-9</v>
      </c>
    </row>
    <row r="677" spans="1:47" x14ac:dyDescent="0.35">
      <c r="A677">
        <v>643</v>
      </c>
      <c r="B677" s="70">
        <v>56</v>
      </c>
      <c r="C677" s="70">
        <v>98.500422496585031</v>
      </c>
      <c r="D677" s="70">
        <v>160.85757233869521</v>
      </c>
      <c r="E677" s="70">
        <v>73.169724626157375</v>
      </c>
      <c r="F677" s="70">
        <v>82.568816956129822</v>
      </c>
      <c r="G677" s="70">
        <v>100.69255229640417</v>
      </c>
      <c r="H677" s="70">
        <v>116.89058406931417</v>
      </c>
      <c r="I677" s="70">
        <v>100.97012852215136</v>
      </c>
      <c r="J677" s="70">
        <v>144.94962389355936</v>
      </c>
      <c r="K677" s="70">
        <v>216.82594272390139</v>
      </c>
      <c r="L677" s="70">
        <v>316.35322828792636</v>
      </c>
      <c r="M677" s="70">
        <v>353.74437822408055</v>
      </c>
      <c r="N677" s="70">
        <v>433.31629535092668</v>
      </c>
      <c r="O677" s="70">
        <v>500</v>
      </c>
      <c r="P677" s="70">
        <v>495.91394573405796</v>
      </c>
      <c r="Q677" s="70">
        <v>500</v>
      </c>
      <c r="R677" s="70">
        <v>500</v>
      </c>
      <c r="S677" s="70">
        <v>500</v>
      </c>
      <c r="T677" s="70">
        <v>459.47149223491243</v>
      </c>
      <c r="U677" s="70">
        <v>367.29648477741944</v>
      </c>
      <c r="V677" s="70">
        <v>434.78347191066439</v>
      </c>
      <c r="X677" s="193">
        <f>((0-('Appendix K'!$I$30))/(1+$Y$16)^0)</f>
        <v>-33594902.4440751</v>
      </c>
      <c r="Y677" s="193">
        <f>(((B677*'Appendix K'!$C$5*1000)-('Appendix K'!$E$31+'Appendix K'!$F$31+'Appendix K'!$H$31+'Appendix K'!$G$31))/((1+$Y$16)^1))</f>
        <v>34971064.972647354</v>
      </c>
      <c r="Z677" s="193">
        <f>+(((C677*'Appendix K'!$C$6*1000)-('Appendix K'!$E$32+'Appendix K'!$F$32+'Appendix K'!$H$32+'Appendix K'!$G$32))/((1+$Y$16)^2))</f>
        <v>21395643.717699487</v>
      </c>
      <c r="AA677" s="193">
        <f>(((D677*'Appendix K'!$C$7*1000)-('Appendix K'!$E$33+'Appendix K'!$F$33+'Appendix K'!$H$33+'Appendix K'!$G$33))/((1+$Y$16)^3))</f>
        <v>17524314.681612436</v>
      </c>
      <c r="AB677" s="193">
        <f>(((E677*'Appendix K'!$C$8*1000)-('Appendix K'!$E$34+'Appendix K'!$F$34+'Appendix K'!$H$34+'Appendix K'!$G$34))/((1+$Y$16)^4))</f>
        <v>12744925.944839125</v>
      </c>
      <c r="AC677" s="193">
        <f>(((F677*'Appendix K'!$C$9*1000)-('Appendix K'!$E$35+'Appendix K'!$F$35+'Appendix K'!$H$35+'Appendix K'!$G$35))/((1+$Y$16)^AC$34))</f>
        <v>18962433.371470697</v>
      </c>
      <c r="AD677" s="193">
        <f>(((G677*'Appendix K'!$C$10*1000)-('Appendix K'!$E$36+'Appendix K'!$F$36+'Appendix K'!$H$36+'Appendix K'!$G$36))/((1+$Y$16)^AD$34))</f>
        <v>13297393.323099876</v>
      </c>
      <c r="AE677" s="193">
        <f>(((H677*'Appendix K'!$C$11*1000)-('Appendix K'!$E$37+'Appendix K'!$F$37+'Appendix K'!$H$37+'Appendix K'!$G$37))/((1+$Y$16)^AE$34))</f>
        <v>9438448.7229946293</v>
      </c>
      <c r="AF677" s="193">
        <f>(((I677*'Appendix K'!$C$12*1000)-('Appendix K'!$E$38+'Appendix K'!$F$38+'Appendix K'!$H$38+'Appendix K'!$G$38))/((1+$Y$16)^AF$34))</f>
        <v>4633364.6865631174</v>
      </c>
      <c r="AG677" s="193">
        <f>(((J677*'Appendix K'!$C$13*1000)-('Appendix K'!$E$39+'Appendix K'!$F$39+'Appendix K'!$H$39+'Appendix K'!$G$39))/((1+$Y$16)^AG$34))</f>
        <v>4855483.0958129996</v>
      </c>
      <c r="AH677" s="193">
        <f>(((K677*'Appendix K'!$C$14*1000)-('Appendix K'!$E$40+'Appendix K'!$F$40+'Appendix K'!$H$40+'Appendix K'!$G$40))/((1+$Y$16)^AH$34))</f>
        <v>5675708.2837920291</v>
      </c>
      <c r="AI677" s="193">
        <f>(((L677*'Appendix K'!$C$15*1000)-('Appendix K'!$E$41+'Appendix K'!$F$41+'Appendix K'!$H$41+'Appendix K'!$G$41))/((1+$Y$16)^AI$34))</f>
        <v>6772564.8162503783</v>
      </c>
      <c r="AJ677" s="193">
        <f>(((M677*'Appendix K'!$C$16*1000)-('Appendix K'!$E$42+'Appendix K'!$F$42+'Appendix K'!$H$42+'Appendix K'!$G$42))/((1+$Y$16)^AJ$34))</f>
        <v>5708146.813856001</v>
      </c>
      <c r="AK677" s="193">
        <f>(((N677*'Appendix K'!$C$17*1000)-('Appendix K'!$E$43+'Appendix K'!$F$43+'Appendix K'!$H$43))/((1+$Y$16)^AK$34))</f>
        <v>5653168.5142728556</v>
      </c>
      <c r="AL677" s="193">
        <f>(((O677*'Appendix K'!$C$18*1000)-('Appendix K'!$E$44+'Appendix K'!$F$44+'Appendix K'!$H$44+'Appendix K'!$G$44))/((1+$Y$16)^AL$34))</f>
        <v>4792058.0003928225</v>
      </c>
      <c r="AM677" s="193">
        <f>(((P677*'Appendix K'!$C$19*1000)-('Appendix K'!$E$45+'Appendix K'!$F$45+'Appendix K'!$H$45+'Appendix K'!$G$45))/((1+$Y$16)^AM$34))</f>
        <v>3569727.4129433692</v>
      </c>
      <c r="AN677" s="193">
        <f>(((Q677*'Appendix K'!$C$20*1000)-('Appendix K'!$E$46+'Appendix K'!$F$46+'Appendix K'!$H$46+'Appendix K'!$G$46))/((1+$Y$16)^AN$34))</f>
        <v>2702399.606577659</v>
      </c>
      <c r="AO677" s="193">
        <f>(((R677*'Appendix K'!$C$21*1000)-('Appendix K'!$E$47+'Appendix K'!$F$47+'Appendix K'!$H$47+'Appendix K'!$G$47))/((1+$Y$16)^AO$34))</f>
        <v>2112056.3146391152</v>
      </c>
      <c r="AP677" s="193">
        <f>(((S677*'Appendix K'!$C$22*1000)-('Appendix K'!$E$48+'Appendix K'!$F$48+'Appendix K'!$H$48+'Appendix K'!$G$48))/((1+$Y$16)^AP$34))</f>
        <v>1630406.4380253027</v>
      </c>
      <c r="AQ677" s="193">
        <f>(((T677*'Appendix K'!$C$23*1000)-('Appendix K'!$E$49+'Appendix K'!$F$49+'Appendix K'!$H$49+'Appendix K'!$G$49))/((1+$Y$16)^AQ$34))</f>
        <v>1104768.1613769494</v>
      </c>
      <c r="AR677" s="193">
        <f>(((U677*'Appendix K'!$C$24*1000)-('Appendix K'!$E$50+'Appendix K'!$F$50+'Appendix K'!$H$50+'Appendix K'!$G$50))/((1+$Y$16)^AR$34))</f>
        <v>553416.10290324409</v>
      </c>
      <c r="AS677" s="209">
        <f t="shared" si="36"/>
        <v>144502590.53769433</v>
      </c>
      <c r="AU677" s="199">
        <f t="shared" si="35"/>
        <v>4.2536168013608079E-9</v>
      </c>
    </row>
    <row r="678" spans="1:47" x14ac:dyDescent="0.35">
      <c r="A678">
        <v>644</v>
      </c>
      <c r="B678" s="70">
        <v>56</v>
      </c>
      <c r="C678" s="70">
        <v>63.134838247663765</v>
      </c>
      <c r="D678" s="70">
        <v>21.046608112993468</v>
      </c>
      <c r="E678" s="70">
        <v>22.820695696981268</v>
      </c>
      <c r="F678" s="70">
        <v>32.096638317940688</v>
      </c>
      <c r="G678" s="70">
        <v>28.281110825466797</v>
      </c>
      <c r="H678" s="70">
        <v>25.207758239503811</v>
      </c>
      <c r="I678" s="70">
        <v>20.055332911579089</v>
      </c>
      <c r="J678" s="70">
        <v>19.176224093588644</v>
      </c>
      <c r="K678" s="70">
        <v>19.361580793068349</v>
      </c>
      <c r="L678" s="70">
        <v>27.976273897806145</v>
      </c>
      <c r="M678" s="70">
        <v>40.377720574327178</v>
      </c>
      <c r="N678" s="70">
        <v>26.095137558495225</v>
      </c>
      <c r="O678" s="70">
        <v>33.731972682589522</v>
      </c>
      <c r="P678" s="70">
        <v>56.637541847884052</v>
      </c>
      <c r="Q678" s="70">
        <v>52.934879307047254</v>
      </c>
      <c r="R678" s="70">
        <v>51.373824710308</v>
      </c>
      <c r="S678" s="70">
        <v>52.402347000912862</v>
      </c>
      <c r="T678" s="70">
        <v>73.215531785749022</v>
      </c>
      <c r="U678" s="70">
        <v>68.604043744911309</v>
      </c>
      <c r="V678" s="70">
        <v>47.868091375096412</v>
      </c>
      <c r="X678" s="193">
        <f>((0-('Appendix K'!$I$30))/(1+$Y$16)^0)</f>
        <v>-33594902.4440751</v>
      </c>
      <c r="Y678" s="193">
        <f>(((B678*'Appendix K'!$C$5*1000)-('Appendix K'!$E$31+'Appendix K'!$F$31+'Appendix K'!$H$31+'Appendix K'!$G$31))/((1+$Y$16)^1))</f>
        <v>34971064.972647354</v>
      </c>
      <c r="Z678" s="193">
        <f>+(((C678*'Appendix K'!$C$6*1000)-('Appendix K'!$E$32+'Appendix K'!$F$32+'Appendix K'!$H$32+'Appendix K'!$G$32))/((1+$Y$16)^2))</f>
        <v>12461692.274446199</v>
      </c>
      <c r="AA678" s="193">
        <f>(((D678*'Appendix K'!$C$7*1000)-('Appendix K'!$E$33+'Appendix K'!$F$33+'Appendix K'!$H$33+'Appendix K'!$G$33))/((1+$Y$16)^3))</f>
        <v>-284089.04095010925</v>
      </c>
      <c r="AB678" s="193">
        <f>(((E678*'Appendix K'!$C$8*1000)-('Appendix K'!$E$34+'Appendix K'!$F$34+'Appendix K'!$H$34+'Appendix K'!$G$34))/((1+$Y$16)^4))</f>
        <v>1708879.7045616864</v>
      </c>
      <c r="AC678" s="193">
        <f>(((F678*'Appendix K'!$C$9*1000)-('Appendix K'!$E$35+'Appendix K'!$F$35+'Appendix K'!$H$35+'Appendix K'!$G$35))/((1+$Y$16)^AC$34))</f>
        <v>5547007.5449828925</v>
      </c>
      <c r="AD678" s="193">
        <f>(((G678*'Appendix K'!$C$10*1000)-('Appendix K'!$E$36+'Appendix K'!$F$36+'Appendix K'!$H$36+'Appendix K'!$G$36))/((1+$Y$16)^AD$34))</f>
        <v>1925614.4195112754</v>
      </c>
      <c r="AE678" s="193">
        <f>(((H678*'Appendix K'!$C$11*1000)-('Appendix K'!$E$37+'Appendix K'!$F$37+'Appendix K'!$H$37+'Appendix K'!$G$37))/((1+$Y$16)^AE$34))</f>
        <v>294221.06970107672</v>
      </c>
      <c r="AF678" s="193">
        <f>(((I678*'Appendix K'!$C$12*1000)-('Appendix K'!$E$38+'Appendix K'!$F$38+'Appendix K'!$H$38+'Appendix K'!$G$38))/((1+$Y$16)^AF$34))</f>
        <v>-679697.17659479741</v>
      </c>
      <c r="AG678" s="193">
        <f>(((J678*'Appendix K'!$C$13*1000)-('Appendix K'!$E$39+'Appendix K'!$F$39+'Appendix K'!$H$39+'Appendix K'!$G$39))/((1+$Y$16)^AG$34))</f>
        <v>-932474.50764920958</v>
      </c>
      <c r="AH678" s="193">
        <f>(((K678*'Appendix K'!$C$14*1000)-('Appendix K'!$E$40+'Appendix K'!$F$40+'Appendix K'!$H$40+'Appendix K'!$G$40))/((1+$Y$16)^AH$34))</f>
        <v>-980129.51501670247</v>
      </c>
      <c r="AI678" s="193">
        <f>(((L678*'Appendix K'!$C$15*1000)-('Appendix K'!$E$41+'Appendix K'!$F$41+'Appendix K'!$H$41+'Appendix K'!$G$41))/((1+$Y$16)^AI$34))</f>
        <v>-783450.65631978738</v>
      </c>
      <c r="AJ678" s="193">
        <f>(((M678*'Appendix K'!$C$16*1000)-('Appendix K'!$E$42+'Appendix K'!$F$42+'Appendix K'!$H$42+'Appendix K'!$G$42))/((1+$Y$16)^AJ$34))</f>
        <v>-572306.05408447934</v>
      </c>
      <c r="AK678" s="193">
        <f>(((N678*'Appendix K'!$C$17*1000)-('Appendix K'!$E$43+'Appendix K'!$F$43+'Appendix K'!$H$43))/((1+$Y$16)^AK$34))</f>
        <v>-603335.59866106242</v>
      </c>
      <c r="AL678" s="193">
        <f>(((O678*'Appendix K'!$C$18*1000)-('Appendix K'!$E$44+'Appendix K'!$F$44+'Appendix K'!$H$44+'Appendix K'!$G$44))/((1+$Y$16)^AL$34))</f>
        <v>-734754.12775878515</v>
      </c>
      <c r="AM678" s="193">
        <f>(((P678*'Appendix K'!$C$19*1000)-('Appendix K'!$E$45+'Appendix K'!$F$45+'Appendix K'!$H$45+'Appendix K'!$G$45))/((1+$Y$16)^AM$34))</f>
        <v>-501807.75735158776</v>
      </c>
      <c r="AN678" s="193">
        <f>(((Q678*'Appendix K'!$C$20*1000)-('Appendix K'!$E$46+'Appendix K'!$F$46+'Appendix K'!$H$46+'Appendix K'!$G$46))/((1+$Y$16)^AN$34))</f>
        <v>-532660.57110622979</v>
      </c>
      <c r="AO678" s="193">
        <f>(((R678*'Appendix K'!$C$21*1000)-('Appendix K'!$E$47+'Appendix K'!$F$47+'Appendix K'!$H$47+'Appendix K'!$G$47))/((1+$Y$16)^AO$34))</f>
        <v>-539373.94556086208</v>
      </c>
      <c r="AP678" s="193">
        <f>(((S678*'Appendix K'!$C$22*1000)-('Appendix K'!$E$48+'Appendix K'!$F$48+'Appendix K'!$H$48+'Appendix K'!$G$48))/((1+$Y$16)^AP$34))</f>
        <v>-513460.69783711818</v>
      </c>
      <c r="AQ678" s="193">
        <f>(((T678*'Appendix K'!$C$23*1000)-('Appendix K'!$E$49+'Appendix K'!$F$49+'Appendix K'!$H$49+'Appendix K'!$G$49))/((1+$Y$16)^AQ$34))</f>
        <v>-406938.78375920543</v>
      </c>
      <c r="AR678" s="193">
        <f>(((U678*'Appendix K'!$C$24*1000)-('Appendix K'!$E$50+'Appendix K'!$F$50+'Appendix K'!$H$50+'Appendix K'!$G$50))/((1+$Y$16)^AR$34))</f>
        <v>-408381.92624269333</v>
      </c>
      <c r="AS678" s="209">
        <f t="shared" si="36"/>
        <v>23313577.541775383</v>
      </c>
      <c r="AU678" s="199">
        <f t="shared" si="35"/>
        <v>3.6995404465761724E-9</v>
      </c>
    </row>
    <row r="679" spans="1:47" x14ac:dyDescent="0.35">
      <c r="A679">
        <v>645</v>
      </c>
      <c r="B679" s="70">
        <v>56</v>
      </c>
      <c r="C679" s="70">
        <v>70.581172920955339</v>
      </c>
      <c r="D679" s="70">
        <v>32.919513013664194</v>
      </c>
      <c r="E679" s="70">
        <v>33.690108794496993</v>
      </c>
      <c r="F679" s="70">
        <v>50.174667615336908</v>
      </c>
      <c r="G679" s="70">
        <v>28.716139459010577</v>
      </c>
      <c r="H679" s="70">
        <v>30.768002975486258</v>
      </c>
      <c r="I679" s="70">
        <v>35.536942982215038</v>
      </c>
      <c r="J679" s="70">
        <v>42.836723660969092</v>
      </c>
      <c r="K679" s="70">
        <v>46.605718928686478</v>
      </c>
      <c r="L679" s="70">
        <v>38.1274559718116</v>
      </c>
      <c r="M679" s="70">
        <v>54.631036781130675</v>
      </c>
      <c r="N679" s="70">
        <v>33.725231409962277</v>
      </c>
      <c r="O679" s="70">
        <v>44.608493376589053</v>
      </c>
      <c r="P679" s="70">
        <v>36.8283792014578</v>
      </c>
      <c r="Q679" s="70">
        <v>30.042141496031697</v>
      </c>
      <c r="R679" s="70">
        <v>39.495972468975417</v>
      </c>
      <c r="S679" s="70">
        <v>34.268084875248007</v>
      </c>
      <c r="T679" s="70">
        <v>65.88832044112344</v>
      </c>
      <c r="U679" s="70">
        <v>96.143517094778971</v>
      </c>
      <c r="V679" s="70">
        <v>99.433466363773022</v>
      </c>
      <c r="X679" s="193">
        <f>((0-('Appendix K'!$I$30))/(1+$Y$16)^0)</f>
        <v>-33594902.4440751</v>
      </c>
      <c r="Y679" s="193">
        <f>(((B679*'Appendix K'!$C$5*1000)-('Appendix K'!$E$31+'Appendix K'!$F$31+'Appendix K'!$H$31+'Appendix K'!$G$31))/((1+$Y$16)^1))</f>
        <v>34971064.972647354</v>
      </c>
      <c r="Z679" s="193">
        <f>+(((C679*'Appendix K'!$C$6*1000)-('Appendix K'!$E$32+'Appendix K'!$F$32+'Appendix K'!$H$32+'Appendix K'!$G$32))/((1+$Y$16)^2))</f>
        <v>14342763.768505549</v>
      </c>
      <c r="AA679" s="193">
        <f>(((D679*'Appendix K'!$C$7*1000)-('Appendix K'!$E$33+'Appendix K'!$F$33+'Appendix K'!$H$33+'Appendix K'!$G$33))/((1+$Y$16)^3))</f>
        <v>1228220.7052970065</v>
      </c>
      <c r="AB679" s="193">
        <f>(((E679*'Appendix K'!$C$8*1000)-('Appendix K'!$E$34+'Appendix K'!$F$34+'Appendix K'!$H$34+'Appendix K'!$G$34))/((1+$Y$16)^4))</f>
        <v>4091355.5556371259</v>
      </c>
      <c r="AC679" s="193">
        <f>(((F679*'Appendix K'!$C$9*1000)-('Appendix K'!$E$35+'Appendix K'!$F$35+'Appendix K'!$H$35+'Appendix K'!$G$35))/((1+$Y$16)^AC$34))</f>
        <v>10352119.344630657</v>
      </c>
      <c r="AD679" s="193">
        <f>(((G679*'Appendix K'!$C$10*1000)-('Appendix K'!$E$36+'Appendix K'!$F$36+'Appendix K'!$H$36+'Appendix K'!$G$36))/((1+$Y$16)^AD$34))</f>
        <v>1993933.0351457351</v>
      </c>
      <c r="AE679" s="193">
        <f>(((H679*'Appendix K'!$C$11*1000)-('Appendix K'!$E$37+'Appendix K'!$F$37+'Appendix K'!$H$37+'Appendix K'!$G$37))/((1+$Y$16)^AE$34))</f>
        <v>848786.6954185029</v>
      </c>
      <c r="AF679" s="193">
        <f>(((I679*'Appendix K'!$C$12*1000)-('Appendix K'!$E$38+'Appendix K'!$F$38+'Appendix K'!$H$38+'Appendix K'!$G$38))/((1+$Y$16)^AF$34))</f>
        <v>336862.91511517914</v>
      </c>
      <c r="AG679" s="193">
        <f>(((J679*'Appendix K'!$C$13*1000)-('Appendix K'!$E$39+'Appendix K'!$F$39+'Appendix K'!$H$39+'Appendix K'!$G$39))/((1+$Y$16)^AG$34))</f>
        <v>156356.42632038999</v>
      </c>
      <c r="AH679" s="193">
        <f>(((K679*'Appendix K'!$C$14*1000)-('Appendix K'!$E$40+'Appendix K'!$F$40+'Appendix K'!$H$40+'Appendix K'!$G$40))/((1+$Y$16)^AH$34))</f>
        <v>-61824.244000102743</v>
      </c>
      <c r="AI679" s="193">
        <f>(((L679*'Appendix K'!$C$15*1000)-('Appendix K'!$E$41+'Appendix K'!$F$41+'Appendix K'!$H$41+'Appendix K'!$G$41))/((1+$Y$16)^AI$34))</f>
        <v>-517470.70317728358</v>
      </c>
      <c r="AJ679" s="193">
        <f>(((M679*'Appendix K'!$C$16*1000)-('Appendix K'!$E$42+'Appendix K'!$F$42+'Appendix K'!$H$42+'Appendix K'!$G$42))/((1+$Y$16)^AJ$34))</f>
        <v>-286642.98667309544</v>
      </c>
      <c r="AK679" s="193">
        <f>(((N679*'Appendix K'!$C$17*1000)-('Appendix K'!$E$43+'Appendix K'!$F$43+'Appendix K'!$H$43))/((1+$Y$16)^AK$34))</f>
        <v>-486107.61909692537</v>
      </c>
      <c r="AL679" s="193">
        <f>(((O679*'Appendix K'!$C$18*1000)-('Appendix K'!$E$44+'Appendix K'!$F$44+'Appendix K'!$H$44+'Appendix K'!$G$44))/((1+$Y$16)^AL$34))</f>
        <v>-605831.52753347054</v>
      </c>
      <c r="AM679" s="193">
        <f>(((P679*'Appendix K'!$C$19*1000)-('Appendix K'!$E$45+'Appendix K'!$F$45+'Appendix K'!$H$45+'Appendix K'!$G$45))/((1+$Y$16)^AM$34))</f>
        <v>-685413.57295081753</v>
      </c>
      <c r="AN679" s="193">
        <f>(((Q679*'Appendix K'!$C$20*1000)-('Appendix K'!$E$46+'Appendix K'!$F$46+'Appendix K'!$H$46+'Appendix K'!$G$46))/((1+$Y$16)^AN$34))</f>
        <v>-698317.38713290251</v>
      </c>
      <c r="AO679" s="193">
        <f>(((R679*'Appendix K'!$C$21*1000)-('Appendix K'!$E$47+'Appendix K'!$F$47+'Appendix K'!$H$47+'Appendix K'!$G$47))/((1+$Y$16)^AO$34))</f>
        <v>-609573.3645727312</v>
      </c>
      <c r="AP679" s="193">
        <f>(((S679*'Appendix K'!$C$22*1000)-('Appendix K'!$E$48+'Appendix K'!$F$48+'Appendix K'!$H$48+'Appendix K'!$G$48))/((1+$Y$16)^AP$34))</f>
        <v>-600318.72388759616</v>
      </c>
      <c r="AQ679" s="193">
        <f>(((T679*'Appendix K'!$C$23*1000)-('Appendix K'!$E$49+'Appendix K'!$F$49+'Appendix K'!$H$49+'Appendix K'!$G$49))/((1+$Y$16)^AQ$34))</f>
        <v>-435615.61314785841</v>
      </c>
      <c r="AR679" s="193">
        <f>(((U679*'Appendix K'!$C$24*1000)-('Appendix K'!$E$50+'Appendix K'!$F$50+'Appendix K'!$H$50+'Appendix K'!$G$50))/((1+$Y$16)^AR$34))</f>
        <v>-319704.05043151049</v>
      </c>
      <c r="AS679" s="209">
        <f t="shared" si="36"/>
        <v>34726560.974642403</v>
      </c>
      <c r="AU679" s="199">
        <f t="shared" si="35"/>
        <v>4.5533127653098557E-9</v>
      </c>
    </row>
    <row r="680" spans="1:47" x14ac:dyDescent="0.35">
      <c r="A680">
        <v>646</v>
      </c>
      <c r="B680" s="70">
        <v>56</v>
      </c>
      <c r="C680" s="70">
        <v>39.614255932778512</v>
      </c>
      <c r="D680" s="70">
        <v>52.022081794072633</v>
      </c>
      <c r="E680" s="70">
        <v>46.79607481899555</v>
      </c>
      <c r="F680" s="70">
        <v>5.358869130398844</v>
      </c>
      <c r="G680" s="70">
        <v>6.1230049933643542</v>
      </c>
      <c r="H680" s="70">
        <v>4.1976629887445602</v>
      </c>
      <c r="I680" s="70">
        <v>5.4249943565902612</v>
      </c>
      <c r="J680" s="70">
        <v>8.2252186548885344</v>
      </c>
      <c r="K680" s="70">
        <v>8.2801847219275757</v>
      </c>
      <c r="L680" s="70">
        <v>12.522509174889141</v>
      </c>
      <c r="M680" s="70">
        <v>9.4701195569702215</v>
      </c>
      <c r="N680" s="70">
        <v>8.7069338438998241</v>
      </c>
      <c r="O680" s="70">
        <v>8.8234223083966015</v>
      </c>
      <c r="P680" s="70">
        <v>12.697559382861105</v>
      </c>
      <c r="Q680" s="70">
        <v>17.387189476182055</v>
      </c>
      <c r="R680" s="70">
        <v>17.005731785115621</v>
      </c>
      <c r="S680" s="70">
        <v>26.974120646214949</v>
      </c>
      <c r="T680" s="70">
        <v>33.058793235921996</v>
      </c>
      <c r="U680" s="70">
        <v>31.795774229521594</v>
      </c>
      <c r="V680" s="70">
        <v>28.913188536801588</v>
      </c>
      <c r="X680" s="193">
        <f>((0-('Appendix K'!$I$30))/(1+$Y$16)^0)</f>
        <v>-33594902.4440751</v>
      </c>
      <c r="Y680" s="193">
        <f>(((B680*'Appendix K'!$C$5*1000)-('Appendix K'!$E$31+'Appendix K'!$F$31+'Appendix K'!$H$31+'Appendix K'!$G$31))/((1+$Y$16)^1))</f>
        <v>34971064.972647354</v>
      </c>
      <c r="Z680" s="193">
        <f>+(((C680*'Appendix K'!$C$6*1000)-('Appendix K'!$E$32+'Appendix K'!$F$32+'Appendix K'!$H$32+'Appendix K'!$G$32))/((1+$Y$16)^2))</f>
        <v>6519990.90626828</v>
      </c>
      <c r="AA680" s="193">
        <f>(((D680*'Appendix K'!$C$7*1000)-('Appendix K'!$E$33+'Appendix K'!$F$33+'Appendix K'!$H$33+'Appendix K'!$G$33))/((1+$Y$16)^3))</f>
        <v>3661407.9654203109</v>
      </c>
      <c r="AB680" s="193">
        <f>(((E680*'Appendix K'!$C$8*1000)-('Appendix K'!$E$34+'Appendix K'!$F$34+'Appendix K'!$H$34+'Appendix K'!$G$34))/((1+$Y$16)^4))</f>
        <v>6964063.3346357532</v>
      </c>
      <c r="AC680" s="193">
        <f>(((F680*'Appendix K'!$C$9*1000)-('Appendix K'!$E$35+'Appendix K'!$F$35+'Appendix K'!$H$35+'Appendix K'!$G$35))/((1+$Y$16)^AC$34))</f>
        <v>-1559849.5192337479</v>
      </c>
      <c r="AD680" s="193">
        <f>(((G680*'Appendix K'!$C$10*1000)-('Appendix K'!$E$36+'Appendix K'!$F$36+'Appendix K'!$H$36+'Appendix K'!$G$36))/((1+$Y$16)^AD$34))</f>
        <v>-1554182.078478867</v>
      </c>
      <c r="AE680" s="193">
        <f>(((H680*'Appendix K'!$C$11*1000)-('Appendix K'!$E$37+'Appendix K'!$F$37+'Appendix K'!$H$37+'Appendix K'!$G$37))/((1+$Y$16)^AE$34))</f>
        <v>-1801276.0122383065</v>
      </c>
      <c r="AF680" s="193">
        <f>(((I680*'Appendix K'!$C$12*1000)-('Appendix K'!$E$38+'Appendix K'!$F$38+'Appendix K'!$H$38+'Appendix K'!$G$38))/((1+$Y$16)^AF$34))</f>
        <v>-1640360.7145181834</v>
      </c>
      <c r="AG680" s="193">
        <f>(((J680*'Appendix K'!$C$13*1000)-('Appendix K'!$E$39+'Appendix K'!$F$39+'Appendix K'!$H$39+'Appendix K'!$G$39))/((1+$Y$16)^AG$34))</f>
        <v>-1436428.0884165722</v>
      </c>
      <c r="AH680" s="193">
        <f>(((K680*'Appendix K'!$C$14*1000)-('Appendix K'!$E$40+'Appendix K'!$F$40+'Appendix K'!$H$40+'Appendix K'!$G$40))/((1+$Y$16)^AH$34))</f>
        <v>-1353644.8881841616</v>
      </c>
      <c r="AI680" s="193">
        <f>(((L680*'Appendix K'!$C$15*1000)-('Appendix K'!$E$41+'Appendix K'!$F$41+'Appendix K'!$H$41+'Appendix K'!$G$41))/((1+$Y$16)^AI$34))</f>
        <v>-1188368.1907419499</v>
      </c>
      <c r="AJ680" s="193">
        <f>(((M680*'Appendix K'!$C$16*1000)-('Appendix K'!$E$42+'Appendix K'!$F$42+'Appendix K'!$H$42+'Appendix K'!$G$42))/((1+$Y$16)^AJ$34))</f>
        <v>-1191752.082281833</v>
      </c>
      <c r="AK680" s="193">
        <f>(((N680*'Appendix K'!$C$17*1000)-('Appendix K'!$E$43+'Appendix K'!$F$43+'Appendix K'!$H$43))/((1+$Y$16)^AK$34))</f>
        <v>-870486.1775913228</v>
      </c>
      <c r="AL680" s="193">
        <f>(((O680*'Appendix K'!$C$18*1000)-('Appendix K'!$E$44+'Appendix K'!$F$44+'Appendix K'!$H$44+'Appendix K'!$G$44))/((1+$Y$16)^AL$34))</f>
        <v>-1030002.5047379981</v>
      </c>
      <c r="AM680" s="193">
        <f>(((P680*'Appendix K'!$C$19*1000)-('Appendix K'!$E$45+'Appendix K'!$F$45+'Appendix K'!$H$45+'Appendix K'!$G$45))/((1+$Y$16)^AM$34))</f>
        <v>-909075.66977704631</v>
      </c>
      <c r="AN680" s="193">
        <f>(((Q680*'Appendix K'!$C$20*1000)-('Appendix K'!$E$46+'Appendix K'!$F$46+'Appendix K'!$H$46+'Appendix K'!$G$46))/((1+$Y$16)^AN$34))</f>
        <v>-789891.36469227774</v>
      </c>
      <c r="AO680" s="193">
        <f>(((R680*'Appendix K'!$C$21*1000)-('Appendix K'!$E$47+'Appendix K'!$F$47+'Appendix K'!$H$47+'Appendix K'!$G$47))/((1+$Y$16)^AO$34))</f>
        <v>-742493.17173703818</v>
      </c>
      <c r="AP680" s="193">
        <f>(((S680*'Appendix K'!$C$22*1000)-('Appendix K'!$E$48+'Appendix K'!$F$48+'Appendix K'!$H$48+'Appendix K'!$G$48))/((1+$Y$16)^AP$34))</f>
        <v>-635254.76543295232</v>
      </c>
      <c r="AQ680" s="193">
        <f>(((T680*'Appendix K'!$C$23*1000)-('Appendix K'!$E$49+'Appendix K'!$F$49+'Appendix K'!$H$49+'Appendix K'!$G$49))/((1+$Y$16)^AQ$34))</f>
        <v>-564101.97805450729</v>
      </c>
      <c r="AR680" s="193">
        <f>(((U680*'Appendix K'!$C$24*1000)-('Appendix K'!$E$50+'Appendix K'!$F$50+'Appendix K'!$H$50+'Appendix K'!$G$50))/((1+$Y$16)^AR$34))</f>
        <v>-526905.58540794591</v>
      </c>
      <c r="AS680" s="209">
        <f t="shared" si="36"/>
        <v>18521624.734896608</v>
      </c>
      <c r="AU680" s="199">
        <f t="shared" si="35"/>
        <v>3.3500291321234118E-9</v>
      </c>
    </row>
    <row r="681" spans="1:47" x14ac:dyDescent="0.35">
      <c r="A681">
        <v>647</v>
      </c>
      <c r="B681" s="70">
        <v>56</v>
      </c>
      <c r="C681" s="70">
        <v>64.041635702744912</v>
      </c>
      <c r="D681" s="70">
        <v>89.307751852725204</v>
      </c>
      <c r="E681" s="70">
        <v>141.32918191098631</v>
      </c>
      <c r="F681" s="70">
        <v>53.680634956339517</v>
      </c>
      <c r="G681" s="70">
        <v>63.048372962942409</v>
      </c>
      <c r="H681" s="70">
        <v>70.995124659689282</v>
      </c>
      <c r="I681" s="70">
        <v>91.07092567943053</v>
      </c>
      <c r="J681" s="70">
        <v>135.47998332141452</v>
      </c>
      <c r="K681" s="70">
        <v>180.67171755928808</v>
      </c>
      <c r="L681" s="70">
        <v>140.10994580078045</v>
      </c>
      <c r="M681" s="70">
        <v>157.58069148299191</v>
      </c>
      <c r="N681" s="70">
        <v>134.37272038928415</v>
      </c>
      <c r="O681" s="70">
        <v>156.97397596635378</v>
      </c>
      <c r="P681" s="70">
        <v>139.47762992434866</v>
      </c>
      <c r="Q681" s="70">
        <v>204.44766921953465</v>
      </c>
      <c r="R681" s="70">
        <v>189.02348034518451</v>
      </c>
      <c r="S681" s="70">
        <v>205.88646347545296</v>
      </c>
      <c r="T681" s="70">
        <v>217.58587680031806</v>
      </c>
      <c r="U681" s="70">
        <v>202.68405184440326</v>
      </c>
      <c r="V681" s="70">
        <v>254.89135620982728</v>
      </c>
      <c r="X681" s="193">
        <f>((0-('Appendix K'!$I$30))/(1+$Y$16)^0)</f>
        <v>-33594902.4440751</v>
      </c>
      <c r="Y681" s="193">
        <f>(((B681*'Appendix K'!$C$5*1000)-('Appendix K'!$E$31+'Appendix K'!$F$31+'Appendix K'!$H$31+'Appendix K'!$G$31))/((1+$Y$16)^1))</f>
        <v>34971064.972647354</v>
      </c>
      <c r="Z681" s="193">
        <f>+(((C681*'Appendix K'!$C$6*1000)-('Appendix K'!$E$32+'Appendix K'!$F$32+'Appendix K'!$H$32+'Appendix K'!$G$32))/((1+$Y$16)^2))</f>
        <v>12690764.820669089</v>
      </c>
      <c r="AA681" s="193">
        <f>(((D681*'Appendix K'!$C$7*1000)-('Appendix K'!$E$33+'Appendix K'!$F$33+'Appendix K'!$H$33+'Appendix K'!$G$33))/((1+$Y$16)^3))</f>
        <v>8410665.4299409855</v>
      </c>
      <c r="AB681" s="193">
        <f>(((E681*'Appendix K'!$C$8*1000)-('Appendix K'!$E$34+'Appendix K'!$F$34+'Appendix K'!$H$34+'Appendix K'!$G$34))/((1+$Y$16)^4))</f>
        <v>27684855.041896604</v>
      </c>
      <c r="AC681" s="193">
        <f>(((F681*'Appendix K'!$C$9*1000)-('Appendix K'!$E$35+'Appendix K'!$F$35+'Appendix K'!$H$35+'Appendix K'!$G$35))/((1+$Y$16)^AC$34))</f>
        <v>11283999.958512491</v>
      </c>
      <c r="AD681" s="193">
        <f>(((G681*'Appendix K'!$C$10*1000)-('Appendix K'!$E$36+'Appendix K'!$F$36+'Appendix K'!$H$36+'Appendix K'!$G$36))/((1+$Y$16)^AD$34))</f>
        <v>7385602.6489841184</v>
      </c>
      <c r="AE681" s="193">
        <f>(((H681*'Appendix K'!$C$11*1000)-('Appendix K'!$E$37+'Appendix K'!$F$37+'Appendix K'!$H$37+'Appendix K'!$G$37))/((1+$Y$16)^AE$34))</f>
        <v>4860944.4271175871</v>
      </c>
      <c r="AF681" s="193">
        <f>(((I681*'Appendix K'!$C$12*1000)-('Appendix K'!$E$38+'Appendix K'!$F$38+'Appendix K'!$H$38+'Appendix K'!$G$38))/((1+$Y$16)^AF$34))</f>
        <v>3983359.0021583177</v>
      </c>
      <c r="AG681" s="193">
        <f>(((J681*'Appendix K'!$C$13*1000)-('Appendix K'!$E$39+'Appendix K'!$F$39+'Appendix K'!$H$39+'Appendix K'!$G$39))/((1+$Y$16)^AG$34))</f>
        <v>4419700.3449390531</v>
      </c>
      <c r="AH681" s="193">
        <f>(((K681*'Appendix K'!$C$14*1000)-('Appendix K'!$E$40+'Appendix K'!$F$40+'Appendix K'!$H$40+'Appendix K'!$G$40))/((1+$Y$16)^AH$34))</f>
        <v>4457074.9259329317</v>
      </c>
      <c r="AI681" s="193">
        <f>(((L681*'Appendix K'!$C$15*1000)-('Appendix K'!$E$41+'Appendix K'!$F$41+'Appendix K'!$H$41+'Appendix K'!$G$41))/((1+$Y$16)^AI$34))</f>
        <v>2154661.2385328207</v>
      </c>
      <c r="AJ681" s="193">
        <f>(((M681*'Appendix K'!$C$16*1000)-('Appendix K'!$E$42+'Appendix K'!$F$42+'Appendix K'!$H$42+'Appendix K'!$G$42))/((1+$Y$16)^AJ$34))</f>
        <v>1776660.2982872711</v>
      </c>
      <c r="AK681" s="193">
        <f>(((N681*'Appendix K'!$C$17*1000)-('Appendix K'!$E$43+'Appendix K'!$F$43+'Appendix K'!$H$43))/((1+$Y$16)^AK$34))</f>
        <v>1060230.0814519485</v>
      </c>
      <c r="AL681" s="193">
        <f>(((O681*'Appendix K'!$C$18*1000)-('Appendix K'!$E$44+'Appendix K'!$F$44+'Appendix K'!$H$44+'Appendix K'!$G$44))/((1+$Y$16)^AL$34))</f>
        <v>726069.60138515616</v>
      </c>
      <c r="AM681" s="193">
        <f>(((P681*'Appendix K'!$C$19*1000)-('Appendix K'!$E$45+'Appendix K'!$F$45+'Appendix K'!$H$45+'Appendix K'!$G$45))/((1+$Y$16)^AM$34))</f>
        <v>266014.80067740177</v>
      </c>
      <c r="AN681" s="193">
        <f>(((Q681*'Appendix K'!$C$20*1000)-('Appendix K'!$E$46+'Appendix K'!$F$46+'Appendix K'!$H$46+'Appendix K'!$G$46))/((1+$Y$16)^AN$34))</f>
        <v>563718.83844362269</v>
      </c>
      <c r="AO681" s="193">
        <f>(((R681*'Appendix K'!$C$21*1000)-('Appendix K'!$E$47+'Appendix K'!$F$47+'Appendix K'!$H$47+'Appendix K'!$G$47))/((1+$Y$16)^AO$34))</f>
        <v>274150.72678075125</v>
      </c>
      <c r="AP681" s="193">
        <f>(((S681*'Appendix K'!$C$22*1000)-('Appendix K'!$E$48+'Appendix K'!$F$48+'Appendix K'!$H$48+'Appendix K'!$G$48))/((1+$Y$16)^AP$34))</f>
        <v>221685.14348237932</v>
      </c>
      <c r="AQ681" s="193">
        <f>(((T681*'Appendix K'!$C$23*1000)-('Appendix K'!$E$49+'Appendix K'!$F$49+'Appendix K'!$H$49+'Appendix K'!$G$49))/((1+$Y$16)^AQ$34))</f>
        <v>158089.7868716185</v>
      </c>
      <c r="AR681" s="193">
        <f>(((U681*'Appendix K'!$C$24*1000)-('Appendix K'!$E$50+'Appendix K'!$F$50+'Appendix K'!$H$50+'Appendix K'!$G$50))/((1+$Y$16)^AR$34))</f>
        <v>23359.456606454773</v>
      </c>
      <c r="AS681" s="209">
        <f t="shared" si="36"/>
        <v>93777769.10124284</v>
      </c>
      <c r="AU681" s="199">
        <f t="shared" si="35"/>
        <v>6.9883744588328717E-9</v>
      </c>
    </row>
    <row r="682" spans="1:47" x14ac:dyDescent="0.35">
      <c r="A682">
        <v>648</v>
      </c>
      <c r="B682" s="70">
        <v>56</v>
      </c>
      <c r="C682" s="70">
        <v>67.520309144948669</v>
      </c>
      <c r="D682" s="70">
        <v>50.904426239574711</v>
      </c>
      <c r="E682" s="70">
        <v>24.173464571725827</v>
      </c>
      <c r="F682" s="70">
        <v>14.278269951020256</v>
      </c>
      <c r="G682" s="70">
        <v>13.457938033642964</v>
      </c>
      <c r="H682" s="70">
        <v>18.731606194954669</v>
      </c>
      <c r="I682" s="70">
        <v>32.501182138102472</v>
      </c>
      <c r="J682" s="70">
        <v>39.23751960800665</v>
      </c>
      <c r="K682" s="70">
        <v>73.240359207764612</v>
      </c>
      <c r="L682" s="70">
        <v>61.976810380683716</v>
      </c>
      <c r="M682" s="70">
        <v>85.59535749011124</v>
      </c>
      <c r="N682" s="70">
        <v>130.41924226951332</v>
      </c>
      <c r="O682" s="70">
        <v>84.008399604965604</v>
      </c>
      <c r="P682" s="70">
        <v>84.98612634734242</v>
      </c>
      <c r="Q682" s="70">
        <v>83.146764590486328</v>
      </c>
      <c r="R682" s="70">
        <v>122.82876319684392</v>
      </c>
      <c r="S682" s="70">
        <v>75.017652426733207</v>
      </c>
      <c r="T682" s="70">
        <v>79.049723068287619</v>
      </c>
      <c r="U682" s="70">
        <v>61.043388804114848</v>
      </c>
      <c r="V682" s="70">
        <v>71.428616714833453</v>
      </c>
      <c r="X682" s="193">
        <f>((0-('Appendix K'!$I$30))/(1+$Y$16)^0)</f>
        <v>-33594902.4440751</v>
      </c>
      <c r="Y682" s="193">
        <f>(((B682*'Appendix K'!$C$5*1000)-('Appendix K'!$E$31+'Appendix K'!$F$31+'Appendix K'!$H$31+'Appendix K'!$G$31))/((1+$Y$16)^1))</f>
        <v>34971064.972647354</v>
      </c>
      <c r="Z682" s="193">
        <f>+(((C682*'Appendix K'!$C$6*1000)-('Appendix K'!$E$32+'Appendix K'!$F$32+'Appendix K'!$H$32+'Appendix K'!$G$32))/((1+$Y$16)^2))</f>
        <v>13569537.228353295</v>
      </c>
      <c r="AA682" s="193">
        <f>(((D682*'Appendix K'!$C$7*1000)-('Appendix K'!$E$33+'Appendix K'!$F$33+'Appendix K'!$H$33+'Appendix K'!$G$33))/((1+$Y$16)^3))</f>
        <v>3519046.7318254104</v>
      </c>
      <c r="AB682" s="193">
        <f>(((E682*'Appendix K'!$C$8*1000)-('Appendix K'!$E$34+'Appendix K'!$F$34+'Appendix K'!$H$34+'Appendix K'!$G$34))/((1+$Y$16)^4))</f>
        <v>2005394.2584985534</v>
      </c>
      <c r="AC682" s="193">
        <f>(((F682*'Appendix K'!$C$9*1000)-('Appendix K'!$E$35+'Appendix K'!$F$35+'Appendix K'!$H$35+'Appendix K'!$G$35))/((1+$Y$16)^AC$34))</f>
        <v>810913.2129147636</v>
      </c>
      <c r="AD682" s="193">
        <f>(((G682*'Appendix K'!$C$10*1000)-('Appendix K'!$E$36+'Appendix K'!$F$36+'Appendix K'!$H$36+'Appendix K'!$G$36))/((1+$Y$16)^AD$34))</f>
        <v>-402275.20972591289</v>
      </c>
      <c r="AE682" s="193">
        <f>(((H682*'Appendix K'!$C$11*1000)-('Appendix K'!$E$37+'Appendix K'!$F$37+'Appendix K'!$H$37+'Appendix K'!$G$37))/((1+$Y$16)^AE$34))</f>
        <v>-351694.97920679714</v>
      </c>
      <c r="AF682" s="193">
        <f>(((I682*'Appendix K'!$C$12*1000)-('Appendix K'!$E$38+'Appendix K'!$F$38+'Appendix K'!$H$38+'Appendix K'!$G$38))/((1+$Y$16)^AF$34))</f>
        <v>137527.49018066761</v>
      </c>
      <c r="AG682" s="193">
        <f>(((J682*'Appendix K'!$C$13*1000)-('Appendix K'!$E$39+'Appendix K'!$F$39+'Appendix K'!$H$39+'Appendix K'!$G$39))/((1+$Y$16)^AG$34))</f>
        <v>-9275.1022690185928</v>
      </c>
      <c r="AH682" s="193">
        <f>(((K682*'Appendix K'!$C$14*1000)-('Appendix K'!$E$40+'Appendix K'!$F$40+'Appendix K'!$H$40+'Appendix K'!$G$40))/((1+$Y$16)^AH$34))</f>
        <v>835936.97120721242</v>
      </c>
      <c r="AI682" s="193">
        <f>(((L682*'Appendix K'!$C$15*1000)-('Appendix K'!$E$41+'Appendix K'!$F$41+'Appendix K'!$H$41+'Appendix K'!$G$41))/((1+$Y$16)^AI$34))</f>
        <v>107426.9808465996</v>
      </c>
      <c r="AJ682" s="193">
        <f>(((M682*'Appendix K'!$C$16*1000)-('Appendix K'!$E$42+'Appendix K'!$F$42+'Appendix K'!$H$42+'Appendix K'!$G$42))/((1+$Y$16)^AJ$34))</f>
        <v>333939.81003880873</v>
      </c>
      <c r="AK682" s="193">
        <f>(((N682*'Appendix K'!$C$17*1000)-('Appendix K'!$E$43+'Appendix K'!$F$43+'Appendix K'!$H$43))/((1+$Y$16)^AK$34))</f>
        <v>999489.24899906199</v>
      </c>
      <c r="AL682" s="193">
        <f>(((O682*'Appendix K'!$C$18*1000)-('Appendix K'!$E$44+'Appendix K'!$F$44+'Appendix K'!$H$44+'Appendix K'!$G$44))/((1+$Y$16)^AL$34))</f>
        <v>-138812.84550234987</v>
      </c>
      <c r="AM682" s="193">
        <f>(((P682*'Appendix K'!$C$19*1000)-('Appendix K'!$E$45+'Appendix K'!$F$45+'Appendix K'!$H$45+'Appendix K'!$G$45))/((1+$Y$16)^AM$34))</f>
        <v>-239052.33093553185</v>
      </c>
      <c r="AN682" s="193">
        <f>(((Q682*'Appendix K'!$C$20*1000)-('Appendix K'!$E$46+'Appendix K'!$F$46+'Appendix K'!$H$46+'Appendix K'!$G$46))/((1+$Y$16)^AN$34))</f>
        <v>-314040.81651272794</v>
      </c>
      <c r="AO682" s="193">
        <f>(((R682*'Appendix K'!$C$21*1000)-('Appendix K'!$E$47+'Appendix K'!$F$47+'Appendix K'!$H$47+'Appendix K'!$G$47))/((1+$Y$16)^AO$34))</f>
        <v>-117067.36476095577</v>
      </c>
      <c r="AP682" s="193">
        <f>(((S682*'Appendix K'!$C$22*1000)-('Appendix K'!$E$48+'Appendix K'!$F$48+'Appendix K'!$H$48+'Appendix K'!$G$48))/((1+$Y$16)^AP$34))</f>
        <v>-405139.73202095879</v>
      </c>
      <c r="AQ682" s="193">
        <f>(((T682*'Appendix K'!$C$23*1000)-('Appendix K'!$E$49+'Appendix K'!$F$49+'Appendix K'!$H$49+'Appendix K'!$G$49))/((1+$Y$16)^AQ$34))</f>
        <v>-384105.25267062266</v>
      </c>
      <c r="AR682" s="193">
        <f>(((U682*'Appendix K'!$C$24*1000)-('Appendix K'!$E$50+'Appendix K'!$F$50+'Appendix K'!$H$50+'Appendix K'!$G$50))/((1+$Y$16)^AR$34))</f>
        <v>-432727.44699297944</v>
      </c>
      <c r="AS682" s="209">
        <f t="shared" si="36"/>
        <v>23695374.461436622</v>
      </c>
      <c r="AU682" s="199">
        <f t="shared" si="35"/>
        <v>3.7277648583167078E-9</v>
      </c>
    </row>
    <row r="683" spans="1:47" x14ac:dyDescent="0.35">
      <c r="A683">
        <v>649</v>
      </c>
      <c r="B683" s="70">
        <v>56</v>
      </c>
      <c r="C683" s="70">
        <v>89.784528947965143</v>
      </c>
      <c r="D683" s="70">
        <v>76.19989059867433</v>
      </c>
      <c r="E683" s="70">
        <v>68.860351648688649</v>
      </c>
      <c r="F683" s="70">
        <v>72.891977215122466</v>
      </c>
      <c r="G683" s="70">
        <v>105.80979734154189</v>
      </c>
      <c r="H683" s="70">
        <v>120.83015232428448</v>
      </c>
      <c r="I683" s="70">
        <v>81.139792774863395</v>
      </c>
      <c r="J683" s="70">
        <v>83.372800843864681</v>
      </c>
      <c r="K683" s="70">
        <v>43.12049690543023</v>
      </c>
      <c r="L683" s="70">
        <v>62.992162906738656</v>
      </c>
      <c r="M683" s="70">
        <v>98.715835330642321</v>
      </c>
      <c r="N683" s="70">
        <v>124.92631066797362</v>
      </c>
      <c r="O683" s="70">
        <v>111.22099775623947</v>
      </c>
      <c r="P683" s="70">
        <v>113.95285503335374</v>
      </c>
      <c r="Q683" s="70">
        <v>45.533088471525431</v>
      </c>
      <c r="R683" s="70">
        <v>40.78618552080043</v>
      </c>
      <c r="S683" s="70">
        <v>58.111777141529927</v>
      </c>
      <c r="T683" s="70">
        <v>66.896031406556062</v>
      </c>
      <c r="U683" s="70">
        <v>73.797331032749597</v>
      </c>
      <c r="V683" s="70">
        <v>36.911112519586609</v>
      </c>
      <c r="X683" s="193">
        <f>((0-('Appendix K'!$I$30))/(1+$Y$16)^0)</f>
        <v>-33594902.4440751</v>
      </c>
      <c r="Y683" s="193">
        <f>(((B683*'Appendix K'!$C$5*1000)-('Appendix K'!$E$31+'Appendix K'!$F$31+'Appendix K'!$H$31+'Appendix K'!$G$31))/((1+$Y$16)^1))</f>
        <v>34971064.972647354</v>
      </c>
      <c r="Z683" s="193">
        <f>+(((C683*'Appendix K'!$C$6*1000)-('Appendix K'!$E$32+'Appendix K'!$F$32+'Appendix K'!$H$32+'Appendix K'!$G$32))/((1+$Y$16)^2))</f>
        <v>19193859.938309222</v>
      </c>
      <c r="AA683" s="193">
        <f>(((D683*'Appendix K'!$C$7*1000)-('Appendix K'!$E$33+'Appendix K'!$F$33+'Appendix K'!$H$33+'Appendix K'!$G$33))/((1+$Y$16)^3))</f>
        <v>6741053.2758138003</v>
      </c>
      <c r="AB683" s="193">
        <f>(((E683*'Appendix K'!$C$8*1000)-('Appendix K'!$E$34+'Appendix K'!$F$34+'Appendix K'!$H$34+'Appendix K'!$G$34))/((1+$Y$16)^4))</f>
        <v>11800350.836690659</v>
      </c>
      <c r="AC683" s="193">
        <f>(((F683*'Appendix K'!$C$9*1000)-('Appendix K'!$E$35+'Appendix K'!$F$35+'Appendix K'!$H$35+'Appendix K'!$G$35))/((1+$Y$16)^AC$34))</f>
        <v>16390344.563676143</v>
      </c>
      <c r="AD683" s="193">
        <f>(((G683*'Appendix K'!$C$10*1000)-('Appendix K'!$E$36+'Appendix K'!$F$36+'Appendix K'!$H$36+'Appendix K'!$G$36))/((1+$Y$16)^AD$34))</f>
        <v>14101025.705865605</v>
      </c>
      <c r="AE683" s="193">
        <f>(((H683*'Appendix K'!$C$11*1000)-('Appendix K'!$E$37+'Appendix K'!$F$37+'Appendix K'!$H$37+'Appendix K'!$G$37))/((1+$Y$16)^AE$34))</f>
        <v>9831371.9193848502</v>
      </c>
      <c r="AF683" s="193">
        <f>(((I683*'Appendix K'!$C$12*1000)-('Appendix K'!$E$38+'Appendix K'!$F$38+'Appendix K'!$H$38+'Appendix K'!$G$38))/((1+$Y$16)^AF$34))</f>
        <v>3331256.7123971833</v>
      </c>
      <c r="AG683" s="193">
        <f>(((J683*'Appendix K'!$C$13*1000)-('Appendix K'!$E$39+'Appendix K'!$F$39+'Appendix K'!$H$39+'Appendix K'!$G$39))/((1+$Y$16)^AG$34))</f>
        <v>2021783.428519675</v>
      </c>
      <c r="AH683" s="193">
        <f>(((K683*'Appendix K'!$C$14*1000)-('Appendix K'!$E$40+'Appendix K'!$F$40+'Appendix K'!$H$40+'Appendix K'!$G$40))/((1+$Y$16)^AH$34))</f>
        <v>-179298.97337813073</v>
      </c>
      <c r="AI683" s="193">
        <f>(((L683*'Appendix K'!$C$15*1000)-('Appendix K'!$E$41+'Appendix K'!$F$41+'Appendix K'!$H$41+'Appendix K'!$G$41))/((1+$Y$16)^AI$34))</f>
        <v>134031.11574777347</v>
      </c>
      <c r="AJ683" s="193">
        <f>(((M683*'Appendix K'!$C$16*1000)-('Appendix K'!$E$42+'Appendix K'!$F$42+'Appendix K'!$H$42+'Appendix K'!$G$42))/((1+$Y$16)^AJ$34))</f>
        <v>596898.68160584522</v>
      </c>
      <c r="AK683" s="193">
        <f>(((N683*'Appendix K'!$C$17*1000)-('Appendix K'!$E$43+'Appendix K'!$F$43+'Appendix K'!$H$43))/((1+$Y$16)^AK$34))</f>
        <v>915096.41110379947</v>
      </c>
      <c r="AL683" s="193">
        <f>(((O683*'Appendix K'!$C$18*1000)-('Appendix K'!$E$44+'Appendix K'!$F$44+'Appendix K'!$H$44+'Appendix K'!$G$44))/((1+$Y$16)^AL$34))</f>
        <v>183746.08774956016</v>
      </c>
      <c r="AM683" s="193">
        <f>(((P683*'Appendix K'!$C$19*1000)-('Appendix K'!$E$45+'Appendix K'!$F$45+'Appendix K'!$H$45+'Appendix K'!$G$45))/((1+$Y$16)^AM$34))</f>
        <v>29432.508154635703</v>
      </c>
      <c r="AN683" s="193">
        <f>(((Q683*'Appendix K'!$C$20*1000)-('Appendix K'!$E$46+'Appendix K'!$F$46+'Appendix K'!$H$46+'Appendix K'!$G$46))/((1+$Y$16)^AN$34))</f>
        <v>-586221.53497303079</v>
      </c>
      <c r="AO683" s="193">
        <f>(((R683*'Appendix K'!$C$21*1000)-('Appendix K'!$E$47+'Appendix K'!$F$47+'Appendix K'!$H$47+'Appendix K'!$G$47))/((1+$Y$16)^AO$34))</f>
        <v>-601948.0628936555</v>
      </c>
      <c r="AP683" s="193">
        <f>(((S683*'Appendix K'!$C$22*1000)-('Appendix K'!$E$48+'Appendix K'!$F$48+'Appendix K'!$H$48+'Appendix K'!$G$48))/((1+$Y$16)^AP$34))</f>
        <v>-486114.12986260687</v>
      </c>
      <c r="AQ683" s="193">
        <f>(((T683*'Appendix K'!$C$23*1000)-('Appendix K'!$E$49+'Appendix K'!$F$49+'Appendix K'!$H$49+'Appendix K'!$G$49))/((1+$Y$16)^AQ$34))</f>
        <v>-431671.69040977838</v>
      </c>
      <c r="AR683" s="193">
        <f>(((U683*'Appendix K'!$C$24*1000)-('Appendix K'!$E$50+'Appendix K'!$F$50+'Appendix K'!$H$50+'Appendix K'!$G$50))/((1+$Y$16)^AR$34))</f>
        <v>-391659.39566587197</v>
      </c>
      <c r="AS683" s="209">
        <f t="shared" si="36"/>
        <v>86646413.713591039</v>
      </c>
      <c r="AU683" s="199">
        <f t="shared" si="35"/>
        <v>7.0286456191454344E-9</v>
      </c>
    </row>
    <row r="684" spans="1:47" x14ac:dyDescent="0.35">
      <c r="A684">
        <v>650</v>
      </c>
      <c r="B684" s="70">
        <v>56</v>
      </c>
      <c r="C684" s="70">
        <v>73.309844956121665</v>
      </c>
      <c r="D684" s="70">
        <v>114.85843126041215</v>
      </c>
      <c r="E684" s="70">
        <v>111.79863472711196</v>
      </c>
      <c r="F684" s="70">
        <v>134.99333191938317</v>
      </c>
      <c r="G684" s="70">
        <v>111.72215772832116</v>
      </c>
      <c r="H684" s="70">
        <v>71.480245520562391</v>
      </c>
      <c r="I684" s="70">
        <v>137.72225027841623</v>
      </c>
      <c r="J684" s="70">
        <v>151.10036590882856</v>
      </c>
      <c r="K684" s="70">
        <v>139.47724075557034</v>
      </c>
      <c r="L684" s="70">
        <v>111.4332610419597</v>
      </c>
      <c r="M684" s="70">
        <v>134.35743153498495</v>
      </c>
      <c r="N684" s="70">
        <v>157.15766343488613</v>
      </c>
      <c r="O684" s="70">
        <v>147.22726687270443</v>
      </c>
      <c r="P684" s="70">
        <v>218.27846860559407</v>
      </c>
      <c r="Q684" s="70">
        <v>177.10599114909684</v>
      </c>
      <c r="R684" s="70">
        <v>169.11864997599346</v>
      </c>
      <c r="S684" s="70">
        <v>146.62927172829475</v>
      </c>
      <c r="T684" s="70">
        <v>138.65220509682968</v>
      </c>
      <c r="U684" s="70">
        <v>171.42308037893744</v>
      </c>
      <c r="V684" s="70">
        <v>173.23259509902411</v>
      </c>
      <c r="X684" s="193">
        <f>((0-('Appendix K'!$I$30))/(1+$Y$16)^0)</f>
        <v>-33594902.4440751</v>
      </c>
      <c r="Y684" s="193">
        <f>(((B684*'Appendix K'!$C$5*1000)-('Appendix K'!$E$31+'Appendix K'!$F$31+'Appendix K'!$H$31+'Appendix K'!$G$31))/((1+$Y$16)^1))</f>
        <v>34971064.972647354</v>
      </c>
      <c r="Z684" s="193">
        <f>+(((C684*'Appendix K'!$C$6*1000)-('Appendix K'!$E$32+'Appendix K'!$F$32+'Appendix K'!$H$32+'Appendix K'!$G$32))/((1+$Y$16)^2))</f>
        <v>15032072.99340497</v>
      </c>
      <c r="AA684" s="193">
        <f>(((D684*'Appendix K'!$C$7*1000)-('Appendix K'!$E$33+'Appendix K'!$F$33+'Appendix K'!$H$33+'Appendix K'!$G$33))/((1+$Y$16)^3))</f>
        <v>11665179.958167147</v>
      </c>
      <c r="AB684" s="193">
        <f>(((E684*'Appendix K'!$C$8*1000)-('Appendix K'!$E$34+'Appendix K'!$F$34+'Appendix K'!$H$34+'Appendix K'!$G$34))/((1+$Y$16)^4))</f>
        <v>21212029.425331835</v>
      </c>
      <c r="AC684" s="193">
        <f>(((F684*'Appendix K'!$C$9*1000)-('Appendix K'!$E$35+'Appendix K'!$F$35+'Appendix K'!$H$35+'Appendix K'!$G$35))/((1+$Y$16)^AC$34))</f>
        <v>32896787.127442393</v>
      </c>
      <c r="AD684" s="193">
        <f>(((G684*'Appendix K'!$C$10*1000)-('Appendix K'!$E$36+'Appendix K'!$F$36+'Appendix K'!$H$36+'Appendix K'!$G$36))/((1+$Y$16)^AD$34))</f>
        <v>15029526.143793965</v>
      </c>
      <c r="AE684" s="193">
        <f>(((H684*'Appendix K'!$C$11*1000)-('Appendix K'!$E$37+'Appendix K'!$F$37+'Appendix K'!$H$37+'Appendix K'!$G$37))/((1+$Y$16)^AE$34))</f>
        <v>4909329.2314801831</v>
      </c>
      <c r="AF684" s="193">
        <f>(((I684*'Appendix K'!$C$12*1000)-('Appendix K'!$E$38+'Appendix K'!$F$38+'Appendix K'!$H$38+'Appendix K'!$G$38))/((1+$Y$16)^AF$34))</f>
        <v>7046598.1999137178</v>
      </c>
      <c r="AG684" s="193">
        <f>(((J684*'Appendix K'!$C$13*1000)-('Appendix K'!$E$39+'Appendix K'!$F$39+'Appendix K'!$H$39+'Appendix K'!$G$39))/((1+$Y$16)^AG$34))</f>
        <v>5138533.6778186569</v>
      </c>
      <c r="AH684" s="193">
        <f>(((K684*'Appendix K'!$C$14*1000)-('Appendix K'!$E$40+'Appendix K'!$F$40+'Appendix K'!$H$40+'Appendix K'!$G$40))/((1+$Y$16)^AH$34))</f>
        <v>3068552.1913426062</v>
      </c>
      <c r="AI684" s="193">
        <f>(((L684*'Appendix K'!$C$15*1000)-('Appendix K'!$E$41+'Appendix K'!$F$41+'Appendix K'!$H$41+'Appendix K'!$G$41))/((1+$Y$16)^AI$34))</f>
        <v>1403278.4721882639</v>
      </c>
      <c r="AJ684" s="193">
        <f>(((M684*'Appendix K'!$C$16*1000)-('Appendix K'!$E$42+'Appendix K'!$F$42+'Appendix K'!$H$42+'Appendix K'!$G$42))/((1+$Y$16)^AJ$34))</f>
        <v>1311222.8116150112</v>
      </c>
      <c r="AK684" s="193">
        <f>(((N684*'Appendix K'!$C$17*1000)-('Appendix K'!$E$43+'Appendix K'!$F$43+'Appendix K'!$H$43))/((1+$Y$16)^AK$34))</f>
        <v>1410295.6100963033</v>
      </c>
      <c r="AL684" s="193">
        <f>(((O684*'Appendix K'!$C$18*1000)-('Appendix K'!$E$44+'Appendix K'!$F$44+'Appendix K'!$H$44+'Appendix K'!$G$44))/((1+$Y$16)^AL$34))</f>
        <v>610538.99050825799</v>
      </c>
      <c r="AM684" s="193">
        <f>(((P684*'Appendix K'!$C$19*1000)-('Appendix K'!$E$45+'Appendix K'!$F$45+'Appendix K'!$H$45+'Appendix K'!$G$45))/((1+$Y$16)^AM$34))</f>
        <v>996398.63942000491</v>
      </c>
      <c r="AN684" s="193">
        <f>(((Q684*'Appendix K'!$C$20*1000)-('Appendix K'!$E$46+'Appendix K'!$F$46+'Appendix K'!$H$46+'Appendix K'!$G$46))/((1+$Y$16)^AN$34))</f>
        <v>365868.52576518065</v>
      </c>
      <c r="AO684" s="193">
        <f>(((R684*'Appendix K'!$C$21*1000)-('Appendix K'!$E$47+'Appendix K'!$F$47+'Appendix K'!$H$47+'Appendix K'!$G$47))/((1+$Y$16)^AO$34))</f>
        <v>156510.98021237206</v>
      </c>
      <c r="AP684" s="193">
        <f>(((S684*'Appendix K'!$C$22*1000)-('Appendix K'!$E$48+'Appendix K'!$F$48+'Appendix K'!$H$48+'Appendix K'!$G$48))/((1+$Y$16)^AP$34))</f>
        <v>-62140.173962905414</v>
      </c>
      <c r="AQ684" s="193">
        <f>(((T684*'Appendix K'!$C$23*1000)-('Appendix K'!$E$49+'Appendix K'!$F$49+'Appendix K'!$H$49+'Appendix K'!$G$49))/((1+$Y$16)^AQ$34))</f>
        <v>-150836.39663763338</v>
      </c>
      <c r="AR684" s="193">
        <f>(((U684*'Appendix K'!$C$24*1000)-('Appendix K'!$E$50+'Appendix K'!$F$50+'Appendix K'!$H$50+'Appendix K'!$G$50))/((1+$Y$16)^AR$34))</f>
        <v>-77301.747409083386</v>
      </c>
      <c r="AS684" s="209">
        <f t="shared" si="36"/>
        <v>123628885.5070731</v>
      </c>
      <c r="AU684" s="199">
        <f t="shared" si="35"/>
        <v>5.7477533130582631E-9</v>
      </c>
    </row>
    <row r="685" spans="1:47" x14ac:dyDescent="0.35">
      <c r="A685">
        <v>651</v>
      </c>
      <c r="B685" s="70">
        <v>56</v>
      </c>
      <c r="C685" s="70">
        <v>62.710759323739119</v>
      </c>
      <c r="D685" s="70">
        <v>77.24237504863035</v>
      </c>
      <c r="E685" s="70">
        <v>81.42466241879211</v>
      </c>
      <c r="F685" s="70">
        <v>102.83540642480934</v>
      </c>
      <c r="G685" s="70">
        <v>143.53431005190515</v>
      </c>
      <c r="H685" s="70">
        <v>133.45323001848183</v>
      </c>
      <c r="I685" s="70">
        <v>156.10906019607455</v>
      </c>
      <c r="J685" s="70">
        <v>116.39107058570306</v>
      </c>
      <c r="K685" s="70">
        <v>116.69239704676124</v>
      </c>
      <c r="L685" s="70">
        <v>99.914323319548359</v>
      </c>
      <c r="M685" s="70">
        <v>60.819999041527147</v>
      </c>
      <c r="N685" s="70">
        <v>60.091043107981328</v>
      </c>
      <c r="O685" s="70">
        <v>62.625978176041663</v>
      </c>
      <c r="P685" s="70">
        <v>58.706506708931016</v>
      </c>
      <c r="Q685" s="70">
        <v>86.932350006749118</v>
      </c>
      <c r="R685" s="70">
        <v>71.593640003029549</v>
      </c>
      <c r="S685" s="70">
        <v>71.0430369607339</v>
      </c>
      <c r="T685" s="70">
        <v>98.345856379021029</v>
      </c>
      <c r="U685" s="70">
        <v>80.376743223423404</v>
      </c>
      <c r="V685" s="70">
        <v>74.417671349605953</v>
      </c>
      <c r="X685" s="193">
        <f>((0-('Appendix K'!$I$30))/(1+$Y$16)^0)</f>
        <v>-33594902.4440751</v>
      </c>
      <c r="Y685" s="193">
        <f>(((B685*'Appendix K'!$C$5*1000)-('Appendix K'!$E$31+'Appendix K'!$F$31+'Appendix K'!$H$31+'Appendix K'!$G$31))/((1+$Y$16)^1))</f>
        <v>34971064.972647354</v>
      </c>
      <c r="Z685" s="193">
        <f>+(((C685*'Appendix K'!$C$6*1000)-('Appendix K'!$E$32+'Appendix K'!$F$32+'Appendix K'!$H$32+'Appendix K'!$G$32))/((1+$Y$16)^2))</f>
        <v>12354562.685188375</v>
      </c>
      <c r="AA685" s="193">
        <f>(((D685*'Appendix K'!$C$7*1000)-('Appendix K'!$E$33+'Appendix K'!$F$33+'Appendix K'!$H$33+'Appendix K'!$G$33))/((1+$Y$16)^3))</f>
        <v>6873839.5995626329</v>
      </c>
      <c r="AB685" s="193">
        <f>(((E685*'Appendix K'!$C$8*1000)-('Appendix K'!$E$34+'Appendix K'!$F$34+'Appendix K'!$H$34+'Appendix K'!$G$34))/((1+$Y$16)^4))</f>
        <v>14554332.742302485</v>
      </c>
      <c r="AC685" s="193">
        <f>(((F685*'Appendix K'!$C$9*1000)-('Appendix K'!$E$35+'Appendix K'!$F$35+'Appendix K'!$H$35+'Appendix K'!$G$35))/((1+$Y$16)^AC$34))</f>
        <v>24349261.027989384</v>
      </c>
      <c r="AD685" s="193">
        <f>(((G685*'Appendix K'!$C$10*1000)-('Appendix K'!$E$36+'Appendix K'!$F$36+'Appendix K'!$H$36+'Appendix K'!$G$36))/((1+$Y$16)^AD$34))</f>
        <v>20025432.250928618</v>
      </c>
      <c r="AE685" s="193">
        <f>(((H685*'Appendix K'!$C$11*1000)-('Appendix K'!$E$37+'Appendix K'!$F$37+'Appendix K'!$H$37+'Appendix K'!$G$37))/((1+$Y$16)^AE$34))</f>
        <v>11090367.757222796</v>
      </c>
      <c r="AF685" s="193">
        <f>(((I685*'Appendix K'!$C$12*1000)-('Appendix K'!$E$38+'Appendix K'!$F$38+'Appendix K'!$H$38+'Appendix K'!$G$38))/((1+$Y$16)^AF$34))</f>
        <v>8253920.7646126281</v>
      </c>
      <c r="AG685" s="193">
        <f>(((J685*'Appendix K'!$C$13*1000)-('Appendix K'!$E$39+'Appendix K'!$F$39+'Appendix K'!$H$39+'Appendix K'!$G$39))/((1+$Y$16)^AG$34))</f>
        <v>3541248.957076407</v>
      </c>
      <c r="AH685" s="193">
        <f>(((K685*'Appendix K'!$C$14*1000)-('Appendix K'!$E$40+'Appendix K'!$F$40+'Appendix K'!$H$40+'Appendix K'!$G$40))/((1+$Y$16)^AH$34))</f>
        <v>2300554.247236819</v>
      </c>
      <c r="AI685" s="193">
        <f>(((L685*'Appendix K'!$C$15*1000)-('Appendix K'!$E$41+'Appendix K'!$F$41+'Appendix K'!$H$41+'Appendix K'!$G$41))/((1+$Y$16)^AI$34))</f>
        <v>1101460.7633419216</v>
      </c>
      <c r="AJ685" s="193">
        <f>(((M685*'Appendix K'!$C$16*1000)-('Appendix K'!$E$42+'Appendix K'!$F$42+'Appendix K'!$H$42+'Appendix K'!$G$42))/((1+$Y$16)^AJ$34))</f>
        <v>-162604.62831868988</v>
      </c>
      <c r="AK685" s="193">
        <f>(((N685*'Appendix K'!$C$17*1000)-('Appendix K'!$E$43+'Appendix K'!$F$43+'Appendix K'!$H$43))/((1+$Y$16)^AK$34))</f>
        <v>-81025.991649710035</v>
      </c>
      <c r="AL685" s="193">
        <f>(((O685*'Appendix K'!$C$18*1000)-('Appendix K'!$E$44+'Appendix K'!$F$44+'Appendix K'!$H$44+'Appendix K'!$G$44))/((1+$Y$16)^AL$34))</f>
        <v>-392264.97852235084</v>
      </c>
      <c r="AM685" s="193">
        <f>(((P685*'Appendix K'!$C$19*1000)-('Appendix K'!$E$45+'Appendix K'!$F$45+'Appendix K'!$H$45+'Appendix K'!$G$45))/((1+$Y$16)^AM$34))</f>
        <v>-482631.07696690696</v>
      </c>
      <c r="AN685" s="193">
        <f>(((Q685*'Appendix K'!$C$20*1000)-('Appendix K'!$E$46+'Appendix K'!$F$46+'Appendix K'!$H$46+'Appendix K'!$G$46))/((1+$Y$16)^AN$34))</f>
        <v>-286647.49938167911</v>
      </c>
      <c r="AO685" s="193">
        <f>(((R685*'Appendix K'!$C$21*1000)-('Appendix K'!$E$47+'Appendix K'!$F$47+'Appendix K'!$H$47+'Appendix K'!$G$47))/((1+$Y$16)^AO$34))</f>
        <v>-419872.60329487058</v>
      </c>
      <c r="AP685" s="193">
        <f>(((S685*'Appendix K'!$C$22*1000)-('Appendix K'!$E$48+'Appendix K'!$F$48+'Appendix K'!$H$48+'Appendix K'!$G$48))/((1+$Y$16)^AP$34))</f>
        <v>-424177.02459421492</v>
      </c>
      <c r="AQ685" s="193">
        <f>(((T685*'Appendix K'!$C$23*1000)-('Appendix K'!$E$49+'Appendix K'!$F$49+'Appendix K'!$H$49+'Appendix K'!$G$49))/((1+$Y$16)^AQ$34))</f>
        <v>-308585.12682922994</v>
      </c>
      <c r="AR685" s="193">
        <f>(((U685*'Appendix K'!$C$24*1000)-('Appendix K'!$E$50+'Appendix K'!$F$50+'Appendix K'!$H$50+'Appendix K'!$G$50))/((1+$Y$16)^AR$34))</f>
        <v>-370473.50406428275</v>
      </c>
      <c r="AS685" s="209">
        <f t="shared" si="36"/>
        <v>105821143.32403433</v>
      </c>
      <c r="AU685" s="199">
        <f t="shared" si="35"/>
        <v>6.6771642912408905E-9</v>
      </c>
    </row>
    <row r="686" spans="1:47" x14ac:dyDescent="0.35">
      <c r="A686">
        <v>652</v>
      </c>
      <c r="B686" s="70">
        <v>56</v>
      </c>
      <c r="C686" s="70">
        <v>57.450174466359137</v>
      </c>
      <c r="D686" s="70">
        <v>92.880174100339289</v>
      </c>
      <c r="E686" s="70">
        <v>83.406127619976829</v>
      </c>
      <c r="F686" s="70">
        <v>86.406079905906324</v>
      </c>
      <c r="G686" s="70">
        <v>73.532477728405553</v>
      </c>
      <c r="H686" s="70">
        <v>44.541535596630439</v>
      </c>
      <c r="I686" s="70">
        <v>41.0456195268643</v>
      </c>
      <c r="J686" s="70">
        <v>47.473565801618967</v>
      </c>
      <c r="K686" s="70">
        <v>38.999823858216729</v>
      </c>
      <c r="L686" s="70">
        <v>40.706782000485191</v>
      </c>
      <c r="M686" s="70">
        <v>40.495889072468515</v>
      </c>
      <c r="N686" s="70">
        <v>62.952142168570113</v>
      </c>
      <c r="O686" s="70">
        <v>70.677973128936017</v>
      </c>
      <c r="P686" s="70">
        <v>58.664553182881818</v>
      </c>
      <c r="Q686" s="70">
        <v>71.542642520593745</v>
      </c>
      <c r="R686" s="70">
        <v>89.129421955837714</v>
      </c>
      <c r="S686" s="70">
        <v>115.26222624492489</v>
      </c>
      <c r="T686" s="70">
        <v>117.20804653293679</v>
      </c>
      <c r="U686" s="70">
        <v>128.13688155019202</v>
      </c>
      <c r="V686" s="70">
        <v>86.262711092933387</v>
      </c>
      <c r="X686" s="193">
        <f>((0-('Appendix K'!$I$30))/(1+$Y$16)^0)</f>
        <v>-33594902.4440751</v>
      </c>
      <c r="Y686" s="193">
        <f>(((B686*'Appendix K'!$C$5*1000)-('Appendix K'!$E$31+'Appendix K'!$F$31+'Appendix K'!$H$31+'Appendix K'!$G$31))/((1+$Y$16)^1))</f>
        <v>34971064.972647354</v>
      </c>
      <c r="Z686" s="193">
        <f>+(((C686*'Appendix K'!$C$6*1000)-('Appendix K'!$E$32+'Appendix K'!$F$32+'Appendix K'!$H$32+'Appendix K'!$G$32))/((1+$Y$16)^2))</f>
        <v>11025648.97777861</v>
      </c>
      <c r="AA686" s="193">
        <f>(((D686*'Appendix K'!$C$7*1000)-('Appendix K'!$E$33+'Appendix K'!$F$33+'Appendix K'!$H$33+'Appendix K'!$G$33))/((1+$Y$16)^3))</f>
        <v>8865702.2577413674</v>
      </c>
      <c r="AB686" s="193">
        <f>(((E686*'Appendix K'!$C$8*1000)-('Appendix K'!$E$34+'Appendix K'!$F$34+'Appendix K'!$H$34+'Appendix K'!$G$34))/((1+$Y$16)^4))</f>
        <v>14988651.775834106</v>
      </c>
      <c r="AC686" s="193">
        <f>(((F686*'Appendix K'!$C$9*1000)-('Appendix K'!$E$35+'Appendix K'!$F$35+'Appendix K'!$H$35+'Appendix K'!$G$35))/((1+$Y$16)^AC$34))</f>
        <v>19982371.837937169</v>
      </c>
      <c r="AD686" s="193">
        <f>(((G686*'Appendix K'!$C$10*1000)-('Appendix K'!$E$36+'Appendix K'!$F$36+'Appendix K'!$H$36+'Appendix K'!$G$36))/((1+$Y$16)^AD$34))</f>
        <v>9032067.8894635122</v>
      </c>
      <c r="AE686" s="193">
        <f>(((H686*'Appendix K'!$C$11*1000)-('Appendix K'!$E$37+'Appendix K'!$F$37+'Appendix K'!$H$37+'Appendix K'!$G$37))/((1+$Y$16)^AE$34))</f>
        <v>2222526.1797533734</v>
      </c>
      <c r="AF686" s="193">
        <f>(((I686*'Appendix K'!$C$12*1000)-('Appendix K'!$E$38+'Appendix K'!$F$38+'Appendix K'!$H$38+'Appendix K'!$G$38))/((1+$Y$16)^AF$34))</f>
        <v>698575.98680987407</v>
      </c>
      <c r="AG686" s="193">
        <f>(((J686*'Appendix K'!$C$13*1000)-('Appendix K'!$E$39+'Appendix K'!$F$39+'Appendix K'!$H$39+'Appendix K'!$G$39))/((1+$Y$16)^AG$34))</f>
        <v>369738.95209063386</v>
      </c>
      <c r="AH686" s="193">
        <f>(((K686*'Appendix K'!$C$14*1000)-('Appendix K'!$E$40+'Appendix K'!$F$40+'Appendix K'!$H$40+'Appendix K'!$G$40))/((1+$Y$16)^AH$34))</f>
        <v>-318192.54969740019</v>
      </c>
      <c r="AI686" s="193">
        <f>(((L686*'Appendix K'!$C$15*1000)-('Appendix K'!$E$41+'Appendix K'!$F$41+'Appendix K'!$H$41+'Appendix K'!$G$41))/((1+$Y$16)^AI$34))</f>
        <v>-449887.5378627106</v>
      </c>
      <c r="AJ686" s="193">
        <f>(((M686*'Appendix K'!$C$16*1000)-('Appendix K'!$E$42+'Appendix K'!$F$42+'Appendix K'!$H$42+'Appendix K'!$G$42))/((1+$Y$16)^AJ$34))</f>
        <v>-569937.73676374671</v>
      </c>
      <c r="AK686" s="193">
        <f>(((N686*'Appendix K'!$C$17*1000)-('Appendix K'!$E$43+'Appendix K'!$F$43+'Appendix K'!$H$43))/((1+$Y$16)^AK$34))</f>
        <v>-37068.359052414307</v>
      </c>
      <c r="AL686" s="193">
        <f>(((O686*'Appendix K'!$C$18*1000)-('Appendix K'!$E$44+'Appendix K'!$F$44+'Appendix K'!$H$44+'Appendix K'!$G$44))/((1+$Y$16)^AL$34))</f>
        <v>-296822.31302906026</v>
      </c>
      <c r="AM686" s="193">
        <f>(((P686*'Appendix K'!$C$19*1000)-('Appendix K'!$E$45+'Appendix K'!$F$45+'Appendix K'!$H$45+'Appendix K'!$G$45))/((1+$Y$16)^AM$34))</f>
        <v>-483019.932947597</v>
      </c>
      <c r="AN686" s="193">
        <f>(((Q686*'Appendix K'!$C$20*1000)-('Appendix K'!$E$46+'Appendix K'!$F$46+'Appendix K'!$H$46+'Appendix K'!$G$46))/((1+$Y$16)^AN$34))</f>
        <v>-398010.760638776</v>
      </c>
      <c r="AO686" s="193">
        <f>(((R686*'Appendix K'!$C$21*1000)-('Appendix K'!$E$47+'Appendix K'!$F$47+'Appendix K'!$H$47+'Appendix K'!$G$47))/((1+$Y$16)^AO$34))</f>
        <v>-316234.19459987863</v>
      </c>
      <c r="AP686" s="193">
        <f>(((S686*'Appendix K'!$C$22*1000)-('Appendix K'!$E$48+'Appendix K'!$F$48+'Appendix K'!$H$48+'Appendix K'!$G$48))/((1+$Y$16)^AP$34))</f>
        <v>-212379.51840610694</v>
      </c>
      <c r="AQ686" s="193">
        <f>(((T686*'Appendix K'!$C$23*1000)-('Appendix K'!$E$49+'Appendix K'!$F$49+'Appendix K'!$H$49+'Appendix K'!$G$49))/((1+$Y$16)^AQ$34))</f>
        <v>-234763.34341132431</v>
      </c>
      <c r="AR686" s="193">
        <f>(((U686*'Appendix K'!$C$24*1000)-('Appendix K'!$E$50+'Appendix K'!$F$50+'Appendix K'!$H$50+'Appendix K'!$G$50))/((1+$Y$16)^AR$34))</f>
        <v>-216684.52046752663</v>
      </c>
      <c r="AS686" s="209">
        <f t="shared" si="36"/>
        <v>68561446.385980904</v>
      </c>
      <c r="AU686" s="199">
        <f t="shared" si="35"/>
        <v>6.6443582579849257E-9</v>
      </c>
    </row>
    <row r="687" spans="1:47" x14ac:dyDescent="0.35">
      <c r="A687">
        <v>653</v>
      </c>
      <c r="B687" s="70">
        <v>56</v>
      </c>
      <c r="C687" s="70">
        <v>66.387673276475084</v>
      </c>
      <c r="D687" s="70">
        <v>82.666555658084121</v>
      </c>
      <c r="E687" s="70">
        <v>98.136034493800267</v>
      </c>
      <c r="F687" s="70">
        <v>119.56181519345043</v>
      </c>
      <c r="G687" s="70">
        <v>78.370570209218641</v>
      </c>
      <c r="H687" s="70">
        <v>88.135449695947784</v>
      </c>
      <c r="I687" s="70">
        <v>122.00360465458135</v>
      </c>
      <c r="J687" s="70">
        <v>148.87152854937989</v>
      </c>
      <c r="K687" s="70">
        <v>154.19919680433227</v>
      </c>
      <c r="L687" s="70">
        <v>155.82620376503144</v>
      </c>
      <c r="M687" s="70">
        <v>231.0000728440632</v>
      </c>
      <c r="N687" s="70">
        <v>245.00167039383535</v>
      </c>
      <c r="O687" s="70">
        <v>313.5836169302554</v>
      </c>
      <c r="P687" s="70">
        <v>486.62703786785812</v>
      </c>
      <c r="Q687" s="70">
        <v>459.21346713781435</v>
      </c>
      <c r="R687" s="70">
        <v>500</v>
      </c>
      <c r="S687" s="70">
        <v>424.73486855103209</v>
      </c>
      <c r="T687" s="70">
        <v>309.21769627984673</v>
      </c>
      <c r="U687" s="70">
        <v>500</v>
      </c>
      <c r="V687" s="70">
        <v>381.9622273559072</v>
      </c>
      <c r="X687" s="193">
        <f>((0-('Appendix K'!$I$30))/(1+$Y$16)^0)</f>
        <v>-33594902.4440751</v>
      </c>
      <c r="Y687" s="193">
        <f>(((B687*'Appendix K'!$C$5*1000)-('Appendix K'!$E$31+'Appendix K'!$F$31+'Appendix K'!$H$31+'Appendix K'!$G$31))/((1+$Y$16)^1))</f>
        <v>34971064.972647354</v>
      </c>
      <c r="Z687" s="193">
        <f>+(((C687*'Appendix K'!$C$6*1000)-('Appendix K'!$E$32+'Appendix K'!$F$32+'Appendix K'!$H$32+'Appendix K'!$G$32))/((1+$Y$16)^2))</f>
        <v>13283414.036365068</v>
      </c>
      <c r="AA687" s="193">
        <f>(((D687*'Appendix K'!$C$7*1000)-('Appendix K'!$E$33+'Appendix K'!$F$33+'Appendix K'!$H$33+'Appendix K'!$G$33))/((1+$Y$16)^3))</f>
        <v>7564743.9123410629</v>
      </c>
      <c r="AB687" s="193">
        <f>(((E687*'Appendix K'!$C$8*1000)-('Appendix K'!$E$34+'Appendix K'!$F$34+'Appendix K'!$H$34+'Appendix K'!$G$34))/((1+$Y$16)^4))</f>
        <v>18217312.523257103</v>
      </c>
      <c r="AC687" s="193">
        <f>(((F687*'Appendix K'!$C$9*1000)-('Appendix K'!$E$35+'Appendix K'!$F$35+'Appendix K'!$H$35+'Appendix K'!$G$35))/((1+$Y$16)^AC$34))</f>
        <v>28795114.213519137</v>
      </c>
      <c r="AD687" s="193">
        <f>(((G687*'Appendix K'!$C$10*1000)-('Appendix K'!$E$36+'Appendix K'!$F$36+'Appendix K'!$H$36+'Appendix K'!$G$36))/((1+$Y$16)^AD$34))</f>
        <v>9791861.0504517853</v>
      </c>
      <c r="AE687" s="193">
        <f>(((H687*'Appendix K'!$C$11*1000)-('Appendix K'!$E$37+'Appendix K'!$F$37+'Appendix K'!$H$37+'Appendix K'!$G$37))/((1+$Y$16)^AE$34))</f>
        <v>6570479.8037206158</v>
      </c>
      <c r="AF687" s="193">
        <f>(((I687*'Appendix K'!$C$12*1000)-('Appendix K'!$E$38+'Appendix K'!$F$38+'Appendix K'!$H$38+'Appendix K'!$G$38))/((1+$Y$16)^AF$34))</f>
        <v>6014473.7784861587</v>
      </c>
      <c r="AG687" s="193">
        <f>(((J687*'Appendix K'!$C$13*1000)-('Appendix K'!$E$39+'Appendix K'!$F$39+'Appendix K'!$H$39+'Appendix K'!$G$39))/((1+$Y$16)^AG$34))</f>
        <v>5035964.9616829846</v>
      </c>
      <c r="AH687" s="193">
        <f>(((K687*'Appendix K'!$C$14*1000)-('Appendix K'!$E$40+'Appendix K'!$F$40+'Appendix K'!$H$40+'Appendix K'!$G$40))/((1+$Y$16)^AH$34))</f>
        <v>3564778.1968031409</v>
      </c>
      <c r="AI687" s="193">
        <f>(((L687*'Appendix K'!$C$15*1000)-('Appendix K'!$E$41+'Appendix K'!$F$41+'Appendix K'!$H$41+'Appendix K'!$G$41))/((1+$Y$16)^AI$34))</f>
        <v>2566456.5867427019</v>
      </c>
      <c r="AJ687" s="193">
        <f>(((M687*'Appendix K'!$C$16*1000)-('Appendix K'!$E$42+'Appendix K'!$F$42+'Appendix K'!$H$42+'Appendix K'!$G$42))/((1+$Y$16)^AJ$34))</f>
        <v>3248121.7731290846</v>
      </c>
      <c r="AK687" s="193">
        <f>(((N687*'Appendix K'!$C$17*1000)-('Appendix K'!$E$43+'Appendix K'!$F$43+'Appendix K'!$H$43))/((1+$Y$16)^AK$34))</f>
        <v>2759921.9257196225</v>
      </c>
      <c r="AL687" s="193">
        <f>(((O687*'Appendix K'!$C$18*1000)-('Appendix K'!$E$44+'Appendix K'!$F$44+'Appendix K'!$H$44+'Appendix K'!$G$44))/((1+$Y$16)^AL$34))</f>
        <v>2582409.7584500941</v>
      </c>
      <c r="AM687" s="193">
        <f>(((P687*'Appendix K'!$C$19*1000)-('Appendix K'!$E$45+'Appendix K'!$F$45+'Appendix K'!$H$45+'Appendix K'!$G$45))/((1+$Y$16)^AM$34))</f>
        <v>3483649.5547520164</v>
      </c>
      <c r="AN687" s="193">
        <f>(((Q687*'Appendix K'!$C$20*1000)-('Appendix K'!$E$46+'Appendix K'!$F$46+'Appendix K'!$H$46+'Appendix K'!$G$46))/((1+$Y$16)^AN$34))</f>
        <v>2407259.4085596744</v>
      </c>
      <c r="AO687" s="193">
        <f>(((R687*'Appendix K'!$C$21*1000)-('Appendix K'!$E$47+'Appendix K'!$F$47+'Appendix K'!$H$47+'Appendix K'!$G$47))/((1+$Y$16)^AO$34))</f>
        <v>2112056.3146391152</v>
      </c>
      <c r="AP687" s="193">
        <f>(((S687*'Appendix K'!$C$22*1000)-('Appendix K'!$E$48+'Appendix K'!$F$48+'Appendix K'!$H$48+'Appendix K'!$G$48))/((1+$Y$16)^AP$34))</f>
        <v>1269907.582169737</v>
      </c>
      <c r="AQ687" s="193">
        <f>(((T687*'Appendix K'!$C$23*1000)-('Appendix K'!$E$49+'Appendix K'!$F$49+'Appendix K'!$H$49+'Appendix K'!$G$49))/((1+$Y$16)^AQ$34))</f>
        <v>516713.26996709057</v>
      </c>
      <c r="AR687" s="193">
        <f>(((U687*'Appendix K'!$C$24*1000)-('Appendix K'!$E$50+'Appendix K'!$F$50+'Appendix K'!$H$50+'Appendix K'!$G$50))/((1+$Y$16)^AR$34))</f>
        <v>980725.14012097823</v>
      </c>
      <c r="AS687" s="209">
        <f t="shared" si="36"/>
        <v>122141526.31944942</v>
      </c>
      <c r="AU687" s="199">
        <f t="shared" si="35"/>
        <v>5.8421352096712505E-9</v>
      </c>
    </row>
    <row r="688" spans="1:47" x14ac:dyDescent="0.35">
      <c r="A688">
        <v>654</v>
      </c>
      <c r="B688" s="70">
        <v>56</v>
      </c>
      <c r="C688" s="70">
        <v>71.915188292145018</v>
      </c>
      <c r="D688" s="70">
        <v>64.563871877970357</v>
      </c>
      <c r="E688" s="70">
        <v>78.03895624850945</v>
      </c>
      <c r="F688" s="70">
        <v>95.12720634779788</v>
      </c>
      <c r="G688" s="70">
        <v>141.43275111700757</v>
      </c>
      <c r="H688" s="70">
        <v>135.43841723331613</v>
      </c>
      <c r="I688" s="70">
        <v>164.36057610230614</v>
      </c>
      <c r="J688" s="70">
        <v>196.08356118522326</v>
      </c>
      <c r="K688" s="70">
        <v>237.89701176784342</v>
      </c>
      <c r="L688" s="70">
        <v>231.8300073108484</v>
      </c>
      <c r="M688" s="70">
        <v>314.34449945206711</v>
      </c>
      <c r="N688" s="70">
        <v>233.34631884399934</v>
      </c>
      <c r="O688" s="70">
        <v>228.39827876794962</v>
      </c>
      <c r="P688" s="70">
        <v>190.99076767283452</v>
      </c>
      <c r="Q688" s="70">
        <v>160.25974644601271</v>
      </c>
      <c r="R688" s="70">
        <v>184.18283715303505</v>
      </c>
      <c r="S688" s="70">
        <v>148.75391386647624</v>
      </c>
      <c r="T688" s="70">
        <v>122.66199243078275</v>
      </c>
      <c r="U688" s="70">
        <v>132.18502466364853</v>
      </c>
      <c r="V688" s="70">
        <v>142.72278203740194</v>
      </c>
      <c r="X688" s="193">
        <f>((0-('Appendix K'!$I$30))/(1+$Y$16)^0)</f>
        <v>-33594902.4440751</v>
      </c>
      <c r="Y688" s="193">
        <f>(((B688*'Appendix K'!$C$5*1000)-('Appendix K'!$E$31+'Appendix K'!$F$31+'Appendix K'!$H$31+'Appendix K'!$G$31))/((1+$Y$16)^1))</f>
        <v>34971064.972647354</v>
      </c>
      <c r="Z688" s="193">
        <f>+(((C688*'Appendix K'!$C$6*1000)-('Appendix K'!$E$32+'Appendix K'!$F$32+'Appendix K'!$H$32+'Appendix K'!$G$32))/((1+$Y$16)^2))</f>
        <v>14679758.86709849</v>
      </c>
      <c r="AA688" s="193">
        <f>(((D688*'Appendix K'!$C$7*1000)-('Appendix K'!$E$33+'Appendix K'!$F$33+'Appendix K'!$H$33+'Appendix K'!$G$33))/((1+$Y$16)^3))</f>
        <v>5258916.8765034331</v>
      </c>
      <c r="AB688" s="193">
        <f>(((E688*'Appendix K'!$C$8*1000)-('Appendix K'!$E$34+'Appendix K'!$F$34+'Appendix K'!$H$34+'Appendix K'!$G$34))/((1+$Y$16)^4))</f>
        <v>13812216.942933412</v>
      </c>
      <c r="AC688" s="193">
        <f>(((F688*'Appendix K'!$C$9*1000)-('Appendix K'!$E$35+'Appendix K'!$F$35+'Appendix K'!$H$35+'Appendix K'!$G$35))/((1+$Y$16)^AC$34))</f>
        <v>22300433.55156593</v>
      </c>
      <c r="AD688" s="193">
        <f>(((G688*'Appendix K'!$C$10*1000)-('Appendix K'!$E$36+'Appendix K'!$F$36+'Appendix K'!$H$36+'Appendix K'!$G$36))/((1+$Y$16)^AD$34))</f>
        <v>19695395.131447878</v>
      </c>
      <c r="AE688" s="193">
        <f>(((H688*'Appendix K'!$C$11*1000)-('Appendix K'!$E$37+'Appendix K'!$F$37+'Appendix K'!$H$37+'Appendix K'!$G$37))/((1+$Y$16)^AE$34))</f>
        <v>11288365.622826871</v>
      </c>
      <c r="AF688" s="193">
        <f>(((I688*'Appendix K'!$C$12*1000)-('Appendix K'!$E$38+'Appendix K'!$F$38+'Appendix K'!$H$38+'Appendix K'!$G$38))/((1+$Y$16)^AF$34))</f>
        <v>8795735.3257670235</v>
      </c>
      <c r="AG688" s="193">
        <f>(((J688*'Appendix K'!$C$13*1000)-('Appendix K'!$E$39+'Appendix K'!$F$39+'Appendix K'!$H$39+'Appendix K'!$G$39))/((1+$Y$16)^AG$34))</f>
        <v>7208612.3076570025</v>
      </c>
      <c r="AH688" s="193">
        <f>(((K688*'Appendix K'!$C$14*1000)-('Appendix K'!$E$40+'Appendix K'!$F$40+'Appendix K'!$H$40+'Appendix K'!$G$40))/((1+$Y$16)^AH$34))</f>
        <v>6385940.8363024546</v>
      </c>
      <c r="AI688" s="193">
        <f>(((L688*'Appendix K'!$C$15*1000)-('Appendix K'!$E$41+'Appendix K'!$F$41+'Appendix K'!$H$41+'Appendix K'!$G$41))/((1+$Y$16)^AI$34))</f>
        <v>4557898.3674526634</v>
      </c>
      <c r="AJ688" s="193">
        <f>(((M688*'Appendix K'!$C$16*1000)-('Appendix K'!$E$42+'Appendix K'!$F$42+'Appendix K'!$H$42+'Appendix K'!$G$42))/((1+$Y$16)^AJ$34))</f>
        <v>4918499.6845600354</v>
      </c>
      <c r="AK688" s="193">
        <f>(((N688*'Appendix K'!$C$17*1000)-('Appendix K'!$E$43+'Appendix K'!$F$43+'Appendix K'!$H$43))/((1+$Y$16)^AK$34))</f>
        <v>2580850.299617107</v>
      </c>
      <c r="AL688" s="193">
        <f>(((O688*'Appendix K'!$C$18*1000)-('Appendix K'!$E$44+'Appendix K'!$F$44+'Appendix K'!$H$44+'Appendix K'!$G$44))/((1+$Y$16)^AL$34))</f>
        <v>1572682.8792454218</v>
      </c>
      <c r="AM688" s="193">
        <f>(((P688*'Appendix K'!$C$19*1000)-('Appendix K'!$E$45+'Appendix K'!$F$45+'Appendix K'!$H$45+'Appendix K'!$G$45))/((1+$Y$16)^AM$34))</f>
        <v>743476.25824651029</v>
      </c>
      <c r="AN688" s="193">
        <f>(((Q688*'Appendix K'!$C$20*1000)-('Appendix K'!$E$46+'Appendix K'!$F$46+'Appendix K'!$H$46+'Appendix K'!$G$46))/((1+$Y$16)^AN$34))</f>
        <v>243965.44529674129</v>
      </c>
      <c r="AO688" s="193">
        <f>(((R688*'Appendix K'!$C$21*1000)-('Appendix K'!$E$47+'Appendix K'!$F$47+'Appendix K'!$H$47+'Appendix K'!$G$47))/((1+$Y$16)^AO$34))</f>
        <v>245541.99072069323</v>
      </c>
      <c r="AP688" s="193">
        <f>(((S688*'Appendix K'!$C$22*1000)-('Appendix K'!$E$48+'Appendix K'!$F$48+'Appendix K'!$H$48+'Appendix K'!$G$48))/((1+$Y$16)^AP$34))</f>
        <v>-51963.734419499095</v>
      </c>
      <c r="AQ688" s="193">
        <f>(((T688*'Appendix K'!$C$23*1000)-('Appendix K'!$E$49+'Appendix K'!$F$49+'Appendix K'!$H$49+'Appendix K'!$G$49))/((1+$Y$16)^AQ$34))</f>
        <v>-213417.99541311347</v>
      </c>
      <c r="AR688" s="193">
        <f>(((U688*'Appendix K'!$C$24*1000)-('Appendix K'!$E$50+'Appendix K'!$F$50+'Appendix K'!$H$50+'Appendix K'!$G$50))/((1+$Y$16)^AR$34))</f>
        <v>-203649.38621784729</v>
      </c>
      <c r="AS688" s="209">
        <f t="shared" si="36"/>
        <v>125664452.91581389</v>
      </c>
      <c r="AU688" s="199">
        <f t="shared" si="35"/>
        <v>5.6147963382108364E-9</v>
      </c>
    </row>
    <row r="689" spans="1:47" x14ac:dyDescent="0.35">
      <c r="A689">
        <v>655</v>
      </c>
      <c r="B689" s="70">
        <v>56</v>
      </c>
      <c r="C689" s="70">
        <v>52.480254208306931</v>
      </c>
      <c r="D689" s="70">
        <v>74.798749332271399</v>
      </c>
      <c r="E689" s="70">
        <v>76.752383502204466</v>
      </c>
      <c r="F689" s="70">
        <v>58.049887137965456</v>
      </c>
      <c r="G689" s="70">
        <v>53.127278065128557</v>
      </c>
      <c r="H689" s="70">
        <v>26.990308406489476</v>
      </c>
      <c r="I689" s="70">
        <v>28.666009163891701</v>
      </c>
      <c r="J689" s="70">
        <v>25.508144541268202</v>
      </c>
      <c r="K689" s="70">
        <v>22.986277542815703</v>
      </c>
      <c r="L689" s="70">
        <v>29.400411580580688</v>
      </c>
      <c r="M689" s="70">
        <v>41.296609527289796</v>
      </c>
      <c r="N689" s="70">
        <v>38.132169332829932</v>
      </c>
      <c r="O689" s="70">
        <v>56.571236170950783</v>
      </c>
      <c r="P689" s="70">
        <v>73.031180098606853</v>
      </c>
      <c r="Q689" s="70">
        <v>81.555929449426955</v>
      </c>
      <c r="R689" s="70">
        <v>104.91922338738176</v>
      </c>
      <c r="S689" s="70">
        <v>58.996571476661202</v>
      </c>
      <c r="T689" s="70">
        <v>89.736189324739399</v>
      </c>
      <c r="U689" s="70">
        <v>52.250855137050365</v>
      </c>
      <c r="V689" s="70">
        <v>66.938437192057791</v>
      </c>
      <c r="X689" s="193">
        <f>((0-('Appendix K'!$I$30))/(1+$Y$16)^0)</f>
        <v>-33594902.4440751</v>
      </c>
      <c r="Y689" s="193">
        <f>(((B689*'Appendix K'!$C$5*1000)-('Appendix K'!$E$31+'Appendix K'!$F$31+'Appendix K'!$H$31+'Appendix K'!$G$31))/((1+$Y$16)^1))</f>
        <v>34971064.972647354</v>
      </c>
      <c r="Z689" s="193">
        <f>+(((C689*'Appendix K'!$C$6*1000)-('Appendix K'!$E$32+'Appendix K'!$F$32+'Appendix K'!$H$32+'Appendix K'!$G$32))/((1+$Y$16)^2))</f>
        <v>9770162.1194317546</v>
      </c>
      <c r="AA689" s="193">
        <f>(((D689*'Appendix K'!$C$7*1000)-('Appendix K'!$E$33+'Appendix K'!$F$33+'Appendix K'!$H$33+'Appendix K'!$G$33))/((1+$Y$16)^3))</f>
        <v>6562583.0858495506</v>
      </c>
      <c r="AB689" s="193">
        <f>(((E689*'Appendix K'!$C$8*1000)-('Appendix K'!$E$34+'Appendix K'!$F$34+'Appendix K'!$H$34+'Appendix K'!$G$34))/((1+$Y$16)^4))</f>
        <v>13530211.974383272</v>
      </c>
      <c r="AC689" s="193">
        <f>(((F689*'Appendix K'!$C$9*1000)-('Appendix K'!$E$35+'Appendix K'!$F$35+'Appendix K'!$H$35+'Appendix K'!$G$35))/((1+$Y$16)^AC$34))</f>
        <v>12445340.327431539</v>
      </c>
      <c r="AD689" s="193">
        <f>(((G689*'Appendix K'!$C$10*1000)-('Appendix K'!$E$36+'Appendix K'!$F$36+'Appendix K'!$H$36+'Appendix K'!$G$36))/((1+$Y$16)^AD$34))</f>
        <v>5827554.7028630497</v>
      </c>
      <c r="AE689" s="193">
        <f>(((H689*'Appendix K'!$C$11*1000)-('Appendix K'!$E$37+'Appendix K'!$F$37+'Appendix K'!$H$37+'Appendix K'!$G$37))/((1+$Y$16)^AE$34))</f>
        <v>472008.39663830353</v>
      </c>
      <c r="AF689" s="193">
        <f>(((I689*'Appendix K'!$C$12*1000)-('Appendix K'!$E$38+'Appendix K'!$F$38+'Appendix K'!$H$38+'Appendix K'!$G$38))/((1+$Y$16)^AF$34))</f>
        <v>-114299.27542053911</v>
      </c>
      <c r="AG689" s="193">
        <f>(((J689*'Appendix K'!$C$13*1000)-('Appendix K'!$E$39+'Appendix K'!$F$39+'Appendix K'!$H$39+'Appendix K'!$G$39))/((1+$Y$16)^AG$34))</f>
        <v>-641086.28758080979</v>
      </c>
      <c r="AH689" s="193">
        <f>(((K689*'Appendix K'!$C$14*1000)-('Appendix K'!$E$40+'Appendix K'!$F$40+'Appendix K'!$H$40+'Appendix K'!$G$40))/((1+$Y$16)^AH$34))</f>
        <v>-857953.57703839464</v>
      </c>
      <c r="AI689" s="193">
        <f>(((L689*'Appendix K'!$C$15*1000)-('Appendix K'!$E$41+'Appendix K'!$F$41+'Appendix K'!$H$41+'Appendix K'!$G$41))/((1+$Y$16)^AI$34))</f>
        <v>-746135.58588056883</v>
      </c>
      <c r="AJ689" s="193">
        <f>(((M689*'Appendix K'!$C$16*1000)-('Appendix K'!$E$42+'Appendix K'!$F$42+'Appendix K'!$H$42+'Appendix K'!$G$42))/((1+$Y$16)^AJ$34))</f>
        <v>-553889.80392169673</v>
      </c>
      <c r="AK689" s="193">
        <f>(((N689*'Appendix K'!$C$17*1000)-('Appendix K'!$E$43+'Appendix K'!$F$43+'Appendix K'!$H$43))/((1+$Y$16)^AK$34))</f>
        <v>-418399.87672583776</v>
      </c>
      <c r="AL689" s="193">
        <f>(((O689*'Appendix K'!$C$18*1000)-('Appendix K'!$E$44+'Appendix K'!$F$44+'Appendix K'!$H$44+'Appendix K'!$G$44))/((1+$Y$16)^AL$34))</f>
        <v>-464033.61712940061</v>
      </c>
      <c r="AM689" s="193">
        <f>(((P689*'Appendix K'!$C$19*1000)-('Appendix K'!$E$45+'Appendix K'!$F$45+'Appendix K'!$H$45+'Appendix K'!$G$45))/((1+$Y$16)^AM$34))</f>
        <v>-349859.52130609722</v>
      </c>
      <c r="AN689" s="193">
        <f>(((Q689*'Appendix K'!$C$20*1000)-('Appendix K'!$E$46+'Appendix K'!$F$46+'Appendix K'!$H$46+'Appendix K'!$G$46))/((1+$Y$16)^AN$34))</f>
        <v>-325552.4446310752</v>
      </c>
      <c r="AO689" s="193">
        <f>(((R689*'Appendix K'!$C$21*1000)-('Appendix K'!$E$47+'Appendix K'!$F$47+'Appendix K'!$H$47+'Appendix K'!$G$47))/((1+$Y$16)^AO$34))</f>
        <v>-222914.7236815558</v>
      </c>
      <c r="AP689" s="193">
        <f>(((S689*'Appendix K'!$C$22*1000)-('Appendix K'!$E$48+'Appendix K'!$F$48+'Appendix K'!$H$48+'Appendix K'!$G$48))/((1+$Y$16)^AP$34))</f>
        <v>-481876.21332221548</v>
      </c>
      <c r="AQ689" s="193">
        <f>(((T689*'Appendix K'!$C$23*1000)-('Appendix K'!$E$49+'Appendix K'!$F$49+'Appendix K'!$H$49+'Appendix K'!$G$49))/((1+$Y$16)^AQ$34))</f>
        <v>-342281.15954839491</v>
      </c>
      <c r="AR689" s="193">
        <f>(((U689*'Appendix K'!$C$24*1000)-('Appendix K'!$E$50+'Appendix K'!$F$50+'Appendix K'!$H$50+'Appendix K'!$G$50))/((1+$Y$16)^AR$34))</f>
        <v>-461039.6517576843</v>
      </c>
      <c r="AS689" s="209">
        <f t="shared" si="36"/>
        <v>49984023.135169737</v>
      </c>
      <c r="AU689" s="199">
        <f t="shared" si="35"/>
        <v>5.6422012601532348E-9</v>
      </c>
    </row>
    <row r="690" spans="1:47" x14ac:dyDescent="0.35">
      <c r="A690">
        <v>656</v>
      </c>
      <c r="B690" s="70">
        <v>56</v>
      </c>
      <c r="C690" s="70">
        <v>69.061390583853608</v>
      </c>
      <c r="D690" s="70">
        <v>65.060018509765172</v>
      </c>
      <c r="E690" s="70">
        <v>73.184559312911077</v>
      </c>
      <c r="F690" s="70">
        <v>80.318800183294059</v>
      </c>
      <c r="G690" s="70">
        <v>109.80822759102071</v>
      </c>
      <c r="H690" s="70">
        <v>98.794321593698569</v>
      </c>
      <c r="I690" s="70">
        <v>96.407822336110371</v>
      </c>
      <c r="J690" s="70">
        <v>135.79799477088062</v>
      </c>
      <c r="K690" s="70">
        <v>118.74635353159351</v>
      </c>
      <c r="L690" s="70">
        <v>84.789308199802633</v>
      </c>
      <c r="M690" s="70">
        <v>110.31288614677132</v>
      </c>
      <c r="N690" s="70">
        <v>135.03936166245498</v>
      </c>
      <c r="O690" s="70">
        <v>183.33030230822817</v>
      </c>
      <c r="P690" s="70">
        <v>321.27363446367372</v>
      </c>
      <c r="Q690" s="70">
        <v>301.62150597229419</v>
      </c>
      <c r="R690" s="70">
        <v>215.11188957931572</v>
      </c>
      <c r="S690" s="70">
        <v>168.50744696384817</v>
      </c>
      <c r="T690" s="70">
        <v>208.69379625517414</v>
      </c>
      <c r="U690" s="70">
        <v>233.98792876102962</v>
      </c>
      <c r="V690" s="70">
        <v>382.9387544570784</v>
      </c>
      <c r="X690" s="193">
        <f>((0-('Appendix K'!$I$30))/(1+$Y$16)^0)</f>
        <v>-33594902.4440751</v>
      </c>
      <c r="Y690" s="193">
        <f>(((B690*'Appendix K'!$C$5*1000)-('Appendix K'!$E$31+'Appendix K'!$F$31+'Appendix K'!$H$31+'Appendix K'!$G$31))/((1+$Y$16)^1))</f>
        <v>34971064.972647354</v>
      </c>
      <c r="Z690" s="193">
        <f>+(((C690*'Appendix K'!$C$6*1000)-('Appendix K'!$E$32+'Appendix K'!$F$32+'Appendix K'!$H$32+'Appendix K'!$G$32))/((1+$Y$16)^2))</f>
        <v>13958840.757127756</v>
      </c>
      <c r="AA690" s="193">
        <f>(((D690*'Appendix K'!$C$7*1000)-('Appendix K'!$E$33+'Appendix K'!$F$33+'Appendix K'!$H$33+'Appendix K'!$G$33))/((1+$Y$16)^3))</f>
        <v>5322113.4903993802</v>
      </c>
      <c r="AB690" s="193">
        <f>(((E690*'Appendix K'!$C$8*1000)-('Appendix K'!$E$34+'Appendix K'!$F$34+'Appendix K'!$H$34+'Appendix K'!$G$34))/((1+$Y$16)^4))</f>
        <v>12748177.572377048</v>
      </c>
      <c r="AC690" s="193">
        <f>(((F690*'Appendix K'!$C$9*1000)-('Appendix K'!$E$35+'Appendix K'!$F$35+'Appendix K'!$H$35+'Appendix K'!$G$35))/((1+$Y$16)^AC$34))</f>
        <v>18364382.446411312</v>
      </c>
      <c r="AD690" s="193">
        <f>(((G690*'Appendix K'!$C$10*1000)-('Appendix K'!$E$36+'Appendix K'!$F$36+'Appendix K'!$H$36+'Appendix K'!$G$36))/((1+$Y$16)^AD$34))</f>
        <v>14728954.992106132</v>
      </c>
      <c r="AE690" s="193">
        <f>(((H690*'Appendix K'!$C$11*1000)-('Appendix K'!$E$37+'Appendix K'!$F$37+'Appendix K'!$H$37+'Appendix K'!$G$37))/((1+$Y$16)^AE$34))</f>
        <v>7633570.4128741026</v>
      </c>
      <c r="AF690" s="193">
        <f>(((I690*'Appendix K'!$C$12*1000)-('Appendix K'!$E$38+'Appendix K'!$F$38+'Appendix K'!$H$38+'Appendix K'!$G$38))/((1+$Y$16)^AF$34))</f>
        <v>4333792.5894924467</v>
      </c>
      <c r="AG690" s="193">
        <f>(((J690*'Appendix K'!$C$13*1000)-('Appendix K'!$E$39+'Appendix K'!$F$39+'Appendix K'!$H$39+'Appendix K'!$G$39))/((1+$Y$16)^AG$34))</f>
        <v>4434334.8923859103</v>
      </c>
      <c r="AH690" s="193">
        <f>(((K690*'Appendix K'!$C$14*1000)-('Appendix K'!$E$40+'Appendix K'!$F$40+'Appendix K'!$H$40+'Appendix K'!$G$40))/((1+$Y$16)^AH$34))</f>
        <v>2369785.986448796</v>
      </c>
      <c r="AI690" s="193">
        <f>(((L690*'Appendix K'!$C$15*1000)-('Appendix K'!$E$41+'Appendix K'!$F$41+'Appendix K'!$H$41+'Appendix K'!$G$41))/((1+$Y$16)^AI$34))</f>
        <v>705157.08328761917</v>
      </c>
      <c r="AJ690" s="193">
        <f>(((M690*'Appendix K'!$C$16*1000)-('Appendix K'!$E$42+'Appendix K'!$F$42+'Appendix K'!$H$42+'Appendix K'!$G$42))/((1+$Y$16)^AJ$34))</f>
        <v>829325.23139920423</v>
      </c>
      <c r="AK690" s="193">
        <f>(((N690*'Appendix K'!$C$17*1000)-('Appendix K'!$E$43+'Appendix K'!$F$43+'Appendix K'!$H$43))/((1+$Y$16)^AK$34))</f>
        <v>1070472.2896172982</v>
      </c>
      <c r="AL690" s="193">
        <f>(((O690*'Appendix K'!$C$18*1000)-('Appendix K'!$E$44+'Appendix K'!$F$44+'Appendix K'!$H$44+'Appendix K'!$G$44))/((1+$Y$16)^AL$34))</f>
        <v>1038478.8929204543</v>
      </c>
      <c r="AM690" s="193">
        <f>(((P690*'Appendix K'!$C$19*1000)-('Appendix K'!$E$45+'Appendix K'!$F$45+'Appendix K'!$H$45+'Appendix K'!$G$45))/((1+$Y$16)^AM$34))</f>
        <v>1951033.2076591775</v>
      </c>
      <c r="AN690" s="193">
        <f>(((Q690*'Appendix K'!$C$20*1000)-('Appendix K'!$E$46+'Appendix K'!$F$46+'Appendix K'!$H$46+'Appendix K'!$G$46))/((1+$Y$16)^AN$34))</f>
        <v>1266889.7973060436</v>
      </c>
      <c r="AO690" s="193">
        <f>(((R690*'Appendix K'!$C$21*1000)-('Appendix K'!$E$47+'Appendix K'!$F$47+'Appendix K'!$H$47+'Appendix K'!$G$47))/((1+$Y$16)^AO$34))</f>
        <v>428336.10760296858</v>
      </c>
      <c r="AP690" s="193">
        <f>(((S690*'Appendix K'!$C$22*1000)-('Appendix K'!$E$48+'Appendix K'!$F$48+'Appendix K'!$H$48+'Appendix K'!$G$48))/((1+$Y$16)^AP$34))</f>
        <v>42650.145123592891</v>
      </c>
      <c r="AQ690" s="193">
        <f>(((T690*'Appendix K'!$C$23*1000)-('Appendix K'!$E$49+'Appendix K'!$F$49+'Appendix K'!$H$49+'Appendix K'!$G$49))/((1+$Y$16)^AQ$34))</f>
        <v>123288.46004892632</v>
      </c>
      <c r="AR690" s="193">
        <f>(((U690*'Appendix K'!$C$24*1000)-('Appendix K'!$E$50+'Appendix K'!$F$50+'Appendix K'!$H$50+'Appendix K'!$G$50))/((1+$Y$16)^AR$34))</f>
        <v>124158.81737689172</v>
      </c>
      <c r="AS690" s="209">
        <f t="shared" si="36"/>
        <v>92849905.700537354</v>
      </c>
      <c r="AU690" s="199">
        <f t="shared" si="35"/>
        <v>6.9998533055135916E-9</v>
      </c>
    </row>
    <row r="691" spans="1:47" x14ac:dyDescent="0.35">
      <c r="A691">
        <v>657</v>
      </c>
      <c r="B691" s="70">
        <v>56</v>
      </c>
      <c r="C691" s="70">
        <v>41.225331802953797</v>
      </c>
      <c r="D691" s="70">
        <v>22.23798218809252</v>
      </c>
      <c r="E691" s="70">
        <v>25.589889553917565</v>
      </c>
      <c r="F691" s="70">
        <v>48.344781769707801</v>
      </c>
      <c r="G691" s="70">
        <v>51.946929049811487</v>
      </c>
      <c r="H691" s="70">
        <v>78.190273066612164</v>
      </c>
      <c r="I691" s="70">
        <v>64.00410158122979</v>
      </c>
      <c r="J691" s="70">
        <v>80.800759035606092</v>
      </c>
      <c r="K691" s="70">
        <v>82.193963595335759</v>
      </c>
      <c r="L691" s="70">
        <v>81.315691193971574</v>
      </c>
      <c r="M691" s="70">
        <v>105.09622390729486</v>
      </c>
      <c r="N691" s="70">
        <v>103.36037772199209</v>
      </c>
      <c r="O691" s="70">
        <v>55.955017137436478</v>
      </c>
      <c r="P691" s="70">
        <v>83.53496541549822</v>
      </c>
      <c r="Q691" s="70">
        <v>104.93550469130538</v>
      </c>
      <c r="R691" s="70">
        <v>130.92622248947131</v>
      </c>
      <c r="S691" s="70">
        <v>103.40295938449552</v>
      </c>
      <c r="T691" s="70">
        <v>113.09883675557511</v>
      </c>
      <c r="U691" s="70">
        <v>91.874756349863034</v>
      </c>
      <c r="V691" s="70">
        <v>68.989170671132342</v>
      </c>
      <c r="X691" s="193">
        <f>((0-('Appendix K'!$I$30))/(1+$Y$16)^0)</f>
        <v>-33594902.4440751</v>
      </c>
      <c r="Y691" s="193">
        <f>(((B691*'Appendix K'!$C$5*1000)-('Appendix K'!$E$31+'Appendix K'!$F$31+'Appendix K'!$H$31+'Appendix K'!$G$31))/((1+$Y$16)^1))</f>
        <v>34971064.972647354</v>
      </c>
      <c r="Z691" s="193">
        <f>+(((C691*'Appendix K'!$C$6*1000)-('Appendix K'!$E$32+'Appendix K'!$F$32+'Appendix K'!$H$32+'Appendix K'!$G$32))/((1+$Y$16)^2))</f>
        <v>6926976.2255050754</v>
      </c>
      <c r="AA691" s="193">
        <f>(((D691*'Appendix K'!$C$7*1000)-('Appendix K'!$E$33+'Appendix K'!$F$33+'Appendix K'!$H$33+'Appendix K'!$G$33))/((1+$Y$16)^3))</f>
        <v>-132337.92020318392</v>
      </c>
      <c r="AB691" s="193">
        <f>(((E691*'Appendix K'!$C$8*1000)-('Appendix K'!$E$34+'Appendix K'!$F$34+'Appendix K'!$H$34+'Appendix K'!$G$34))/((1+$Y$16)^4))</f>
        <v>2315861.6484722644</v>
      </c>
      <c r="AC691" s="193">
        <f>(((F691*'Appendix K'!$C$9*1000)-('Appendix K'!$E$35+'Appendix K'!$F$35+'Appendix K'!$H$35+'Appendix K'!$G$35))/((1+$Y$16)^AC$34))</f>
        <v>9865738.5602988545</v>
      </c>
      <c r="AD691" s="193">
        <f>(((G691*'Appendix K'!$C$10*1000)-('Appendix K'!$E$36+'Appendix K'!$F$36+'Appendix K'!$H$36+'Appendix K'!$G$36))/((1+$Y$16)^AD$34))</f>
        <v>5642188.0293292627</v>
      </c>
      <c r="AE691" s="193">
        <f>(((H691*'Appendix K'!$C$11*1000)-('Appendix K'!$E$37+'Appendix K'!$F$37+'Appendix K'!$H$37+'Appendix K'!$G$37))/((1+$Y$16)^AE$34))</f>
        <v>5578571.4683506722</v>
      </c>
      <c r="AF691" s="193">
        <f>(((I691*'Appendix K'!$C$12*1000)-('Appendix K'!$E$38+'Appendix K'!$F$38+'Appendix K'!$H$38+'Appendix K'!$G$38))/((1+$Y$16)^AF$34))</f>
        <v>2206085.6396317235</v>
      </c>
      <c r="AG691" s="193">
        <f>(((J691*'Appendix K'!$C$13*1000)-('Appendix K'!$E$39+'Appendix K'!$F$39+'Appendix K'!$H$39+'Appendix K'!$G$39))/((1+$Y$16)^AG$34))</f>
        <v>1903420.8099993123</v>
      </c>
      <c r="AH691" s="193">
        <f>(((K691*'Appendix K'!$C$14*1000)-('Appendix K'!$E$40+'Appendix K'!$F$40+'Appendix K'!$H$40+'Appendix K'!$G$40))/((1+$Y$16)^AH$34))</f>
        <v>1137731.8770609072</v>
      </c>
      <c r="AI691" s="193">
        <f>(((L691*'Appendix K'!$C$15*1000)-('Appendix K'!$E$41+'Appendix K'!$F$41+'Appendix K'!$H$41+'Appendix K'!$G$41))/((1+$Y$16)^AI$34))</f>
        <v>614141.82203919289</v>
      </c>
      <c r="AJ691" s="193">
        <f>(((M691*'Appendix K'!$C$16*1000)-('Appendix K'!$E$42+'Appendix K'!$F$42+'Appendix K'!$H$42+'Appendix K'!$G$42))/((1+$Y$16)^AJ$34))</f>
        <v>724773.58072673308</v>
      </c>
      <c r="AK691" s="193">
        <f>(((N691*'Appendix K'!$C$17*1000)-('Appendix K'!$E$43+'Appendix K'!$F$43+'Appendix K'!$H$43))/((1+$Y$16)^AK$34))</f>
        <v>583759.62863591604</v>
      </c>
      <c r="AL691" s="193">
        <f>(((O691*'Appendix K'!$C$18*1000)-('Appendix K'!$E$44+'Appendix K'!$F$44+'Appendix K'!$H$44+'Appendix K'!$G$44))/((1+$Y$16)^AL$34))</f>
        <v>-471337.84265740635</v>
      </c>
      <c r="AM691" s="193">
        <f>(((P691*'Appendix K'!$C$19*1000)-('Appendix K'!$E$45+'Appendix K'!$F$45+'Appendix K'!$H$45+'Appendix K'!$G$45))/((1+$Y$16)^AM$34))</f>
        <v>-252502.75240022008</v>
      </c>
      <c r="AN691" s="193">
        <f>(((Q691*'Appendix K'!$C$20*1000)-('Appendix K'!$E$46+'Appendix K'!$F$46+'Appendix K'!$H$46+'Appendix K'!$G$46))/((1+$Y$16)^AN$34))</f>
        <v>-156372.7673640775</v>
      </c>
      <c r="AO691" s="193">
        <f>(((R691*'Appendix K'!$C$21*1000)-('Appendix K'!$E$47+'Appendix K'!$F$47+'Appendix K'!$H$47+'Appendix K'!$G$47))/((1+$Y$16)^AO$34))</f>
        <v>-69210.485733899404</v>
      </c>
      <c r="AP691" s="193">
        <f>(((S691*'Appendix K'!$C$22*1000)-('Appendix K'!$E$48+'Appendix K'!$F$48+'Appendix K'!$H$48+'Appendix K'!$G$48))/((1+$Y$16)^AP$34))</f>
        <v>-269182.07826570631</v>
      </c>
      <c r="AQ691" s="193">
        <f>(((T691*'Appendix K'!$C$23*1000)-('Appendix K'!$E$49+'Appendix K'!$F$49+'Appendix K'!$H$49+'Appendix K'!$G$49))/((1+$Y$16)^AQ$34))</f>
        <v>-250845.73849523559</v>
      </c>
      <c r="AR691" s="193">
        <f>(((U691*'Appendix K'!$C$24*1000)-('Appendix K'!$E$50+'Appendix K'!$F$50+'Appendix K'!$H$50+'Appendix K'!$G$50))/((1+$Y$16)^AR$34))</f>
        <v>-333449.57963594346</v>
      </c>
      <c r="AS691" s="209">
        <f t="shared" si="36"/>
        <v>38875411.81862215</v>
      </c>
      <c r="AU691" s="199">
        <f t="shared" si="35"/>
        <v>4.8613466255458049E-9</v>
      </c>
    </row>
    <row r="692" spans="1:47" x14ac:dyDescent="0.35">
      <c r="A692">
        <v>658</v>
      </c>
      <c r="B692" s="70">
        <v>56</v>
      </c>
      <c r="C692" s="70">
        <v>59.917578959409859</v>
      </c>
      <c r="D692" s="70">
        <v>40.965736856758568</v>
      </c>
      <c r="E692" s="70">
        <v>49.649059427162229</v>
      </c>
      <c r="F692" s="70">
        <v>49.631673774435079</v>
      </c>
      <c r="G692" s="70">
        <v>72.552677171227444</v>
      </c>
      <c r="H692" s="70">
        <v>75.767010166753479</v>
      </c>
      <c r="I692" s="70">
        <v>85.598922242729259</v>
      </c>
      <c r="J692" s="70">
        <v>57.992331704839046</v>
      </c>
      <c r="K692" s="70">
        <v>62.720799667378593</v>
      </c>
      <c r="L692" s="70">
        <v>46.441947669081372</v>
      </c>
      <c r="M692" s="70">
        <v>60.177532621135867</v>
      </c>
      <c r="N692" s="70">
        <v>69.38843534645828</v>
      </c>
      <c r="O692" s="70">
        <v>95.555903253982166</v>
      </c>
      <c r="P692" s="70">
        <v>84.835129793864866</v>
      </c>
      <c r="Q692" s="70">
        <v>117.89727214330787</v>
      </c>
      <c r="R692" s="70">
        <v>157.80818461361699</v>
      </c>
      <c r="S692" s="70">
        <v>251.72606471385421</v>
      </c>
      <c r="T692" s="70">
        <v>279.57382109156799</v>
      </c>
      <c r="U692" s="70">
        <v>299.99132311483891</v>
      </c>
      <c r="V692" s="70">
        <v>118.2812050039845</v>
      </c>
      <c r="X692" s="193">
        <f>((0-('Appendix K'!$I$30))/(1+$Y$16)^0)</f>
        <v>-33594902.4440751</v>
      </c>
      <c r="Y692" s="193">
        <f>(((B692*'Appendix K'!$C$5*1000)-('Appendix K'!$E$31+'Appendix K'!$F$31+'Appendix K'!$H$31+'Appendix K'!$G$31))/((1+$Y$16)^1))</f>
        <v>34971064.972647354</v>
      </c>
      <c r="Z692" s="193">
        <f>+(((C692*'Appendix K'!$C$6*1000)-('Appendix K'!$E$32+'Appendix K'!$F$32+'Appendix K'!$H$32+'Appendix K'!$G$32))/((1+$Y$16)^2))</f>
        <v>11648957.553048436</v>
      </c>
      <c r="AA692" s="193">
        <f>(((D692*'Appendix K'!$C$7*1000)-('Appendix K'!$E$33+'Appendix K'!$F$33+'Appendix K'!$H$33+'Appendix K'!$G$33))/((1+$Y$16)^3))</f>
        <v>2253107.4402787825</v>
      </c>
      <c r="AB692" s="193">
        <f>(((E692*'Appendix K'!$C$8*1000)-('Appendix K'!$E$34+'Appendix K'!$F$34+'Appendix K'!$H$34+'Appendix K'!$G$34))/((1+$Y$16)^4))</f>
        <v>7589411.4441855308</v>
      </c>
      <c r="AC692" s="193">
        <f>(((F692*'Appendix K'!$C$9*1000)-('Appendix K'!$E$35+'Appendix K'!$F$35+'Appendix K'!$H$35+'Appendix K'!$G$35))/((1+$Y$16)^AC$34))</f>
        <v>10207792.434372289</v>
      </c>
      <c r="AD692" s="193">
        <f>(((G692*'Appendix K'!$C$10*1000)-('Appendix K'!$E$36+'Appendix K'!$F$36+'Appendix K'!$H$36+'Appendix K'!$G$36))/((1+$Y$16)^AD$34))</f>
        <v>8878196.1382663734</v>
      </c>
      <c r="AE692" s="193">
        <f>(((H692*'Appendix K'!$C$11*1000)-('Appendix K'!$E$37+'Appendix K'!$F$37+'Appendix K'!$H$37+'Appendix K'!$G$37))/((1+$Y$16)^AE$34))</f>
        <v>5336880.9726713477</v>
      </c>
      <c r="AF692" s="193">
        <f>(((I692*'Appendix K'!$C$12*1000)-('Appendix K'!$E$38+'Appendix K'!$F$38+'Appendix K'!$H$38+'Appendix K'!$G$38))/((1+$Y$16)^AF$34))</f>
        <v>3624053.9757385524</v>
      </c>
      <c r="AG692" s="193">
        <f>(((J692*'Appendix K'!$C$13*1000)-('Appendix K'!$E$39+'Appendix K'!$F$39+'Appendix K'!$H$39+'Appendix K'!$G$39))/((1+$Y$16)^AG$34))</f>
        <v>853801.33082420018</v>
      </c>
      <c r="AH692" s="193">
        <f>(((K692*'Appendix K'!$C$14*1000)-('Appendix K'!$E$40+'Appendix K'!$F$40+'Appendix K'!$H$40+'Appendix K'!$G$40))/((1+$Y$16)^AH$34))</f>
        <v>481359.15609622357</v>
      </c>
      <c r="AI692" s="193">
        <f>(((L692*'Appendix K'!$C$15*1000)-('Appendix K'!$E$41+'Appendix K'!$F$41+'Appendix K'!$H$41+'Appendix K'!$G$41))/((1+$Y$16)^AI$34))</f>
        <v>-299615.47253310116</v>
      </c>
      <c r="AJ692" s="193">
        <f>(((M692*'Appendix K'!$C$16*1000)-('Appendix K'!$E$42+'Appendix K'!$F$42+'Appendix K'!$H$42+'Appendix K'!$G$42))/((1+$Y$16)^AJ$34))</f>
        <v>-175480.85485397029</v>
      </c>
      <c r="AK692" s="193">
        <f>(((N692*'Appendix K'!$C$17*1000)-('Appendix K'!$E$43+'Appendix K'!$F$43+'Appendix K'!$H$43))/((1+$Y$16)^AK$34))</f>
        <v>61818.189372045592</v>
      </c>
      <c r="AL692" s="193">
        <f>(((O692*'Appendix K'!$C$18*1000)-('Appendix K'!$E$44+'Appendix K'!$F$44+'Appendix K'!$H$44+'Appendix K'!$G$44))/((1+$Y$16)^AL$34))</f>
        <v>-1936.8868730574038</v>
      </c>
      <c r="AM692" s="193">
        <f>(((P692*'Appendix K'!$C$19*1000)-('Appendix K'!$E$45+'Appendix K'!$F$45+'Appendix K'!$H$45+'Appendix K'!$G$45))/((1+$Y$16)^AM$34))</f>
        <v>-240451.8774912729</v>
      </c>
      <c r="AN692" s="193">
        <f>(((Q692*'Appendix K'!$C$20*1000)-('Appendix K'!$E$46+'Appendix K'!$F$46+'Appendix K'!$H$46+'Appendix K'!$G$46))/((1+$Y$16)^AN$34))</f>
        <v>-62578.606792173661</v>
      </c>
      <c r="AO692" s="193">
        <f>(((R692*'Appendix K'!$C$21*1000)-('Appendix K'!$E$47+'Appendix K'!$F$47+'Appendix K'!$H$47+'Appendix K'!$G$47))/((1+$Y$16)^AO$34))</f>
        <v>89664.880340058735</v>
      </c>
      <c r="AP692" s="193">
        <f>(((S692*'Appendix K'!$C$22*1000)-('Appendix K'!$E$48+'Appendix K'!$F$48+'Appendix K'!$H$48+'Appendix K'!$G$48))/((1+$Y$16)^AP$34))</f>
        <v>441243.96814906533</v>
      </c>
      <c r="AQ692" s="193">
        <f>(((T692*'Appendix K'!$C$23*1000)-('Appendix K'!$E$49+'Appendix K'!$F$49+'Appendix K'!$H$49+'Appendix K'!$G$49))/((1+$Y$16)^AQ$34))</f>
        <v>400694.73150684516</v>
      </c>
      <c r="AR692" s="193">
        <f>(((U692*'Appendix K'!$C$24*1000)-('Appendix K'!$E$50+'Appendix K'!$F$50+'Appendix K'!$H$50+'Appendix K'!$G$50))/((1+$Y$16)^AR$34))</f>
        <v>336691.59653592913</v>
      </c>
      <c r="AS692" s="209">
        <f t="shared" si="36"/>
        <v>53579836.33995793</v>
      </c>
      <c r="AU692" s="199">
        <f t="shared" si="35"/>
        <v>5.8725157782629113E-9</v>
      </c>
    </row>
    <row r="693" spans="1:47" x14ac:dyDescent="0.35">
      <c r="A693">
        <v>659</v>
      </c>
      <c r="B693" s="70">
        <v>56</v>
      </c>
      <c r="C693" s="70">
        <v>60.840883033087898</v>
      </c>
      <c r="D693" s="70">
        <v>55.58846188117306</v>
      </c>
      <c r="E693" s="70">
        <v>60.752329846904075</v>
      </c>
      <c r="F693" s="70">
        <v>45.627175377323823</v>
      </c>
      <c r="G693" s="70">
        <v>54.209029287726452</v>
      </c>
      <c r="H693" s="70">
        <v>71.41905095078107</v>
      </c>
      <c r="I693" s="70">
        <v>54.843277709051009</v>
      </c>
      <c r="J693" s="70">
        <v>78.487860807639521</v>
      </c>
      <c r="K693" s="70">
        <v>106.09204053350838</v>
      </c>
      <c r="L693" s="70">
        <v>125.97771674873303</v>
      </c>
      <c r="M693" s="70">
        <v>149.85749157005699</v>
      </c>
      <c r="N693" s="70">
        <v>70.85457892970409</v>
      </c>
      <c r="O693" s="70">
        <v>62.318952610243286</v>
      </c>
      <c r="P693" s="70">
        <v>73.401024634120915</v>
      </c>
      <c r="Q693" s="70">
        <v>67.09043278074391</v>
      </c>
      <c r="R693" s="70">
        <v>84.306518808629647</v>
      </c>
      <c r="S693" s="70">
        <v>65.767678915122787</v>
      </c>
      <c r="T693" s="70">
        <v>83.117986230051997</v>
      </c>
      <c r="U693" s="70">
        <v>94.305034222994834</v>
      </c>
      <c r="V693" s="70">
        <v>151.87311876250777</v>
      </c>
      <c r="X693" s="193">
        <f>((0-('Appendix K'!$I$30))/(1+$Y$16)^0)</f>
        <v>-33594902.4440751</v>
      </c>
      <c r="Y693" s="193">
        <f>(((B693*'Appendix K'!$C$5*1000)-('Appendix K'!$E$31+'Appendix K'!$F$31+'Appendix K'!$H$31+'Appendix K'!$G$31))/((1+$Y$16)^1))</f>
        <v>34971064.972647354</v>
      </c>
      <c r="Z693" s="193">
        <f>+(((C693*'Appendix K'!$C$6*1000)-('Appendix K'!$E$32+'Appendix K'!$F$32+'Appendix K'!$H$32+'Appendix K'!$G$32))/((1+$Y$16)^2))</f>
        <v>11882199.95344365</v>
      </c>
      <c r="AA693" s="193">
        <f>(((D693*'Appendix K'!$C$7*1000)-('Appendix K'!$E$33+'Appendix K'!$F$33+'Appendix K'!$H$33+'Appendix K'!$G$33))/((1+$Y$16)^3))</f>
        <v>4115675.1737964968</v>
      </c>
      <c r="AB693" s="193">
        <f>(((E693*'Appendix K'!$C$8*1000)-('Appendix K'!$E$34+'Appendix K'!$F$34+'Appendix K'!$H$34+'Appendix K'!$G$34))/((1+$Y$16)^4))</f>
        <v>10023146.679535199</v>
      </c>
      <c r="AC693" s="193">
        <f>(((F693*'Appendix K'!$C$9*1000)-('Appendix K'!$E$35+'Appendix K'!$F$35+'Appendix K'!$H$35+'Appendix K'!$G$35))/((1+$Y$16)^AC$34))</f>
        <v>9143403.0486110169</v>
      </c>
      <c r="AD693" s="193">
        <f>(((G693*'Appendix K'!$C$10*1000)-('Appendix K'!$E$36+'Appendix K'!$F$36+'Appendix K'!$H$36+'Appendix K'!$G$36))/((1+$Y$16)^AD$34))</f>
        <v>5997437.1894174311</v>
      </c>
      <c r="AE693" s="193">
        <f>(((H693*'Appendix K'!$C$11*1000)-('Appendix K'!$E$37+'Appendix K'!$F$37+'Appendix K'!$H$37+'Appendix K'!$G$37))/((1+$Y$16)^AE$34))</f>
        <v>4903225.8301925268</v>
      </c>
      <c r="AF693" s="193">
        <f>(((I693*'Appendix K'!$C$12*1000)-('Appendix K'!$E$38+'Appendix K'!$F$38+'Appendix K'!$H$38+'Appendix K'!$G$38))/((1+$Y$16)^AF$34))</f>
        <v>1604563.7105073016</v>
      </c>
      <c r="AG693" s="193">
        <f>(((J693*'Appendix K'!$C$13*1000)-('Appendix K'!$E$39+'Appendix K'!$F$39+'Appendix K'!$H$39+'Appendix K'!$G$39))/((1+$Y$16)^AG$34))</f>
        <v>1796983.7024242294</v>
      </c>
      <c r="AH693" s="193">
        <f>(((K693*'Appendix K'!$C$14*1000)-('Appendix K'!$E$40+'Appendix K'!$F$40+'Appendix K'!$H$40+'Appendix K'!$G$40))/((1+$Y$16)^AH$34))</f>
        <v>1943253.0467980781</v>
      </c>
      <c r="AI693" s="193">
        <f>(((L693*'Appendix K'!$C$15*1000)-('Appendix K'!$E$41+'Appendix K'!$F$41+'Appendix K'!$H$41+'Appendix K'!$G$41))/((1+$Y$16)^AI$34))</f>
        <v>1784370.409971264</v>
      </c>
      <c r="AJ693" s="193">
        <f>(((M693*'Appendix K'!$C$16*1000)-('Appendix K'!$E$42+'Appendix K'!$F$42+'Appendix K'!$H$42+'Appendix K'!$G$42))/((1+$Y$16)^AJ$34))</f>
        <v>1621872.9529881305</v>
      </c>
      <c r="AK693" s="193">
        <f>(((N693*'Appendix K'!$C$17*1000)-('Appendix K'!$E$43+'Appendix K'!$F$43+'Appendix K'!$H$43))/((1+$Y$16)^AK$34))</f>
        <v>84343.869050518086</v>
      </c>
      <c r="AL693" s="193">
        <f>(((O693*'Appendix K'!$C$18*1000)-('Appendix K'!$E$44+'Appendix K'!$F$44+'Appendix K'!$H$44+'Appendix K'!$G$44))/((1+$Y$16)^AL$34))</f>
        <v>-395904.24289668439</v>
      </c>
      <c r="AM693" s="193">
        <f>(((P693*'Appendix K'!$C$19*1000)-('Appendix K'!$E$45+'Appendix K'!$F$45+'Appendix K'!$H$45+'Appendix K'!$G$45))/((1+$Y$16)^AM$34))</f>
        <v>-346431.53150157974</v>
      </c>
      <c r="AN693" s="193">
        <f>(((Q693*'Appendix K'!$C$20*1000)-('Appendix K'!$E$46+'Appendix K'!$F$46+'Appendix K'!$H$46+'Appendix K'!$G$46))/((1+$Y$16)^AN$34))</f>
        <v>-430227.91596004018</v>
      </c>
      <c r="AO693" s="193">
        <f>(((R693*'Appendix K'!$C$21*1000)-('Appendix K'!$E$47+'Appendix K'!$F$47+'Appendix K'!$H$47+'Appendix K'!$G$47))/((1+$Y$16)^AO$34))</f>
        <v>-344738.08503441204</v>
      </c>
      <c r="AP693" s="193">
        <f>(((S693*'Appendix K'!$C$22*1000)-('Appendix K'!$E$48+'Appendix K'!$F$48+'Appendix K'!$H$48+'Appendix K'!$G$48))/((1+$Y$16)^AP$34))</f>
        <v>-449444.50905959064</v>
      </c>
      <c r="AQ693" s="193">
        <f>(((T693*'Appendix K'!$C$23*1000)-('Appendix K'!$E$49+'Appendix K'!$F$49+'Appendix K'!$H$49+'Appendix K'!$G$49))/((1+$Y$16)^AQ$34))</f>
        <v>-368183.11215755675</v>
      </c>
      <c r="AR693" s="193">
        <f>(((U693*'Appendix K'!$C$24*1000)-('Appendix K'!$E$50+'Appendix K'!$F$50+'Appendix K'!$H$50+'Appendix K'!$G$50))/((1+$Y$16)^AR$34))</f>
        <v>-325624.01679084706</v>
      </c>
      <c r="AS693" s="209">
        <f t="shared" si="36"/>
        <v>56276638.095308103</v>
      </c>
      <c r="AU693" s="199">
        <f t="shared" si="35"/>
        <v>6.0354752149569724E-9</v>
      </c>
    </row>
    <row r="694" spans="1:47" x14ac:dyDescent="0.35">
      <c r="A694">
        <v>660</v>
      </c>
      <c r="B694" s="70">
        <v>56</v>
      </c>
      <c r="C694" s="70">
        <v>78.853200563491271</v>
      </c>
      <c r="D694" s="70">
        <v>35.770186438600177</v>
      </c>
      <c r="E694" s="70">
        <v>57.478689525448402</v>
      </c>
      <c r="F694" s="70">
        <v>85.255151597822447</v>
      </c>
      <c r="G694" s="70">
        <v>99.28100477942057</v>
      </c>
      <c r="H694" s="70">
        <v>127.05681014028558</v>
      </c>
      <c r="I694" s="70">
        <v>114.5600290552869</v>
      </c>
      <c r="J694" s="70">
        <v>111.69408094059159</v>
      </c>
      <c r="K694" s="70">
        <v>134.61907631754147</v>
      </c>
      <c r="L694" s="70">
        <v>98.900220800828507</v>
      </c>
      <c r="M694" s="70">
        <v>104.32256550974056</v>
      </c>
      <c r="N694" s="70">
        <v>116.44751027201995</v>
      </c>
      <c r="O694" s="70">
        <v>131.77919350860967</v>
      </c>
      <c r="P694" s="70">
        <v>169.71336368651893</v>
      </c>
      <c r="Q694" s="70">
        <v>165.29589781239497</v>
      </c>
      <c r="R694" s="70">
        <v>184.60803893507739</v>
      </c>
      <c r="S694" s="70">
        <v>139.19358568975036</v>
      </c>
      <c r="T694" s="70">
        <v>173.99995183538061</v>
      </c>
      <c r="U694" s="70">
        <v>188.05426294137652</v>
      </c>
      <c r="V694" s="70">
        <v>198.39696698873948</v>
      </c>
      <c r="X694" s="193">
        <f>((0-('Appendix K'!$I$30))/(1+$Y$16)^0)</f>
        <v>-33594902.4440751</v>
      </c>
      <c r="Y694" s="193">
        <f>(((B694*'Appendix K'!$C$5*1000)-('Appendix K'!$E$31+'Appendix K'!$F$31+'Appendix K'!$H$31+'Appendix K'!$G$31))/((1+$Y$16)^1))</f>
        <v>34971064.972647354</v>
      </c>
      <c r="Z694" s="193">
        <f>+(((C694*'Appendix K'!$C$6*1000)-('Appendix K'!$E$32+'Appendix K'!$F$32+'Appendix K'!$H$32+'Appendix K'!$G$32))/((1+$Y$16)^2))</f>
        <v>16432419.42852534</v>
      </c>
      <c r="AA694" s="193">
        <f>(((D694*'Appendix K'!$C$7*1000)-('Appendix K'!$E$33+'Appendix K'!$F$33+'Appendix K'!$H$33+'Appendix K'!$G$33))/((1+$Y$16)^3))</f>
        <v>1591324.868933893</v>
      </c>
      <c r="AB694" s="193">
        <f>(((E694*'Appendix K'!$C$8*1000)-('Appendix K'!$E$34+'Appendix K'!$F$34+'Appendix K'!$H$34+'Appendix K'!$G$34))/((1+$Y$16)^4))</f>
        <v>9305594.6883648969</v>
      </c>
      <c r="AC694" s="193">
        <f>(((F694*'Appendix K'!$C$9*1000)-('Appendix K'!$E$35+'Appendix K'!$F$35+'Appendix K'!$H$35+'Appendix K'!$G$35))/((1+$Y$16)^AC$34))</f>
        <v>19676456.900930237</v>
      </c>
      <c r="AD694" s="193">
        <f>(((G694*'Appendix K'!$C$10*1000)-('Appendix K'!$E$36+'Appendix K'!$F$36+'Appendix K'!$H$36+'Appendix K'!$G$36))/((1+$Y$16)^AD$34))</f>
        <v>13075718.32327972</v>
      </c>
      <c r="AE694" s="193">
        <f>(((H694*'Appendix K'!$C$11*1000)-('Appendix K'!$E$37+'Appendix K'!$F$37+'Appendix K'!$H$37+'Appendix K'!$G$37))/((1+$Y$16)^AE$34))</f>
        <v>10452404.005528955</v>
      </c>
      <c r="AF694" s="193">
        <f>(((I694*'Appendix K'!$C$12*1000)-('Appendix K'!$E$38+'Appendix K'!$F$38+'Appendix K'!$H$38+'Appendix K'!$G$38))/((1+$Y$16)^AF$34))</f>
        <v>5525710.53878792</v>
      </c>
      <c r="AG694" s="193">
        <f>(((J694*'Appendix K'!$C$13*1000)-('Appendix K'!$E$39+'Appendix K'!$F$39+'Appendix K'!$H$39+'Appendix K'!$G$39))/((1+$Y$16)^AG$34))</f>
        <v>3325098.507354585</v>
      </c>
      <c r="AH694" s="193">
        <f>(((K694*'Appendix K'!$C$14*1000)-('Appendix K'!$E$40+'Appendix K'!$F$40+'Appendix K'!$H$40+'Appendix K'!$G$40))/((1+$Y$16)^AH$34))</f>
        <v>2904800.3417263855</v>
      </c>
      <c r="AI694" s="193">
        <f>(((L694*'Appendix K'!$C$15*1000)-('Appendix K'!$E$41+'Appendix K'!$F$41+'Appendix K'!$H$41+'Appendix K'!$G$41))/((1+$Y$16)^AI$34))</f>
        <v>1074889.3809704524</v>
      </c>
      <c r="AJ694" s="193">
        <f>(((M694*'Appendix K'!$C$16*1000)-('Appendix K'!$E$42+'Appendix K'!$F$42+'Appendix K'!$H$42+'Appendix K'!$G$42))/((1+$Y$16)^AJ$34))</f>
        <v>709268.02203657781</v>
      </c>
      <c r="AK694" s="193">
        <f>(((N694*'Appendix K'!$C$17*1000)-('Appendix K'!$E$43+'Appendix K'!$F$43+'Appendix K'!$H$43))/((1+$Y$16)^AK$34))</f>
        <v>784828.99121431203</v>
      </c>
      <c r="AL694" s="193">
        <f>(((O694*'Appendix K'!$C$18*1000)-('Appendix K'!$E$44+'Appendix K'!$F$44+'Appendix K'!$H$44+'Appendix K'!$G$44))/((1+$Y$16)^AL$34))</f>
        <v>427428.43129521183</v>
      </c>
      <c r="AM694" s="193">
        <f>(((P694*'Appendix K'!$C$19*1000)-('Appendix K'!$E$45+'Appendix K'!$F$45+'Appendix K'!$H$45+'Appendix K'!$G$45))/((1+$Y$16)^AM$34))</f>
        <v>546261.70746151917</v>
      </c>
      <c r="AN694" s="193">
        <f>(((Q694*'Appendix K'!$C$20*1000)-('Appendix K'!$E$46+'Appendix K'!$F$46+'Appendix K'!$H$46+'Appendix K'!$G$46))/((1+$Y$16)^AN$34))</f>
        <v>280408.1288792101</v>
      </c>
      <c r="AO694" s="193">
        <f>(((R694*'Appendix K'!$C$21*1000)-('Appendix K'!$E$47+'Appendix K'!$F$47+'Appendix K'!$H$47+'Appendix K'!$G$47))/((1+$Y$16)^AO$34))</f>
        <v>248054.98022887352</v>
      </c>
      <c r="AP694" s="193">
        <f>(((S694*'Appendix K'!$C$22*1000)-('Appendix K'!$E$48+'Appendix K'!$F$48+'Appendix K'!$H$48+'Appendix K'!$G$48))/((1+$Y$16)^AP$34))</f>
        <v>-97755.023200416545</v>
      </c>
      <c r="AQ694" s="193">
        <f>(((T694*'Appendix K'!$C$23*1000)-('Appendix K'!$E$49+'Appendix K'!$F$49+'Appendix K'!$H$49+'Appendix K'!$G$49))/((1+$Y$16)^AQ$34))</f>
        <v>-12494.36515818871</v>
      </c>
      <c r="AR694" s="193">
        <f>(((U694*'Appendix K'!$C$24*1000)-('Appendix K'!$E$50+'Appendix K'!$F$50+'Appendix K'!$H$50+'Appendix K'!$G$50))/((1+$Y$16)^AR$34))</f>
        <v>-23748.873571277469</v>
      </c>
      <c r="AS694" s="209">
        <f t="shared" si="36"/>
        <v>87736829.77409035</v>
      </c>
      <c r="AU694" s="199">
        <f t="shared" si="35"/>
        <v>7.0296580211274825E-9</v>
      </c>
    </row>
    <row r="695" spans="1:47" x14ac:dyDescent="0.35">
      <c r="A695">
        <v>661</v>
      </c>
      <c r="B695" s="70">
        <v>56</v>
      </c>
      <c r="C695" s="70">
        <v>81.225001423850131</v>
      </c>
      <c r="D695" s="70">
        <v>82.291758840744407</v>
      </c>
      <c r="E695" s="70">
        <v>61.673874990512957</v>
      </c>
      <c r="F695" s="70">
        <v>78.687275143175299</v>
      </c>
      <c r="G695" s="70">
        <v>83.396534415903858</v>
      </c>
      <c r="H695" s="70">
        <v>93.151020333295321</v>
      </c>
      <c r="I695" s="70">
        <v>95.981019969559469</v>
      </c>
      <c r="J695" s="70">
        <v>58.539071704209462</v>
      </c>
      <c r="K695" s="70">
        <v>58.835258686333319</v>
      </c>
      <c r="L695" s="70">
        <v>46.394034222766592</v>
      </c>
      <c r="M695" s="70">
        <v>58.734701780163455</v>
      </c>
      <c r="N695" s="70">
        <v>49.93600345936909</v>
      </c>
      <c r="O695" s="70">
        <v>73.665122171787459</v>
      </c>
      <c r="P695" s="70">
        <v>58.562429366275332</v>
      </c>
      <c r="Q695" s="70">
        <v>78.696759567155837</v>
      </c>
      <c r="R695" s="70">
        <v>97.589047841982861</v>
      </c>
      <c r="S695" s="70">
        <v>125.10755334914676</v>
      </c>
      <c r="T695" s="70">
        <v>121.24781534699291</v>
      </c>
      <c r="U695" s="70">
        <v>152.60178313963488</v>
      </c>
      <c r="V695" s="70">
        <v>162.19882190190941</v>
      </c>
      <c r="X695" s="193">
        <f>((0-('Appendix K'!$I$30))/(1+$Y$16)^0)</f>
        <v>-33594902.4440751</v>
      </c>
      <c r="Y695" s="193">
        <f>(((B695*'Appendix K'!$C$5*1000)-('Appendix K'!$E$31+'Appendix K'!$F$31+'Appendix K'!$H$31+'Appendix K'!$G$31))/((1+$Y$16)^1))</f>
        <v>34971064.972647354</v>
      </c>
      <c r="Z695" s="193">
        <f>+(((C695*'Appendix K'!$C$6*1000)-('Appendix K'!$E$32+'Appendix K'!$F$32+'Appendix K'!$H$32+'Appendix K'!$G$32))/((1+$Y$16)^2))</f>
        <v>17031576.891056407</v>
      </c>
      <c r="AA695" s="193">
        <f>(((D695*'Appendix K'!$C$7*1000)-('Appendix K'!$E$33+'Appendix K'!$F$33+'Appendix K'!$H$33+'Appendix K'!$G$33))/((1+$Y$16)^3))</f>
        <v>7517004.2155720582</v>
      </c>
      <c r="AB695" s="193">
        <f>(((E695*'Appendix K'!$C$8*1000)-('Appendix K'!$E$34+'Appendix K'!$F$34+'Appendix K'!$H$34+'Appendix K'!$G$34))/((1+$Y$16)^4))</f>
        <v>10225140.939080438</v>
      </c>
      <c r="AC695" s="193">
        <f>(((F695*'Appendix K'!$C$9*1000)-('Appendix K'!$E$35+'Appendix K'!$F$35+'Appendix K'!$H$35+'Appendix K'!$G$35))/((1+$Y$16)^AC$34))</f>
        <v>17930725.652701803</v>
      </c>
      <c r="AD695" s="193">
        <f>(((G695*'Appendix K'!$C$10*1000)-('Appendix K'!$E$36+'Appendix K'!$F$36+'Appendix K'!$H$36+'Appendix K'!$G$36))/((1+$Y$16)^AD$34))</f>
        <v>10581158.329649214</v>
      </c>
      <c r="AE695" s="193">
        <f>(((H695*'Appendix K'!$C$11*1000)-('Appendix K'!$E$37+'Appendix K'!$F$37+'Appendix K'!$H$37+'Appendix K'!$G$37))/((1+$Y$16)^AE$34))</f>
        <v>7070720.9263515482</v>
      </c>
      <c r="AF695" s="193">
        <f>(((I695*'Appendix K'!$C$12*1000)-('Appendix K'!$E$38+'Appendix K'!$F$38+'Appendix K'!$H$38+'Appendix K'!$G$38))/((1+$Y$16)^AF$34))</f>
        <v>4305767.7102387091</v>
      </c>
      <c r="AG695" s="193">
        <f>(((J695*'Appendix K'!$C$13*1000)-('Appendix K'!$E$39+'Appendix K'!$F$39+'Appendix K'!$H$39+'Appendix K'!$G$39))/((1+$Y$16)^AG$34))</f>
        <v>878961.72198406165</v>
      </c>
      <c r="AH695" s="193">
        <f>(((K695*'Appendix K'!$C$14*1000)-('Appendix K'!$E$40+'Appendix K'!$F$40+'Appendix K'!$H$40+'Appendix K'!$G$40))/((1+$Y$16)^AH$34))</f>
        <v>350391.06505648373</v>
      </c>
      <c r="AI695" s="193">
        <f>(((L695*'Appendix K'!$C$15*1000)-('Appendix K'!$E$41+'Appendix K'!$F$41+'Appendix K'!$H$41+'Appendix K'!$G$41))/((1+$Y$16)^AI$34))</f>
        <v>-300870.89442513225</v>
      </c>
      <c r="AJ695" s="193">
        <f>(((M695*'Appendix K'!$C$16*1000)-('Appendix K'!$E$42+'Appendix K'!$F$42+'Appendix K'!$H$42+'Appendix K'!$G$42))/((1+$Y$16)^AJ$34))</f>
        <v>-204397.87864042001</v>
      </c>
      <c r="AK695" s="193">
        <f>(((N695*'Appendix K'!$C$17*1000)-('Appendix K'!$E$43+'Appendix K'!$F$43+'Appendix K'!$H$43))/((1+$Y$16)^AK$34))</f>
        <v>-237046.97953986909</v>
      </c>
      <c r="AL695" s="193">
        <f>(((O695*'Appendix K'!$C$18*1000)-('Appendix K'!$E$44+'Appendix K'!$F$44+'Appendix K'!$H$44+'Appendix K'!$G$44))/((1+$Y$16)^AL$34))</f>
        <v>-261414.75644918549</v>
      </c>
      <c r="AM695" s="193">
        <f>(((P695*'Appendix K'!$C$19*1000)-('Appendix K'!$E$45+'Appendix K'!$F$45+'Appendix K'!$H$45+'Appendix K'!$G$45))/((1+$Y$16)^AM$34))</f>
        <v>-483966.49121332576</v>
      </c>
      <c r="AN695" s="193">
        <f>(((Q695*'Appendix K'!$C$20*1000)-('Appendix K'!$E$46+'Appendix K'!$F$46+'Appendix K'!$H$46+'Appendix K'!$G$46))/((1+$Y$16)^AN$34))</f>
        <v>-346242.0180270751</v>
      </c>
      <c r="AO695" s="193">
        <f>(((R695*'Appendix K'!$C$21*1000)-('Appendix K'!$E$47+'Appendix K'!$F$47+'Appendix K'!$H$47+'Appendix K'!$G$47))/((1+$Y$16)^AO$34))</f>
        <v>-266236.87099295249</v>
      </c>
      <c r="AP695" s="193">
        <f>(((S695*'Appendix K'!$C$22*1000)-('Appendix K'!$E$48+'Appendix K'!$F$48+'Appendix K'!$H$48+'Appendix K'!$G$48))/((1+$Y$16)^AP$34))</f>
        <v>-165223.16474980241</v>
      </c>
      <c r="AQ695" s="193">
        <f>(((T695*'Appendix K'!$C$23*1000)-('Appendix K'!$E$49+'Appendix K'!$F$49+'Appendix K'!$H$49+'Appendix K'!$G$49))/((1+$Y$16)^AQ$34))</f>
        <v>-218952.72248044852</v>
      </c>
      <c r="AR695" s="193">
        <f>(((U695*'Appendix K'!$C$24*1000)-('Appendix K'!$E$50+'Appendix K'!$F$50+'Appendix K'!$H$50+'Appendix K'!$G$50))/((1+$Y$16)^AR$34))</f>
        <v>-137906.85187090308</v>
      </c>
      <c r="AS695" s="209">
        <f t="shared" si="36"/>
        <v>77267609.980262965</v>
      </c>
      <c r="AU695" s="199">
        <f t="shared" si="35"/>
        <v>6.9137474535651034E-9</v>
      </c>
    </row>
    <row r="696" spans="1:47" x14ac:dyDescent="0.35">
      <c r="A696">
        <v>662</v>
      </c>
      <c r="B696" s="70">
        <v>56</v>
      </c>
      <c r="C696" s="70">
        <v>55.806120141025687</v>
      </c>
      <c r="D696" s="70">
        <v>65.362719021391968</v>
      </c>
      <c r="E696" s="70">
        <v>71.740818690838125</v>
      </c>
      <c r="F696" s="70">
        <v>79.187190996106565</v>
      </c>
      <c r="G696" s="70">
        <v>67.548475574255946</v>
      </c>
      <c r="H696" s="70">
        <v>44.505405495208677</v>
      </c>
      <c r="I696" s="70">
        <v>35.828797105760316</v>
      </c>
      <c r="J696" s="70">
        <v>35.75919262315935</v>
      </c>
      <c r="K696" s="70">
        <v>47.298857099568451</v>
      </c>
      <c r="L696" s="70">
        <v>41.050403339028186</v>
      </c>
      <c r="M696" s="70">
        <v>29.969867919393344</v>
      </c>
      <c r="N696" s="70">
        <v>42.938651862166111</v>
      </c>
      <c r="O696" s="70">
        <v>52.182367520931095</v>
      </c>
      <c r="P696" s="70">
        <v>35.08667936975656</v>
      </c>
      <c r="Q696" s="70">
        <v>44.011977596817502</v>
      </c>
      <c r="R696" s="70">
        <v>68.069904007482805</v>
      </c>
      <c r="S696" s="70">
        <v>85.292244452808305</v>
      </c>
      <c r="T696" s="70">
        <v>67.413908295828264</v>
      </c>
      <c r="U696" s="70">
        <v>70.142233516499303</v>
      </c>
      <c r="V696" s="70">
        <v>66.798603520296425</v>
      </c>
      <c r="X696" s="193">
        <f>((0-('Appendix K'!$I$30))/(1+$Y$16)^0)</f>
        <v>-33594902.4440751</v>
      </c>
      <c r="Y696" s="193">
        <f>(((B696*'Appendix K'!$C$5*1000)-('Appendix K'!$E$31+'Appendix K'!$F$31+'Appendix K'!$H$31+'Appendix K'!$G$31))/((1+$Y$16)^1))</f>
        <v>34971064.972647354</v>
      </c>
      <c r="Z696" s="193">
        <f>+(((C696*'Appendix K'!$C$6*1000)-('Appendix K'!$E$32+'Appendix K'!$F$32+'Appendix K'!$H$32+'Appendix K'!$G$32))/((1+$Y$16)^2))</f>
        <v>10610332.736734251</v>
      </c>
      <c r="AA696" s="193">
        <f>(((D696*'Appendix K'!$C$7*1000)-('Appendix K'!$E$33+'Appendix K'!$F$33+'Appendix K'!$H$33+'Appendix K'!$G$33))/((1+$Y$16)^3))</f>
        <v>5360669.929430685</v>
      </c>
      <c r="AB696" s="193">
        <f>(((E696*'Appendix K'!$C$8*1000)-('Appendix K'!$E$34+'Appendix K'!$F$34+'Appendix K'!$H$34+'Appendix K'!$G$34))/((1+$Y$16)^4))</f>
        <v>12431722.844191993</v>
      </c>
      <c r="AC696" s="193">
        <f>(((F696*'Appendix K'!$C$9*1000)-('Appendix K'!$E$35+'Appendix K'!$F$35+'Appendix K'!$H$35+'Appendix K'!$G$35))/((1+$Y$16)^AC$34))</f>
        <v>18063602.501402173</v>
      </c>
      <c r="AD696" s="193">
        <f>(((G696*'Appendix K'!$C$10*1000)-('Appendix K'!$E$36+'Appendix K'!$F$36+'Appendix K'!$H$36+'Appendix K'!$G$36))/((1+$Y$16)^AD$34))</f>
        <v>8092316.5452936981</v>
      </c>
      <c r="AE696" s="193">
        <f>(((H696*'Appendix K'!$C$11*1000)-('Appendix K'!$E$37+'Appendix K'!$F$37+'Appendix K'!$H$37+'Appendix K'!$G$37))/((1+$Y$16)^AE$34))</f>
        <v>2218922.6491079461</v>
      </c>
      <c r="AF696" s="193">
        <f>(((I696*'Appendix K'!$C$12*1000)-('Appendix K'!$E$38+'Appendix K'!$F$38+'Appendix K'!$H$38+'Appendix K'!$G$38))/((1+$Y$16)^AF$34))</f>
        <v>356026.76520851371</v>
      </c>
      <c r="AG696" s="193">
        <f>(((J696*'Appendix K'!$C$13*1000)-('Appendix K'!$E$39+'Appendix K'!$F$39+'Appendix K'!$H$39+'Appendix K'!$G$39))/((1+$Y$16)^AG$34))</f>
        <v>-169343.9972125694</v>
      </c>
      <c r="AH696" s="193">
        <f>(((K696*'Appendix K'!$C$14*1000)-('Appendix K'!$E$40+'Appendix K'!$F$40+'Appendix K'!$H$40+'Appendix K'!$G$40))/((1+$Y$16)^AH$34))</f>
        <v>-38460.963697557301</v>
      </c>
      <c r="AI696" s="193">
        <f>(((L696*'Appendix K'!$C$15*1000)-('Appendix K'!$E$41+'Appendix K'!$F$41+'Appendix K'!$H$41+'Appendix K'!$G$41))/((1+$Y$16)^AI$34))</f>
        <v>-440884.01621783013</v>
      </c>
      <c r="AJ696" s="193">
        <f>(((M696*'Appendix K'!$C$16*1000)-('Appendix K'!$E$42+'Appendix K'!$F$42+'Appendix K'!$H$42+'Appendix K'!$G$42))/((1+$Y$16)^AJ$34))</f>
        <v>-780898.85252074455</v>
      </c>
      <c r="AK696" s="193">
        <f>(((N696*'Appendix K'!$C$17*1000)-('Appendix K'!$E$43+'Appendix K'!$F$43+'Appendix K'!$H$43))/((1+$Y$16)^AK$34))</f>
        <v>-344553.57198922342</v>
      </c>
      <c r="AL696" s="193">
        <f>(((O696*'Appendix K'!$C$18*1000)-('Appendix K'!$E$44+'Appendix K'!$F$44+'Appendix K'!$H$44+'Appendix K'!$G$44))/((1+$Y$16)^AL$34))</f>
        <v>-516056.16867201513</v>
      </c>
      <c r="AM696" s="193">
        <f>(((P696*'Appendix K'!$C$19*1000)-('Appendix K'!$E$45+'Appendix K'!$F$45+'Appendix K'!$H$45+'Appendix K'!$G$45))/((1+$Y$16)^AM$34))</f>
        <v>-701556.92155350267</v>
      </c>
      <c r="AN696" s="193">
        <f>(((Q696*'Appendix K'!$C$20*1000)-('Appendix K'!$E$46+'Appendix K'!$F$46+'Appendix K'!$H$46+'Appendix K'!$G$46))/((1+$Y$16)^AN$34))</f>
        <v>-597228.62317750114</v>
      </c>
      <c r="AO696" s="193">
        <f>(((R696*'Appendix K'!$C$21*1000)-('Appendix K'!$E$47+'Appendix K'!$F$47+'Appendix K'!$H$47+'Appendix K'!$G$47))/((1+$Y$16)^AO$34))</f>
        <v>-440698.27233104641</v>
      </c>
      <c r="AP696" s="193">
        <f>(((S696*'Appendix K'!$C$22*1000)-('Appendix K'!$E$48+'Appendix K'!$F$48+'Appendix K'!$H$48+'Appendix K'!$G$48))/((1+$Y$16)^AP$34))</f>
        <v>-355927.31986574706</v>
      </c>
      <c r="AQ696" s="193">
        <f>(((T696*'Appendix K'!$C$23*1000)-('Appendix K'!$E$49+'Appendix K'!$F$49+'Appendix K'!$H$49+'Appendix K'!$G$49))/((1+$Y$16)^AQ$34))</f>
        <v>-429644.85284505086</v>
      </c>
      <c r="AR696" s="193">
        <f>(((U696*'Appendix K'!$C$24*1000)-('Appendix K'!$E$50+'Appendix K'!$F$50+'Appendix K'!$H$50+'Appendix K'!$G$50))/((1+$Y$16)^AR$34))</f>
        <v>-403428.9120798583</v>
      </c>
      <c r="AS696" s="209">
        <f t="shared" si="36"/>
        <v>58509756.49994152</v>
      </c>
      <c r="AU696" s="199">
        <f t="shared" si="35"/>
        <v>6.1632901192242128E-9</v>
      </c>
    </row>
    <row r="697" spans="1:47" x14ac:dyDescent="0.35">
      <c r="A697">
        <v>663</v>
      </c>
      <c r="B697" s="70">
        <v>56</v>
      </c>
      <c r="C697" s="70">
        <v>58.78899544970492</v>
      </c>
      <c r="D697" s="70">
        <v>64.293571508800255</v>
      </c>
      <c r="E697" s="70">
        <v>85.463194358783099</v>
      </c>
      <c r="F697" s="70">
        <v>105.58102693509755</v>
      </c>
      <c r="G697" s="70">
        <v>89.874083239426866</v>
      </c>
      <c r="H697" s="70">
        <v>117.06044848932243</v>
      </c>
      <c r="I697" s="70">
        <v>121.84083247768791</v>
      </c>
      <c r="J697" s="70">
        <v>167.28346081500536</v>
      </c>
      <c r="K697" s="70">
        <v>257.79786364048442</v>
      </c>
      <c r="L697" s="70">
        <v>88.214003661372971</v>
      </c>
      <c r="M697" s="70">
        <v>91.97341408027178</v>
      </c>
      <c r="N697" s="70">
        <v>103.63326511227484</v>
      </c>
      <c r="O697" s="70">
        <v>117.79527486117773</v>
      </c>
      <c r="P697" s="70">
        <v>178.14393850152442</v>
      </c>
      <c r="Q697" s="70">
        <v>109.41925429687161</v>
      </c>
      <c r="R697" s="70">
        <v>97.280090464544131</v>
      </c>
      <c r="S697" s="70">
        <v>138.62070042753348</v>
      </c>
      <c r="T697" s="70">
        <v>175.86881716310432</v>
      </c>
      <c r="U697" s="70">
        <v>129.32489497221695</v>
      </c>
      <c r="V697" s="70">
        <v>184.43248080982295</v>
      </c>
      <c r="X697" s="193">
        <f>((0-('Appendix K'!$I$30))/(1+$Y$16)^0)</f>
        <v>-33594902.4440751</v>
      </c>
      <c r="Y697" s="193">
        <f>(((B697*'Appendix K'!$C$5*1000)-('Appendix K'!$E$31+'Appendix K'!$F$31+'Appendix K'!$H$31+'Appendix K'!$G$31))/((1+$Y$16)^1))</f>
        <v>34971064.972647354</v>
      </c>
      <c r="Z697" s="193">
        <f>+(((C697*'Appendix K'!$C$6*1000)-('Appendix K'!$E$32+'Appendix K'!$F$32+'Appendix K'!$H$32+'Appendix K'!$G$32))/((1+$Y$16)^2))</f>
        <v>11363858.05619316</v>
      </c>
      <c r="AA697" s="193">
        <f>(((D697*'Appendix K'!$C$7*1000)-('Appendix K'!$E$33+'Appendix K'!$F$33+'Appendix K'!$H$33+'Appendix K'!$G$33))/((1+$Y$16)^3))</f>
        <v>5224487.401481946</v>
      </c>
      <c r="AB697" s="193">
        <f>(((E697*'Appendix K'!$C$8*1000)-('Appendix K'!$E$34+'Appendix K'!$F$34+'Appendix K'!$H$34+'Appendix K'!$G$34))/((1+$Y$16)^4))</f>
        <v>15439541.974346898</v>
      </c>
      <c r="AC697" s="193">
        <f>(((F697*'Appendix K'!$C$9*1000)-('Appendix K'!$E$35+'Appendix K'!$F$35+'Appendix K'!$H$35+'Appendix K'!$G$35))/((1+$Y$16)^AC$34))</f>
        <v>25079042.648226108</v>
      </c>
      <c r="AD697" s="193">
        <f>(((G697*'Appendix K'!$C$10*1000)-('Appendix K'!$E$36+'Appendix K'!$F$36+'Appendix K'!$H$36+'Appendix K'!$G$36))/((1+$Y$16)^AD$34))</f>
        <v>11598418.193035144</v>
      </c>
      <c r="AE697" s="193">
        <f>(((H697*'Appendix K'!$C$11*1000)-('Appendix K'!$E$37+'Appendix K'!$F$37+'Appendix K'!$H$37+'Appendix K'!$G$37))/((1+$Y$16)^AE$34))</f>
        <v>9455390.5974699371</v>
      </c>
      <c r="AF697" s="193">
        <f>(((I697*'Appendix K'!$C$12*1000)-('Appendix K'!$E$38+'Appendix K'!$F$38+'Appendix K'!$H$38+'Appendix K'!$G$38))/((1+$Y$16)^AF$34))</f>
        <v>6003785.7622969085</v>
      </c>
      <c r="AG697" s="193">
        <f>(((J697*'Appendix K'!$C$13*1000)-('Appendix K'!$E$39+'Appendix K'!$F$39+'Appendix K'!$H$39+'Appendix K'!$G$39))/((1+$Y$16)^AG$34))</f>
        <v>5883262.4309470933</v>
      </c>
      <c r="AH697" s="193">
        <f>(((K697*'Appendix K'!$C$14*1000)-('Appendix K'!$E$40+'Appendix K'!$F$40+'Appendix K'!$H$40+'Appendix K'!$G$40))/((1+$Y$16)^AH$34))</f>
        <v>7056729.4324179087</v>
      </c>
      <c r="AI697" s="193">
        <f>(((L697*'Appendix K'!$C$15*1000)-('Appendix K'!$E$41+'Appendix K'!$F$41+'Appendix K'!$H$41+'Appendix K'!$G$41))/((1+$Y$16)^AI$34))</f>
        <v>794890.50859267847</v>
      </c>
      <c r="AJ697" s="193">
        <f>(((M697*'Appendix K'!$C$16*1000)-('Appendix K'!$E$42+'Appendix K'!$F$42+'Appendix K'!$H$42+'Appendix K'!$G$42))/((1+$Y$16)^AJ$34))</f>
        <v>461767.97179663001</v>
      </c>
      <c r="AK697" s="193">
        <f>(((N697*'Appendix K'!$C$17*1000)-('Appendix K'!$E$43+'Appendix K'!$F$43+'Appendix K'!$H$43))/((1+$Y$16)^AK$34))</f>
        <v>587952.24251906329</v>
      </c>
      <c r="AL697" s="193">
        <f>(((O697*'Appendix K'!$C$18*1000)-('Appendix K'!$E$44+'Appendix K'!$F$44+'Appendix K'!$H$44+'Appendix K'!$G$44))/((1+$Y$16)^AL$34))</f>
        <v>261672.92876940896</v>
      </c>
      <c r="AM697" s="193">
        <f>(((P697*'Appendix K'!$C$19*1000)-('Appendix K'!$E$45+'Appendix K'!$F$45+'Appendix K'!$H$45+'Appendix K'!$G$45))/((1+$Y$16)^AM$34))</f>
        <v>624402.44427649328</v>
      </c>
      <c r="AN697" s="193">
        <f>(((Q697*'Appendix K'!$C$20*1000)-('Appendix K'!$E$46+'Appendix K'!$F$46+'Appendix K'!$H$46+'Appendix K'!$G$46))/((1+$Y$16)^AN$34))</f>
        <v>-123927.38273378021</v>
      </c>
      <c r="AO697" s="193">
        <f>(((R697*'Appendix K'!$C$21*1000)-('Appendix K'!$E$47+'Appendix K'!$F$47+'Appendix K'!$H$47+'Appendix K'!$G$47))/((1+$Y$16)^AO$34))</f>
        <v>-268062.84322723886</v>
      </c>
      <c r="AP697" s="193">
        <f>(((S697*'Appendix K'!$C$22*1000)-('Appendix K'!$E$48+'Appendix K'!$F$48+'Appendix K'!$H$48+'Appendix K'!$G$48))/((1+$Y$16)^AP$34))</f>
        <v>-100498.98282142288</v>
      </c>
      <c r="AQ697" s="193">
        <f>(((T697*'Appendix K'!$C$23*1000)-('Appendix K'!$E$49+'Appendix K'!$F$49+'Appendix K'!$H$49+'Appendix K'!$G$49))/((1+$Y$16)^AQ$34))</f>
        <v>-5180.1047072721667</v>
      </c>
      <c r="AR697" s="193">
        <f>(((U697*'Appendix K'!$C$24*1000)-('Appendix K'!$E$50+'Appendix K'!$F$50+'Appendix K'!$H$50+'Appendix K'!$G$50))/((1+$Y$16)^AR$34))</f>
        <v>-212859.08396182631</v>
      </c>
      <c r="AS697" s="209">
        <f t="shared" si="36"/>
        <v>101211365.12094164</v>
      </c>
      <c r="AU697" s="199">
        <f t="shared" si="35"/>
        <v>6.8308555153478353E-9</v>
      </c>
    </row>
    <row r="698" spans="1:47" x14ac:dyDescent="0.35">
      <c r="A698">
        <v>664</v>
      </c>
      <c r="B698" s="70">
        <v>56</v>
      </c>
      <c r="C698" s="70">
        <v>29.077827945759772</v>
      </c>
      <c r="D698" s="70">
        <v>41.184728981227877</v>
      </c>
      <c r="E698" s="70">
        <v>42.170529766383588</v>
      </c>
      <c r="F698" s="70">
        <v>52.44132882230975</v>
      </c>
      <c r="G698" s="70">
        <v>56.049573456139782</v>
      </c>
      <c r="H698" s="70">
        <v>56.847757389026349</v>
      </c>
      <c r="I698" s="70">
        <v>54.813117903358574</v>
      </c>
      <c r="J698" s="70">
        <v>49.581536364741979</v>
      </c>
      <c r="K698" s="70">
        <v>64.929032961958924</v>
      </c>
      <c r="L698" s="70">
        <v>54.821897081994862</v>
      </c>
      <c r="M698" s="70">
        <v>53.198903874172544</v>
      </c>
      <c r="N698" s="70">
        <v>48.298739842051411</v>
      </c>
      <c r="O698" s="70">
        <v>45.981420976808323</v>
      </c>
      <c r="P698" s="70">
        <v>36.536437116550545</v>
      </c>
      <c r="Q698" s="70">
        <v>42.836439284580798</v>
      </c>
      <c r="R698" s="70">
        <v>60.649189816738385</v>
      </c>
      <c r="S698" s="70">
        <v>57.875806718170196</v>
      </c>
      <c r="T698" s="70">
        <v>51.050873375875632</v>
      </c>
      <c r="U698" s="70">
        <v>52.788901987555157</v>
      </c>
      <c r="V698" s="70">
        <v>33.631228513175074</v>
      </c>
      <c r="X698" s="193">
        <f>((0-('Appendix K'!$I$30))/(1+$Y$16)^0)</f>
        <v>-33594902.4440751</v>
      </c>
      <c r="Y698" s="193">
        <f>(((B698*'Appendix K'!$C$5*1000)-('Appendix K'!$E$31+'Appendix K'!$F$31+'Appendix K'!$H$31+'Appendix K'!$G$31))/((1+$Y$16)^1))</f>
        <v>34971064.972647354</v>
      </c>
      <c r="Z698" s="193">
        <f>+(((C698*'Appendix K'!$C$6*1000)-('Appendix K'!$E$32+'Appendix K'!$F$32+'Appendix K'!$H$32+'Appendix K'!$G$32))/((1+$Y$16)^2))</f>
        <v>3858308.9909120617</v>
      </c>
      <c r="AA698" s="193">
        <f>(((D698*'Appendix K'!$C$7*1000)-('Appendix K'!$E$33+'Appendix K'!$F$33+'Appendix K'!$H$33+'Appendix K'!$G$33))/((1+$Y$16)^3))</f>
        <v>2281001.5341805699</v>
      </c>
      <c r="AB698" s="193">
        <f>(((E698*'Appendix K'!$C$8*1000)-('Appendix K'!$E$34+'Appendix K'!$F$34+'Appendix K'!$H$34+'Appendix K'!$G$34))/((1+$Y$16)^4))</f>
        <v>5950186.2018926591</v>
      </c>
      <c r="AC698" s="193">
        <f>(((F698*'Appendix K'!$C$9*1000)-('Appendix K'!$E$35+'Appendix K'!$F$35+'Appendix K'!$H$35+'Appendix K'!$G$35))/((1+$Y$16)^AC$34))</f>
        <v>10954594.334147226</v>
      </c>
      <c r="AD698" s="193">
        <f>(((G698*'Appendix K'!$C$10*1000)-('Appendix K'!$E$36+'Appendix K'!$F$36+'Appendix K'!$H$36+'Appendix K'!$G$36))/((1+$Y$16)^AD$34))</f>
        <v>6286483.5185653772</v>
      </c>
      <c r="AE698" s="193">
        <f>(((H698*'Appendix K'!$C$11*1000)-('Appendix K'!$E$37+'Appendix K'!$F$37+'Appendix K'!$H$37+'Appendix K'!$G$37))/((1+$Y$16)^AE$34))</f>
        <v>3449919.561262798</v>
      </c>
      <c r="AF698" s="193">
        <f>(((I698*'Appendix K'!$C$12*1000)-('Appendix K'!$E$38+'Appendix K'!$F$38+'Appendix K'!$H$38+'Appendix K'!$G$38))/((1+$Y$16)^AF$34))</f>
        <v>1602583.34446651</v>
      </c>
      <c r="AG698" s="193">
        <f>(((J698*'Appendix K'!$C$13*1000)-('Appendix K'!$E$39+'Appendix K'!$F$39+'Appendix K'!$H$39+'Appendix K'!$G$39))/((1+$Y$16)^AG$34))</f>
        <v>466745.50727723533</v>
      </c>
      <c r="AH698" s="193">
        <f>(((K698*'Appendix K'!$C$14*1000)-('Appendix K'!$E$40+'Appendix K'!$F$40+'Appendix K'!$H$40+'Appendix K'!$G$40))/((1+$Y$16)^AH$34))</f>
        <v>555791.03072382836</v>
      </c>
      <c r="AI698" s="193">
        <f>(((L698*'Appendix K'!$C$15*1000)-('Appendix K'!$E$41+'Appendix K'!$F$41+'Appendix K'!$H$41+'Appendix K'!$G$41))/((1+$Y$16)^AI$34))</f>
        <v>-80045.127332524629</v>
      </c>
      <c r="AJ698" s="193">
        <f>(((M698*'Appendix K'!$C$16*1000)-('Appendix K'!$E$42+'Appendix K'!$F$42+'Appendix K'!$H$42+'Appendix K'!$G$42))/((1+$Y$16)^AJ$34))</f>
        <v>-315345.60388909205</v>
      </c>
      <c r="AK698" s="193">
        <f>(((N698*'Appendix K'!$C$17*1000)-('Appendix K'!$E$43+'Appendix K'!$F$43+'Appendix K'!$H$43))/((1+$Y$16)^AK$34))</f>
        <v>-262201.72987562261</v>
      </c>
      <c r="AL698" s="193">
        <f>(((O698*'Appendix K'!$C$18*1000)-('Appendix K'!$E$44+'Appendix K'!$F$44+'Appendix K'!$H$44+'Appendix K'!$G$44))/((1+$Y$16)^AL$34))</f>
        <v>-589557.81270120631</v>
      </c>
      <c r="AM698" s="193">
        <f>(((P698*'Appendix K'!$C$19*1000)-('Appendix K'!$E$45+'Appendix K'!$F$45+'Appendix K'!$H$45+'Appendix K'!$G$45))/((1+$Y$16)^AM$34))</f>
        <v>-688119.50583469972</v>
      </c>
      <c r="AN698" s="193">
        <f>(((Q698*'Appendix K'!$C$20*1000)-('Appendix K'!$E$46+'Appendix K'!$F$46+'Appendix K'!$H$46+'Appendix K'!$G$46))/((1+$Y$16)^AN$34))</f>
        <v>-605735.07336839079</v>
      </c>
      <c r="AO698" s="193">
        <f>(((R698*'Appendix K'!$C$21*1000)-('Appendix K'!$E$47+'Appendix K'!$F$47+'Appendix K'!$H$47+'Appendix K'!$G$47))/((1+$Y$16)^AO$34))</f>
        <v>-484555.51303914835</v>
      </c>
      <c r="AP698" s="193">
        <f>(((S698*'Appendix K'!$C$22*1000)-('Appendix K'!$E$48+'Appendix K'!$F$48+'Appendix K'!$H$48+'Appendix K'!$G$48))/((1+$Y$16)^AP$34))</f>
        <v>-487244.36196343845</v>
      </c>
      <c r="AQ698" s="193">
        <f>(((T698*'Appendix K'!$C$23*1000)-('Appendix K'!$E$49+'Appendix K'!$F$49+'Appendix K'!$H$49+'Appendix K'!$G$49))/((1+$Y$16)^AQ$34))</f>
        <v>-493685.58247737313</v>
      </c>
      <c r="AR698" s="193">
        <f>(((U698*'Appendix K'!$C$24*1000)-('Appendix K'!$E$50+'Appendix K'!$F$50+'Appendix K'!$H$50+'Appendix K'!$G$50))/((1+$Y$16)^AR$34))</f>
        <v>-459307.12582360028</v>
      </c>
      <c r="AS698" s="209">
        <f t="shared" si="36"/>
        <v>36781776.552000515</v>
      </c>
      <c r="AU698" s="199">
        <f t="shared" si="35"/>
        <v>4.7065265666020427E-9</v>
      </c>
    </row>
    <row r="699" spans="1:47" x14ac:dyDescent="0.35">
      <c r="A699">
        <v>665</v>
      </c>
      <c r="B699" s="70">
        <v>56</v>
      </c>
      <c r="C699" s="70">
        <v>44.075802239496156</v>
      </c>
      <c r="D699" s="70">
        <v>69.518949740053188</v>
      </c>
      <c r="E699" s="70">
        <v>93.409331696027095</v>
      </c>
      <c r="F699" s="70">
        <v>92.779787987163431</v>
      </c>
      <c r="G699" s="70">
        <v>89.227712663539762</v>
      </c>
      <c r="H699" s="70">
        <v>115.23523376764972</v>
      </c>
      <c r="I699" s="70">
        <v>144.95630889657903</v>
      </c>
      <c r="J699" s="70">
        <v>95.57370898658219</v>
      </c>
      <c r="K699" s="70">
        <v>97.08282312145468</v>
      </c>
      <c r="L699" s="70">
        <v>99.22268652369722</v>
      </c>
      <c r="M699" s="70">
        <v>94.49324419595942</v>
      </c>
      <c r="N699" s="70">
        <v>126.69966939966864</v>
      </c>
      <c r="O699" s="70">
        <v>91.473059422720681</v>
      </c>
      <c r="P699" s="70">
        <v>111.44664855092711</v>
      </c>
      <c r="Q699" s="70">
        <v>134.48239267555539</v>
      </c>
      <c r="R699" s="70">
        <v>146.03405082637533</v>
      </c>
      <c r="S699" s="70">
        <v>215.06186359087928</v>
      </c>
      <c r="T699" s="70">
        <v>271.66471759430453</v>
      </c>
      <c r="U699" s="70">
        <v>294.05089906327612</v>
      </c>
      <c r="V699" s="70">
        <v>181.24861407578703</v>
      </c>
      <c r="X699" s="193">
        <f>((0-('Appendix K'!$I$30))/(1+$Y$16)^0)</f>
        <v>-33594902.4440751</v>
      </c>
      <c r="Y699" s="193">
        <f>(((B699*'Appendix K'!$C$5*1000)-('Appendix K'!$E$31+'Appendix K'!$F$31+'Appendix K'!$H$31+'Appendix K'!$G$31))/((1+$Y$16)^1))</f>
        <v>34971064.972647354</v>
      </c>
      <c r="Z699" s="193">
        <f>+(((C699*'Appendix K'!$C$6*1000)-('Appendix K'!$E$32+'Appendix K'!$F$32+'Appendix K'!$H$32+'Appendix K'!$G$32))/((1+$Y$16)^2))</f>
        <v>7647053.8097252548</v>
      </c>
      <c r="AA699" s="193">
        <f>(((D699*'Appendix K'!$C$7*1000)-('Appendix K'!$E$33+'Appendix K'!$F$33+'Appendix K'!$H$33+'Appendix K'!$G$33))/((1+$Y$16)^3))</f>
        <v>5890069.2867124863</v>
      </c>
      <c r="AB699" s="193">
        <f>(((E699*'Appendix K'!$C$8*1000)-('Appendix K'!$E$34+'Appendix K'!$F$34+'Appendix K'!$H$34+'Appendix K'!$G$34))/((1+$Y$16)^4))</f>
        <v>17181262.538784701</v>
      </c>
      <c r="AC699" s="193">
        <f>(((F699*'Appendix K'!$C$9*1000)-('Appendix K'!$E$35+'Appendix K'!$F$35+'Appendix K'!$H$35+'Appendix K'!$G$35))/((1+$Y$16)^AC$34))</f>
        <v>21676493.437417593</v>
      </c>
      <c r="AD699" s="193">
        <f>(((G699*'Appendix K'!$C$10*1000)-('Appendix K'!$E$36+'Appendix K'!$F$36+'Appendix K'!$H$36+'Appendix K'!$G$36))/((1+$Y$16)^AD$34))</f>
        <v>11496909.603653956</v>
      </c>
      <c r="AE699" s="193">
        <f>(((H699*'Appendix K'!$C$11*1000)-('Appendix K'!$E$37+'Appendix K'!$F$37+'Appendix K'!$H$37+'Appendix K'!$G$37))/((1+$Y$16)^AE$34))</f>
        <v>9273348.0090128612</v>
      </c>
      <c r="AF699" s="193">
        <f>(((I699*'Appendix K'!$C$12*1000)-('Appendix K'!$E$38+'Appendix K'!$F$38+'Appendix K'!$H$38+'Appendix K'!$G$38))/((1+$Y$16)^AF$34))</f>
        <v>7521604.0461249603</v>
      </c>
      <c r="AG699" s="193">
        <f>(((J699*'Appendix K'!$C$13*1000)-('Appendix K'!$E$39+'Appendix K'!$F$39+'Appendix K'!$H$39+'Appendix K'!$G$39))/((1+$Y$16)^AG$34))</f>
        <v>2583256.1975320159</v>
      </c>
      <c r="AH699" s="193">
        <f>(((K699*'Appendix K'!$C$14*1000)-('Appendix K'!$E$40+'Appendix K'!$F$40+'Appendix K'!$H$40+'Appendix K'!$G$40))/((1+$Y$16)^AH$34))</f>
        <v>1639583.6190466709</v>
      </c>
      <c r="AI699" s="193">
        <f>(((L699*'Appendix K'!$C$15*1000)-('Appendix K'!$E$41+'Appendix K'!$F$41+'Appendix K'!$H$41+'Appendix K'!$G$41))/((1+$Y$16)^AI$34))</f>
        <v>1083338.5859234715</v>
      </c>
      <c r="AJ699" s="193">
        <f>(((M699*'Appendix K'!$C$16*1000)-('Appendix K'!$E$42+'Appendix K'!$F$42+'Appendix K'!$H$42+'Appendix K'!$G$42))/((1+$Y$16)^AJ$34))</f>
        <v>512270.0717822687</v>
      </c>
      <c r="AK699" s="193">
        <f>(((N699*'Appendix K'!$C$17*1000)-('Appendix K'!$E$43+'Appendix K'!$F$43+'Appendix K'!$H$43))/((1+$Y$16)^AK$34))</f>
        <v>942342.11282201041</v>
      </c>
      <c r="AL699" s="193">
        <f>(((O699*'Appendix K'!$C$18*1000)-('Appendix K'!$E$44+'Appendix K'!$F$44+'Appendix K'!$H$44+'Appendix K'!$G$44))/((1+$Y$16)^AL$34))</f>
        <v>-50332.03619047752</v>
      </c>
      <c r="AM699" s="193">
        <f>(((P699*'Appendix K'!$C$19*1000)-('Appendix K'!$E$45+'Appendix K'!$F$45+'Appendix K'!$H$45+'Appendix K'!$G$45))/((1+$Y$16)^AM$34))</f>
        <v>6203.1524529685221</v>
      </c>
      <c r="AN699" s="193">
        <f>(((Q699*'Appendix K'!$C$20*1000)-('Appendix K'!$E$46+'Appendix K'!$F$46+'Appendix K'!$H$46+'Appendix K'!$G$46))/((1+$Y$16)^AN$34))</f>
        <v>57434.922540639658</v>
      </c>
      <c r="AO699" s="193">
        <f>(((R699*'Appendix K'!$C$21*1000)-('Appendix K'!$E$47+'Appendix K'!$F$47+'Appendix K'!$H$47+'Appendix K'!$G$47))/((1+$Y$16)^AO$34))</f>
        <v>20078.448850685996</v>
      </c>
      <c r="AP699" s="193">
        <f>(((S699*'Appendix K'!$C$22*1000)-('Appendix K'!$E$48+'Appendix K'!$F$48+'Appendix K'!$H$48+'Appendix K'!$G$48))/((1+$Y$16)^AP$34))</f>
        <v>265632.7348829332</v>
      </c>
      <c r="AQ699" s="193">
        <f>(((T699*'Appendix K'!$C$23*1000)-('Appendix K'!$E$49+'Appendix K'!$F$49+'Appendix K'!$H$49+'Appendix K'!$G$49))/((1+$Y$16)^AQ$34))</f>
        <v>369740.52520097903</v>
      </c>
      <c r="AR699" s="193">
        <f>(((U699*'Appendix K'!$C$24*1000)-('Appendix K'!$E$50+'Appendix K'!$F$50+'Appendix K'!$H$50+'Appendix K'!$G$50))/((1+$Y$16)^AR$34))</f>
        <v>317563.26464599563</v>
      </c>
      <c r="AS699" s="209">
        <f t="shared" si="36"/>
        <v>89860346.895684719</v>
      </c>
      <c r="AU699" s="199">
        <f t="shared" si="35"/>
        <v>7.0241837593545901E-9</v>
      </c>
    </row>
    <row r="700" spans="1:47" x14ac:dyDescent="0.35">
      <c r="A700">
        <v>666</v>
      </c>
      <c r="B700" s="70">
        <v>56</v>
      </c>
      <c r="C700" s="70">
        <v>61.569520723318647</v>
      </c>
      <c r="D700" s="70">
        <v>79.364749007667456</v>
      </c>
      <c r="E700" s="70">
        <v>94.053520320732602</v>
      </c>
      <c r="F700" s="70">
        <v>129.23703505388502</v>
      </c>
      <c r="G700" s="70">
        <v>280.45537197041068</v>
      </c>
      <c r="H700" s="70">
        <v>412.29052506973505</v>
      </c>
      <c r="I700" s="70">
        <v>402.76808610954845</v>
      </c>
      <c r="J700" s="70">
        <v>286.1174603716459</v>
      </c>
      <c r="K700" s="70">
        <v>297.02914654495834</v>
      </c>
      <c r="L700" s="70">
        <v>290.73655900225782</v>
      </c>
      <c r="M700" s="70">
        <v>362.93144964381452</v>
      </c>
      <c r="N700" s="70">
        <v>441.73496076839035</v>
      </c>
      <c r="O700" s="70">
        <v>500</v>
      </c>
      <c r="P700" s="70">
        <v>500</v>
      </c>
      <c r="Q700" s="70">
        <v>500</v>
      </c>
      <c r="R700" s="70">
        <v>500</v>
      </c>
      <c r="S700" s="70">
        <v>427.6303089384856</v>
      </c>
      <c r="T700" s="70">
        <v>500</v>
      </c>
      <c r="U700" s="70">
        <v>500</v>
      </c>
      <c r="V700" s="70">
        <v>500</v>
      </c>
      <c r="X700" s="193">
        <f>((0-('Appendix K'!$I$30))/(1+$Y$16)^0)</f>
        <v>-33594902.4440751</v>
      </c>
      <c r="Y700" s="193">
        <f>(((B700*'Appendix K'!$C$5*1000)-('Appendix K'!$E$31+'Appendix K'!$F$31+'Appendix K'!$H$31+'Appendix K'!$G$31))/((1+$Y$16)^1))</f>
        <v>34971064.972647354</v>
      </c>
      <c r="Z700" s="193">
        <f>+(((C700*'Appendix K'!$C$6*1000)-('Appendix K'!$E$32+'Appendix K'!$F$32+'Appendix K'!$H$32+'Appendix K'!$G$32))/((1+$Y$16)^2))</f>
        <v>12066266.295976769</v>
      </c>
      <c r="AA700" s="193">
        <f>(((D700*'Appendix K'!$C$7*1000)-('Appendix K'!$E$33+'Appendix K'!$F$33+'Appendix K'!$H$33+'Appendix K'!$G$33))/((1+$Y$16)^3))</f>
        <v>7144176.7116919123</v>
      </c>
      <c r="AB700" s="193">
        <f>(((E700*'Appendix K'!$C$8*1000)-('Appendix K'!$E$34+'Appendix K'!$F$34+'Appendix K'!$H$34+'Appendix K'!$G$34))/((1+$Y$16)^4))</f>
        <v>17322462.788340874</v>
      </c>
      <c r="AC700" s="193">
        <f>(((F700*'Appendix K'!$C$9*1000)-('Appendix K'!$E$35+'Appendix K'!$F$35+'Appendix K'!$H$35+'Appendix K'!$G$35))/((1+$Y$16)^AC$34))</f>
        <v>31366772.459601115</v>
      </c>
      <c r="AD700" s="193">
        <f>(((G700*'Appendix K'!$C$10*1000)-('Appendix K'!$E$36+'Appendix K'!$F$36+'Appendix K'!$H$36+'Appendix K'!$G$36))/((1+$Y$16)^AD$34))</f>
        <v>41528056.860421196</v>
      </c>
      <c r="AE700" s="193">
        <f>(((H700*'Appendix K'!$C$11*1000)-('Appendix K'!$E$37+'Appendix K'!$F$37+'Appendix K'!$H$37+'Appendix K'!$G$37))/((1+$Y$16)^AE$34))</f>
        <v>38900938.396813624</v>
      </c>
      <c r="AF700" s="193">
        <f>(((I700*'Appendix K'!$C$12*1000)-('Appendix K'!$E$38+'Appendix K'!$F$38+'Appendix K'!$H$38+'Appendix K'!$G$38))/((1+$Y$16)^AF$34))</f>
        <v>24450151.057176415</v>
      </c>
      <c r="AG700" s="193">
        <f>(((J700*'Appendix K'!$C$13*1000)-('Appendix K'!$E$39+'Appendix K'!$F$39+'Appendix K'!$H$39+'Appendix K'!$G$39))/((1+$Y$16)^AG$34))</f>
        <v>11351876.242592206</v>
      </c>
      <c r="AH700" s="193">
        <f>(((K700*'Appendix K'!$C$14*1000)-('Appendix K'!$E$40+'Appendix K'!$F$40+'Appendix K'!$H$40+'Appendix K'!$G$40))/((1+$Y$16)^AH$34))</f>
        <v>8379079.719315852</v>
      </c>
      <c r="AI700" s="193">
        <f>(((L700*'Appendix K'!$C$15*1000)-('Appendix K'!$E$41+'Appendix K'!$F$41+'Appendix K'!$H$41+'Appendix K'!$G$41))/((1+$Y$16)^AI$34))</f>
        <v>6101360.1775594028</v>
      </c>
      <c r="AJ700" s="193">
        <f>(((M700*'Appendix K'!$C$16*1000)-('Appendix K'!$E$42+'Appendix K'!$F$42+'Appendix K'!$H$42+'Appendix K'!$G$42))/((1+$Y$16)^AJ$34))</f>
        <v>5892272.8771672156</v>
      </c>
      <c r="AK700" s="193">
        <f>(((N700*'Appendix K'!$C$17*1000)-('Appendix K'!$E$43+'Appendix K'!$F$43+'Appendix K'!$H$43))/((1+$Y$16)^AK$34))</f>
        <v>5782512.0265189055</v>
      </c>
      <c r="AL700" s="193">
        <f>(((O700*'Appendix K'!$C$18*1000)-('Appendix K'!$E$44+'Appendix K'!$F$44+'Appendix K'!$H$44+'Appendix K'!$G$44))/((1+$Y$16)^AL$34))</f>
        <v>4792058.0003928225</v>
      </c>
      <c r="AM700" s="193">
        <f>(((P700*'Appendix K'!$C$19*1000)-('Appendix K'!$E$45+'Appendix K'!$F$45+'Appendix K'!$H$45+'Appendix K'!$G$45))/((1+$Y$16)^AM$34))</f>
        <v>3607599.9540230581</v>
      </c>
      <c r="AN700" s="193">
        <f>(((Q700*'Appendix K'!$C$20*1000)-('Appendix K'!$E$46+'Appendix K'!$F$46+'Appendix K'!$H$46+'Appendix K'!$G$46))/((1+$Y$16)^AN$34))</f>
        <v>2702399.606577659</v>
      </c>
      <c r="AO700" s="193">
        <f>(((R700*'Appendix K'!$C$21*1000)-('Appendix K'!$E$47+'Appendix K'!$F$47+'Appendix K'!$H$47+'Appendix K'!$G$47))/((1+$Y$16)^AO$34))</f>
        <v>2112056.3146391152</v>
      </c>
      <c r="AP700" s="193">
        <f>(((S700*'Appendix K'!$C$22*1000)-('Appendix K'!$E$48+'Appendix K'!$F$48+'Appendix K'!$H$48+'Appendix K'!$G$48))/((1+$Y$16)^AP$34))</f>
        <v>1283775.9289962181</v>
      </c>
      <c r="AQ700" s="193">
        <f>(((T700*'Appendix K'!$C$23*1000)-('Appendix K'!$E$49+'Appendix K'!$F$49+'Appendix K'!$H$49+'Appendix K'!$G$49))/((1+$Y$16)^AQ$34))</f>
        <v>1263386.3652054211</v>
      </c>
      <c r="AR700" s="193">
        <f>(((U700*'Appendix K'!$C$24*1000)-('Appendix K'!$E$50+'Appendix K'!$F$50+'Appendix K'!$H$50+'Appendix K'!$G$50))/((1+$Y$16)^AR$34))</f>
        <v>980725.14012097823</v>
      </c>
      <c r="AS700" s="209">
        <f t="shared" si="36"/>
        <v>228404089.45170304</v>
      </c>
      <c r="AU700" s="199">
        <f t="shared" si="35"/>
        <v>3.2400754501984698E-10</v>
      </c>
    </row>
    <row r="701" spans="1:47" x14ac:dyDescent="0.35">
      <c r="A701">
        <v>667</v>
      </c>
      <c r="B701" s="70">
        <v>56</v>
      </c>
      <c r="C701" s="70">
        <v>54.434927146310606</v>
      </c>
      <c r="D701" s="70">
        <v>80.917000645915635</v>
      </c>
      <c r="E701" s="70">
        <v>63.237587611910314</v>
      </c>
      <c r="F701" s="70">
        <v>40.108454123683018</v>
      </c>
      <c r="G701" s="70">
        <v>40.714498704014048</v>
      </c>
      <c r="H701" s="70">
        <v>18.871575394278047</v>
      </c>
      <c r="I701" s="70">
        <v>25.400551086367223</v>
      </c>
      <c r="J701" s="70">
        <v>27.203530602849625</v>
      </c>
      <c r="K701" s="70">
        <v>34.555308467272312</v>
      </c>
      <c r="L701" s="70">
        <v>49.22042213442009</v>
      </c>
      <c r="M701" s="70">
        <v>45.397828363339151</v>
      </c>
      <c r="N701" s="70">
        <v>51.342214419990228</v>
      </c>
      <c r="O701" s="70">
        <v>60.72871734430327</v>
      </c>
      <c r="P701" s="70">
        <v>59.118243877408489</v>
      </c>
      <c r="Q701" s="70">
        <v>74.795124029992053</v>
      </c>
      <c r="R701" s="70">
        <v>87.260698157781221</v>
      </c>
      <c r="S701" s="70">
        <v>88.540129998708764</v>
      </c>
      <c r="T701" s="70">
        <v>65.517552212841537</v>
      </c>
      <c r="U701" s="70">
        <v>34.417741366619055</v>
      </c>
      <c r="V701" s="70">
        <v>47.408776353048395</v>
      </c>
      <c r="X701" s="193">
        <f>((0-('Appendix K'!$I$30))/(1+$Y$16)^0)</f>
        <v>-33594902.4440751</v>
      </c>
      <c r="Y701" s="193">
        <f>(((B701*'Appendix K'!$C$5*1000)-('Appendix K'!$E$31+'Appendix K'!$F$31+'Appendix K'!$H$31+'Appendix K'!$G$31))/((1+$Y$16)^1))</f>
        <v>34971064.972647354</v>
      </c>
      <c r="Z701" s="193">
        <f>+(((C701*'Appendix K'!$C$6*1000)-('Appendix K'!$E$32+'Appendix K'!$F$32+'Appendix K'!$H$32+'Appendix K'!$G$32))/((1+$Y$16)^2))</f>
        <v>10263945.934585288</v>
      </c>
      <c r="AA701" s="193">
        <f>(((D701*'Appendix K'!$C$7*1000)-('Appendix K'!$E$33+'Appendix K'!$F$33+'Appendix K'!$H$33+'Appendix K'!$G$33))/((1+$Y$16)^3))</f>
        <v>7341894.5659819907</v>
      </c>
      <c r="AB701" s="193">
        <f>(((E701*'Appendix K'!$C$8*1000)-('Appendix K'!$E$34+'Appendix K'!$F$34+'Appendix K'!$H$34+'Appendix K'!$G$34))/((1+$Y$16)^4))</f>
        <v>10567892.431279458</v>
      </c>
      <c r="AC701" s="193">
        <f>(((F701*'Appendix K'!$C$9*1000)-('Appendix K'!$E$35+'Appendix K'!$F$35+'Appendix K'!$H$35+'Appendix K'!$G$35))/((1+$Y$16)^AC$34))</f>
        <v>7676535.605340763</v>
      </c>
      <c r="AD701" s="193">
        <f>(((G701*'Appendix K'!$C$10*1000)-('Appendix K'!$E$36+'Appendix K'!$F$36+'Appendix K'!$H$36+'Appendix K'!$G$36))/((1+$Y$16)^AD$34))</f>
        <v>3878202.7826934275</v>
      </c>
      <c r="AE701" s="193">
        <f>(((H701*'Appendix K'!$C$11*1000)-('Appendix K'!$E$37+'Appendix K'!$F$37+'Appendix K'!$H$37+'Appendix K'!$G$37))/((1+$Y$16)^AE$34))</f>
        <v>-337734.78315614228</v>
      </c>
      <c r="AF701" s="193">
        <f>(((I701*'Appendix K'!$C$12*1000)-('Appendix K'!$E$38+'Appendix K'!$F$38+'Appendix K'!$H$38+'Appendix K'!$G$38))/((1+$Y$16)^AF$34))</f>
        <v>-328717.17818502901</v>
      </c>
      <c r="AG701" s="193">
        <f>(((J701*'Appendix K'!$C$13*1000)-('Appendix K'!$E$39+'Appendix K'!$F$39+'Appendix K'!$H$39+'Appendix K'!$G$39))/((1+$Y$16)^AG$34))</f>
        <v>-563066.43074669119</v>
      </c>
      <c r="AH701" s="193">
        <f>(((K701*'Appendix K'!$C$14*1000)-('Appendix K'!$E$40+'Appendix K'!$F$40+'Appendix K'!$H$40+'Appendix K'!$G$40))/((1+$Y$16)^AH$34))</f>
        <v>-468001.72664041148</v>
      </c>
      <c r="AI701" s="193">
        <f>(((L701*'Appendix K'!$C$15*1000)-('Appendix K'!$E$41+'Appendix K'!$F$41+'Appendix K'!$H$41+'Appendix K'!$G$41))/((1+$Y$16)^AI$34))</f>
        <v>-226814.24576849892</v>
      </c>
      <c r="AJ701" s="193">
        <f>(((M701*'Appendix K'!$C$16*1000)-('Appendix K'!$E$42+'Appendix K'!$F$42+'Appendix K'!$H$42+'Appendix K'!$G$42))/((1+$Y$16)^AJ$34))</f>
        <v>-471693.72156214149</v>
      </c>
      <c r="AK701" s="193">
        <f>(((N701*'Appendix K'!$C$17*1000)-('Appendix K'!$E$43+'Appendix K'!$F$43+'Appendix K'!$H$43))/((1+$Y$16)^AK$34))</f>
        <v>-215442.09853006795</v>
      </c>
      <c r="AL701" s="193">
        <f>(((O701*'Appendix K'!$C$18*1000)-('Appendix K'!$E$44+'Appendix K'!$F$44+'Appendix K'!$H$44+'Appendix K'!$G$44))/((1+$Y$16)^AL$34))</f>
        <v>-414753.76943397935</v>
      </c>
      <c r="AM701" s="193">
        <f>(((P701*'Appendix K'!$C$19*1000)-('Appendix K'!$E$45+'Appendix K'!$F$45+'Appendix K'!$H$45+'Appendix K'!$G$45))/((1+$Y$16)^AM$34))</f>
        <v>-478814.79558337945</v>
      </c>
      <c r="AN701" s="193">
        <f>(((Q701*'Appendix K'!$C$20*1000)-('Appendix K'!$E$46+'Appendix K'!$F$46+'Appendix K'!$H$46+'Appendix K'!$G$46))/((1+$Y$16)^AN$34))</f>
        <v>-374475.09900317685</v>
      </c>
      <c r="AO701" s="193">
        <f>(((R701*'Appendix K'!$C$21*1000)-('Appendix K'!$E$47+'Appendix K'!$F$47+'Appendix K'!$H$47+'Appendix K'!$G$47))/((1+$Y$16)^AO$34))</f>
        <v>-327278.55870307289</v>
      </c>
      <c r="AP701" s="193">
        <f>(((S701*'Appendix K'!$C$22*1000)-('Appendix K'!$E$48+'Appendix K'!$F$48+'Appendix K'!$H$48+'Appendix K'!$G$48))/((1+$Y$16)^AP$34))</f>
        <v>-340370.8596469693</v>
      </c>
      <c r="AQ701" s="193">
        <f>(((T701*'Appendix K'!$C$23*1000)-('Appendix K'!$E$49+'Appendix K'!$F$49+'Appendix K'!$H$49+'Appendix K'!$G$49))/((1+$Y$16)^AQ$34))</f>
        <v>-437066.70507425303</v>
      </c>
      <c r="AR701" s="193">
        <f>(((U701*'Appendix K'!$C$24*1000)-('Appendix K'!$E$50+'Appendix K'!$F$50+'Appendix K'!$H$50+'Appendix K'!$G$50))/((1+$Y$16)^AR$34))</f>
        <v>-518462.7777619657</v>
      </c>
      <c r="AS701" s="209">
        <f t="shared" si="36"/>
        <v>41104633.848453186</v>
      </c>
      <c r="AU701" s="199">
        <f t="shared" si="35"/>
        <v>5.0242730048505782E-9</v>
      </c>
    </row>
    <row r="702" spans="1:47" x14ac:dyDescent="0.35">
      <c r="A702">
        <v>668</v>
      </c>
      <c r="B702" s="70">
        <v>56</v>
      </c>
      <c r="C702" s="70">
        <v>63.024652805582328</v>
      </c>
      <c r="D702" s="70">
        <v>71.085351741332801</v>
      </c>
      <c r="E702" s="70">
        <v>102.82535446572066</v>
      </c>
      <c r="F702" s="70">
        <v>84.093011978498083</v>
      </c>
      <c r="G702" s="70">
        <v>84.644371988798895</v>
      </c>
      <c r="H702" s="70">
        <v>105.41344313483728</v>
      </c>
      <c r="I702" s="70">
        <v>124.53417987506594</v>
      </c>
      <c r="J702" s="70">
        <v>154.73451943994564</v>
      </c>
      <c r="K702" s="70">
        <v>153.29939128499822</v>
      </c>
      <c r="L702" s="70">
        <v>202.31732698760345</v>
      </c>
      <c r="M702" s="70">
        <v>113.56828464750515</v>
      </c>
      <c r="N702" s="70">
        <v>144.41386048654653</v>
      </c>
      <c r="O702" s="70">
        <v>142.88173306196916</v>
      </c>
      <c r="P702" s="70">
        <v>141.43043359081364</v>
      </c>
      <c r="Q702" s="70">
        <v>95.827320844914141</v>
      </c>
      <c r="R702" s="70">
        <v>105.75632313828756</v>
      </c>
      <c r="S702" s="70">
        <v>154.19962519068036</v>
      </c>
      <c r="T702" s="70">
        <v>141.00378702028956</v>
      </c>
      <c r="U702" s="70">
        <v>197.49546414077508</v>
      </c>
      <c r="V702" s="70">
        <v>162.8176369185955</v>
      </c>
      <c r="X702" s="193">
        <f>((0-('Appendix K'!$I$30))/(1+$Y$16)^0)</f>
        <v>-33594902.4440751</v>
      </c>
      <c r="Y702" s="193">
        <f>(((B702*'Appendix K'!$C$5*1000)-('Appendix K'!$E$31+'Appendix K'!$F$31+'Appendix K'!$H$31+'Appendix K'!$G$31))/((1+$Y$16)^1))</f>
        <v>34971064.972647354</v>
      </c>
      <c r="Z702" s="193">
        <f>+(((C702*'Appendix K'!$C$6*1000)-('Appendix K'!$E$32+'Appendix K'!$F$32+'Appendix K'!$H$32+'Appendix K'!$G$32))/((1+$Y$16)^2))</f>
        <v>12433857.547261136</v>
      </c>
      <c r="AA702" s="193">
        <f>(((D702*'Appendix K'!$C$7*1000)-('Appendix K'!$E$33+'Appendix K'!$F$33+'Appendix K'!$H$33+'Appendix K'!$G$33))/((1+$Y$16)^3))</f>
        <v>6089589.5416875184</v>
      </c>
      <c r="AB702" s="193">
        <f>(((E702*'Appendix K'!$C$8*1000)-('Appendix K'!$E$34+'Appendix K'!$F$34+'Appendix K'!$H$34+'Appendix K'!$G$34))/((1+$Y$16)^4))</f>
        <v>19245168.534509409</v>
      </c>
      <c r="AC702" s="193">
        <f>(((F702*'Appendix K'!$C$9*1000)-('Appendix K'!$E$35+'Appendix K'!$F$35+'Appendix K'!$H$35+'Appendix K'!$G$35))/((1+$Y$16)^AC$34))</f>
        <v>19367562.0150005</v>
      </c>
      <c r="AD702" s="193">
        <f>(((G702*'Appendix K'!$C$10*1000)-('Appendix K'!$E$36+'Appendix K'!$F$36+'Appendix K'!$H$36+'Appendix K'!$G$36))/((1+$Y$16)^AD$34))</f>
        <v>10777123.672947181</v>
      </c>
      <c r="AE702" s="193">
        <f>(((H702*'Appendix K'!$C$11*1000)-('Appendix K'!$E$37+'Appendix K'!$F$37+'Appendix K'!$H$37+'Appendix K'!$G$37))/((1+$Y$16)^AE$34))</f>
        <v>8293745.9003677685</v>
      </c>
      <c r="AF702" s="193">
        <f>(((I702*'Appendix K'!$C$12*1000)-('Appendix K'!$E$38+'Appendix K'!$F$38+'Appendix K'!$H$38+'Appendix K'!$G$38))/((1+$Y$16)^AF$34))</f>
        <v>6180637.4892680272</v>
      </c>
      <c r="AG702" s="193">
        <f>(((J702*'Appendix K'!$C$13*1000)-('Appendix K'!$E$39+'Appendix K'!$F$39+'Appendix K'!$H$39+'Appendix K'!$G$39))/((1+$Y$16)^AG$34))</f>
        <v>5305773.5440863334</v>
      </c>
      <c r="AH702" s="193">
        <f>(((K702*'Appendix K'!$C$14*1000)-('Appendix K'!$E$40+'Appendix K'!$F$40+'Appendix K'!$H$40+'Appendix K'!$G$40))/((1+$Y$16)^AH$34))</f>
        <v>3534448.8779903706</v>
      </c>
      <c r="AI702" s="193">
        <f>(((L702*'Appendix K'!$C$15*1000)-('Appendix K'!$E$41+'Appendix K'!$F$41+'Appendix K'!$H$41+'Appendix K'!$G$41))/((1+$Y$16)^AI$34))</f>
        <v>3784610.9540008209</v>
      </c>
      <c r="AJ702" s="193">
        <f>(((M702*'Appendix K'!$C$16*1000)-('Appendix K'!$E$42+'Appendix K'!$F$42+'Appendix K'!$H$42+'Appendix K'!$G$42))/((1+$Y$16)^AJ$34))</f>
        <v>894569.49511112238</v>
      </c>
      <c r="AK702" s="193">
        <f>(((N702*'Appendix K'!$C$17*1000)-('Appendix K'!$E$43+'Appendix K'!$F$43+'Appendix K'!$H$43))/((1+$Y$16)^AK$34))</f>
        <v>1214501.1283141293</v>
      </c>
      <c r="AL702" s="193">
        <f>(((O702*'Appendix K'!$C$18*1000)-('Appendix K'!$E$44+'Appendix K'!$F$44+'Appendix K'!$H$44+'Appendix K'!$G$44))/((1+$Y$16)^AL$34))</f>
        <v>559030.09956705</v>
      </c>
      <c r="AM702" s="193">
        <f>(((P702*'Appendix K'!$C$19*1000)-('Appendix K'!$E$45+'Appendix K'!$F$45+'Appendix K'!$H$45+'Appendix K'!$G$45))/((1+$Y$16)^AM$34))</f>
        <v>284114.81410483218</v>
      </c>
      <c r="AN702" s="193">
        <f>(((Q702*'Appendix K'!$C$20*1000)-('Appendix K'!$E$46+'Appendix K'!$F$46+'Appendix K'!$H$46+'Appendix K'!$G$46))/((1+$Y$16)^AN$34))</f>
        <v>-222281.56115861985</v>
      </c>
      <c r="AO702" s="193">
        <f>(((R702*'Appendix K'!$C$21*1000)-('Appendix K'!$E$47+'Appendix K'!$F$47+'Appendix K'!$H$47+'Appendix K'!$G$47))/((1+$Y$16)^AO$34))</f>
        <v>-217967.37167088842</v>
      </c>
      <c r="AP702" s="193">
        <f>(((S702*'Appendix K'!$C$22*1000)-('Appendix K'!$E$48+'Appendix K'!$F$48+'Appendix K'!$H$48+'Appendix K'!$G$48))/((1+$Y$16)^AP$34))</f>
        <v>-25880.305560727033</v>
      </c>
      <c r="AQ702" s="193">
        <f>(((T702*'Appendix K'!$C$23*1000)-('Appendix K'!$E$49+'Appendix K'!$F$49+'Appendix K'!$H$49+'Appendix K'!$G$49))/((1+$Y$16)^AQ$34))</f>
        <v>-141632.9070096233</v>
      </c>
      <c r="AR702" s="193">
        <f>(((U702*'Appendix K'!$C$24*1000)-('Appendix K'!$E$50+'Appendix K'!$F$50+'Appendix K'!$H$50+'Appendix K'!$G$50))/((1+$Y$16)^AR$34))</f>
        <v>6652.0588224670801</v>
      </c>
      <c r="AS702" s="209">
        <f t="shared" si="36"/>
        <v>99347548.201610893</v>
      </c>
      <c r="AU702" s="199">
        <f t="shared" si="35"/>
        <v>6.8810941242645474E-9</v>
      </c>
    </row>
    <row r="703" spans="1:47" x14ac:dyDescent="0.35">
      <c r="A703">
        <v>669</v>
      </c>
      <c r="B703" s="70">
        <v>56</v>
      </c>
      <c r="C703" s="70">
        <v>73.30267248877297</v>
      </c>
      <c r="D703" s="70">
        <v>117.77141364820153</v>
      </c>
      <c r="E703" s="70">
        <v>100.79643115418641</v>
      </c>
      <c r="F703" s="70">
        <v>128.84593903507903</v>
      </c>
      <c r="G703" s="70">
        <v>172.2413493517594</v>
      </c>
      <c r="H703" s="70">
        <v>254.20998148913577</v>
      </c>
      <c r="I703" s="70">
        <v>294.65561867845747</v>
      </c>
      <c r="J703" s="70">
        <v>393.63547163682978</v>
      </c>
      <c r="K703" s="70">
        <v>460.06536002672186</v>
      </c>
      <c r="L703" s="70">
        <v>500</v>
      </c>
      <c r="M703" s="70">
        <v>500</v>
      </c>
      <c r="N703" s="70">
        <v>500</v>
      </c>
      <c r="O703" s="70">
        <v>500</v>
      </c>
      <c r="P703" s="70">
        <v>499.42722484365981</v>
      </c>
      <c r="Q703" s="70">
        <v>500</v>
      </c>
      <c r="R703" s="70">
        <v>500</v>
      </c>
      <c r="S703" s="70">
        <v>500</v>
      </c>
      <c r="T703" s="70">
        <v>500</v>
      </c>
      <c r="U703" s="70">
        <v>500</v>
      </c>
      <c r="V703" s="70">
        <v>500</v>
      </c>
      <c r="X703" s="193">
        <f>((0-('Appendix K'!$I$30))/(1+$Y$16)^0)</f>
        <v>-33594902.4440751</v>
      </c>
      <c r="Y703" s="193">
        <f>(((B703*'Appendix K'!$C$5*1000)-('Appendix K'!$E$31+'Appendix K'!$F$31+'Appendix K'!$H$31+'Appendix K'!$G$31))/((1+$Y$16)^1))</f>
        <v>34971064.972647354</v>
      </c>
      <c r="Z703" s="193">
        <f>+(((C703*'Appendix K'!$C$6*1000)-('Appendix K'!$E$32+'Appendix K'!$F$32+'Appendix K'!$H$32+'Appendix K'!$G$32))/((1+$Y$16)^2))</f>
        <v>15030261.105481092</v>
      </c>
      <c r="AA703" s="193">
        <f>(((D703*'Appendix K'!$C$7*1000)-('Appendix K'!$E$33+'Appendix K'!$F$33+'Appendix K'!$H$33+'Appendix K'!$G$33))/((1+$Y$16)^3))</f>
        <v>12036220.717994275</v>
      </c>
      <c r="AB703" s="193">
        <f>(((E703*'Appendix K'!$C$8*1000)-('Appendix K'!$E$34+'Appendix K'!$F$34+'Appendix K'!$H$34+'Appendix K'!$G$34))/((1+$Y$16)^4))</f>
        <v>18800447.117626362</v>
      </c>
      <c r="AC703" s="193">
        <f>(((F703*'Appendix K'!$C$9*1000)-('Appendix K'!$E$35+'Appendix K'!$F$35+'Appendix K'!$H$35+'Appendix K'!$G$35))/((1+$Y$16)^AC$34))</f>
        <v>31262819.751933437</v>
      </c>
      <c r="AD703" s="193">
        <f>(((G703*'Appendix K'!$C$10*1000)-('Appendix K'!$E$36+'Appendix K'!$F$36+'Appendix K'!$H$36+'Appendix K'!$G$36))/((1+$Y$16)^AD$34))</f>
        <v>24533699.13891197</v>
      </c>
      <c r="AE703" s="193">
        <f>(((H703*'Appendix K'!$C$11*1000)-('Appendix K'!$E$37+'Appendix K'!$F$37+'Appendix K'!$H$37+'Appendix K'!$G$37))/((1+$Y$16)^AE$34))</f>
        <v>23134359.814902317</v>
      </c>
      <c r="AF703" s="193">
        <f>(((I703*'Appendix K'!$C$12*1000)-('Appendix K'!$E$38+'Appendix K'!$F$38+'Appendix K'!$H$38+'Appendix K'!$G$38))/((1+$Y$16)^AF$34))</f>
        <v>17351224.052471973</v>
      </c>
      <c r="AG703" s="193">
        <f>(((J703*'Appendix K'!$C$13*1000)-('Appendix K'!$E$39+'Appendix K'!$F$39+'Appendix K'!$H$39+'Appendix K'!$G$39))/((1+$Y$16)^AG$34))</f>
        <v>16299740.35218274</v>
      </c>
      <c r="AH703" s="193">
        <f>(((K703*'Appendix K'!$C$14*1000)-('Appendix K'!$E$40+'Appendix K'!$F$40+'Appendix K'!$H$40+'Appendix K'!$G$40))/((1+$Y$16)^AH$34))</f>
        <v>13874464.211261138</v>
      </c>
      <c r="AI703" s="193">
        <f>(((L703*'Appendix K'!$C$15*1000)-('Appendix K'!$E$41+'Appendix K'!$F$41+'Appendix K'!$H$41+'Appendix K'!$G$41))/((1+$Y$16)^AI$34))</f>
        <v>11584453.656253781</v>
      </c>
      <c r="AJ703" s="193">
        <f>(((M703*'Appendix K'!$C$16*1000)-('Appendix K'!$E$42+'Appendix K'!$F$42+'Appendix K'!$H$42+'Appendix K'!$G$42))/((1+$Y$16)^AJ$34))</f>
        <v>8639382.5302660316</v>
      </c>
      <c r="AK703" s="193">
        <f>(((N703*'Appendix K'!$C$17*1000)-('Appendix K'!$E$43+'Appendix K'!$F$43+'Appendix K'!$H$43))/((1+$Y$16)^AK$34))</f>
        <v>6677690.1149291173</v>
      </c>
      <c r="AL703" s="193">
        <f>(((O703*'Appendix K'!$C$18*1000)-('Appendix K'!$E$44+'Appendix K'!$F$44+'Appendix K'!$H$44+'Appendix K'!$G$44))/((1+$Y$16)^AL$34))</f>
        <v>4792058.0003928225</v>
      </c>
      <c r="AM703" s="193">
        <f>(((P703*'Appendix K'!$C$19*1000)-('Appendix K'!$E$45+'Appendix K'!$F$45+'Appendix K'!$H$45+'Appendix K'!$G$45))/((1+$Y$16)^AM$34))</f>
        <v>3602291.0547216642</v>
      </c>
      <c r="AN703" s="193">
        <f>(((Q703*'Appendix K'!$C$20*1000)-('Appendix K'!$E$46+'Appendix K'!$F$46+'Appendix K'!$H$46+'Appendix K'!$G$46))/((1+$Y$16)^AN$34))</f>
        <v>2702399.606577659</v>
      </c>
      <c r="AO703" s="193">
        <f>(((R703*'Appendix K'!$C$21*1000)-('Appendix K'!$E$47+'Appendix K'!$F$47+'Appendix K'!$H$47+'Appendix K'!$G$47))/((1+$Y$16)^AO$34))</f>
        <v>2112056.3146391152</v>
      </c>
      <c r="AP703" s="193">
        <f>(((S703*'Appendix K'!$C$22*1000)-('Appendix K'!$E$48+'Appendix K'!$F$48+'Appendix K'!$H$48+'Appendix K'!$G$48))/((1+$Y$16)^AP$34))</f>
        <v>1630406.4380253027</v>
      </c>
      <c r="AQ703" s="193">
        <f>(((T703*'Appendix K'!$C$23*1000)-('Appendix K'!$E$49+'Appendix K'!$F$49+'Appendix K'!$H$49+'Appendix K'!$G$49))/((1+$Y$16)^AQ$34))</f>
        <v>1263386.3652054211</v>
      </c>
      <c r="AR703" s="193">
        <f>(((U703*'Appendix K'!$C$24*1000)-('Appendix K'!$E$50+'Appendix K'!$F$50+'Appendix K'!$H$50+'Appendix K'!$G$50))/((1+$Y$16)^AR$34))</f>
        <v>980725.14012097823</v>
      </c>
      <c r="AS703" s="209">
        <f t="shared" si="36"/>
        <v>217684248.01246941</v>
      </c>
      <c r="AU703" s="199">
        <f t="shared" si="35"/>
        <v>5.0853073133943934E-10</v>
      </c>
    </row>
    <row r="704" spans="1:47" x14ac:dyDescent="0.35">
      <c r="A704">
        <v>670</v>
      </c>
      <c r="B704" s="70">
        <v>56</v>
      </c>
      <c r="C704" s="70">
        <v>93.216968728432548</v>
      </c>
      <c r="D704" s="70">
        <v>119.7428482680433</v>
      </c>
      <c r="E704" s="70">
        <v>127.60098129969003</v>
      </c>
      <c r="F704" s="70">
        <v>163.67262093446533</v>
      </c>
      <c r="G704" s="70">
        <v>208.14767759770746</v>
      </c>
      <c r="H704" s="70">
        <v>241.00318425874877</v>
      </c>
      <c r="I704" s="70">
        <v>251.58198608926753</v>
      </c>
      <c r="J704" s="70">
        <v>241.06764536967765</v>
      </c>
      <c r="K704" s="70">
        <v>197.64019611086826</v>
      </c>
      <c r="L704" s="70">
        <v>251.50079094665477</v>
      </c>
      <c r="M704" s="70">
        <v>332.12368625451791</v>
      </c>
      <c r="N704" s="70">
        <v>311.95816853006158</v>
      </c>
      <c r="O704" s="70">
        <v>296.43976910042363</v>
      </c>
      <c r="P704" s="70">
        <v>241.68677476044408</v>
      </c>
      <c r="Q704" s="70">
        <v>270.57447371217995</v>
      </c>
      <c r="R704" s="70">
        <v>186.95518028618633</v>
      </c>
      <c r="S704" s="70">
        <v>136.31828411139696</v>
      </c>
      <c r="T704" s="70">
        <v>155.91141633440924</v>
      </c>
      <c r="U704" s="70">
        <v>155.71452885970965</v>
      </c>
      <c r="V704" s="70">
        <v>189.51661462788402</v>
      </c>
      <c r="X704" s="193">
        <f>((0-('Appendix K'!$I$30))/(1+$Y$16)^0)</f>
        <v>-33594902.4440751</v>
      </c>
      <c r="Y704" s="193">
        <f>(((B704*'Appendix K'!$C$5*1000)-('Appendix K'!$E$31+'Appendix K'!$F$31+'Appendix K'!$H$31+'Appendix K'!$G$31))/((1+$Y$16)^1))</f>
        <v>34971064.972647354</v>
      </c>
      <c r="Z704" s="193">
        <f>+(((C704*'Appendix K'!$C$6*1000)-('Appendix K'!$E$32+'Appendix K'!$F$32+'Appendix K'!$H$32+'Appendix K'!$G$32))/((1+$Y$16)^2))</f>
        <v>20060952.932298772</v>
      </c>
      <c r="AA704" s="193">
        <f>(((D704*'Appendix K'!$C$7*1000)-('Appendix K'!$E$33+'Appendix K'!$F$33+'Appendix K'!$H$33+'Appendix K'!$G$33))/((1+$Y$16)^3))</f>
        <v>12287331.951059677</v>
      </c>
      <c r="AB704" s="193">
        <f>(((E704*'Appendix K'!$C$8*1000)-('Appendix K'!$E$34+'Appendix K'!$F$34+'Appendix K'!$H$34+'Appendix K'!$G$34))/((1+$Y$16)^4))</f>
        <v>24675759.137481317</v>
      </c>
      <c r="AC704" s="193">
        <f>(((F704*'Appendix K'!$C$9*1000)-('Appendix K'!$E$35+'Appendix K'!$F$35+'Appendix K'!$H$35+'Appendix K'!$G$35))/((1+$Y$16)^AC$34))</f>
        <v>40519697.113086022</v>
      </c>
      <c r="AD704" s="193">
        <f>(((G704*'Appendix K'!$C$10*1000)-('Appendix K'!$E$36+'Appendix K'!$F$36+'Appendix K'!$H$36+'Appendix K'!$G$36))/((1+$Y$16)^AD$34))</f>
        <v>30172570.811097641</v>
      </c>
      <c r="AE704" s="193">
        <f>(((H704*'Appendix K'!$C$11*1000)-('Appendix K'!$E$37+'Appendix K'!$F$37+'Appendix K'!$H$37+'Appendix K'!$G$37))/((1+$Y$16)^AE$34))</f>
        <v>21817145.174619284</v>
      </c>
      <c r="AF704" s="193">
        <f>(((I704*'Appendix K'!$C$12*1000)-('Appendix K'!$E$38+'Appendix K'!$F$38+'Appendix K'!$H$38+'Appendix K'!$G$38))/((1+$Y$16)^AF$34))</f>
        <v>14522904.795277942</v>
      </c>
      <c r="AG704" s="193">
        <f>(((J704*'Appendix K'!$C$13*1000)-('Appendix K'!$E$39+'Appendix K'!$F$39+'Appendix K'!$H$39+'Appendix K'!$G$39))/((1+$Y$16)^AG$34))</f>
        <v>9278731.8440954033</v>
      </c>
      <c r="AH704" s="193">
        <f>(((K704*'Appendix K'!$C$14*1000)-('Appendix K'!$E$40+'Appendix K'!$F$40+'Appendix K'!$H$40+'Appendix K'!$G$40))/((1+$Y$16)^AH$34))</f>
        <v>5029023.4022430154</v>
      </c>
      <c r="AI704" s="193">
        <f>(((L704*'Appendix K'!$C$15*1000)-('Appendix K'!$E$41+'Appendix K'!$F$41+'Appendix K'!$H$41+'Appendix K'!$G$41))/((1+$Y$16)^AI$34))</f>
        <v>5073309.6832565619</v>
      </c>
      <c r="AJ704" s="193">
        <f>(((M704*'Appendix K'!$C$16*1000)-('Appendix K'!$E$42+'Appendix K'!$F$42+'Appendix K'!$H$42+'Appendix K'!$G$42))/((1+$Y$16)^AJ$34))</f>
        <v>5274827.7814308405</v>
      </c>
      <c r="AK704" s="193">
        <f>(((N704*'Appendix K'!$C$17*1000)-('Appendix K'!$E$43+'Appendix K'!$F$43+'Appendix K'!$H$43))/((1+$Y$16)^AK$34))</f>
        <v>3788634.6975409733</v>
      </c>
      <c r="AL704" s="193">
        <f>(((O704*'Appendix K'!$C$18*1000)-('Appendix K'!$E$44+'Appendix K'!$F$44+'Appendix K'!$H$44+'Appendix K'!$G$44))/((1+$Y$16)^AL$34))</f>
        <v>2379198.6855094261</v>
      </c>
      <c r="AM704" s="193">
        <f>(((P704*'Appendix K'!$C$19*1000)-('Appendix K'!$E$45+'Appendix K'!$F$45+'Appendix K'!$H$45+'Appendix K'!$G$45))/((1+$Y$16)^AM$34))</f>
        <v>1213363.9508807138</v>
      </c>
      <c r="AN704" s="193">
        <f>(((Q704*'Appendix K'!$C$20*1000)-('Appendix K'!$E$46+'Appendix K'!$F$46+'Appendix K'!$H$46+'Appendix K'!$G$46))/((1+$Y$16)^AN$34))</f>
        <v>1042226.7380535534</v>
      </c>
      <c r="AO704" s="193">
        <f>(((R704*'Appendix K'!$C$21*1000)-('Appendix K'!$E$47+'Appendix K'!$F$47+'Appendix K'!$H$47+'Appendix K'!$G$47))/((1+$Y$16)^AO$34))</f>
        <v>261926.84492619833</v>
      </c>
      <c r="AP704" s="193">
        <f>(((S704*'Appendix K'!$C$22*1000)-('Appendix K'!$E$48+'Appendix K'!$F$48+'Appendix K'!$H$48+'Appendix K'!$G$48))/((1+$Y$16)^AP$34))</f>
        <v>-111526.91078343256</v>
      </c>
      <c r="AQ704" s="193">
        <f>(((T704*'Appendix K'!$C$23*1000)-('Appendix K'!$E$49+'Appendix K'!$F$49+'Appendix K'!$H$49+'Appendix K'!$G$49))/((1+$Y$16)^AQ$34))</f>
        <v>-83288.26232514056</v>
      </c>
      <c r="AR704" s="193">
        <f>(((U704*'Appendix K'!$C$24*1000)-('Appendix K'!$E$50+'Appendix K'!$F$50+'Appendix K'!$H$50+'Appendix K'!$G$50))/((1+$Y$16)^AR$34))</f>
        <v>-127883.72343668021</v>
      </c>
      <c r="AS704" s="209">
        <f t="shared" si="36"/>
        <v>198773768.07142961</v>
      </c>
      <c r="AU704" s="199">
        <f t="shared" si="35"/>
        <v>1.0324654666710906E-9</v>
      </c>
    </row>
    <row r="705" spans="1:47" x14ac:dyDescent="0.35">
      <c r="A705">
        <v>671</v>
      </c>
      <c r="B705" s="70">
        <v>56</v>
      </c>
      <c r="C705" s="70">
        <v>67.359929661313032</v>
      </c>
      <c r="D705" s="70">
        <v>70.1124198662053</v>
      </c>
      <c r="E705" s="70">
        <v>35.793348861692763</v>
      </c>
      <c r="F705" s="70">
        <v>40.443951708225796</v>
      </c>
      <c r="G705" s="70">
        <v>52.289663483138824</v>
      </c>
      <c r="H705" s="70">
        <v>42.736671025392383</v>
      </c>
      <c r="I705" s="70">
        <v>44.346302324746681</v>
      </c>
      <c r="J705" s="70">
        <v>47.679814531537161</v>
      </c>
      <c r="K705" s="70">
        <v>32.672850365254888</v>
      </c>
      <c r="L705" s="70">
        <v>40.5395483340194</v>
      </c>
      <c r="M705" s="70">
        <v>24.939403746730278</v>
      </c>
      <c r="N705" s="70">
        <v>23.897334188781528</v>
      </c>
      <c r="O705" s="70">
        <v>18.007224982353897</v>
      </c>
      <c r="P705" s="70">
        <v>16.302572214401849</v>
      </c>
      <c r="Q705" s="70">
        <v>18.266213058138497</v>
      </c>
      <c r="R705" s="70">
        <v>13.451927775062593</v>
      </c>
      <c r="S705" s="70">
        <v>14.384597942789027</v>
      </c>
      <c r="T705" s="70">
        <v>21.984255309093715</v>
      </c>
      <c r="U705" s="70">
        <v>25.634275573504354</v>
      </c>
      <c r="V705" s="70">
        <v>33.190380807307619</v>
      </c>
      <c r="X705" s="193">
        <f>((0-('Appendix K'!$I$30))/(1+$Y$16)^0)</f>
        <v>-33594902.4440751</v>
      </c>
      <c r="Y705" s="193">
        <f>(((B705*'Appendix K'!$C$5*1000)-('Appendix K'!$E$31+'Appendix K'!$F$31+'Appendix K'!$H$31+'Appendix K'!$G$31))/((1+$Y$16)^1))</f>
        <v>34971064.972647354</v>
      </c>
      <c r="Z705" s="193">
        <f>+(((C705*'Appendix K'!$C$6*1000)-('Appendix K'!$E$32+'Appendix K'!$F$32+'Appendix K'!$H$32+'Appendix K'!$G$32))/((1+$Y$16)^2))</f>
        <v>13529022.627796723</v>
      </c>
      <c r="AA705" s="193">
        <f>(((D705*'Appendix K'!$C$7*1000)-('Appendix K'!$E$33+'Appendix K'!$F$33+'Appendix K'!$H$33+'Appendix K'!$G$33))/((1+$Y$16)^3))</f>
        <v>5965662.4682796719</v>
      </c>
      <c r="AB705" s="193">
        <f>(((E705*'Appendix K'!$C$8*1000)-('Appendix K'!$E$34+'Appendix K'!$F$34+'Appendix K'!$H$34+'Appendix K'!$G$34))/((1+$Y$16)^4))</f>
        <v>4552366.5250567617</v>
      </c>
      <c r="AC705" s="193">
        <f>(((F705*'Appendix K'!$C$9*1000)-('Appendix K'!$E$35+'Appendix K'!$F$35+'Appendix K'!$H$35+'Appendix K'!$G$35))/((1+$Y$16)^AC$34))</f>
        <v>7765710.3364864867</v>
      </c>
      <c r="AD705" s="193">
        <f>(((G705*'Appendix K'!$C$10*1000)-('Appendix K'!$E$36+'Appendix K'!$F$36+'Appendix K'!$H$36+'Appendix K'!$G$36))/((1+$Y$16)^AD$34))</f>
        <v>5696012.3990596933</v>
      </c>
      <c r="AE705" s="193">
        <f>(((H705*'Appendix K'!$C$11*1000)-('Appendix K'!$E$37+'Appendix K'!$F$37+'Appendix K'!$H$37+'Appendix K'!$G$37))/((1+$Y$16)^AE$34))</f>
        <v>2042513.2670471144</v>
      </c>
      <c r="AF705" s="193">
        <f>(((I705*'Appendix K'!$C$12*1000)-('Appendix K'!$E$38+'Appendix K'!$F$38+'Appendix K'!$H$38+'Appendix K'!$G$38))/((1+$Y$16)^AF$34))</f>
        <v>915306.83020483539</v>
      </c>
      <c r="AG705" s="193">
        <f>(((J705*'Appendix K'!$C$13*1000)-('Appendix K'!$E$39+'Appendix K'!$F$39+'Appendix K'!$H$39+'Appendix K'!$G$39))/((1+$Y$16)^AG$34))</f>
        <v>379230.29848369426</v>
      </c>
      <c r="AH705" s="193">
        <f>(((K705*'Appendix K'!$C$14*1000)-('Appendix K'!$E$40+'Appendix K'!$F$40+'Appendix K'!$H$40+'Appendix K'!$G$40))/((1+$Y$16)^AH$34))</f>
        <v>-531452.85102340276</v>
      </c>
      <c r="AI705" s="193">
        <f>(((L705*'Appendix K'!$C$15*1000)-('Appendix K'!$E$41+'Appendix K'!$F$41+'Appendix K'!$H$41+'Appendix K'!$G$41))/((1+$Y$16)^AI$34))</f>
        <v>-454269.37265260401</v>
      </c>
      <c r="AJ705" s="193">
        <f>(((M705*'Appendix K'!$C$16*1000)-('Appendix K'!$E$42+'Appendix K'!$F$42+'Appendix K'!$H$42+'Appendix K'!$G$42))/((1+$Y$16)^AJ$34))</f>
        <v>-881718.74630659015</v>
      </c>
      <c r="AK705" s="193">
        <f>(((N705*'Appendix K'!$C$17*1000)-('Appendix K'!$E$43+'Appendix K'!$F$43+'Appendix K'!$H$43))/((1+$Y$16)^AK$34))</f>
        <v>-637102.42427635298</v>
      </c>
      <c r="AL705" s="193">
        <f>(((O705*'Appendix K'!$C$18*1000)-('Appendix K'!$E$44+'Appendix K'!$F$44+'Appendix K'!$H$44+'Appendix K'!$G$44))/((1+$Y$16)^AL$34))</f>
        <v>-921144.18929012038</v>
      </c>
      <c r="AM705" s="193">
        <f>(((P705*'Appendix K'!$C$19*1000)-('Appendix K'!$E$45+'Appendix K'!$F$45+'Appendix K'!$H$45+'Appendix K'!$G$45))/((1+$Y$16)^AM$34))</f>
        <v>-875661.77273379406</v>
      </c>
      <c r="AN705" s="193">
        <f>(((Q705*'Appendix K'!$C$20*1000)-('Appendix K'!$E$46+'Appendix K'!$F$46+'Appendix K'!$H$46+'Appendix K'!$G$46))/((1+$Y$16)^AN$34))</f>
        <v>-783530.55940103834</v>
      </c>
      <c r="AO705" s="193">
        <f>(((R705*'Appendix K'!$C$21*1000)-('Appendix K'!$E$47+'Appendix K'!$F$47+'Appendix K'!$H$47+'Appendix K'!$G$47))/((1+$Y$16)^AO$34))</f>
        <v>-763496.54606086167</v>
      </c>
      <c r="AP705" s="193">
        <f>(((S705*'Appendix K'!$C$22*1000)-('Appendix K'!$E$48+'Appendix K'!$F$48+'Appendix K'!$H$48+'Appendix K'!$G$48))/((1+$Y$16)^AP$34))</f>
        <v>-695555.04582813056</v>
      </c>
      <c r="AQ705" s="193">
        <f>(((T705*'Appendix K'!$C$23*1000)-('Appendix K'!$E$49+'Appendix K'!$F$49+'Appendix K'!$H$49+'Appendix K'!$G$49))/((1+$Y$16)^AQ$34))</f>
        <v>-607444.88434569305</v>
      </c>
      <c r="AR705" s="193">
        <f>(((U705*'Appendix K'!$C$24*1000)-('Appendix K'!$E$50+'Appendix K'!$F$50+'Appendix K'!$H$50+'Appendix K'!$G$50))/((1+$Y$16)^AR$34))</f>
        <v>-546745.78371848096</v>
      </c>
      <c r="AS705" s="209">
        <f t="shared" si="36"/>
        <v>42221987.28098724</v>
      </c>
      <c r="AU705" s="199">
        <f t="shared" si="35"/>
        <v>5.1050153185748427E-9</v>
      </c>
    </row>
    <row r="706" spans="1:47" x14ac:dyDescent="0.35">
      <c r="A706">
        <v>672</v>
      </c>
      <c r="B706" s="70">
        <v>56</v>
      </c>
      <c r="C706" s="70">
        <v>58.46889444263531</v>
      </c>
      <c r="D706" s="70">
        <v>65.753781951902766</v>
      </c>
      <c r="E706" s="70">
        <v>52.012974981916202</v>
      </c>
      <c r="F706" s="70">
        <v>77.599422530404468</v>
      </c>
      <c r="G706" s="70">
        <v>105.68351960615226</v>
      </c>
      <c r="H706" s="70">
        <v>135.4625160278265</v>
      </c>
      <c r="I706" s="70">
        <v>208.82671976084291</v>
      </c>
      <c r="J706" s="70">
        <v>183.47554198623308</v>
      </c>
      <c r="K706" s="70">
        <v>227.34389045512438</v>
      </c>
      <c r="L706" s="70">
        <v>291.30491100046982</v>
      </c>
      <c r="M706" s="70">
        <v>319.18575207974158</v>
      </c>
      <c r="N706" s="70">
        <v>366.06056100835764</v>
      </c>
      <c r="O706" s="70">
        <v>424.68044494583222</v>
      </c>
      <c r="P706" s="70">
        <v>231.35995132833392</v>
      </c>
      <c r="Q706" s="70">
        <v>308.70042947302665</v>
      </c>
      <c r="R706" s="70">
        <v>429.06652907689312</v>
      </c>
      <c r="S706" s="70">
        <v>500</v>
      </c>
      <c r="T706" s="70">
        <v>500</v>
      </c>
      <c r="U706" s="70">
        <v>350.11914608024887</v>
      </c>
      <c r="V706" s="70">
        <v>473.69202945820751</v>
      </c>
      <c r="X706" s="193">
        <f>((0-('Appendix K'!$I$30))/(1+$Y$16)^0)</f>
        <v>-33594902.4440751</v>
      </c>
      <c r="Y706" s="193">
        <f>(((B706*'Appendix K'!$C$5*1000)-('Appendix K'!$E$31+'Appendix K'!$F$31+'Appendix K'!$H$31+'Appendix K'!$G$31))/((1+$Y$16)^1))</f>
        <v>34971064.972647354</v>
      </c>
      <c r="Z706" s="193">
        <f>+(((C706*'Appendix K'!$C$6*1000)-('Appendix K'!$E$32+'Appendix K'!$F$32+'Appendix K'!$H$32+'Appendix K'!$G$32))/((1+$Y$16)^2))</f>
        <v>11282995.067080133</v>
      </c>
      <c r="AA706" s="193">
        <f>(((D706*'Appendix K'!$C$7*1000)-('Appendix K'!$E$33+'Appendix K'!$F$33+'Appendix K'!$H$33+'Appendix K'!$G$33))/((1+$Y$16)^3))</f>
        <v>5410481.5202886257</v>
      </c>
      <c r="AB706" s="193">
        <f>(((E706*'Appendix K'!$C$8*1000)-('Appendix K'!$E$34+'Appendix K'!$F$34+'Appendix K'!$H$34+'Appendix K'!$G$34))/((1+$Y$16)^4))</f>
        <v>8107560.0942235133</v>
      </c>
      <c r="AC706" s="193">
        <f>(((F706*'Appendix K'!$C$9*1000)-('Appendix K'!$E$35+'Appendix K'!$F$35+'Appendix K'!$H$35+'Appendix K'!$G$35))/((1+$Y$16)^AC$34))</f>
        <v>17641576.136462457</v>
      </c>
      <c r="AD706" s="193">
        <f>(((G706*'Appendix K'!$C$10*1000)-('Appendix K'!$E$36+'Appendix K'!$F$36+'Appendix K'!$H$36+'Appendix K'!$G$36))/((1+$Y$16)^AD$34))</f>
        <v>14081194.551311482</v>
      </c>
      <c r="AE706" s="193">
        <f>(((H706*'Appendix K'!$C$11*1000)-('Appendix K'!$E$37+'Appendix K'!$F$37+'Appendix K'!$H$37+'Appendix K'!$G$37))/((1+$Y$16)^AE$34))</f>
        <v>11290769.179449152</v>
      </c>
      <c r="AF706" s="193">
        <f>(((I706*'Appendix K'!$C$12*1000)-('Appendix K'!$E$38+'Appendix K'!$F$38+'Appendix K'!$H$38+'Appendix K'!$G$38))/((1+$Y$16)^AF$34))</f>
        <v>11715490.239453102</v>
      </c>
      <c r="AG706" s="193">
        <f>(((J706*'Appendix K'!$C$13*1000)-('Appendix K'!$E$39+'Appendix K'!$F$39+'Appendix K'!$H$39+'Appendix K'!$G$39))/((1+$Y$16)^AG$34))</f>
        <v>6628404.7224008897</v>
      </c>
      <c r="AH706" s="193">
        <f>(((K706*'Appendix K'!$C$14*1000)-('Appendix K'!$E$40+'Appendix K'!$F$40+'Appendix K'!$H$40+'Appendix K'!$G$40))/((1+$Y$16)^AH$34))</f>
        <v>6030231.7704143375</v>
      </c>
      <c r="AI706" s="193">
        <f>(((L706*'Appendix K'!$C$15*1000)-('Appendix K'!$E$41+'Appendix K'!$F$41+'Appendix K'!$H$41+'Appendix K'!$G$41))/((1+$Y$16)^AI$34))</f>
        <v>6116252.0627360065</v>
      </c>
      <c r="AJ706" s="193">
        <f>(((M706*'Appendix K'!$C$16*1000)-('Appendix K'!$E$42+'Appendix K'!$F$42+'Appendix K'!$H$42+'Appendix K'!$G$42))/((1+$Y$16)^AJ$34))</f>
        <v>5015527.4257305283</v>
      </c>
      <c r="AK706" s="193">
        <f>(((N706*'Appendix K'!$C$17*1000)-('Appendix K'!$E$43+'Appendix K'!$F$43+'Appendix K'!$H$43))/((1+$Y$16)^AK$34))</f>
        <v>4619858.3080601506</v>
      </c>
      <c r="AL706" s="193">
        <f>(((O706*'Appendix K'!$C$18*1000)-('Appendix K'!$E$44+'Appendix K'!$F$44+'Appendix K'!$H$44+'Appendix K'!$G$44))/((1+$Y$16)^AL$34))</f>
        <v>3899273.1513965665</v>
      </c>
      <c r="AM706" s="193">
        <f>(((P706*'Appendix K'!$C$19*1000)-('Appendix K'!$E$45+'Appendix K'!$F$45+'Appendix K'!$H$45+'Appendix K'!$G$45))/((1+$Y$16)^AM$34))</f>
        <v>1117647.3942223287</v>
      </c>
      <c r="AN706" s="193">
        <f>(((Q706*'Appendix K'!$C$20*1000)-('Appendix K'!$E$46+'Appendix K'!$F$46+'Appendix K'!$H$46+'Appendix K'!$G$46))/((1+$Y$16)^AN$34))</f>
        <v>1318114.423111327</v>
      </c>
      <c r="AO706" s="193">
        <f>(((R706*'Appendix K'!$C$21*1000)-('Appendix K'!$E$47+'Appendix K'!$F$47+'Appendix K'!$H$47+'Appendix K'!$G$47))/((1+$Y$16)^AO$34))</f>
        <v>1692831.6647508314</v>
      </c>
      <c r="AP706" s="193">
        <f>(((S706*'Appendix K'!$C$22*1000)-('Appendix K'!$E$48+'Appendix K'!$F$48+'Appendix K'!$H$48+'Appendix K'!$G$48))/((1+$Y$16)^AP$34))</f>
        <v>1630406.4380253027</v>
      </c>
      <c r="AQ706" s="193">
        <f>(((T706*'Appendix K'!$C$23*1000)-('Appendix K'!$E$49+'Appendix K'!$F$49+'Appendix K'!$H$49+'Appendix K'!$G$49))/((1+$Y$16)^AQ$34))</f>
        <v>1263386.3652054211</v>
      </c>
      <c r="AR706" s="193">
        <f>(((U706*'Appendix K'!$C$24*1000)-('Appendix K'!$E$50+'Appendix K'!$F$50+'Appendix K'!$H$50+'Appendix K'!$G$50))/((1+$Y$16)^AR$34))</f>
        <v>498104.59100893134</v>
      </c>
      <c r="AS706" s="209">
        <f t="shared" si="36"/>
        <v>120736267.63390329</v>
      </c>
      <c r="AU706" s="199">
        <f t="shared" si="35"/>
        <v>5.9289880576537327E-9</v>
      </c>
    </row>
    <row r="707" spans="1:47" x14ac:dyDescent="0.35">
      <c r="A707">
        <v>673</v>
      </c>
      <c r="B707" s="70">
        <v>56</v>
      </c>
      <c r="C707" s="70">
        <v>55.259223871931709</v>
      </c>
      <c r="D707" s="70">
        <v>48.802259383418672</v>
      </c>
      <c r="E707" s="70">
        <v>33.486146317445247</v>
      </c>
      <c r="F707" s="70">
        <v>25.176956092520836</v>
      </c>
      <c r="G707" s="70">
        <v>24.810126833999334</v>
      </c>
      <c r="H707" s="70">
        <v>33.662958303804956</v>
      </c>
      <c r="I707" s="70">
        <v>54.708427316055499</v>
      </c>
      <c r="J707" s="70">
        <v>90.960905356037472</v>
      </c>
      <c r="K707" s="70">
        <v>79.130138225205556</v>
      </c>
      <c r="L707" s="70">
        <v>94.757382205797157</v>
      </c>
      <c r="M707" s="70">
        <v>89.670171809932256</v>
      </c>
      <c r="N707" s="70">
        <v>92.806642863012996</v>
      </c>
      <c r="O707" s="70">
        <v>78.63727832496312</v>
      </c>
      <c r="P707" s="70">
        <v>94.998058049540901</v>
      </c>
      <c r="Q707" s="70">
        <v>101.56001389375253</v>
      </c>
      <c r="R707" s="70">
        <v>131.89783283298323</v>
      </c>
      <c r="S707" s="70">
        <v>140.41116590145933</v>
      </c>
      <c r="T707" s="70">
        <v>185.79607504572587</v>
      </c>
      <c r="U707" s="70">
        <v>253.87079568709117</v>
      </c>
      <c r="V707" s="70">
        <v>159.99381692893763</v>
      </c>
      <c r="X707" s="193">
        <f>((0-('Appendix K'!$I$30))/(1+$Y$16)^0)</f>
        <v>-33594902.4440751</v>
      </c>
      <c r="Y707" s="193">
        <f>(((B707*'Appendix K'!$C$5*1000)-('Appendix K'!$E$31+'Appendix K'!$F$31+'Appendix K'!$H$31+'Appendix K'!$G$31))/((1+$Y$16)^1))</f>
        <v>34971064.972647354</v>
      </c>
      <c r="Z707" s="193">
        <f>+(((C707*'Appendix K'!$C$6*1000)-('Appendix K'!$E$32+'Appendix K'!$F$32+'Appendix K'!$H$32+'Appendix K'!$G$32))/((1+$Y$16)^2))</f>
        <v>10472177.385526359</v>
      </c>
      <c r="AA707" s="193">
        <f>(((D707*'Appendix K'!$C$7*1000)-('Appendix K'!$E$33+'Appendix K'!$F$33+'Appendix K'!$H$33+'Appendix K'!$G$33))/((1+$Y$16)^3))</f>
        <v>3251283.4968463411</v>
      </c>
      <c r="AB707" s="193">
        <f>(((E707*'Appendix K'!$C$8*1000)-('Appendix K'!$E$34+'Appendix K'!$F$34+'Appendix K'!$H$34+'Appendix K'!$G$34))/((1+$Y$16)^4))</f>
        <v>4046648.8477641512</v>
      </c>
      <c r="AC707" s="193">
        <f>(((F707*'Appendix K'!$C$9*1000)-('Appendix K'!$E$35+'Appendix K'!$F$35+'Appendix K'!$H$35+'Appendix K'!$G$35))/((1+$Y$16)^AC$34))</f>
        <v>3707766.8753172671</v>
      </c>
      <c r="AD707" s="193">
        <f>(((G707*'Appendix K'!$C$10*1000)-('Appendix K'!$E$36+'Appendix K'!$F$36+'Appendix K'!$H$36+'Appendix K'!$G$36))/((1+$Y$16)^AD$34))</f>
        <v>1380517.3778413432</v>
      </c>
      <c r="AE707" s="193">
        <f>(((H707*'Appendix K'!$C$11*1000)-('Appendix K'!$E$37+'Appendix K'!$F$37+'Appendix K'!$H$37+'Appendix K'!$G$37))/((1+$Y$16)^AE$34))</f>
        <v>1137522.6754525525</v>
      </c>
      <c r="AF707" s="193">
        <f>(((I707*'Appendix K'!$C$12*1000)-('Appendix K'!$E$38+'Appendix K'!$F$38+'Appendix K'!$H$38+'Appendix K'!$G$38))/((1+$Y$16)^AF$34))</f>
        <v>1595709.106416048</v>
      </c>
      <c r="AG707" s="193">
        <f>(((J707*'Appendix K'!$C$13*1000)-('Appendix K'!$E$39+'Appendix K'!$F$39+'Appendix K'!$H$39+'Appendix K'!$G$39))/((1+$Y$16)^AG$34))</f>
        <v>2370979.8983371872</v>
      </c>
      <c r="AH707" s="193">
        <f>(((K707*'Appendix K'!$C$14*1000)-('Appendix K'!$E$40+'Appendix K'!$F$40+'Appendix K'!$H$40+'Appendix K'!$G$40))/((1+$Y$16)^AH$34))</f>
        <v>1034460.9652464269</v>
      </c>
      <c r="AI707" s="193">
        <f>(((L707*'Appendix K'!$C$15*1000)-('Appendix K'!$E$41+'Appendix K'!$F$41+'Appendix K'!$H$41+'Appendix K'!$G$41))/((1+$Y$16)^AI$34))</f>
        <v>966339.26263447036</v>
      </c>
      <c r="AJ707" s="193">
        <f>(((M707*'Appendix K'!$C$16*1000)-('Appendix K'!$E$42+'Appendix K'!$F$42+'Appendix K'!$H$42+'Appendix K'!$G$42))/((1+$Y$16)^AJ$34))</f>
        <v>415606.69659649866</v>
      </c>
      <c r="AK707" s="193">
        <f>(((N707*'Appendix K'!$C$17*1000)-('Appendix K'!$E$43+'Appendix K'!$F$43+'Appendix K'!$H$43))/((1+$Y$16)^AK$34))</f>
        <v>421613.12841484137</v>
      </c>
      <c r="AL707" s="193">
        <f>(((O707*'Appendix K'!$C$18*1000)-('Appendix K'!$E$44+'Appendix K'!$F$44+'Appendix K'!$H$44+'Appendix K'!$G$44))/((1+$Y$16)^AL$34))</f>
        <v>-202478.32649807516</v>
      </c>
      <c r="AM707" s="193">
        <f>(((P707*'Appendix K'!$C$19*1000)-('Appendix K'!$E$45+'Appendix K'!$F$45+'Appendix K'!$H$45+'Appendix K'!$G$45))/((1+$Y$16)^AM$34))</f>
        <v>-146254.42126530292</v>
      </c>
      <c r="AN707" s="193">
        <f>(((Q707*'Appendix K'!$C$20*1000)-('Appendix K'!$E$46+'Appendix K'!$F$46+'Appendix K'!$H$46+'Appendix K'!$G$46))/((1+$Y$16)^AN$34))</f>
        <v>-180798.55088835637</v>
      </c>
      <c r="AO707" s="193">
        <f>(((R707*'Appendix K'!$C$21*1000)-('Appendix K'!$E$47+'Appendix K'!$F$47+'Appendix K'!$H$47+'Appendix K'!$G$47))/((1+$Y$16)^AO$34))</f>
        <v>-63468.161260194087</v>
      </c>
      <c r="AP707" s="193">
        <f>(((S707*'Appendix K'!$C$22*1000)-('Appendix K'!$E$48+'Appendix K'!$F$48+'Appendix K'!$H$48+'Appendix K'!$G$48))/((1+$Y$16)^AP$34))</f>
        <v>-91923.155710341613</v>
      </c>
      <c r="AQ707" s="193">
        <f>(((T707*'Appendix K'!$C$23*1000)-('Appendix K'!$E$49+'Appendix K'!$F$49+'Appendix K'!$H$49+'Appendix K'!$G$49))/((1+$Y$16)^AQ$34))</f>
        <v>33672.641202112303</v>
      </c>
      <c r="AR707" s="193">
        <f>(((U707*'Appendix K'!$C$24*1000)-('Appendix K'!$E$50+'Appendix K'!$F$50+'Appendix K'!$H$50+'Appendix K'!$G$50))/((1+$Y$16)^AR$34))</f>
        <v>188182.20597404623</v>
      </c>
      <c r="AS707" s="209">
        <f t="shared" si="36"/>
        <v>32398643.092141896</v>
      </c>
      <c r="AU707" s="199">
        <f t="shared" si="35"/>
        <v>4.3788429922919103E-9</v>
      </c>
    </row>
    <row r="708" spans="1:47" x14ac:dyDescent="0.35">
      <c r="A708">
        <v>674</v>
      </c>
      <c r="B708" s="70">
        <v>56</v>
      </c>
      <c r="C708" s="70">
        <v>97.136006276763396</v>
      </c>
      <c r="D708" s="70">
        <v>145.67270068869703</v>
      </c>
      <c r="E708" s="70">
        <v>225.37284533149128</v>
      </c>
      <c r="F708" s="70">
        <v>274.51160876263384</v>
      </c>
      <c r="G708" s="70">
        <v>324.8058957522407</v>
      </c>
      <c r="H708" s="70">
        <v>241.15525577852009</v>
      </c>
      <c r="I708" s="70">
        <v>266.62730873103476</v>
      </c>
      <c r="J708" s="70">
        <v>412.93039968282164</v>
      </c>
      <c r="K708" s="70">
        <v>345.0259052310189</v>
      </c>
      <c r="L708" s="70">
        <v>256.99395309982543</v>
      </c>
      <c r="M708" s="70">
        <v>280.71433734731295</v>
      </c>
      <c r="N708" s="70">
        <v>320.6322742468675</v>
      </c>
      <c r="O708" s="70">
        <v>314.0387384982717</v>
      </c>
      <c r="P708" s="70">
        <v>343.59425144189709</v>
      </c>
      <c r="Q708" s="70">
        <v>482.53248865602097</v>
      </c>
      <c r="R708" s="70">
        <v>198.71494478274417</v>
      </c>
      <c r="S708" s="70">
        <v>169.94348954565757</v>
      </c>
      <c r="T708" s="70">
        <v>296.4286571045206</v>
      </c>
      <c r="U708" s="70">
        <v>352.61284590977652</v>
      </c>
      <c r="V708" s="70">
        <v>437.54174107616927</v>
      </c>
      <c r="X708" s="193">
        <f>((0-('Appendix K'!$I$30))/(1+$Y$16)^0)</f>
        <v>-33594902.4440751</v>
      </c>
      <c r="Y708" s="193">
        <f>(((B708*'Appendix K'!$C$5*1000)-('Appendix K'!$E$31+'Appendix K'!$F$31+'Appendix K'!$H$31+'Appendix K'!$G$31))/((1+$Y$16)^1))</f>
        <v>34971064.972647354</v>
      </c>
      <c r="Z708" s="193">
        <f>+(((C708*'Appendix K'!$C$6*1000)-('Appendix K'!$E$32+'Appendix K'!$F$32+'Appendix K'!$H$32+'Appendix K'!$G$32))/((1+$Y$16)^2))</f>
        <v>21050968.844792627</v>
      </c>
      <c r="AA708" s="193">
        <f>(((D708*'Appendix K'!$C$7*1000)-('Appendix K'!$E$33+'Appendix K'!$F$33+'Appendix K'!$H$33+'Appendix K'!$G$33))/((1+$Y$16)^3))</f>
        <v>15590143.593414256</v>
      </c>
      <c r="AB708" s="193">
        <f>(((E708*'Appendix K'!$C$8*1000)-('Appendix K'!$E$34+'Appendix K'!$F$34+'Appendix K'!$H$34+'Appendix K'!$G$34))/((1+$Y$16)^4))</f>
        <v>46106456.717982456</v>
      </c>
      <c r="AC708" s="193">
        <f>(((F708*'Appendix K'!$C$9*1000)-('Appendix K'!$E$35+'Appendix K'!$F$35+'Appendix K'!$H$35+'Appendix K'!$G$35))/((1+$Y$16)^AC$34))</f>
        <v>69980526.029369339</v>
      </c>
      <c r="AD708" s="193">
        <f>(((G708*'Appendix K'!$C$10*1000)-('Appendix K'!$E$36+'Appendix K'!$F$36+'Appendix K'!$H$36+'Appendix K'!$G$36))/((1+$Y$16)^AD$34))</f>
        <v>48493038.366938226</v>
      </c>
      <c r="AE708" s="193">
        <f>(((H708*'Appendix K'!$C$11*1000)-('Appendix K'!$E$37+'Appendix K'!$F$37+'Appendix K'!$H$37+'Appendix K'!$G$37))/((1+$Y$16)^AE$34))</f>
        <v>21832312.427414838</v>
      </c>
      <c r="AF708" s="193">
        <f>(((I708*'Appendix K'!$C$12*1000)-('Appendix K'!$E$38+'Appendix K'!$F$38+'Appendix K'!$H$38+'Appendix K'!$G$38))/((1+$Y$16)^AF$34))</f>
        <v>15510817.195521776</v>
      </c>
      <c r="AG708" s="193">
        <f>(((J708*'Appendix K'!$C$13*1000)-('Appendix K'!$E$39+'Appendix K'!$F$39+'Appendix K'!$H$39+'Appendix K'!$G$39))/((1+$Y$16)^AG$34))</f>
        <v>17187672.344715878</v>
      </c>
      <c r="AH708" s="193">
        <f>(((K708*'Appendix K'!$C$14*1000)-('Appendix K'!$E$40+'Appendix K'!$F$40+'Appendix K'!$H$40+'Appendix K'!$G$40))/((1+$Y$16)^AH$34))</f>
        <v>9996883.7501762733</v>
      </c>
      <c r="AI708" s="193">
        <f>(((L708*'Appendix K'!$C$15*1000)-('Appendix K'!$E$41+'Appendix K'!$F$41+'Appendix K'!$H$41+'Appendix K'!$G$41))/((1+$Y$16)^AI$34))</f>
        <v>5217240.8039332302</v>
      </c>
      <c r="AJ708" s="193">
        <f>(((M708*'Appendix K'!$C$16*1000)-('Appendix K'!$E$42+'Appendix K'!$F$42+'Appendix K'!$H$42+'Appendix K'!$G$42))/((1+$Y$16)^AJ$34))</f>
        <v>4244488.4492097301</v>
      </c>
      <c r="AK708" s="193">
        <f>(((N708*'Appendix K'!$C$17*1000)-('Appendix K'!$E$43+'Appendix K'!$F$43+'Appendix K'!$H$43))/((1+$Y$16)^AK$34))</f>
        <v>3921902.7683539391</v>
      </c>
      <c r="AL708" s="193">
        <f>(((O708*'Appendix K'!$C$18*1000)-('Appendix K'!$E$44+'Appendix K'!$F$44+'Appendix K'!$H$44+'Appendix K'!$G$44))/((1+$Y$16)^AL$34))</f>
        <v>2587804.4483162803</v>
      </c>
      <c r="AM708" s="193">
        <f>(((P708*'Appendix K'!$C$19*1000)-('Appendix K'!$E$45+'Appendix K'!$F$45+'Appendix K'!$H$45+'Appendix K'!$G$45))/((1+$Y$16)^AM$34))</f>
        <v>2157917.0198683757</v>
      </c>
      <c r="AN708" s="193">
        <f>(((Q708*'Appendix K'!$C$20*1000)-('Appendix K'!$E$46+'Appendix K'!$F$46+'Appendix K'!$H$46+'Appendix K'!$G$46))/((1+$Y$16)^AN$34))</f>
        <v>2576000.9059486324</v>
      </c>
      <c r="AO708" s="193">
        <f>(((R708*'Appendix K'!$C$21*1000)-('Appendix K'!$E$47+'Appendix K'!$F$47+'Appendix K'!$H$47+'Appendix K'!$G$47))/((1+$Y$16)^AO$34))</f>
        <v>331428.35232010979</v>
      </c>
      <c r="AP708" s="193">
        <f>(((S708*'Appendix K'!$C$22*1000)-('Appendix K'!$E$48+'Appendix K'!$F$48+'Appendix K'!$H$48+'Appendix K'!$G$48))/((1+$Y$16)^AP$34))</f>
        <v>49528.386053168193</v>
      </c>
      <c r="AQ708" s="193">
        <f>(((T708*'Appendix K'!$C$23*1000)-('Appendix K'!$E$49+'Appendix K'!$F$49+'Appendix K'!$H$49+'Appendix K'!$G$49))/((1+$Y$16)^AQ$34))</f>
        <v>466660.24471286038</v>
      </c>
      <c r="AR708" s="193">
        <f>(((U708*'Appendix K'!$C$24*1000)-('Appendix K'!$E$50+'Appendix K'!$F$50+'Appendix K'!$H$50+'Appendix K'!$G$50))/((1+$Y$16)^AR$34))</f>
        <v>506134.37433063332</v>
      </c>
      <c r="AS708" s="209">
        <f t="shared" si="36"/>
        <v>289184087.55194491</v>
      </c>
      <c r="AU708" s="199">
        <f t="shared" si="35"/>
        <v>1.2811789451929794E-11</v>
      </c>
    </row>
    <row r="709" spans="1:47" x14ac:dyDescent="0.35">
      <c r="A709">
        <v>675</v>
      </c>
      <c r="B709" s="70">
        <v>56</v>
      </c>
      <c r="C709" s="70">
        <v>55.842975150294947</v>
      </c>
      <c r="D709" s="70">
        <v>83.176122150994217</v>
      </c>
      <c r="E709" s="70">
        <v>107.84485788174939</v>
      </c>
      <c r="F709" s="70">
        <v>119.51136549618927</v>
      </c>
      <c r="G709" s="70">
        <v>105.96529324529273</v>
      </c>
      <c r="H709" s="70">
        <v>88.376127283265745</v>
      </c>
      <c r="I709" s="70">
        <v>93.122852461703673</v>
      </c>
      <c r="J709" s="70">
        <v>113.33214624717347</v>
      </c>
      <c r="K709" s="70">
        <v>145.10076674674528</v>
      </c>
      <c r="L709" s="70">
        <v>173.5011670422231</v>
      </c>
      <c r="M709" s="70">
        <v>220.25304390416102</v>
      </c>
      <c r="N709" s="70">
        <v>287.05584809599674</v>
      </c>
      <c r="O709" s="70">
        <v>351.7122292893863</v>
      </c>
      <c r="P709" s="70">
        <v>421.68634693033624</v>
      </c>
      <c r="Q709" s="70">
        <v>419.09004456653429</v>
      </c>
      <c r="R709" s="70">
        <v>309.47950269102455</v>
      </c>
      <c r="S709" s="70">
        <v>500</v>
      </c>
      <c r="T709" s="70">
        <v>500</v>
      </c>
      <c r="U709" s="70">
        <v>246.49961375260267</v>
      </c>
      <c r="V709" s="70">
        <v>152.64930670605182</v>
      </c>
      <c r="X709" s="193">
        <f>((0-('Appendix K'!$I$30))/(1+$Y$16)^0)</f>
        <v>-33594902.4440751</v>
      </c>
      <c r="Y709" s="193">
        <f>(((B709*'Appendix K'!$C$5*1000)-('Appendix K'!$E$31+'Appendix K'!$F$31+'Appendix K'!$H$31+'Appendix K'!$G$31))/((1+$Y$16)^1))</f>
        <v>34971064.972647354</v>
      </c>
      <c r="Z709" s="193">
        <f>+(((C709*'Appendix K'!$C$6*1000)-('Appendix K'!$E$32+'Appendix K'!$F$32+'Appendix K'!$H$32+'Appendix K'!$G$32))/((1+$Y$16)^2))</f>
        <v>10619642.942411464</v>
      </c>
      <c r="AA709" s="193">
        <f>(((D709*'Appendix K'!$C$7*1000)-('Appendix K'!$E$33+'Appendix K'!$F$33+'Appendix K'!$H$33+'Appendix K'!$G$33))/((1+$Y$16)^3))</f>
        <v>7629649.8793336367</v>
      </c>
      <c r="AB709" s="193">
        <f>(((E709*'Appendix K'!$C$8*1000)-('Appendix K'!$E$34+'Appendix K'!$F$34+'Appendix K'!$H$34+'Appendix K'!$G$34))/((1+$Y$16)^4))</f>
        <v>20345397.734171752</v>
      </c>
      <c r="AC709" s="193">
        <f>(((F709*'Appendix K'!$C$9*1000)-('Appendix K'!$E$35+'Appendix K'!$F$35+'Appendix K'!$H$35+'Appendix K'!$G$35))/((1+$Y$16)^AC$34))</f>
        <v>28781704.763207357</v>
      </c>
      <c r="AD709" s="193">
        <f>(((G709*'Appendix K'!$C$10*1000)-('Appendix K'!$E$36+'Appendix K'!$F$36+'Appendix K'!$H$36+'Appendix K'!$G$36))/((1+$Y$16)^AD$34))</f>
        <v>14125445.397035236</v>
      </c>
      <c r="AE709" s="193">
        <f>(((H709*'Appendix K'!$C$11*1000)-('Appendix K'!$E$37+'Appendix K'!$F$37+'Appendix K'!$H$37+'Appendix K'!$G$37))/((1+$Y$16)^AE$34))</f>
        <v>6594484.4155937945</v>
      </c>
      <c r="AF709" s="193">
        <f>(((I709*'Appendix K'!$C$12*1000)-('Appendix K'!$E$38+'Appendix K'!$F$38+'Appendix K'!$H$38+'Appendix K'!$G$38))/((1+$Y$16)^AF$34))</f>
        <v>4118093.4947887771</v>
      </c>
      <c r="AG709" s="193">
        <f>(((J709*'Appendix K'!$C$13*1000)-('Appendix K'!$E$39+'Appendix K'!$F$39+'Appendix K'!$H$39+'Appendix K'!$G$39))/((1+$Y$16)^AG$34))</f>
        <v>3400480.5242299875</v>
      </c>
      <c r="AH709" s="193">
        <f>(((K709*'Appendix K'!$C$14*1000)-('Appendix K'!$E$40+'Appendix K'!$F$40+'Appendix K'!$H$40+'Appendix K'!$G$40))/((1+$Y$16)^AH$34))</f>
        <v>3258101.7206280781</v>
      </c>
      <c r="AI709" s="193">
        <f>(((L709*'Appendix K'!$C$15*1000)-('Appendix K'!$E$41+'Appendix K'!$F$41+'Appendix K'!$H$41+'Appendix K'!$G$41))/((1+$Y$16)^AI$34))</f>
        <v>3029573.6769485241</v>
      </c>
      <c r="AJ709" s="193">
        <f>(((M709*'Appendix K'!$C$16*1000)-('Appendix K'!$E$42+'Appendix K'!$F$42+'Appendix K'!$H$42+'Appendix K'!$G$42))/((1+$Y$16)^AJ$34))</f>
        <v>3032731.2487074095</v>
      </c>
      <c r="AK709" s="193">
        <f>(((N709*'Appendix K'!$C$17*1000)-('Appendix K'!$E$43+'Appendix K'!$F$43+'Appendix K'!$H$43))/((1+$Y$16)^AK$34))</f>
        <v>3406037.999810596</v>
      </c>
      <c r="AL709" s="193">
        <f>(((O709*'Appendix K'!$C$18*1000)-('Appendix K'!$E$44+'Appendix K'!$F$44+'Appendix K'!$H$44+'Appendix K'!$G$44))/((1+$Y$16)^AL$34))</f>
        <v>3034359.4201681223</v>
      </c>
      <c r="AM709" s="193">
        <f>(((P709*'Appendix K'!$C$19*1000)-('Appendix K'!$E$45+'Appendix K'!$F$45+'Appendix K'!$H$45+'Appendix K'!$G$45))/((1+$Y$16)^AM$34))</f>
        <v>2881731.7080472596</v>
      </c>
      <c r="AN709" s="193">
        <f>(((Q709*'Appendix K'!$C$20*1000)-('Appendix K'!$E$46+'Appendix K'!$F$46+'Appendix K'!$H$46+'Appendix K'!$G$46))/((1+$Y$16)^AN$34))</f>
        <v>2116917.6204292611</v>
      </c>
      <c r="AO709" s="193">
        <f>(((R709*'Appendix K'!$C$21*1000)-('Appendix K'!$E$47+'Appendix K'!$F$47+'Appendix K'!$H$47+'Appendix K'!$G$47))/((1+$Y$16)^AO$34))</f>
        <v>986059.12683086155</v>
      </c>
      <c r="AP709" s="193">
        <f>(((S709*'Appendix K'!$C$22*1000)-('Appendix K'!$E$48+'Appendix K'!$F$48+'Appendix K'!$H$48+'Appendix K'!$G$48))/((1+$Y$16)^AP$34))</f>
        <v>1630406.4380253027</v>
      </c>
      <c r="AQ709" s="193">
        <f>(((T709*'Appendix K'!$C$23*1000)-('Appendix K'!$E$49+'Appendix K'!$F$49+'Appendix K'!$H$49+'Appendix K'!$G$49))/((1+$Y$16)^AQ$34))</f>
        <v>1263386.3652054211</v>
      </c>
      <c r="AR709" s="193">
        <f>(((U709*'Appendix K'!$C$24*1000)-('Appendix K'!$E$50+'Appendix K'!$F$50+'Appendix K'!$H$50+'Appendix K'!$G$50))/((1+$Y$16)^AR$34))</f>
        <v>164446.79361288922</v>
      </c>
      <c r="AS709" s="209">
        <f t="shared" si="36"/>
        <v>121794813.79775801</v>
      </c>
      <c r="AU709" s="199">
        <f t="shared" si="35"/>
        <v>5.8637791192538078E-9</v>
      </c>
    </row>
    <row r="710" spans="1:47" x14ac:dyDescent="0.35">
      <c r="A710">
        <v>676</v>
      </c>
      <c r="B710" s="70">
        <v>56</v>
      </c>
      <c r="C710" s="70">
        <v>63.967883816435794</v>
      </c>
      <c r="D710" s="70">
        <v>70.70062272037886</v>
      </c>
      <c r="E710" s="70">
        <v>82.232246972580526</v>
      </c>
      <c r="F710" s="70">
        <v>65.113041195196502</v>
      </c>
      <c r="G710" s="70">
        <v>95.763948045241634</v>
      </c>
      <c r="H710" s="70">
        <v>145.20107423370212</v>
      </c>
      <c r="I710" s="70">
        <v>174.71082161838623</v>
      </c>
      <c r="J710" s="70">
        <v>202.12020984243776</v>
      </c>
      <c r="K710" s="70">
        <v>277.87896125182874</v>
      </c>
      <c r="L710" s="70">
        <v>367.77534990230026</v>
      </c>
      <c r="M710" s="70">
        <v>469.901542144019</v>
      </c>
      <c r="N710" s="70">
        <v>357.80851563693398</v>
      </c>
      <c r="O710" s="70">
        <v>500</v>
      </c>
      <c r="P710" s="70">
        <v>500</v>
      </c>
      <c r="Q710" s="70">
        <v>500</v>
      </c>
      <c r="R710" s="70">
        <v>500</v>
      </c>
      <c r="S710" s="70">
        <v>420.1404365014676</v>
      </c>
      <c r="T710" s="70">
        <v>320.34514815400053</v>
      </c>
      <c r="U710" s="70">
        <v>293.22084018569973</v>
      </c>
      <c r="V710" s="70">
        <v>397.62926430384709</v>
      </c>
      <c r="X710" s="193">
        <f>((0-('Appendix K'!$I$30))/(1+$Y$16)^0)</f>
        <v>-33594902.4440751</v>
      </c>
      <c r="Y710" s="193">
        <f>(((B710*'Appendix K'!$C$5*1000)-('Appendix K'!$E$31+'Appendix K'!$F$31+'Appendix K'!$H$31+'Appendix K'!$G$31))/((1+$Y$16)^1))</f>
        <v>34971064.972647354</v>
      </c>
      <c r="Z710" s="193">
        <f>+(((C710*'Appendix K'!$C$6*1000)-('Appendix K'!$E$32+'Appendix K'!$F$32+'Appendix K'!$H$32+'Appendix K'!$G$32))/((1+$Y$16)^2))</f>
        <v>12672133.832799742</v>
      </c>
      <c r="AA710" s="193">
        <f>(((D710*'Appendix K'!$C$7*1000)-('Appendix K'!$E$33+'Appendix K'!$F$33+'Appendix K'!$H$33+'Appendix K'!$G$33))/((1+$Y$16)^3))</f>
        <v>6040584.7317509148</v>
      </c>
      <c r="AB710" s="193">
        <f>(((E710*'Appendix K'!$C$8*1000)-('Appendix K'!$E$34+'Appendix K'!$F$34+'Appendix K'!$H$34+'Appendix K'!$G$34))/((1+$Y$16)^4))</f>
        <v>14731347.883767867</v>
      </c>
      <c r="AC710" s="193">
        <f>(((F710*'Appendix K'!$C$9*1000)-('Appendix K'!$E$35+'Appendix K'!$F$35+'Appendix K'!$H$35+'Appendix K'!$G$35))/((1+$Y$16)^AC$34))</f>
        <v>14322715.584701376</v>
      </c>
      <c r="AD710" s="193">
        <f>(((G710*'Appendix K'!$C$10*1000)-('Appendix K'!$E$36+'Appendix K'!$F$36+'Appendix K'!$H$36+'Appendix K'!$G$36))/((1+$Y$16)^AD$34))</f>
        <v>12523385.836037187</v>
      </c>
      <c r="AE710" s="193">
        <f>(((H710*'Appendix K'!$C$11*1000)-('Appendix K'!$E$37+'Appendix K'!$F$37+'Appendix K'!$H$37+'Appendix K'!$G$37))/((1+$Y$16)^AE$34))</f>
        <v>12262069.883189261</v>
      </c>
      <c r="AF710" s="193">
        <f>(((I710*'Appendix K'!$C$12*1000)-('Appendix K'!$E$38+'Appendix K'!$F$38+'Appendix K'!$H$38+'Appendix K'!$G$38))/((1+$Y$16)^AF$34))</f>
        <v>9475357.5668027699</v>
      </c>
      <c r="AG710" s="193">
        <f>(((J710*'Appendix K'!$C$13*1000)-('Appendix K'!$E$39+'Appendix K'!$F$39+'Appendix K'!$H$39+'Appendix K'!$G$39))/((1+$Y$16)^AG$34))</f>
        <v>7486412.4351125909</v>
      </c>
      <c r="AH710" s="193">
        <f>(((K710*'Appendix K'!$C$14*1000)-('Appendix K'!$E$40+'Appendix K'!$F$40+'Appendix K'!$H$40+'Appendix K'!$G$40))/((1+$Y$16)^AH$34))</f>
        <v>7733593.4863476483</v>
      </c>
      <c r="AI710" s="193">
        <f>(((L710*'Appendix K'!$C$15*1000)-('Appendix K'!$E$41+'Appendix K'!$F$41+'Appendix K'!$H$41+'Appendix K'!$G$41))/((1+$Y$16)^AI$34))</f>
        <v>8119920.5623859139</v>
      </c>
      <c r="AJ710" s="193">
        <f>(((M710*'Appendix K'!$C$16*1000)-('Appendix K'!$E$42+'Appendix K'!$F$42+'Appendix K'!$H$42+'Appendix K'!$G$42))/((1+$Y$16)^AJ$34))</f>
        <v>8036153.241675091</v>
      </c>
      <c r="AK710" s="193">
        <f>(((N710*'Appendix K'!$C$17*1000)-('Appendix K'!$E$43+'Appendix K'!$F$43+'Appendix K'!$H$43))/((1+$Y$16)^AK$34))</f>
        <v>4493074.7291166764</v>
      </c>
      <c r="AL710" s="193">
        <f>(((O710*'Appendix K'!$C$18*1000)-('Appendix K'!$E$44+'Appendix K'!$F$44+'Appendix K'!$H$44+'Appendix K'!$G$44))/((1+$Y$16)^AL$34))</f>
        <v>4792058.0003928225</v>
      </c>
      <c r="AM710" s="193">
        <f>(((P710*'Appendix K'!$C$19*1000)-('Appendix K'!$E$45+'Appendix K'!$F$45+'Appendix K'!$H$45+'Appendix K'!$G$45))/((1+$Y$16)^AM$34))</f>
        <v>3607599.9540230581</v>
      </c>
      <c r="AN710" s="193">
        <f>(((Q710*'Appendix K'!$C$20*1000)-('Appendix K'!$E$46+'Appendix K'!$F$46+'Appendix K'!$H$46+'Appendix K'!$G$46))/((1+$Y$16)^AN$34))</f>
        <v>2702399.606577659</v>
      </c>
      <c r="AO710" s="193">
        <f>(((R710*'Appendix K'!$C$21*1000)-('Appendix K'!$E$47+'Appendix K'!$F$47+'Appendix K'!$H$47+'Appendix K'!$G$47))/((1+$Y$16)^AO$34))</f>
        <v>2112056.3146391152</v>
      </c>
      <c r="AP710" s="193">
        <f>(((S710*'Appendix K'!$C$22*1000)-('Appendix K'!$E$48+'Appendix K'!$F$48+'Appendix K'!$H$48+'Appendix K'!$G$48))/((1+$Y$16)^AP$34))</f>
        <v>1247901.5421178814</v>
      </c>
      <c r="AQ710" s="193">
        <f>(((T710*'Appendix K'!$C$23*1000)-('Appendix K'!$E$49+'Appendix K'!$F$49+'Appendix K'!$H$49+'Appendix K'!$G$49))/((1+$Y$16)^AQ$34))</f>
        <v>560263.26790179056</v>
      </c>
      <c r="AR710" s="193">
        <f>(((U710*'Appendix K'!$C$24*1000)-('Appendix K'!$E$50+'Appendix K'!$F$50+'Appendix K'!$H$50+'Appendix K'!$G$50))/((1+$Y$16)^AR$34))</f>
        <v>314890.45180289733</v>
      </c>
      <c r="AS710" s="209">
        <f t="shared" si="36"/>
        <v>134610081.43971452</v>
      </c>
      <c r="AU710" s="199">
        <f t="shared" si="35"/>
        <v>4.9893391250272302E-9</v>
      </c>
    </row>
    <row r="711" spans="1:47" x14ac:dyDescent="0.35">
      <c r="A711">
        <v>677</v>
      </c>
      <c r="B711" s="70">
        <v>56</v>
      </c>
      <c r="C711" s="70">
        <v>25.936500827952052</v>
      </c>
      <c r="D711" s="70">
        <v>39.074231747715629</v>
      </c>
      <c r="E711" s="70">
        <v>49.398026365197396</v>
      </c>
      <c r="F711" s="70">
        <v>76.688501074585957</v>
      </c>
      <c r="G711" s="70">
        <v>70.113311238774003</v>
      </c>
      <c r="H711" s="70">
        <v>94.39461903034092</v>
      </c>
      <c r="I711" s="70">
        <v>81.725857449146318</v>
      </c>
      <c r="J711" s="70">
        <v>78.785224352700027</v>
      </c>
      <c r="K711" s="70">
        <v>60.768790982953362</v>
      </c>
      <c r="L711" s="70">
        <v>37.702962903982858</v>
      </c>
      <c r="M711" s="70">
        <v>49.939786872030901</v>
      </c>
      <c r="N711" s="70">
        <v>33.520975039322252</v>
      </c>
      <c r="O711" s="70">
        <v>34.649931521837622</v>
      </c>
      <c r="P711" s="70">
        <v>43.232164809097533</v>
      </c>
      <c r="Q711" s="70">
        <v>60.635432259454262</v>
      </c>
      <c r="R711" s="70">
        <v>62.921928829846379</v>
      </c>
      <c r="S711" s="70">
        <v>35.239793909352969</v>
      </c>
      <c r="T711" s="70">
        <v>31.56078734724845</v>
      </c>
      <c r="U711" s="70">
        <v>46.946961604419734</v>
      </c>
      <c r="V711" s="70">
        <v>28.326371637084009</v>
      </c>
      <c r="X711" s="193">
        <f>((0-('Appendix K'!$I$30))/(1+$Y$16)^0)</f>
        <v>-33594902.4440751</v>
      </c>
      <c r="Y711" s="193">
        <f>(((B711*'Appendix K'!$C$5*1000)-('Appendix K'!$E$31+'Appendix K'!$F$31+'Appendix K'!$H$31+'Appendix K'!$G$31))/((1+$Y$16)^1))</f>
        <v>34971064.972647354</v>
      </c>
      <c r="Z711" s="193">
        <f>+(((C711*'Appendix K'!$C$6*1000)-('Appendix K'!$E$32+'Appendix K'!$F$32+'Appendix K'!$H$32+'Appendix K'!$G$32))/((1+$Y$16)^2))</f>
        <v>3064756.0344463419</v>
      </c>
      <c r="AA711" s="193">
        <f>(((D711*'Appendix K'!$C$7*1000)-('Appendix K'!$E$33+'Appendix K'!$F$33+'Appendix K'!$H$33+'Appendix K'!$G$33))/((1+$Y$16)^3))</f>
        <v>2012177.2184490561</v>
      </c>
      <c r="AB711" s="193">
        <f>(((E711*'Appendix K'!$C$8*1000)-('Appendix K'!$E$34+'Appendix K'!$F$34+'Appendix K'!$H$34+'Appendix K'!$G$34))/((1+$Y$16)^4))</f>
        <v>7534387.2949893391</v>
      </c>
      <c r="AC711" s="193">
        <f>(((F711*'Appendix K'!$C$9*1000)-('Appendix K'!$E$35+'Appendix K'!$F$35+'Appendix K'!$H$35+'Appendix K'!$G$35))/((1+$Y$16)^AC$34))</f>
        <v>17399454.643909268</v>
      </c>
      <c r="AD711" s="193">
        <f>(((G711*'Appendix K'!$C$10*1000)-('Appendix K'!$E$36+'Appendix K'!$F$36+'Appendix K'!$H$36+'Appendix K'!$G$36))/((1+$Y$16)^AD$34))</f>
        <v>8495108.4730395973</v>
      </c>
      <c r="AE711" s="193">
        <f>(((H711*'Appendix K'!$C$11*1000)-('Appendix K'!$E$37+'Appendix K'!$F$37+'Appendix K'!$H$37+'Appendix K'!$G$37))/((1+$Y$16)^AE$34))</f>
        <v>7194754.5116190147</v>
      </c>
      <c r="AF711" s="193">
        <f>(((I711*'Appendix K'!$C$12*1000)-('Appendix K'!$E$38+'Appendix K'!$F$38+'Appendix K'!$H$38+'Appendix K'!$G$38))/((1+$Y$16)^AF$34))</f>
        <v>3369739.1413124437</v>
      </c>
      <c r="AG711" s="193">
        <f>(((J711*'Appendix K'!$C$13*1000)-('Appendix K'!$E$39+'Appendix K'!$F$39+'Appendix K'!$H$39+'Appendix K'!$G$39))/((1+$Y$16)^AG$34))</f>
        <v>1810668.0553507039</v>
      </c>
      <c r="AH711" s="193">
        <f>(((K711*'Appendix K'!$C$14*1000)-('Appendix K'!$E$40+'Appendix K'!$F$40+'Appendix K'!$H$40+'Appendix K'!$G$40))/((1+$Y$16)^AH$34))</f>
        <v>415563.72314639727</v>
      </c>
      <c r="AI711" s="193">
        <f>(((L711*'Appendix K'!$C$15*1000)-('Appendix K'!$E$41+'Appendix K'!$F$41+'Appendix K'!$H$41+'Appendix K'!$G$41))/((1+$Y$16)^AI$34))</f>
        <v>-528593.21536032599</v>
      </c>
      <c r="AJ711" s="193">
        <f>(((M711*'Appendix K'!$C$16*1000)-('Appendix K'!$E$42+'Appendix K'!$F$42+'Appendix K'!$H$42+'Appendix K'!$G$42))/((1+$Y$16)^AJ$34))</f>
        <v>-380664.39331158303</v>
      </c>
      <c r="AK711" s="193">
        <f>(((N711*'Appendix K'!$C$17*1000)-('Appendix K'!$E$43+'Appendix K'!$F$43+'Appendix K'!$H$43))/((1+$Y$16)^AK$34))</f>
        <v>-489245.79303152644</v>
      </c>
      <c r="AL711" s="193">
        <f>(((O711*'Appendix K'!$C$18*1000)-('Appendix K'!$E$44+'Appendix K'!$F$44+'Appendix K'!$H$44+'Appendix K'!$G$44))/((1+$Y$16)^AL$34))</f>
        <v>-723873.2915258375</v>
      </c>
      <c r="AM711" s="193">
        <f>(((P711*'Appendix K'!$C$19*1000)-('Appendix K'!$E$45+'Appendix K'!$F$45+'Appendix K'!$H$45+'Appendix K'!$G$45))/((1+$Y$16)^AM$34))</f>
        <v>-626058.60169838951</v>
      </c>
      <c r="AN711" s="193">
        <f>(((Q711*'Appendix K'!$C$20*1000)-('Appendix K'!$E$46+'Appendix K'!$F$46+'Appendix K'!$H$46+'Appendix K'!$G$46))/((1+$Y$16)^AN$34))</f>
        <v>-476937.69976286776</v>
      </c>
      <c r="AO711" s="193">
        <f>(((R711*'Appendix K'!$C$21*1000)-('Appendix K'!$E$47+'Appendix K'!$F$47+'Appendix K'!$H$47+'Appendix K'!$G$47))/((1+$Y$16)^AO$34))</f>
        <v>-471123.37437938247</v>
      </c>
      <c r="AP711" s="193">
        <f>(((S711*'Appendix K'!$C$22*1000)-('Appendix K'!$E$48+'Appendix K'!$F$48+'Appendix K'!$H$48+'Appendix K'!$G$48))/((1+$Y$16)^AP$34))</f>
        <v>-595664.51033245376</v>
      </c>
      <c r="AQ711" s="193">
        <f>(((T711*'Appendix K'!$C$23*1000)-('Appendix K'!$E$49+'Appendix K'!$F$49+'Appendix K'!$H$49+'Appendix K'!$G$49))/((1+$Y$16)^AQ$34))</f>
        <v>-569964.78960343276</v>
      </c>
      <c r="AR711" s="193">
        <f>(((U711*'Appendix K'!$C$24*1000)-('Appendix K'!$E$50+'Appendix K'!$F$50+'Appendix K'!$H$50+'Appendix K'!$G$50))/((1+$Y$16)^AR$34))</f>
        <v>-478118.33754179772</v>
      </c>
      <c r="AS711" s="209">
        <f t="shared" si="36"/>
        <v>52672771.624834426</v>
      </c>
      <c r="AU711" s="199">
        <f t="shared" si="35"/>
        <v>5.8157472811567556E-9</v>
      </c>
    </row>
    <row r="712" spans="1:47" x14ac:dyDescent="0.35">
      <c r="A712">
        <v>678</v>
      </c>
      <c r="B712" s="70">
        <v>56</v>
      </c>
      <c r="C712" s="70">
        <v>78.874587501255178</v>
      </c>
      <c r="D712" s="70">
        <v>92.001294982905179</v>
      </c>
      <c r="E712" s="70">
        <v>48.951389270786329</v>
      </c>
      <c r="F712" s="70">
        <v>77.816221406058474</v>
      </c>
      <c r="G712" s="70">
        <v>73.884855535134648</v>
      </c>
      <c r="H712" s="70">
        <v>77.959314633022728</v>
      </c>
      <c r="I712" s="70">
        <v>118.79536626812109</v>
      </c>
      <c r="J712" s="70">
        <v>166.39424710853001</v>
      </c>
      <c r="K712" s="70">
        <v>245.04763363894006</v>
      </c>
      <c r="L712" s="70">
        <v>426.04894179739063</v>
      </c>
      <c r="M712" s="70">
        <v>500</v>
      </c>
      <c r="N712" s="70">
        <v>500</v>
      </c>
      <c r="O712" s="70">
        <v>407.59293682152401</v>
      </c>
      <c r="P712" s="70">
        <v>500</v>
      </c>
      <c r="Q712" s="70">
        <v>500</v>
      </c>
      <c r="R712" s="70">
        <v>485.29399812544335</v>
      </c>
      <c r="S712" s="70">
        <v>500</v>
      </c>
      <c r="T712" s="70">
        <v>500</v>
      </c>
      <c r="U712" s="70">
        <v>500</v>
      </c>
      <c r="V712" s="70">
        <v>325.53686445921568</v>
      </c>
      <c r="X712" s="193">
        <f>((0-('Appendix K'!$I$30))/(1+$Y$16)^0)</f>
        <v>-33594902.4440751</v>
      </c>
      <c r="Y712" s="193">
        <f>(((B712*'Appendix K'!$C$5*1000)-('Appendix K'!$E$31+'Appendix K'!$F$31+'Appendix K'!$H$31+'Appendix K'!$G$31))/((1+$Y$16)^1))</f>
        <v>34971064.972647354</v>
      </c>
      <c r="Z712" s="193">
        <f>+(((C712*'Appendix K'!$C$6*1000)-('Appendix K'!$E$32+'Appendix K'!$F$32+'Appendix K'!$H$32+'Appendix K'!$G$32))/((1+$Y$16)^2))</f>
        <v>16437822.134787953</v>
      </c>
      <c r="AA712" s="193">
        <f>(((D712*'Appendix K'!$C$7*1000)-('Appendix K'!$E$33+'Appendix K'!$F$33+'Appendix K'!$H$33+'Appendix K'!$G$33))/((1+$Y$16)^3))</f>
        <v>8753755.1423396803</v>
      </c>
      <c r="AB712" s="193">
        <f>(((E712*'Appendix K'!$C$8*1000)-('Appendix K'!$E$34+'Appendix K'!$F$34+'Appendix K'!$H$34+'Appendix K'!$G$34))/((1+$Y$16)^4))</f>
        <v>7436488.5324635059</v>
      </c>
      <c r="AC712" s="193">
        <f>(((F712*'Appendix K'!$C$9*1000)-('Appendix K'!$E$35+'Appendix K'!$F$35+'Appendix K'!$H$35+'Appendix K'!$G$35))/((1+$Y$16)^AC$34))</f>
        <v>17699200.937175967</v>
      </c>
      <c r="AD712" s="193">
        <f>(((G712*'Appendix K'!$C$10*1000)-('Appendix K'!$E$36+'Appendix K'!$F$36+'Appendix K'!$H$36+'Appendix K'!$G$36))/((1+$Y$16)^AD$34))</f>
        <v>9087406.6926589049</v>
      </c>
      <c r="AE712" s="193">
        <f>(((H712*'Appendix K'!$C$11*1000)-('Appendix K'!$E$37+'Appendix K'!$F$37+'Appendix K'!$H$37+'Appendix K'!$G$37))/((1+$Y$16)^AE$34))</f>
        <v>5555536.2218246739</v>
      </c>
      <c r="AF712" s="193">
        <f>(((I712*'Appendix K'!$C$12*1000)-('Appendix K'!$E$38+'Appendix K'!$F$38+'Appendix K'!$H$38+'Appendix K'!$G$38))/((1+$Y$16)^AF$34))</f>
        <v>5803813.0595113691</v>
      </c>
      <c r="AG712" s="193">
        <f>(((J712*'Appendix K'!$C$13*1000)-('Appendix K'!$E$39+'Appendix K'!$F$39+'Appendix K'!$H$39+'Appendix K'!$G$39))/((1+$Y$16)^AG$34))</f>
        <v>5842341.7653557817</v>
      </c>
      <c r="AH712" s="193">
        <f>(((K712*'Appendix K'!$C$14*1000)-('Appendix K'!$E$40+'Appendix K'!$F$40+'Appendix K'!$H$40+'Appendix K'!$G$40))/((1+$Y$16)^AH$34))</f>
        <v>6626963.4637237219</v>
      </c>
      <c r="AI712" s="193">
        <f>(((L712*'Appendix K'!$C$15*1000)-('Appendix K'!$E$41+'Appendix K'!$F$41+'Appendix K'!$H$41+'Appendix K'!$G$41))/((1+$Y$16)^AI$34))</f>
        <v>9646797.6421884727</v>
      </c>
      <c r="AJ712" s="193">
        <f>(((M712*'Appendix K'!$C$16*1000)-('Appendix K'!$E$42+'Appendix K'!$F$42+'Appendix K'!$H$42+'Appendix K'!$G$42))/((1+$Y$16)^AJ$34))</f>
        <v>8639382.5302660316</v>
      </c>
      <c r="AK712" s="193">
        <f>(((N712*'Appendix K'!$C$17*1000)-('Appendix K'!$E$43+'Appendix K'!$F$43+'Appendix K'!$H$43))/((1+$Y$16)^AK$34))</f>
        <v>6677690.1149291173</v>
      </c>
      <c r="AL712" s="193">
        <f>(((O712*'Appendix K'!$C$18*1000)-('Appendix K'!$E$44+'Appendix K'!$F$44+'Appendix K'!$H$44+'Appendix K'!$G$44))/((1+$Y$16)^AL$34))</f>
        <v>3696729.8895635465</v>
      </c>
      <c r="AM712" s="193">
        <f>(((P712*'Appendix K'!$C$19*1000)-('Appendix K'!$E$45+'Appendix K'!$F$45+'Appendix K'!$H$45+'Appendix K'!$G$45))/((1+$Y$16)^AM$34))</f>
        <v>3607599.9540230581</v>
      </c>
      <c r="AN712" s="193">
        <f>(((Q712*'Appendix K'!$C$20*1000)-('Appendix K'!$E$46+'Appendix K'!$F$46+'Appendix K'!$H$46+'Appendix K'!$G$46))/((1+$Y$16)^AN$34))</f>
        <v>2702399.606577659</v>
      </c>
      <c r="AO712" s="193">
        <f>(((R712*'Appendix K'!$C$21*1000)-('Appendix K'!$E$47+'Appendix K'!$F$47+'Appendix K'!$H$47+'Appendix K'!$G$47))/((1+$Y$16)^AO$34))</f>
        <v>2025142.2188408065</v>
      </c>
      <c r="AP712" s="193">
        <f>(((S712*'Appendix K'!$C$22*1000)-('Appendix K'!$E$48+'Appendix K'!$F$48+'Appendix K'!$H$48+'Appendix K'!$G$48))/((1+$Y$16)^AP$34))</f>
        <v>1630406.4380253027</v>
      </c>
      <c r="AQ712" s="193">
        <f>(((T712*'Appendix K'!$C$23*1000)-('Appendix K'!$E$49+'Appendix K'!$F$49+'Appendix K'!$H$49+'Appendix K'!$G$49))/((1+$Y$16)^AQ$34))</f>
        <v>1263386.3652054211</v>
      </c>
      <c r="AR712" s="193">
        <f>(((U712*'Appendix K'!$C$24*1000)-('Appendix K'!$E$50+'Appendix K'!$F$50+'Appendix K'!$H$50+'Appendix K'!$G$50))/((1+$Y$16)^AR$34))</f>
        <v>980725.14012097823</v>
      </c>
      <c r="AS712" s="209">
        <f t="shared" si="36"/>
        <v>125489750.37815419</v>
      </c>
      <c r="AU712" s="199">
        <f t="shared" si="35"/>
        <v>5.6263696493464791E-9</v>
      </c>
    </row>
    <row r="713" spans="1:47" x14ac:dyDescent="0.35">
      <c r="A713">
        <v>679</v>
      </c>
      <c r="B713" s="70">
        <v>56</v>
      </c>
      <c r="C713" s="70">
        <v>106.63837642470784</v>
      </c>
      <c r="D713" s="70">
        <v>87.088504673308577</v>
      </c>
      <c r="E713" s="70">
        <v>68.902401774373757</v>
      </c>
      <c r="F713" s="70">
        <v>42.591136140143632</v>
      </c>
      <c r="G713" s="70">
        <v>55.824222613951946</v>
      </c>
      <c r="H713" s="70">
        <v>58.006183049133341</v>
      </c>
      <c r="I713" s="70">
        <v>34.256273942019192</v>
      </c>
      <c r="J713" s="70">
        <v>31.332937064602419</v>
      </c>
      <c r="K713" s="70">
        <v>44.091906068700069</v>
      </c>
      <c r="L713" s="70">
        <v>57.751076052868214</v>
      </c>
      <c r="M713" s="70">
        <v>54.081943592415534</v>
      </c>
      <c r="N713" s="70">
        <v>46.952660100105916</v>
      </c>
      <c r="O713" s="70">
        <v>52.726507357676049</v>
      </c>
      <c r="P713" s="70">
        <v>69.722239629417558</v>
      </c>
      <c r="Q713" s="70">
        <v>66.201467243594237</v>
      </c>
      <c r="R713" s="70">
        <v>71.080445114215934</v>
      </c>
      <c r="S713" s="70">
        <v>53.981449343777726</v>
      </c>
      <c r="T713" s="70">
        <v>85.430619892123488</v>
      </c>
      <c r="U713" s="70">
        <v>125.83416079144203</v>
      </c>
      <c r="V713" s="70">
        <v>139.50008154121005</v>
      </c>
      <c r="X713" s="193">
        <f>((0-('Appendix K'!$I$30))/(1+$Y$16)^0)</f>
        <v>-33594902.4440751</v>
      </c>
      <c r="Y713" s="193">
        <f>(((B713*'Appendix K'!$C$5*1000)-('Appendix K'!$E$31+'Appendix K'!$F$31+'Appendix K'!$H$31+'Appendix K'!$G$31))/((1+$Y$16)^1))</f>
        <v>34971064.972647354</v>
      </c>
      <c r="Z713" s="193">
        <f>+(((C713*'Appendix K'!$C$6*1000)-('Appendix K'!$E$32+'Appendix K'!$F$32+'Appendix K'!$H$32+'Appendix K'!$G$32))/((1+$Y$16)^2))</f>
        <v>23451430.064379144</v>
      </c>
      <c r="AA713" s="193">
        <f>(((D713*'Appendix K'!$C$7*1000)-('Appendix K'!$E$33+'Appendix K'!$F$33+'Appendix K'!$H$33+'Appendix K'!$G$33))/((1+$Y$16)^3))</f>
        <v>8127989.1037309123</v>
      </c>
      <c r="AB713" s="193">
        <f>(((E713*'Appendix K'!$C$8*1000)-('Appendix K'!$E$34+'Appendix K'!$F$34+'Appendix K'!$H$34+'Appendix K'!$G$34))/((1+$Y$16)^4))</f>
        <v>11809567.839308983</v>
      </c>
      <c r="AC713" s="193">
        <f>(((F713*'Appendix K'!$C$9*1000)-('Appendix K'!$E$35+'Appendix K'!$F$35+'Appendix K'!$H$35+'Appendix K'!$G$35))/((1+$Y$16)^AC$34))</f>
        <v>8336428.5868056407</v>
      </c>
      <c r="AD713" s="193">
        <f>(((G713*'Appendix K'!$C$10*1000)-('Appendix K'!$E$36+'Appendix K'!$F$36+'Appendix K'!$H$36+'Appendix K'!$G$36))/((1+$Y$16)^AD$34))</f>
        <v>6251093.5318306684</v>
      </c>
      <c r="AE713" s="193">
        <f>(((H713*'Appendix K'!$C$11*1000)-('Appendix K'!$E$37+'Appendix K'!$F$37+'Appendix K'!$H$37+'Appendix K'!$G$37))/((1+$Y$16)^AE$34))</f>
        <v>3565458.1897852058</v>
      </c>
      <c r="AF713" s="193">
        <f>(((I713*'Appendix K'!$C$12*1000)-('Appendix K'!$E$38+'Appendix K'!$F$38+'Appendix K'!$H$38+'Appendix K'!$G$38))/((1+$Y$16)^AF$34))</f>
        <v>252771.07770216395</v>
      </c>
      <c r="AG713" s="193">
        <f>(((J713*'Appendix K'!$C$13*1000)-('Appendix K'!$E$39+'Appendix K'!$F$39+'Appendix K'!$H$39+'Appendix K'!$G$39))/((1+$Y$16)^AG$34))</f>
        <v>-373035.55326305958</v>
      </c>
      <c r="AH713" s="193">
        <f>(((K713*'Appendix K'!$C$14*1000)-('Appendix K'!$E$40+'Appendix K'!$F$40+'Appendix K'!$H$40+'Appendix K'!$G$40))/((1+$Y$16)^AH$34))</f>
        <v>-146556.1444252017</v>
      </c>
      <c r="AI713" s="193">
        <f>(((L713*'Appendix K'!$C$15*1000)-('Appendix K'!$E$41+'Appendix K'!$F$41+'Appendix K'!$H$41+'Appendix K'!$G$41))/((1+$Y$16)^AI$34))</f>
        <v>-3295.1607041076791</v>
      </c>
      <c r="AJ713" s="193">
        <f>(((M713*'Appendix K'!$C$16*1000)-('Appendix K'!$E$42+'Appendix K'!$F$42+'Appendix K'!$H$42+'Appendix K'!$G$42))/((1+$Y$16)^AJ$34))</f>
        <v>-297647.83931982145</v>
      </c>
      <c r="AK713" s="193">
        <f>(((N713*'Appendix K'!$C$17*1000)-('Appendix K'!$E$43+'Appendix K'!$F$43+'Appendix K'!$H$43))/((1+$Y$16)^AK$34))</f>
        <v>-282882.76100738841</v>
      </c>
      <c r="AL713" s="193">
        <f>(((O713*'Appendix K'!$C$18*1000)-('Appendix K'!$E$44+'Appendix K'!$F$44+'Appendix K'!$H$44+'Appendix K'!$G$44))/((1+$Y$16)^AL$34))</f>
        <v>-509606.31907277345</v>
      </c>
      <c r="AM713" s="193">
        <f>(((P713*'Appendix K'!$C$19*1000)-('Appendix K'!$E$45+'Appendix K'!$F$45+'Appendix K'!$H$45+'Appendix K'!$G$45))/((1+$Y$16)^AM$34))</f>
        <v>-380529.20303160942</v>
      </c>
      <c r="AN713" s="193">
        <f>(((Q713*'Appendix K'!$C$20*1000)-('Appendix K'!$E$46+'Appendix K'!$F$46+'Appendix K'!$H$46+'Appendix K'!$G$46))/((1+$Y$16)^AN$34))</f>
        <v>-436660.66339537734</v>
      </c>
      <c r="AO713" s="193">
        <f>(((R713*'Appendix K'!$C$21*1000)-('Appendix K'!$E$47+'Appendix K'!$F$47+'Appendix K'!$H$47+'Appendix K'!$G$47))/((1+$Y$16)^AO$34))</f>
        <v>-422905.64178555098</v>
      </c>
      <c r="AP713" s="193">
        <f>(((S713*'Appendix K'!$C$22*1000)-('Appendix K'!$E$48+'Appendix K'!$F$48+'Appendix K'!$H$48+'Appendix K'!$G$48))/((1+$Y$16)^AP$34))</f>
        <v>-505897.24080299871</v>
      </c>
      <c r="AQ713" s="193">
        <f>(((T713*'Appendix K'!$C$23*1000)-('Appendix K'!$E$49+'Appendix K'!$F$49+'Appendix K'!$H$49+'Appendix K'!$G$49))/((1+$Y$16)^AQ$34))</f>
        <v>-359132.05605361023</v>
      </c>
      <c r="AR713" s="193">
        <f>(((U713*'Appendix K'!$C$24*1000)-('Appendix K'!$E$50+'Appendix K'!$F$50+'Appendix K'!$H$50+'Appendix K'!$G$50))/((1+$Y$16)^AR$34))</f>
        <v>-224099.34583030891</v>
      </c>
      <c r="AS713" s="209">
        <f t="shared" si="36"/>
        <v>63170900.922114976</v>
      </c>
      <c r="AU713" s="199">
        <f t="shared" si="35"/>
        <v>6.4068213408150576E-9</v>
      </c>
    </row>
    <row r="714" spans="1:47" x14ac:dyDescent="0.35">
      <c r="A714">
        <v>680</v>
      </c>
      <c r="B714" s="70">
        <v>56</v>
      </c>
      <c r="C714" s="70">
        <v>52.179981276776402</v>
      </c>
      <c r="D714" s="70">
        <v>52.939401341355499</v>
      </c>
      <c r="E714" s="70">
        <v>60.854781429331148</v>
      </c>
      <c r="F714" s="70">
        <v>55.724724155927433</v>
      </c>
      <c r="G714" s="70">
        <v>48.704202237459661</v>
      </c>
      <c r="H714" s="70">
        <v>32.469668164887672</v>
      </c>
      <c r="I714" s="70">
        <v>21.473402674656263</v>
      </c>
      <c r="J714" s="70">
        <v>23.635183221618586</v>
      </c>
      <c r="K714" s="70">
        <v>24.553412192608594</v>
      </c>
      <c r="L714" s="70">
        <v>33.107229860587488</v>
      </c>
      <c r="M714" s="70">
        <v>33.152412860904434</v>
      </c>
      <c r="N714" s="70">
        <v>19.905402540059249</v>
      </c>
      <c r="O714" s="70">
        <v>26.359756152668734</v>
      </c>
      <c r="P714" s="70">
        <v>25.919620473293911</v>
      </c>
      <c r="Q714" s="70">
        <v>29.300104225153692</v>
      </c>
      <c r="R714" s="70">
        <v>26.702575028779716</v>
      </c>
      <c r="S714" s="70">
        <v>24.408674728795862</v>
      </c>
      <c r="T714" s="70">
        <v>27.565886439053759</v>
      </c>
      <c r="U714" s="70">
        <v>26.415583924430631</v>
      </c>
      <c r="V714" s="70">
        <v>25.306504899194056</v>
      </c>
      <c r="X714" s="193">
        <f>((0-('Appendix K'!$I$30))/(1+$Y$16)^0)</f>
        <v>-33594902.4440751</v>
      </c>
      <c r="Y714" s="193">
        <f>(((B714*'Appendix K'!$C$5*1000)-('Appendix K'!$E$31+'Appendix K'!$F$31+'Appendix K'!$H$31+'Appendix K'!$G$31))/((1+$Y$16)^1))</f>
        <v>34971064.972647354</v>
      </c>
      <c r="Z714" s="193">
        <f>+(((C714*'Appendix K'!$C$6*1000)-('Appendix K'!$E$32+'Appendix K'!$F$32+'Appendix K'!$H$32+'Appendix K'!$G$32))/((1+$Y$16)^2))</f>
        <v>9694308.0413219351</v>
      </c>
      <c r="AA714" s="193">
        <f>(((D714*'Appendix K'!$C$7*1000)-('Appendix K'!$E$33+'Appendix K'!$F$33+'Appendix K'!$H$33+'Appendix K'!$G$33))/((1+$Y$16)^3))</f>
        <v>3778251.4256673912</v>
      </c>
      <c r="AB714" s="193">
        <f>(((E714*'Appendix K'!$C$8*1000)-('Appendix K'!$E$34+'Appendix K'!$F$34+'Appendix K'!$H$34+'Appendix K'!$G$34))/((1+$Y$16)^4))</f>
        <v>10045603.128549246</v>
      </c>
      <c r="AC714" s="193">
        <f>(((F714*'Appendix K'!$C$9*1000)-('Appendix K'!$E$35+'Appendix K'!$F$35+'Appendix K'!$H$35+'Appendix K'!$G$35))/((1+$Y$16)^AC$34))</f>
        <v>11827315.657966916</v>
      </c>
      <c r="AD714" s="193">
        <f>(((G714*'Appendix K'!$C$10*1000)-('Appendix K'!$E$36+'Appendix K'!$F$36+'Appendix K'!$H$36+'Appendix K'!$G$36))/((1+$Y$16)^AD$34))</f>
        <v>5132937.3970296159</v>
      </c>
      <c r="AE714" s="193">
        <f>(((H714*'Appendix K'!$C$11*1000)-('Appendix K'!$E$37+'Appendix K'!$F$37+'Appendix K'!$H$37+'Appendix K'!$G$37))/((1+$Y$16)^AE$34))</f>
        <v>1018506.7464829851</v>
      </c>
      <c r="AF714" s="193">
        <f>(((I714*'Appendix K'!$C$12*1000)-('Appendix K'!$E$38+'Appendix K'!$F$38+'Appendix K'!$H$38+'Appendix K'!$G$38))/((1+$Y$16)^AF$34))</f>
        <v>-586583.27424047585</v>
      </c>
      <c r="AG714" s="193">
        <f>(((J714*'Appendix K'!$C$13*1000)-('Appendix K'!$E$39+'Appendix K'!$F$39+'Appendix K'!$H$39+'Appendix K'!$G$39))/((1+$Y$16)^AG$34))</f>
        <v>-727277.96824061091</v>
      </c>
      <c r="AH714" s="193">
        <f>(((K714*'Appendix K'!$C$14*1000)-('Appendix K'!$E$40+'Appendix K'!$F$40+'Appendix K'!$H$40+'Appendix K'!$G$40))/((1+$Y$16)^AH$34))</f>
        <v>-805130.91103465285</v>
      </c>
      <c r="AI714" s="193">
        <f>(((L714*'Appendix K'!$C$15*1000)-('Appendix K'!$E$41+'Appendix K'!$F$41+'Appendix K'!$H$41+'Appendix K'!$G$41))/((1+$Y$16)^AI$34))</f>
        <v>-649010.01516021695</v>
      </c>
      <c r="AJ714" s="193">
        <f>(((M714*'Appendix K'!$C$16*1000)-('Appendix K'!$E$42+'Appendix K'!$F$42+'Appendix K'!$H$42+'Appendix K'!$G$42))/((1+$Y$16)^AJ$34))</f>
        <v>-717114.71015163849</v>
      </c>
      <c r="AK714" s="193">
        <f>(((N714*'Appendix K'!$C$17*1000)-('Appendix K'!$E$43+'Appendix K'!$F$43+'Appendix K'!$H$43))/((1+$Y$16)^AK$34))</f>
        <v>-698434.05280512548</v>
      </c>
      <c r="AL714" s="193">
        <f>(((O714*'Appendix K'!$C$18*1000)-('Appendix K'!$E$44+'Appendix K'!$F$44+'Appendix K'!$H$44+'Appendix K'!$G$44))/((1+$Y$16)^AL$34))</f>
        <v>-822139.17957832396</v>
      </c>
      <c r="AM714" s="193">
        <f>(((P714*'Appendix K'!$C$19*1000)-('Appendix K'!$E$45+'Appendix K'!$F$45+'Appendix K'!$H$45+'Appendix K'!$G$45))/((1+$Y$16)^AM$34))</f>
        <v>-786523.93178878131</v>
      </c>
      <c r="AN714" s="193">
        <f>(((Q714*'Appendix K'!$C$20*1000)-('Appendix K'!$E$46+'Appendix K'!$F$46+'Appendix K'!$H$46+'Appendix K'!$G$46))/((1+$Y$16)^AN$34))</f>
        <v>-703686.92976609617</v>
      </c>
      <c r="AO714" s="193">
        <f>(((R714*'Appendix K'!$C$21*1000)-('Appendix K'!$E$47+'Appendix K'!$F$47+'Appendix K'!$H$47+'Appendix K'!$G$47))/((1+$Y$16)^AO$34))</f>
        <v>-685183.75685935176</v>
      </c>
      <c r="AP714" s="193">
        <f>(((S714*'Appendix K'!$C$22*1000)-('Appendix K'!$E$48+'Appendix K'!$F$48+'Appendix K'!$H$48+'Appendix K'!$G$48))/((1+$Y$16)^AP$34))</f>
        <v>-647542.5313636607</v>
      </c>
      <c r="AQ714" s="193">
        <f>(((T714*'Appendix K'!$C$23*1000)-('Appendix K'!$E$49+'Appendix K'!$F$49+'Appendix K'!$H$49+'Appendix K'!$G$49))/((1+$Y$16)^AQ$34))</f>
        <v>-585599.80903724546</v>
      </c>
      <c r="AR714" s="193">
        <f>(((U714*'Appendix K'!$C$24*1000)-('Appendix K'!$E$50+'Appendix K'!$F$50+'Appendix K'!$H$50+'Appendix K'!$G$50))/((1+$Y$16)^AR$34))</f>
        <v>-544229.94893713004</v>
      </c>
      <c r="AS714" s="209">
        <f t="shared" si="36"/>
        <v>42873084.925590329</v>
      </c>
      <c r="AU714" s="199">
        <f t="shared" si="35"/>
        <v>5.1517410448616969E-9</v>
      </c>
    </row>
    <row r="715" spans="1:47" x14ac:dyDescent="0.35">
      <c r="A715">
        <v>681</v>
      </c>
      <c r="B715" s="70">
        <v>56</v>
      </c>
      <c r="C715" s="70">
        <v>72.449986920870558</v>
      </c>
      <c r="D715" s="70">
        <v>103.35840416504092</v>
      </c>
      <c r="E715" s="70">
        <v>171.94758749253799</v>
      </c>
      <c r="F715" s="70">
        <v>192.04478832381406</v>
      </c>
      <c r="G715" s="70">
        <v>189.95910274857786</v>
      </c>
      <c r="H715" s="70">
        <v>180.22227216948468</v>
      </c>
      <c r="I715" s="70">
        <v>116.93838590915496</v>
      </c>
      <c r="J715" s="70">
        <v>128.1697017570433</v>
      </c>
      <c r="K715" s="70">
        <v>117.75208295369436</v>
      </c>
      <c r="L715" s="70">
        <v>175.22565852642535</v>
      </c>
      <c r="M715" s="70">
        <v>191.0879365698446</v>
      </c>
      <c r="N715" s="70">
        <v>151.57113818978723</v>
      </c>
      <c r="O715" s="70">
        <v>175.15981675873329</v>
      </c>
      <c r="P715" s="70">
        <v>130.28944959333282</v>
      </c>
      <c r="Q715" s="70">
        <v>140.5181060260584</v>
      </c>
      <c r="R715" s="70">
        <v>33.221124121135063</v>
      </c>
      <c r="S715" s="70">
        <v>37.685964545432654</v>
      </c>
      <c r="T715" s="70">
        <v>45.357019554386291</v>
      </c>
      <c r="U715" s="70">
        <v>45.887278457080299</v>
      </c>
      <c r="V715" s="70">
        <v>60.234687720388322</v>
      </c>
      <c r="X715" s="193">
        <f>((0-('Appendix K'!$I$30))/(1+$Y$16)^0)</f>
        <v>-33594902.4440751</v>
      </c>
      <c r="Y715" s="193">
        <f>(((B715*'Appendix K'!$C$5*1000)-('Appendix K'!$E$31+'Appendix K'!$F$31+'Appendix K'!$H$31+'Appendix K'!$G$31))/((1+$Y$16)^1))</f>
        <v>34971064.972647354</v>
      </c>
      <c r="Z715" s="193">
        <f>+(((C715*'Appendix K'!$C$6*1000)-('Appendix K'!$E$32+'Appendix K'!$F$32+'Appendix K'!$H$32+'Appendix K'!$G$32))/((1+$Y$16)^2))</f>
        <v>14814858.147441871</v>
      </c>
      <c r="AA715" s="193">
        <f>(((D715*'Appendix K'!$C$7*1000)-('Appendix K'!$E$33+'Appendix K'!$F$33+'Appendix K'!$H$33+'Appendix K'!$G$33))/((1+$Y$16)^3))</f>
        <v>10200365.474775359</v>
      </c>
      <c r="AB715" s="193">
        <f>(((E715*'Appendix K'!$C$8*1000)-('Appendix K'!$E$34+'Appendix K'!$F$34+'Appendix K'!$H$34+'Appendix K'!$G$34))/((1+$Y$16)^4))</f>
        <v>34396129.260847121</v>
      </c>
      <c r="AC715" s="193">
        <f>(((F715*'Appendix K'!$C$9*1000)-('Appendix K'!$E$35+'Appendix K'!$F$35+'Appendix K'!$H$35+'Appendix K'!$G$35))/((1+$Y$16)^AC$34))</f>
        <v>48060974.652877204</v>
      </c>
      <c r="AD715" s="193">
        <f>(((G715*'Appendix K'!$C$10*1000)-('Appendix K'!$E$36+'Appendix K'!$F$36+'Appendix K'!$H$36+'Appendix K'!$G$36))/((1+$Y$16)^AD$34))</f>
        <v>27316165.144340012</v>
      </c>
      <c r="AE715" s="193">
        <f>(((H715*'Appendix K'!$C$11*1000)-('Appendix K'!$E$37+'Appendix K'!$F$37+'Appendix K'!$H$37+'Appendix K'!$G$37))/((1+$Y$16)^AE$34))</f>
        <v>15755001.12431735</v>
      </c>
      <c r="AF715" s="193">
        <f>(((I715*'Appendix K'!$C$12*1000)-('Appendix K'!$E$38+'Appendix K'!$F$38+'Appendix K'!$H$38+'Appendix K'!$G$38))/((1+$Y$16)^AF$34))</f>
        <v>5681879.2221778287</v>
      </c>
      <c r="AG715" s="193">
        <f>(((J715*'Appendix K'!$C$13*1000)-('Appendix K'!$E$39+'Appendix K'!$F$39+'Appendix K'!$H$39+'Appendix K'!$G$39))/((1+$Y$16)^AG$34))</f>
        <v>4083288.9906205395</v>
      </c>
      <c r="AH715" s="193">
        <f>(((K715*'Appendix K'!$C$14*1000)-('Appendix K'!$E$40+'Appendix K'!$F$40+'Appendix K'!$H$40+'Appendix K'!$G$40))/((1+$Y$16)^AH$34))</f>
        <v>2336272.5786119807</v>
      </c>
      <c r="AI715" s="193">
        <f>(((L715*'Appendix K'!$C$15*1000)-('Appendix K'!$E$41+'Appendix K'!$F$41+'Appendix K'!$H$41+'Appendix K'!$G$41))/((1+$Y$16)^AI$34))</f>
        <v>3074758.5786495125</v>
      </c>
      <c r="AJ715" s="193">
        <f>(((M715*'Appendix K'!$C$16*1000)-('Appendix K'!$E$42+'Appendix K'!$F$42+'Appendix K'!$H$42+'Appendix K'!$G$42))/((1+$Y$16)^AJ$34))</f>
        <v>2448208.0471154689</v>
      </c>
      <c r="AK715" s="193">
        <f>(((N715*'Appendix K'!$C$17*1000)-('Appendix K'!$E$43+'Appendix K'!$F$43+'Appendix K'!$H$43))/((1+$Y$16)^AK$34))</f>
        <v>1324464.8090582441</v>
      </c>
      <c r="AL715" s="193">
        <f>(((O715*'Appendix K'!$C$18*1000)-('Appendix K'!$E$44+'Appendix K'!$F$44+'Appendix K'!$H$44+'Appendix K'!$G$44))/((1+$Y$16)^AL$34))</f>
        <v>941631.72351954749</v>
      </c>
      <c r="AM715" s="193">
        <f>(((P715*'Appendix K'!$C$19*1000)-('Appendix K'!$E$45+'Appendix K'!$F$45+'Appendix K'!$H$45+'Appendix K'!$G$45))/((1+$Y$16)^AM$34))</f>
        <v>180852.02153018149</v>
      </c>
      <c r="AN715" s="193">
        <f>(((Q715*'Appendix K'!$C$20*1000)-('Appendix K'!$E$46+'Appendix K'!$F$46+'Appendix K'!$H$46+'Appendix K'!$G$46))/((1+$Y$16)^AN$34))</f>
        <v>101110.65343608969</v>
      </c>
      <c r="AO715" s="193">
        <f>(((R715*'Appendix K'!$C$21*1000)-('Appendix K'!$E$47+'Appendix K'!$F$47+'Appendix K'!$H$47+'Appendix K'!$G$47))/((1+$Y$16)^AO$34))</f>
        <v>-646658.41155396565</v>
      </c>
      <c r="AP715" s="193">
        <f>(((S715*'Appendix K'!$C$22*1000)-('Appendix K'!$E$48+'Appendix K'!$F$48+'Appendix K'!$H$48+'Appendix K'!$G$48))/((1+$Y$16)^AP$34))</f>
        <v>-583948.0395237616</v>
      </c>
      <c r="AQ715" s="193">
        <f>(((T715*'Appendix K'!$C$23*1000)-('Appendix K'!$E$49+'Appendix K'!$F$49+'Appendix K'!$H$49+'Appendix K'!$G$49))/((1+$Y$16)^AQ$34))</f>
        <v>-515969.86867072055</v>
      </c>
      <c r="AR715" s="193">
        <f>(((U715*'Appendix K'!$C$24*1000)-('Appendix K'!$E$50+'Appendix K'!$F$50+'Appendix K'!$H$50+'Appendix K'!$G$50))/((1+$Y$16)^AR$34))</f>
        <v>-481530.5469673429</v>
      </c>
      <c r="AS715" s="209">
        <f t="shared" si="36"/>
        <v>172092122.95789057</v>
      </c>
      <c r="AU715" s="199">
        <f t="shared" si="35"/>
        <v>2.3216984486492809E-9</v>
      </c>
    </row>
    <row r="716" spans="1:47" x14ac:dyDescent="0.35">
      <c r="A716">
        <v>682</v>
      </c>
      <c r="B716" s="70">
        <v>56</v>
      </c>
      <c r="C716" s="70">
        <v>77.688777832349757</v>
      </c>
      <c r="D716" s="70">
        <v>78.110919028387059</v>
      </c>
      <c r="E716" s="70">
        <v>53.591706634503758</v>
      </c>
      <c r="F716" s="70">
        <v>10.077407996698618</v>
      </c>
      <c r="G716" s="70">
        <v>17.442741422892837</v>
      </c>
      <c r="H716" s="70">
        <v>21.587976969420119</v>
      </c>
      <c r="I716" s="70">
        <v>19.644778157681593</v>
      </c>
      <c r="J716" s="70">
        <v>24.042132663268553</v>
      </c>
      <c r="K716" s="70">
        <v>16.268829756132472</v>
      </c>
      <c r="L716" s="70">
        <v>12.757910480704727</v>
      </c>
      <c r="M716" s="70">
        <v>16.210582097955751</v>
      </c>
      <c r="N716" s="70">
        <v>25.042980852502865</v>
      </c>
      <c r="O716" s="70">
        <v>28.358939840744835</v>
      </c>
      <c r="P716" s="70">
        <v>33.867204960418988</v>
      </c>
      <c r="Q716" s="70">
        <v>44.290985191783371</v>
      </c>
      <c r="R716" s="70">
        <v>42.786387900498454</v>
      </c>
      <c r="S716" s="70">
        <v>58.822923077044237</v>
      </c>
      <c r="T716" s="70">
        <v>90.789982882620549</v>
      </c>
      <c r="U716" s="70">
        <v>121.59633011989294</v>
      </c>
      <c r="V716" s="70">
        <v>85.250435433499248</v>
      </c>
      <c r="X716" s="193">
        <f>((0-('Appendix K'!$I$30))/(1+$Y$16)^0)</f>
        <v>-33594902.4440751</v>
      </c>
      <c r="Y716" s="193">
        <f>(((B716*'Appendix K'!$C$5*1000)-('Appendix K'!$E$31+'Appendix K'!$F$31+'Appendix K'!$H$31+'Appendix K'!$G$31))/((1+$Y$16)^1))</f>
        <v>34971064.972647354</v>
      </c>
      <c r="Z716" s="193">
        <f>+(((C716*'Appendix K'!$C$6*1000)-('Appendix K'!$E$32+'Appendix K'!$F$32+'Appendix K'!$H$32+'Appendix K'!$G$32))/((1+$Y$16)^2))</f>
        <v>16138266.331372533</v>
      </c>
      <c r="AA716" s="193">
        <f>(((D716*'Appendix K'!$C$7*1000)-('Appendix K'!$E$33+'Appendix K'!$F$33+'Appendix K'!$H$33+'Appendix K'!$G$33))/((1+$Y$16)^3))</f>
        <v>6984470.2781218551</v>
      </c>
      <c r="AB716" s="193">
        <f>(((E716*'Appendix K'!$C$8*1000)-('Appendix K'!$E$34+'Appendix K'!$F$34+'Appendix K'!$H$34+'Appendix K'!$G$34))/((1+$Y$16)^4))</f>
        <v>8453603.6205734257</v>
      </c>
      <c r="AC716" s="193">
        <f>(((F716*'Appendix K'!$C$9*1000)-('Appendix K'!$E$35+'Appendix K'!$F$35+'Appendix K'!$H$35+'Appendix K'!$G$35))/((1+$Y$16)^AC$34))</f>
        <v>-305669.29800691095</v>
      </c>
      <c r="AD716" s="193">
        <f>(((G716*'Appendix K'!$C$10*1000)-('Appendix K'!$E$36+'Appendix K'!$F$36+'Appendix K'!$H$36+'Appendix K'!$G$36))/((1+$Y$16)^AD$34))</f>
        <v>223514.06053750438</v>
      </c>
      <c r="AE716" s="193">
        <f>(((H716*'Appendix K'!$C$11*1000)-('Appendix K'!$E$37+'Appendix K'!$F$37+'Appendix K'!$H$37+'Appendix K'!$G$37))/((1+$Y$16)^AE$34))</f>
        <v>-66807.331083784258</v>
      </c>
      <c r="AF716" s="193">
        <f>(((I716*'Appendix K'!$C$12*1000)-('Appendix K'!$E$38+'Appendix K'!$F$38+'Appendix K'!$H$38+'Appendix K'!$G$38))/((1+$Y$16)^AF$34))</f>
        <v>-706655.19816812233</v>
      </c>
      <c r="AG716" s="193">
        <f>(((J716*'Appendix K'!$C$13*1000)-('Appendix K'!$E$39+'Appendix K'!$F$39+'Appendix K'!$H$39+'Appendix K'!$G$39))/((1+$Y$16)^AG$34))</f>
        <v>-708550.58932926215</v>
      </c>
      <c r="AH716" s="193">
        <f>(((K716*'Appendix K'!$C$14*1000)-('Appendix K'!$E$40+'Appendix K'!$F$40+'Appendix K'!$H$40+'Appendix K'!$G$40))/((1+$Y$16)^AH$34))</f>
        <v>-1084375.4105933083</v>
      </c>
      <c r="AI716" s="193">
        <f>(((L716*'Appendix K'!$C$15*1000)-('Appendix K'!$E$41+'Appendix K'!$F$41+'Appendix K'!$H$41+'Appendix K'!$G$41))/((1+$Y$16)^AI$34))</f>
        <v>-1182200.2363269813</v>
      </c>
      <c r="AJ716" s="193">
        <f>(((M716*'Appendix K'!$C$16*1000)-('Appendix K'!$E$42+'Appendix K'!$F$42+'Appendix K'!$H$42+'Appendix K'!$G$42))/((1+$Y$16)^AJ$34))</f>
        <v>-1056660.6286655609</v>
      </c>
      <c r="AK716" s="193">
        <f>(((N716*'Appendix K'!$C$17*1000)-('Appendix K'!$E$43+'Appendix K'!$F$43+'Appendix K'!$H$43))/((1+$Y$16)^AK$34))</f>
        <v>-619500.82640654128</v>
      </c>
      <c r="AL716" s="193">
        <f>(((O716*'Appendix K'!$C$18*1000)-('Appendix K'!$E$44+'Appendix K'!$F$44+'Appendix K'!$H$44+'Appendix K'!$G$44))/((1+$Y$16)^AL$34))</f>
        <v>-798442.26705950731</v>
      </c>
      <c r="AM716" s="193">
        <f>(((P716*'Appendix K'!$C$19*1000)-('Appendix K'!$E$45+'Appendix K'!$F$45+'Appendix K'!$H$45+'Appendix K'!$G$45))/((1+$Y$16)^AM$34))</f>
        <v>-712859.90278119268</v>
      </c>
      <c r="AN716" s="193">
        <f>(((Q716*'Appendix K'!$C$20*1000)-('Appendix K'!$E$46+'Appendix K'!$F$46+'Appendix K'!$H$46+'Appendix K'!$G$46))/((1+$Y$16)^AN$34))</f>
        <v>-595209.66370612383</v>
      </c>
      <c r="AO716" s="193">
        <f>(((R716*'Appendix K'!$C$21*1000)-('Appendix K'!$E$47+'Appendix K'!$F$47+'Appendix K'!$H$47+'Appendix K'!$G$47))/((1+$Y$16)^AO$34))</f>
        <v>-590126.64584720077</v>
      </c>
      <c r="AP716" s="193">
        <f>(((S716*'Appendix K'!$C$22*1000)-('Appendix K'!$E$48+'Appendix K'!$F$48+'Appendix K'!$H$48+'Appendix K'!$G$48))/((1+$Y$16)^AP$34))</f>
        <v>-482707.94042051351</v>
      </c>
      <c r="AQ716" s="193">
        <f>(((T716*'Appendix K'!$C$23*1000)-('Appendix K'!$E$49+'Appendix K'!$F$49+'Appendix K'!$H$49+'Appendix K'!$G$49))/((1+$Y$16)^AQ$34))</f>
        <v>-338156.88134091761</v>
      </c>
      <c r="AR716" s="193">
        <f>(((U716*'Appendix K'!$C$24*1000)-('Appendix K'!$E$50+'Appendix K'!$F$50+'Appendix K'!$H$50+'Appendix K'!$G$50))/((1+$Y$16)^AR$34))</f>
        <v>-237745.27933187512</v>
      </c>
      <c r="AS716" s="209">
        <f t="shared" si="36"/>
        <v>33176016.819177568</v>
      </c>
      <c r="AU716" s="199">
        <f t="shared" si="35"/>
        <v>4.4371784006858891E-9</v>
      </c>
    </row>
    <row r="717" spans="1:47" x14ac:dyDescent="0.35">
      <c r="A717">
        <v>683</v>
      </c>
      <c r="B717" s="70">
        <v>56</v>
      </c>
      <c r="C717" s="70">
        <v>74.03406571288032</v>
      </c>
      <c r="D717" s="70">
        <v>42.39524070912347</v>
      </c>
      <c r="E717" s="70">
        <v>51.065821481321805</v>
      </c>
      <c r="F717" s="70">
        <v>36.112222062088392</v>
      </c>
      <c r="G717" s="70">
        <v>31.044530409069967</v>
      </c>
      <c r="H717" s="70">
        <v>26.179207849044765</v>
      </c>
      <c r="I717" s="70">
        <v>47.599516583672212</v>
      </c>
      <c r="J717" s="70">
        <v>68.657250858897328</v>
      </c>
      <c r="K717" s="70">
        <v>85.762514433935536</v>
      </c>
      <c r="L717" s="70">
        <v>124.87060707596436</v>
      </c>
      <c r="M717" s="70">
        <v>104.42525847042381</v>
      </c>
      <c r="N717" s="70">
        <v>114.96462137116775</v>
      </c>
      <c r="O717" s="70">
        <v>111.83295764619236</v>
      </c>
      <c r="P717" s="70">
        <v>112.82447890645756</v>
      </c>
      <c r="Q717" s="70">
        <v>139.60403165908076</v>
      </c>
      <c r="R717" s="70">
        <v>156.10006587732016</v>
      </c>
      <c r="S717" s="70">
        <v>106.72024260213601</v>
      </c>
      <c r="T717" s="70">
        <v>72.053197773111563</v>
      </c>
      <c r="U717" s="70">
        <v>100.7681471727082</v>
      </c>
      <c r="V717" s="70">
        <v>79.828030180665849</v>
      </c>
      <c r="X717" s="193">
        <f>((0-('Appendix K'!$I$30))/(1+$Y$16)^0)</f>
        <v>-33594902.4440751</v>
      </c>
      <c r="Y717" s="193">
        <f>(((B717*'Appendix K'!$C$5*1000)-('Appendix K'!$E$31+'Appendix K'!$F$31+'Appendix K'!$H$31+'Appendix K'!$G$31))/((1+$Y$16)^1))</f>
        <v>34971064.972647354</v>
      </c>
      <c r="Z717" s="193">
        <f>+(((C717*'Appendix K'!$C$6*1000)-('Appendix K'!$E$32+'Appendix K'!$F$32+'Appendix K'!$H$32+'Appendix K'!$G$32))/((1+$Y$16)^2))</f>
        <v>15215023.542999677</v>
      </c>
      <c r="AA717" s="193">
        <f>(((D717*'Appendix K'!$C$7*1000)-('Appendix K'!$E$33+'Appendix K'!$F$33+'Appendix K'!$H$33+'Appendix K'!$G$33))/((1+$Y$16)^3))</f>
        <v>2435190.3110096944</v>
      </c>
      <c r="AB717" s="193">
        <f>(((E717*'Appendix K'!$C$8*1000)-('Appendix K'!$E$34+'Appendix K'!$F$34+'Appendix K'!$H$34+'Appendix K'!$G$34))/((1+$Y$16)^4))</f>
        <v>7899952.7172489939</v>
      </c>
      <c r="AC717" s="193">
        <f>(((F717*'Appendix K'!$C$9*1000)-('Appendix K'!$E$35+'Appendix K'!$F$35+'Appendix K'!$H$35+'Appendix K'!$G$35))/((1+$Y$16)^AC$34))</f>
        <v>6614343.3985793339</v>
      </c>
      <c r="AD717" s="193">
        <f>(((G717*'Appendix K'!$C$10*1000)-('Appendix K'!$E$36+'Appendix K'!$F$36+'Appendix K'!$H$36+'Appendix K'!$G$36))/((1+$Y$16)^AD$34))</f>
        <v>2359592.7506178967</v>
      </c>
      <c r="AE717" s="193">
        <f>(((H717*'Appendix K'!$C$11*1000)-('Appendix K'!$E$37+'Appendix K'!$F$37+'Appendix K'!$H$37+'Appendix K'!$G$37))/((1+$Y$16)^AE$34))</f>
        <v>391111.15029081854</v>
      </c>
      <c r="AF717" s="193">
        <f>(((I717*'Appendix K'!$C$12*1000)-('Appendix K'!$E$38+'Appendix K'!$F$38+'Appendix K'!$H$38+'Appendix K'!$G$38))/((1+$Y$16)^AF$34))</f>
        <v>1128920.7741238929</v>
      </c>
      <c r="AG717" s="193">
        <f>(((J717*'Appendix K'!$C$13*1000)-('Appendix K'!$E$39+'Appendix K'!$F$39+'Appendix K'!$H$39+'Appendix K'!$G$39))/((1+$Y$16)^AG$34))</f>
        <v>1344589.5261517765</v>
      </c>
      <c r="AH717" s="193">
        <f>(((K717*'Appendix K'!$C$14*1000)-('Appendix K'!$E$40+'Appendix K'!$F$40+'Appendix K'!$H$40+'Appendix K'!$G$40))/((1+$Y$16)^AH$34))</f>
        <v>1258015.3313828707</v>
      </c>
      <c r="AI717" s="193">
        <f>(((L717*'Appendix K'!$C$15*1000)-('Appendix K'!$E$41+'Appendix K'!$F$41+'Appendix K'!$H$41+'Appendix K'!$G$41))/((1+$Y$16)^AI$34))</f>
        <v>1755362.0662394848</v>
      </c>
      <c r="AJ717" s="193">
        <f>(((M717*'Appendix K'!$C$16*1000)-('Appendix K'!$E$42+'Appendix K'!$F$42+'Appendix K'!$H$42+'Appendix K'!$G$42))/((1+$Y$16)^AJ$34))</f>
        <v>711326.18069416319</v>
      </c>
      <c r="AK717" s="193">
        <f>(((N717*'Appendix K'!$C$17*1000)-('Appendix K'!$E$43+'Appendix K'!$F$43+'Appendix K'!$H$43))/((1+$Y$16)^AK$34))</f>
        <v>762046.03819315578</v>
      </c>
      <c r="AL717" s="193">
        <f>(((O717*'Appendix K'!$C$18*1000)-('Appendix K'!$E$44+'Appendix K'!$F$44+'Appendix K'!$H$44+'Appendix K'!$G$44))/((1+$Y$16)^AL$34))</f>
        <v>190999.82839567054</v>
      </c>
      <c r="AM717" s="193">
        <f>(((P717*'Appendix K'!$C$19*1000)-('Appendix K'!$E$45+'Appendix K'!$F$45+'Appendix K'!$H$45+'Appendix K'!$G$45))/((1+$Y$16)^AM$34))</f>
        <v>18973.892473631746</v>
      </c>
      <c r="AN717" s="193">
        <f>(((Q717*'Appendix K'!$C$20*1000)-('Appendix K'!$E$46+'Appendix K'!$F$46+'Appendix K'!$H$46+'Appendix K'!$G$46))/((1+$Y$16)^AN$34))</f>
        <v>94496.213062240917</v>
      </c>
      <c r="AO717" s="193">
        <f>(((R717*'Appendix K'!$C$21*1000)-('Appendix K'!$E$47+'Appendix K'!$F$47+'Appendix K'!$H$47+'Appendix K'!$G$47))/((1+$Y$16)^AO$34))</f>
        <v>79569.709895517764</v>
      </c>
      <c r="AP717" s="193">
        <f>(((S717*'Appendix K'!$C$22*1000)-('Appendix K'!$E$48+'Appendix K'!$F$48+'Appendix K'!$H$48+'Appendix K'!$G$48))/((1+$Y$16)^AP$34))</f>
        <v>-253293.22267632745</v>
      </c>
      <c r="AQ717" s="193">
        <f>(((T717*'Appendix K'!$C$23*1000)-('Appendix K'!$E$49+'Appendix K'!$F$49+'Appendix K'!$H$49+'Appendix K'!$G$49))/((1+$Y$16)^AQ$34))</f>
        <v>-411487.86151952983</v>
      </c>
      <c r="AR717" s="193">
        <f>(((U717*'Appendix K'!$C$24*1000)-('Appendix K'!$E$50+'Appendix K'!$F$50+'Appendix K'!$H$50+'Appendix K'!$G$50))/((1+$Y$16)^AR$34))</f>
        <v>-304812.61200372229</v>
      </c>
      <c r="AS717" s="209">
        <f t="shared" si="36"/>
        <v>43635675.959931068</v>
      </c>
      <c r="AU717" s="199">
        <f t="shared" si="35"/>
        <v>5.2061407252436802E-9</v>
      </c>
    </row>
    <row r="718" spans="1:47" x14ac:dyDescent="0.35">
      <c r="A718">
        <v>684</v>
      </c>
      <c r="B718" s="70">
        <v>56</v>
      </c>
      <c r="C718" s="70">
        <v>47.302085981046154</v>
      </c>
      <c r="D718" s="70">
        <v>65.488865740450905</v>
      </c>
      <c r="E718" s="70">
        <v>81.494253980737568</v>
      </c>
      <c r="F718" s="70">
        <v>88.091232644414461</v>
      </c>
      <c r="G718" s="70">
        <v>89.622236872409502</v>
      </c>
      <c r="H718" s="70">
        <v>71.701546415711661</v>
      </c>
      <c r="I718" s="70">
        <v>95.81866085305748</v>
      </c>
      <c r="J718" s="70">
        <v>106.09563985972804</v>
      </c>
      <c r="K718" s="70">
        <v>135.90957926501409</v>
      </c>
      <c r="L718" s="70">
        <v>107.89517792451221</v>
      </c>
      <c r="M718" s="70">
        <v>66.328692205212121</v>
      </c>
      <c r="N718" s="70">
        <v>76.93735270888817</v>
      </c>
      <c r="O718" s="70">
        <v>71.02079968676702</v>
      </c>
      <c r="P718" s="70">
        <v>83.20206443653808</v>
      </c>
      <c r="Q718" s="70">
        <v>54.073352698613689</v>
      </c>
      <c r="R718" s="70">
        <v>55.208864546527252</v>
      </c>
      <c r="S718" s="70">
        <v>85.635790571971071</v>
      </c>
      <c r="T718" s="70">
        <v>95.697556356495085</v>
      </c>
      <c r="U718" s="70">
        <v>128.21055333444573</v>
      </c>
      <c r="V718" s="70">
        <v>127.60048496123846</v>
      </c>
      <c r="X718" s="193">
        <f>((0-('Appendix K'!$I$30))/(1+$Y$16)^0)</f>
        <v>-33594902.4440751</v>
      </c>
      <c r="Y718" s="193">
        <f>(((B718*'Appendix K'!$C$5*1000)-('Appendix K'!$E$31+'Appendix K'!$F$31+'Appendix K'!$H$31+'Appendix K'!$G$31))/((1+$Y$16)^1))</f>
        <v>34971064.972647354</v>
      </c>
      <c r="Z718" s="193">
        <f>+(((C718*'Appendix K'!$C$6*1000)-('Appendix K'!$E$32+'Appendix K'!$F$32+'Appendix K'!$H$32+'Appendix K'!$G$32))/((1+$Y$16)^2))</f>
        <v>8462068.2623719517</v>
      </c>
      <c r="AA718" s="193">
        <f>(((D718*'Appendix K'!$C$7*1000)-('Appendix K'!$E$33+'Appendix K'!$F$33+'Appendix K'!$H$33+'Appendix K'!$G$33))/((1+$Y$16)^3))</f>
        <v>5376737.8516692575</v>
      </c>
      <c r="AB718" s="193">
        <f>(((E718*'Appendix K'!$C$8*1000)-('Appendix K'!$E$34+'Appendix K'!$F$34+'Appendix K'!$H$34+'Appendix K'!$G$34))/((1+$Y$16)^4))</f>
        <v>14569586.575631496</v>
      </c>
      <c r="AC718" s="193">
        <f>(((F718*'Appendix K'!$C$9*1000)-('Appendix K'!$E$35+'Appendix K'!$F$35+'Appendix K'!$H$35+'Appendix K'!$G$35))/((1+$Y$16)^AC$34))</f>
        <v>20430282.789667979</v>
      </c>
      <c r="AD718" s="193">
        <f>(((G718*'Appendix K'!$C$10*1000)-('Appendix K'!$E$36+'Appendix K'!$F$36+'Appendix K'!$H$36+'Appendix K'!$G$36))/((1+$Y$16)^AD$34))</f>
        <v>11558867.244383706</v>
      </c>
      <c r="AE718" s="193">
        <f>(((H718*'Appendix K'!$C$11*1000)-('Appendix K'!$E$37+'Appendix K'!$F$37+'Appendix K'!$H$37+'Appendix K'!$G$37))/((1+$Y$16)^AE$34))</f>
        <v>4931401.2580217626</v>
      </c>
      <c r="AF718" s="193">
        <f>(((I718*'Appendix K'!$C$12*1000)-('Appendix K'!$E$38+'Appendix K'!$F$38+'Appendix K'!$H$38+'Appendix K'!$G$38))/((1+$Y$16)^AF$34))</f>
        <v>4295106.8165972745</v>
      </c>
      <c r="AG718" s="193">
        <f>(((J718*'Appendix K'!$C$13*1000)-('Appendix K'!$E$39+'Appendix K'!$F$39+'Appendix K'!$H$39+'Appendix K'!$G$39))/((1+$Y$16)^AG$34))</f>
        <v>3067464.2248031562</v>
      </c>
      <c r="AH718" s="193">
        <f>(((K718*'Appendix K'!$C$14*1000)-('Appendix K'!$E$40+'Appendix K'!$F$40+'Appendix K'!$H$40+'Appendix K'!$G$40))/((1+$Y$16)^AH$34))</f>
        <v>2948298.7138542677</v>
      </c>
      <c r="AI718" s="193">
        <f>(((L718*'Appendix K'!$C$15*1000)-('Appendix K'!$E$41+'Appendix K'!$F$41+'Appendix K'!$H$41+'Appendix K'!$G$41))/((1+$Y$16)^AI$34))</f>
        <v>1310574.0782632674</v>
      </c>
      <c r="AJ718" s="193">
        <f>(((M718*'Appendix K'!$C$16*1000)-('Appendix K'!$E$42+'Appendix K'!$F$42+'Appendix K'!$H$42+'Appendix K'!$G$42))/((1+$Y$16)^AJ$34))</f>
        <v>-52200.132709785161</v>
      </c>
      <c r="AK718" s="193">
        <f>(((N718*'Appendix K'!$C$17*1000)-('Appendix K'!$E$43+'Appendix K'!$F$43+'Appendix K'!$H$43))/((1+$Y$16)^AK$34))</f>
        <v>177798.98168223992</v>
      </c>
      <c r="AL718" s="193">
        <f>(((O718*'Appendix K'!$C$18*1000)-('Appendix K'!$E$44+'Appendix K'!$F$44+'Appendix K'!$H$44+'Appendix K'!$G$44))/((1+$Y$16)^AL$34))</f>
        <v>-292758.6889616457</v>
      </c>
      <c r="AM718" s="193">
        <f>(((P718*'Appendix K'!$C$19*1000)-('Appendix K'!$E$45+'Appendix K'!$F$45+'Appendix K'!$H$45+'Appendix K'!$G$45))/((1+$Y$16)^AM$34))</f>
        <v>-255588.32228758663</v>
      </c>
      <c r="AN718" s="193">
        <f>(((Q718*'Appendix K'!$C$20*1000)-('Appendix K'!$E$46+'Appendix K'!$F$46+'Appendix K'!$H$46+'Appendix K'!$G$46))/((1+$Y$16)^AN$34))</f>
        <v>-524422.33072035376</v>
      </c>
      <c r="AO718" s="193">
        <f>(((R718*'Appendix K'!$C$21*1000)-('Appendix K'!$E$47+'Appendix K'!$F$47+'Appendix K'!$H$47+'Appendix K'!$G$47))/((1+$Y$16)^AO$34))</f>
        <v>-516708.4364334509</v>
      </c>
      <c r="AP718" s="193">
        <f>(((S718*'Appendix K'!$C$22*1000)-('Appendix K'!$E$48+'Appendix K'!$F$48+'Appendix K'!$H$48+'Appendix K'!$G$48))/((1+$Y$16)^AP$34))</f>
        <v>-354281.83037403243</v>
      </c>
      <c r="AQ718" s="193">
        <f>(((T718*'Appendix K'!$C$23*1000)-('Appendix K'!$E$49+'Appendix K'!$F$49+'Appendix K'!$H$49+'Appendix K'!$G$49))/((1+$Y$16)^AQ$34))</f>
        <v>-318949.89513520303</v>
      </c>
      <c r="AR718" s="193">
        <f>(((U718*'Appendix K'!$C$24*1000)-('Appendix K'!$E$50+'Appendix K'!$F$50+'Appendix K'!$H$50+'Appendix K'!$G$50))/((1+$Y$16)^AR$34))</f>
        <v>-216447.29525803041</v>
      </c>
      <c r="AS718" s="209">
        <f t="shared" si="36"/>
        <v>78504349.325518608</v>
      </c>
      <c r="AU718" s="199">
        <f t="shared" si="35"/>
        <v>6.9396303783063274E-9</v>
      </c>
    </row>
    <row r="719" spans="1:47" x14ac:dyDescent="0.35">
      <c r="A719">
        <v>685</v>
      </c>
      <c r="B719" s="70">
        <v>56</v>
      </c>
      <c r="C719" s="70">
        <v>81.055661688289689</v>
      </c>
      <c r="D719" s="70">
        <v>67.759267088326183</v>
      </c>
      <c r="E719" s="70">
        <v>96.201650130452691</v>
      </c>
      <c r="F719" s="70">
        <v>120.79938460076133</v>
      </c>
      <c r="G719" s="70">
        <v>173.19383714271288</v>
      </c>
      <c r="H719" s="70">
        <v>276.11908082110654</v>
      </c>
      <c r="I719" s="70">
        <v>334.01212297942448</v>
      </c>
      <c r="J719" s="70">
        <v>262.03228816849389</v>
      </c>
      <c r="K719" s="70">
        <v>266.39127052233493</v>
      </c>
      <c r="L719" s="70">
        <v>296.30536728857106</v>
      </c>
      <c r="M719" s="70">
        <v>383.72621705874002</v>
      </c>
      <c r="N719" s="70">
        <v>473.38823312205801</v>
      </c>
      <c r="O719" s="70">
        <v>429.0789810533301</v>
      </c>
      <c r="P719" s="70">
        <v>471.70061483967243</v>
      </c>
      <c r="Q719" s="70">
        <v>500</v>
      </c>
      <c r="R719" s="70">
        <v>442.17938220437497</v>
      </c>
      <c r="S719" s="70">
        <v>500</v>
      </c>
      <c r="T719" s="70">
        <v>500</v>
      </c>
      <c r="U719" s="70">
        <v>500</v>
      </c>
      <c r="V719" s="70">
        <v>500</v>
      </c>
      <c r="X719" s="193">
        <f>((0-('Appendix K'!$I$30))/(1+$Y$16)^0)</f>
        <v>-33594902.4440751</v>
      </c>
      <c r="Y719" s="193">
        <f>(((B719*'Appendix K'!$C$5*1000)-('Appendix K'!$E$31+'Appendix K'!$F$31+'Appendix K'!$H$31+'Appendix K'!$G$31))/((1+$Y$16)^1))</f>
        <v>34971064.972647354</v>
      </c>
      <c r="Z719" s="193">
        <f>+(((C719*'Appendix K'!$C$6*1000)-('Appendix K'!$E$32+'Appendix K'!$F$32+'Appendix K'!$H$32+'Appendix K'!$G$32))/((1+$Y$16)^2))</f>
        <v>16988798.777615331</v>
      </c>
      <c r="AA719" s="193">
        <f>(((D719*'Appendix K'!$C$7*1000)-('Appendix K'!$E$33+'Appendix K'!$F$33+'Appendix K'!$H$33+'Appendix K'!$G$33))/((1+$Y$16)^3))</f>
        <v>5665929.9335573539</v>
      </c>
      <c r="AB719" s="193">
        <f>(((E719*'Appendix K'!$C$8*1000)-('Appendix K'!$E$34+'Appendix K'!$F$34+'Appendix K'!$H$34+'Appendix K'!$G$34))/((1+$Y$16)^4))</f>
        <v>17793313.1783958</v>
      </c>
      <c r="AC719" s="193">
        <f>(((F719*'Appendix K'!$C$9*1000)-('Appendix K'!$E$35+'Appendix K'!$F$35+'Appendix K'!$H$35+'Appendix K'!$G$35))/((1+$Y$16)^AC$34))</f>
        <v>29124058.218649667</v>
      </c>
      <c r="AD719" s="193">
        <f>(((G719*'Appendix K'!$C$10*1000)-('Appendix K'!$E$36+'Appendix K'!$F$36+'Appendix K'!$H$36+'Appendix K'!$G$36))/((1+$Y$16)^AD$34))</f>
        <v>24683281.585374352</v>
      </c>
      <c r="AE719" s="193">
        <f>(((H719*'Appendix K'!$C$11*1000)-('Appendix K'!$E$37+'Appendix K'!$F$37+'Appendix K'!$H$37+'Appendix K'!$G$37))/((1+$Y$16)^AE$34))</f>
        <v>25319521.432216063</v>
      </c>
      <c r="AF719" s="193">
        <f>(((I719*'Appendix K'!$C$12*1000)-('Appendix K'!$E$38+'Appendix K'!$F$38+'Appendix K'!$H$38+'Appendix K'!$G$38))/((1+$Y$16)^AF$34))</f>
        <v>19935467.644645829</v>
      </c>
      <c r="AG719" s="193">
        <f>(((J719*'Appendix K'!$C$13*1000)-('Appendix K'!$E$39+'Appendix K'!$F$39+'Appendix K'!$H$39+'Appendix K'!$G$39))/((1+$Y$16)^AG$34))</f>
        <v>10243502.327236194</v>
      </c>
      <c r="AH719" s="193">
        <f>(((K719*'Appendix K'!$C$14*1000)-('Appendix K'!$E$40+'Appendix K'!$F$40+'Appendix K'!$H$40+'Appendix K'!$G$40))/((1+$Y$16)^AH$34))</f>
        <v>7346383.3314075312</v>
      </c>
      <c r="AI719" s="193">
        <f>(((L719*'Appendix K'!$C$15*1000)-('Appendix K'!$E$41+'Appendix K'!$F$41+'Appendix K'!$H$41+'Appendix K'!$G$41))/((1+$Y$16)^AI$34))</f>
        <v>6247273.3683833685</v>
      </c>
      <c r="AJ719" s="193">
        <f>(((M719*'Appendix K'!$C$16*1000)-('Appendix K'!$E$42+'Appendix K'!$F$42+'Appendix K'!$H$42+'Appendix K'!$G$42))/((1+$Y$16)^AJ$34))</f>
        <v>6309038.8395345174</v>
      </c>
      <c r="AK719" s="193">
        <f>(((N719*'Appendix K'!$C$17*1000)-('Appendix K'!$E$43+'Appendix K'!$F$43+'Appendix K'!$H$43))/((1+$Y$16)^AK$34))</f>
        <v>6268829.6573171644</v>
      </c>
      <c r="AL719" s="193">
        <f>(((O719*'Appendix K'!$C$18*1000)-('Appendix K'!$E$44+'Appendix K'!$F$44+'Appendix K'!$H$44+'Appendix K'!$G$44))/((1+$Y$16)^AL$34))</f>
        <v>3951410.2941573397</v>
      </c>
      <c r="AM719" s="193">
        <f>(((P719*'Appendix K'!$C$19*1000)-('Appendix K'!$E$45+'Appendix K'!$F$45+'Appendix K'!$H$45+'Appendix K'!$G$45))/((1+$Y$16)^AM$34))</f>
        <v>3345300.5430857618</v>
      </c>
      <c r="AN719" s="193">
        <f>(((Q719*'Appendix K'!$C$20*1000)-('Appendix K'!$E$46+'Appendix K'!$F$46+'Appendix K'!$H$46+'Appendix K'!$G$46))/((1+$Y$16)^AN$34))</f>
        <v>2702399.606577659</v>
      </c>
      <c r="AO719" s="193">
        <f>(((R719*'Appendix K'!$C$21*1000)-('Appendix K'!$E$47+'Appendix K'!$F$47+'Appendix K'!$H$47+'Appendix K'!$G$47))/((1+$Y$16)^AO$34))</f>
        <v>1770330.0754427905</v>
      </c>
      <c r="AP719" s="193">
        <f>(((S719*'Appendix K'!$C$22*1000)-('Appendix K'!$E$48+'Appendix K'!$F$48+'Appendix K'!$H$48+'Appendix K'!$G$48))/((1+$Y$16)^AP$34))</f>
        <v>1630406.4380253027</v>
      </c>
      <c r="AQ719" s="193">
        <f>(((T719*'Appendix K'!$C$23*1000)-('Appendix K'!$E$49+'Appendix K'!$F$49+'Appendix K'!$H$49+'Appendix K'!$G$49))/((1+$Y$16)^AQ$34))</f>
        <v>1263386.3652054211</v>
      </c>
      <c r="AR719" s="193">
        <f>(((U719*'Appendix K'!$C$24*1000)-('Appendix K'!$E$50+'Appendix K'!$F$50+'Appendix K'!$H$50+'Appendix K'!$G$50))/((1+$Y$16)^AR$34))</f>
        <v>980725.14012097823</v>
      </c>
      <c r="AS719" s="209">
        <f t="shared" si="36"/>
        <v>192945519.28552067</v>
      </c>
      <c r="AU719" s="199">
        <f t="shared" si="35"/>
        <v>1.255869294456984E-9</v>
      </c>
    </row>
    <row r="720" spans="1:47" x14ac:dyDescent="0.35">
      <c r="A720">
        <v>686</v>
      </c>
      <c r="B720" s="70">
        <v>56</v>
      </c>
      <c r="C720" s="70">
        <v>89.646150073562268</v>
      </c>
      <c r="D720" s="70">
        <v>83.508691065735448</v>
      </c>
      <c r="E720" s="70">
        <v>138.46270169344001</v>
      </c>
      <c r="F720" s="70">
        <v>138.21466616092388</v>
      </c>
      <c r="G720" s="70">
        <v>197.43961818887556</v>
      </c>
      <c r="H720" s="70">
        <v>294.1317527021788</v>
      </c>
      <c r="I720" s="70">
        <v>355.7945301591601</v>
      </c>
      <c r="J720" s="70">
        <v>396.40605379301041</v>
      </c>
      <c r="K720" s="70">
        <v>296.39955204279443</v>
      </c>
      <c r="L720" s="70">
        <v>369.89593029166525</v>
      </c>
      <c r="M720" s="70">
        <v>360.63165724381281</v>
      </c>
      <c r="N720" s="70">
        <v>494.64961210704229</v>
      </c>
      <c r="O720" s="70">
        <v>500</v>
      </c>
      <c r="P720" s="70">
        <v>500</v>
      </c>
      <c r="Q720" s="70">
        <v>500</v>
      </c>
      <c r="R720" s="70">
        <v>500</v>
      </c>
      <c r="S720" s="70">
        <v>471.13310347084951</v>
      </c>
      <c r="T720" s="70">
        <v>500</v>
      </c>
      <c r="U720" s="70">
        <v>500</v>
      </c>
      <c r="V720" s="70">
        <v>462.61953418016071</v>
      </c>
      <c r="X720" s="193">
        <f>((0-('Appendix K'!$I$30))/(1+$Y$16)^0)</f>
        <v>-33594902.4440751</v>
      </c>
      <c r="Y720" s="193">
        <f>(((B720*'Appendix K'!$C$5*1000)-('Appendix K'!$E$31+'Appendix K'!$F$31+'Appendix K'!$H$31+'Appendix K'!$G$31))/((1+$Y$16)^1))</f>
        <v>34971064.972647354</v>
      </c>
      <c r="Z720" s="193">
        <f>+(((C720*'Appendix K'!$C$6*1000)-('Appendix K'!$E$32+'Appendix K'!$F$32+'Appendix K'!$H$32+'Appendix K'!$G$32))/((1+$Y$16)^2))</f>
        <v>19158903.067923997</v>
      </c>
      <c r="AA720" s="193">
        <f>(((D720*'Appendix K'!$C$7*1000)-('Appendix K'!$E$33+'Appendix K'!$F$33+'Appendix K'!$H$33+'Appendix K'!$G$33))/((1+$Y$16)^3))</f>
        <v>7672010.8023991929</v>
      </c>
      <c r="AB720" s="193">
        <f>(((E720*'Appendix K'!$C$8*1000)-('Appendix K'!$E$34+'Appendix K'!$F$34+'Appendix K'!$H$34+'Appendix K'!$G$34))/((1+$Y$16)^4))</f>
        <v>27056548.818311226</v>
      </c>
      <c r="AC720" s="193">
        <f>(((F720*'Appendix K'!$C$9*1000)-('Appendix K'!$E$35+'Appendix K'!$F$35+'Appendix K'!$H$35+'Appendix K'!$G$35))/((1+$Y$16)^AC$34))</f>
        <v>33753012.710441425</v>
      </c>
      <c r="AD720" s="193">
        <f>(((G720*'Appendix K'!$C$10*1000)-('Appendix K'!$E$36+'Appendix K'!$F$36+'Appendix K'!$H$36+'Appendix K'!$G$36))/((1+$Y$16)^AD$34))</f>
        <v>28490934.848463193</v>
      </c>
      <c r="AE720" s="193">
        <f>(((H720*'Appendix K'!$C$11*1000)-('Appendix K'!$E$37+'Appendix K'!$F$37+'Appendix K'!$H$37+'Appendix K'!$G$37))/((1+$Y$16)^AE$34))</f>
        <v>27116062.614643797</v>
      </c>
      <c r="AF720" s="193">
        <f>(((I720*'Appendix K'!$C$12*1000)-('Appendix K'!$E$38+'Appendix K'!$F$38+'Appendix K'!$H$38+'Appendix K'!$G$38))/((1+$Y$16)^AF$34))</f>
        <v>21365753.366819847</v>
      </c>
      <c r="AG720" s="193">
        <f>(((J720*'Appendix K'!$C$13*1000)-('Appendix K'!$E$39+'Appendix K'!$F$39+'Appendix K'!$H$39+'Appendix K'!$G$39))/((1+$Y$16)^AG$34))</f>
        <v>16427239.58558492</v>
      </c>
      <c r="AH720" s="193">
        <f>(((K720*'Appendix K'!$C$14*1000)-('Appendix K'!$E$40+'Appendix K'!$F$40+'Appendix K'!$H$40+'Appendix K'!$G$40))/((1+$Y$16)^AH$34))</f>
        <v>8357858.2753831353</v>
      </c>
      <c r="AI720" s="193">
        <f>(((L720*'Appendix K'!$C$15*1000)-('Appendix K'!$E$41+'Appendix K'!$F$41+'Appendix K'!$H$41+'Appendix K'!$G$41))/((1+$Y$16)^AI$34))</f>
        <v>8175483.7340920493</v>
      </c>
      <c r="AJ720" s="193">
        <f>(((M720*'Appendix K'!$C$16*1000)-('Appendix K'!$E$42+'Appendix K'!$F$42+'Appendix K'!$H$42+'Appendix K'!$G$42))/((1+$Y$16)^AJ$34))</f>
        <v>5846180.7438094858</v>
      </c>
      <c r="AK720" s="193">
        <f>(((N720*'Appendix K'!$C$17*1000)-('Appendix K'!$E$43+'Appendix K'!$F$43+'Appendix K'!$H$43))/((1+$Y$16)^AK$34))</f>
        <v>6595487.3039564509</v>
      </c>
      <c r="AL720" s="193">
        <f>(((O720*'Appendix K'!$C$18*1000)-('Appendix K'!$E$44+'Appendix K'!$F$44+'Appendix K'!$H$44+'Appendix K'!$G$44))/((1+$Y$16)^AL$34))</f>
        <v>4792058.0003928225</v>
      </c>
      <c r="AM720" s="193">
        <f>(((P720*'Appendix K'!$C$19*1000)-('Appendix K'!$E$45+'Appendix K'!$F$45+'Appendix K'!$H$45+'Appendix K'!$G$45))/((1+$Y$16)^AM$34))</f>
        <v>3607599.9540230581</v>
      </c>
      <c r="AN720" s="193">
        <f>(((Q720*'Appendix K'!$C$20*1000)-('Appendix K'!$E$46+'Appendix K'!$F$46+'Appendix K'!$H$46+'Appendix K'!$G$46))/((1+$Y$16)^AN$34))</f>
        <v>2702399.606577659</v>
      </c>
      <c r="AO720" s="193">
        <f>(((R720*'Appendix K'!$C$21*1000)-('Appendix K'!$E$47+'Appendix K'!$F$47+'Appendix K'!$H$47+'Appendix K'!$G$47))/((1+$Y$16)^AO$34))</f>
        <v>2112056.3146391152</v>
      </c>
      <c r="AP720" s="193">
        <f>(((S720*'Appendix K'!$C$22*1000)-('Appendix K'!$E$48+'Appendix K'!$F$48+'Appendix K'!$H$48+'Appendix K'!$G$48))/((1+$Y$16)^AP$34))</f>
        <v>1492142.1053852183</v>
      </c>
      <c r="AQ720" s="193">
        <f>(((T720*'Appendix K'!$C$23*1000)-('Appendix K'!$E$49+'Appendix K'!$F$49+'Appendix K'!$H$49+'Appendix K'!$G$49))/((1+$Y$16)^AQ$34))</f>
        <v>1263386.3652054211</v>
      </c>
      <c r="AR720" s="193">
        <f>(((U720*'Appendix K'!$C$24*1000)-('Appendix K'!$E$50+'Appendix K'!$F$50+'Appendix K'!$H$50+'Appendix K'!$G$50))/((1+$Y$16)^AR$34))</f>
        <v>980725.14012097823</v>
      </c>
      <c r="AS720" s="209">
        <f t="shared" si="36"/>
        <v>228342005.88674524</v>
      </c>
      <c r="AU720" s="199">
        <f t="shared" si="35"/>
        <v>3.2488786031857453E-10</v>
      </c>
    </row>
    <row r="721" spans="1:47" x14ac:dyDescent="0.35">
      <c r="A721">
        <v>687</v>
      </c>
      <c r="B721" s="70">
        <v>56</v>
      </c>
      <c r="C721" s="70">
        <v>63.397198852329822</v>
      </c>
      <c r="D721" s="70">
        <v>82.905517195921433</v>
      </c>
      <c r="E721" s="70">
        <v>91.042345288237343</v>
      </c>
      <c r="F721" s="70">
        <v>67.509824902438041</v>
      </c>
      <c r="G721" s="70">
        <v>66.941106687673852</v>
      </c>
      <c r="H721" s="70">
        <v>73.53374130410559</v>
      </c>
      <c r="I721" s="70">
        <v>86.012959618634795</v>
      </c>
      <c r="J721" s="70">
        <v>111.58902967304111</v>
      </c>
      <c r="K721" s="70">
        <v>103.18399669091562</v>
      </c>
      <c r="L721" s="70">
        <v>179.21992928823084</v>
      </c>
      <c r="M721" s="70">
        <v>102.09120168813139</v>
      </c>
      <c r="N721" s="70">
        <v>113.01008516283038</v>
      </c>
      <c r="O721" s="70">
        <v>62.73047603123679</v>
      </c>
      <c r="P721" s="70">
        <v>53.824777657162045</v>
      </c>
      <c r="Q721" s="70">
        <v>70.614076934263139</v>
      </c>
      <c r="R721" s="70">
        <v>84.138338961415442</v>
      </c>
      <c r="S721" s="70">
        <v>106.66750266865643</v>
      </c>
      <c r="T721" s="70">
        <v>92.232870055049972</v>
      </c>
      <c r="U721" s="70">
        <v>108.6874686613361</v>
      </c>
      <c r="V721" s="70">
        <v>109.76548886473086</v>
      </c>
      <c r="X721" s="193">
        <f>((0-('Appendix K'!$I$30))/(1+$Y$16)^0)</f>
        <v>-33594902.4440751</v>
      </c>
      <c r="Y721" s="193">
        <f>(((B721*'Appendix K'!$C$5*1000)-('Appendix K'!$E$31+'Appendix K'!$F$31+'Appendix K'!$H$31+'Appendix K'!$G$31))/((1+$Y$16)^1))</f>
        <v>34971064.972647354</v>
      </c>
      <c r="Z721" s="193">
        <f>+(((C721*'Appendix K'!$C$6*1000)-('Appendix K'!$E$32+'Appendix K'!$F$32+'Appendix K'!$H$32+'Appendix K'!$G$32))/((1+$Y$16)^2))</f>
        <v>12527969.05037082</v>
      </c>
      <c r="AA721" s="193">
        <f>(((D721*'Appendix K'!$C$7*1000)-('Appendix K'!$E$33+'Appendix K'!$F$33+'Appendix K'!$H$33+'Appendix K'!$G$33))/((1+$Y$16)^3))</f>
        <v>7595181.6077216724</v>
      </c>
      <c r="AB721" s="193">
        <f>(((E721*'Appendix K'!$C$8*1000)-('Appendix K'!$E$34+'Appendix K'!$F$34+'Appendix K'!$H$34+'Appendix K'!$G$34))/((1+$Y$16)^4))</f>
        <v>16662440.785872228</v>
      </c>
      <c r="AC721" s="193">
        <f>(((F721*'Appendix K'!$C$9*1000)-('Appendix K'!$E$35+'Appendix K'!$F$35+'Appendix K'!$H$35+'Appendix K'!$G$35))/((1+$Y$16)^AC$34))</f>
        <v>14959776.930460375</v>
      </c>
      <c r="AD721" s="193">
        <f>(((G721*'Appendix K'!$C$10*1000)-('Appendix K'!$E$36+'Appendix K'!$F$36+'Appendix K'!$H$36+'Appendix K'!$G$36))/((1+$Y$16)^AD$34))</f>
        <v>7996932.9353167815</v>
      </c>
      <c r="AE721" s="193">
        <f>(((H721*'Appendix K'!$C$11*1000)-('Appendix K'!$E$37+'Appendix K'!$F$37+'Appendix K'!$H$37+'Appendix K'!$G$37))/((1+$Y$16)^AE$34))</f>
        <v>5114140.0317564979</v>
      </c>
      <c r="AF721" s="193">
        <f>(((I721*'Appendix K'!$C$12*1000)-('Appendix K'!$E$38+'Appendix K'!$F$38+'Appendix K'!$H$38+'Appendix K'!$G$38))/((1+$Y$16)^AF$34))</f>
        <v>3651240.6747253845</v>
      </c>
      <c r="AG721" s="193">
        <f>(((J721*'Appendix K'!$C$13*1000)-('Appendix K'!$E$39+'Appendix K'!$F$39+'Appendix K'!$H$39+'Appendix K'!$G$39))/((1+$Y$16)^AG$34))</f>
        <v>3320264.1601576479</v>
      </c>
      <c r="AH721" s="193">
        <f>(((K721*'Appendix K'!$C$14*1000)-('Appendix K'!$E$40+'Appendix K'!$F$40+'Appendix K'!$H$40+'Appendix K'!$G$40))/((1+$Y$16)^AH$34))</f>
        <v>1845232.9892096529</v>
      </c>
      <c r="AI721" s="193">
        <f>(((L721*'Appendix K'!$C$15*1000)-('Appendix K'!$E$41+'Appendix K'!$F$41+'Appendix K'!$H$41+'Appendix K'!$G$41))/((1+$Y$16)^AI$34))</f>
        <v>3179415.941931766</v>
      </c>
      <c r="AJ721" s="193">
        <f>(((M721*'Appendix K'!$C$16*1000)-('Appendix K'!$E$42+'Appendix K'!$F$42+'Appendix K'!$H$42+'Appendix K'!$G$42))/((1+$Y$16)^AJ$34))</f>
        <v>664547.32514448161</v>
      </c>
      <c r="AK721" s="193">
        <f>(((N721*'Appendix K'!$C$17*1000)-('Appendix K'!$E$43+'Appendix K'!$F$43+'Appendix K'!$H$43))/((1+$Y$16)^AK$34))</f>
        <v>732016.74430127442</v>
      </c>
      <c r="AL721" s="193">
        <f>(((O721*'Appendix K'!$C$18*1000)-('Appendix K'!$E$44+'Appendix K'!$F$44+'Appendix K'!$H$44+'Appendix K'!$G$44))/((1+$Y$16)^AL$34))</f>
        <v>-391026.33469600684</v>
      </c>
      <c r="AM721" s="193">
        <f>(((P721*'Appendix K'!$C$19*1000)-('Appendix K'!$E$45+'Appendix K'!$F$45+'Appendix K'!$H$45+'Appendix K'!$G$45))/((1+$Y$16)^AM$34))</f>
        <v>-527878.51423029881</v>
      </c>
      <c r="AN721" s="193">
        <f>(((Q721*'Appendix K'!$C$20*1000)-('Appendix K'!$E$46+'Appendix K'!$F$46+'Appendix K'!$H$46+'Appendix K'!$G$46))/((1+$Y$16)^AN$34))</f>
        <v>-404730.06261887611</v>
      </c>
      <c r="AO721" s="193">
        <f>(((R721*'Appendix K'!$C$21*1000)-('Appendix K'!$E$47+'Appendix K'!$F$47+'Appendix K'!$H$47+'Appendix K'!$G$47))/((1+$Y$16)^AO$34))</f>
        <v>-345732.04651196423</v>
      </c>
      <c r="AP721" s="193">
        <f>(((S721*'Appendix K'!$C$22*1000)-('Appendix K'!$E$48+'Appendix K'!$F$48+'Appendix K'!$H$48+'Appendix K'!$G$48))/((1+$Y$16)^AP$34))</f>
        <v>-253545.83215579379</v>
      </c>
      <c r="AQ721" s="193">
        <f>(((T721*'Appendix K'!$C$23*1000)-('Appendix K'!$E$49+'Appendix K'!$F$49+'Appendix K'!$H$49+'Appendix K'!$G$49))/((1+$Y$16)^AQ$34))</f>
        <v>-332509.79033661843</v>
      </c>
      <c r="AR721" s="193">
        <f>(((U721*'Appendix K'!$C$24*1000)-('Appendix K'!$E$50+'Appendix K'!$F$50+'Appendix K'!$H$50+'Appendix K'!$G$50))/((1+$Y$16)^AR$34))</f>
        <v>-279312.17491999175</v>
      </c>
      <c r="AS721" s="209">
        <f t="shared" si="36"/>
        <v>79625321.705540866</v>
      </c>
      <c r="AU721" s="199">
        <f t="shared" si="35"/>
        <v>6.9603177648299326E-9</v>
      </c>
    </row>
    <row r="722" spans="1:47" x14ac:dyDescent="0.35">
      <c r="A722">
        <v>688</v>
      </c>
      <c r="B722" s="70">
        <v>56</v>
      </c>
      <c r="C722" s="70">
        <v>62.299004993779519</v>
      </c>
      <c r="D722" s="70">
        <v>91.777903234803148</v>
      </c>
      <c r="E722" s="70">
        <v>97.776812505887335</v>
      </c>
      <c r="F722" s="70">
        <v>150.958582304402</v>
      </c>
      <c r="G722" s="70">
        <v>74.877890923920688</v>
      </c>
      <c r="H722" s="70">
        <v>103.54991970084168</v>
      </c>
      <c r="I722" s="70">
        <v>111.52709551262126</v>
      </c>
      <c r="J722" s="70">
        <v>114.51544170049553</v>
      </c>
      <c r="K722" s="70">
        <v>65.778306007352228</v>
      </c>
      <c r="L722" s="70">
        <v>114.08651158442947</v>
      </c>
      <c r="M722" s="70">
        <v>165.85699019855568</v>
      </c>
      <c r="N722" s="70">
        <v>152.76812372498543</v>
      </c>
      <c r="O722" s="70">
        <v>195.43041098322723</v>
      </c>
      <c r="P722" s="70">
        <v>264.58186808755778</v>
      </c>
      <c r="Q722" s="70">
        <v>233.69395419942049</v>
      </c>
      <c r="R722" s="70">
        <v>173.70265443158769</v>
      </c>
      <c r="S722" s="70">
        <v>262.03407281388309</v>
      </c>
      <c r="T722" s="70">
        <v>320.54948545083801</v>
      </c>
      <c r="U722" s="70">
        <v>430.23873047411001</v>
      </c>
      <c r="V722" s="70">
        <v>448.01703339550033</v>
      </c>
      <c r="X722" s="193">
        <f>((0-('Appendix K'!$I$30))/(1+$Y$16)^0)</f>
        <v>-33594902.4440751</v>
      </c>
      <c r="Y722" s="193">
        <f>(((B722*'Appendix K'!$C$5*1000)-('Appendix K'!$E$31+'Appendix K'!$F$31+'Appendix K'!$H$31+'Appendix K'!$G$31))/((1+$Y$16)^1))</f>
        <v>34971064.972647354</v>
      </c>
      <c r="Z722" s="193">
        <f>+(((C722*'Appendix K'!$C$6*1000)-('Appendix K'!$E$32+'Appendix K'!$F$32+'Appendix K'!$H$32+'Appendix K'!$G$32))/((1+$Y$16)^2))</f>
        <v>12250546.499155182</v>
      </c>
      <c r="AA722" s="193">
        <f>(((D722*'Appendix K'!$C$7*1000)-('Appendix K'!$E$33+'Appendix K'!$F$33+'Appendix K'!$H$33+'Appendix K'!$G$33))/((1+$Y$16)^3))</f>
        <v>8725300.6469392478</v>
      </c>
      <c r="AB722" s="193">
        <f>(((E722*'Appendix K'!$C$8*1000)-('Appendix K'!$E$34+'Appendix K'!$F$34+'Appendix K'!$H$34+'Appendix K'!$G$34))/((1+$Y$16)^4))</f>
        <v>18138574.351867381</v>
      </c>
      <c r="AC722" s="193">
        <f>(((F722*'Appendix K'!$C$9*1000)-('Appendix K'!$E$35+'Appendix K'!$F$35+'Appendix K'!$H$35+'Appendix K'!$G$35))/((1+$Y$16)^AC$34))</f>
        <v>37140325.609838501</v>
      </c>
      <c r="AD722" s="193">
        <f>(((G722*'Appendix K'!$C$10*1000)-('Appendix K'!$E$36+'Appendix K'!$F$36+'Appendix K'!$H$36+'Appendix K'!$G$36))/((1+$Y$16)^AD$34))</f>
        <v>9243356.8941094056</v>
      </c>
      <c r="AE722" s="193">
        <f>(((H722*'Appendix K'!$C$11*1000)-('Appendix K'!$E$37+'Appendix K'!$F$37+'Appendix K'!$H$37+'Appendix K'!$G$37))/((1+$Y$16)^AE$34))</f>
        <v>8107882.4917798257</v>
      </c>
      <c r="AF722" s="193">
        <f>(((I722*'Appendix K'!$C$12*1000)-('Appendix K'!$E$38+'Appendix K'!$F$38+'Appendix K'!$H$38+'Appendix K'!$G$38))/((1+$Y$16)^AF$34))</f>
        <v>5326560.7613283843</v>
      </c>
      <c r="AG722" s="193">
        <f>(((J722*'Appendix K'!$C$13*1000)-('Appendix K'!$E$39+'Appendix K'!$F$39+'Appendix K'!$H$39+'Appendix K'!$G$39))/((1+$Y$16)^AG$34))</f>
        <v>3454934.5178970918</v>
      </c>
      <c r="AH722" s="193">
        <f>(((K722*'Appendix K'!$C$14*1000)-('Appendix K'!$E$40+'Appendix K'!$F$40+'Appendix K'!$H$40+'Appendix K'!$G$40))/((1+$Y$16)^AH$34))</f>
        <v>584417.07535165921</v>
      </c>
      <c r="AI722" s="193">
        <f>(((L722*'Appendix K'!$C$15*1000)-('Appendix K'!$E$41+'Appendix K'!$F$41+'Appendix K'!$H$41+'Appendix K'!$G$41))/((1+$Y$16)^AI$34))</f>
        <v>1472798.5980038156</v>
      </c>
      <c r="AJ722" s="193">
        <f>(((M722*'Appendix K'!$C$16*1000)-('Appendix K'!$E$42+'Appendix K'!$F$42+'Appendix K'!$H$42+'Appendix K'!$G$42))/((1+$Y$16)^AJ$34))</f>
        <v>1942532.776214361</v>
      </c>
      <c r="AK722" s="193">
        <f>(((N722*'Appendix K'!$C$17*1000)-('Appendix K'!$E$43+'Appendix K'!$F$43+'Appendix K'!$H$43))/((1+$Y$16)^AK$34))</f>
        <v>1342855.1720852731</v>
      </c>
      <c r="AL722" s="193">
        <f>(((O722*'Appendix K'!$C$18*1000)-('Appendix K'!$E$44+'Appendix K'!$F$44+'Appendix K'!$H$44+'Appendix K'!$G$44))/((1+$Y$16)^AL$34))</f>
        <v>1181905.0415279211</v>
      </c>
      <c r="AM722" s="193">
        <f>(((P722*'Appendix K'!$C$19*1000)-('Appendix K'!$E$45+'Appendix K'!$F$45+'Appendix K'!$H$45+'Appendix K'!$G$45))/((1+$Y$16)^AM$34))</f>
        <v>1425572.4302887805</v>
      </c>
      <c r="AN722" s="193">
        <f>(((Q722*'Appendix K'!$C$20*1000)-('Appendix K'!$E$46+'Appendix K'!$F$46+'Appendix K'!$H$46+'Appendix K'!$G$46))/((1+$Y$16)^AN$34))</f>
        <v>775351.2998107092</v>
      </c>
      <c r="AO722" s="193">
        <f>(((R722*'Appendix K'!$C$21*1000)-('Appendix K'!$E$47+'Appendix K'!$F$47+'Appendix K'!$H$47+'Appendix K'!$G$47))/((1+$Y$16)^AO$34))</f>
        <v>183602.95298593058</v>
      </c>
      <c r="AP722" s="193">
        <f>(((S722*'Appendix K'!$C$22*1000)-('Appendix K'!$E$48+'Appendix K'!$F$48+'Appendix K'!$H$48+'Appendix K'!$G$48))/((1+$Y$16)^AP$34))</f>
        <v>490616.43392001669</v>
      </c>
      <c r="AQ722" s="193">
        <f>(((T722*'Appendix K'!$C$23*1000)-('Appendix K'!$E$49+'Appendix K'!$F$49+'Appendix K'!$H$49+'Appendix K'!$G$49))/((1+$Y$16)^AQ$34))</f>
        <v>561062.9917699229</v>
      </c>
      <c r="AR722" s="193">
        <f>(((U722*'Appendix K'!$C$24*1000)-('Appendix K'!$E$50+'Appendix K'!$F$50+'Appendix K'!$H$50+'Appendix K'!$G$50))/((1+$Y$16)^AR$34))</f>
        <v>756091.89761646814</v>
      </c>
      <c r="AS722" s="209">
        <f t="shared" si="36"/>
        <v>114480450.97106215</v>
      </c>
      <c r="AU722" s="199">
        <f t="shared" si="35"/>
        <v>6.2846371481605909E-9</v>
      </c>
    </row>
    <row r="723" spans="1:47" x14ac:dyDescent="0.35">
      <c r="A723">
        <v>689</v>
      </c>
      <c r="B723" s="70">
        <v>56</v>
      </c>
      <c r="C723" s="70">
        <v>51.584779906315241</v>
      </c>
      <c r="D723" s="70">
        <v>57.491250221972422</v>
      </c>
      <c r="E723" s="70">
        <v>87.692314682716898</v>
      </c>
      <c r="F723" s="70">
        <v>127.86587758010242</v>
      </c>
      <c r="G723" s="70">
        <v>146.66923098355636</v>
      </c>
      <c r="H723" s="70">
        <v>179.37372211068586</v>
      </c>
      <c r="I723" s="70">
        <v>156.39054616755701</v>
      </c>
      <c r="J723" s="70">
        <v>223.67893938802422</v>
      </c>
      <c r="K723" s="70">
        <v>167.59291201925066</v>
      </c>
      <c r="L723" s="70">
        <v>143.40944218520491</v>
      </c>
      <c r="M723" s="70">
        <v>124.92563303953106</v>
      </c>
      <c r="N723" s="70">
        <v>182.73170026352693</v>
      </c>
      <c r="O723" s="70">
        <v>228.00593492569212</v>
      </c>
      <c r="P723" s="70">
        <v>237.1971423298734</v>
      </c>
      <c r="Q723" s="70">
        <v>230.83556912901577</v>
      </c>
      <c r="R723" s="70">
        <v>297.95842421023622</v>
      </c>
      <c r="S723" s="70">
        <v>316.19887352153916</v>
      </c>
      <c r="T723" s="70">
        <v>382.41692877851386</v>
      </c>
      <c r="U723" s="70">
        <v>393.50377355950548</v>
      </c>
      <c r="V723" s="70">
        <v>328.96453905897897</v>
      </c>
      <c r="X723" s="193">
        <f>((0-('Appendix K'!$I$30))/(1+$Y$16)^0)</f>
        <v>-33594902.4440751</v>
      </c>
      <c r="Y723" s="193">
        <f>(((B723*'Appendix K'!$C$5*1000)-('Appendix K'!$E$31+'Appendix K'!$F$31+'Appendix K'!$H$31+'Appendix K'!$G$31))/((1+$Y$16)^1))</f>
        <v>34971064.972647354</v>
      </c>
      <c r="Z723" s="193">
        <f>+(((C723*'Appendix K'!$C$6*1000)-('Appendix K'!$E$32+'Appendix K'!$F$32+'Appendix K'!$H$32+'Appendix K'!$G$32))/((1+$Y$16)^2))</f>
        <v>9543949.9953405485</v>
      </c>
      <c r="AA723" s="193">
        <f>(((D723*'Appendix K'!$C$7*1000)-('Appendix K'!$E$33+'Appendix K'!$F$33+'Appendix K'!$H$33+'Appendix K'!$G$33))/((1+$Y$16)^3))</f>
        <v>4358042.5958309891</v>
      </c>
      <c r="AB723" s="193">
        <f>(((E723*'Appendix K'!$C$8*1000)-('Appendix K'!$E$34+'Appendix K'!$F$34+'Appendix K'!$H$34+'Appendix K'!$G$34))/((1+$Y$16)^4))</f>
        <v>15928144.743720673</v>
      </c>
      <c r="AC723" s="193">
        <f>(((F723*'Appendix K'!$C$9*1000)-('Appendix K'!$E$35+'Appendix K'!$F$35+'Appendix K'!$H$35+'Appendix K'!$G$35))/((1+$Y$16)^AC$34))</f>
        <v>31002320.956173312</v>
      </c>
      <c r="AD723" s="193">
        <f>(((G723*'Appendix K'!$C$10*1000)-('Appendix K'!$E$36+'Appendix K'!$F$36+'Appendix K'!$H$36+'Appendix K'!$G$36))/((1+$Y$16)^AD$34))</f>
        <v>20517752.621726342</v>
      </c>
      <c r="AE723" s="193">
        <f>(((H723*'Appendix K'!$C$11*1000)-('Appendix K'!$E$37+'Appendix K'!$F$37+'Appendix K'!$H$37+'Appendix K'!$G$37))/((1+$Y$16)^AE$34))</f>
        <v>15670368.753503699</v>
      </c>
      <c r="AF723" s="193">
        <f>(((I723*'Appendix K'!$C$12*1000)-('Appendix K'!$E$38+'Appendix K'!$F$38+'Appendix K'!$H$38+'Appendix K'!$G$38))/((1+$Y$16)^AF$34))</f>
        <v>8272403.8166776076</v>
      </c>
      <c r="AG723" s="193">
        <f>(((J723*'Appendix K'!$C$13*1000)-('Appendix K'!$E$39+'Appendix K'!$F$39+'Appendix K'!$H$39+'Appendix K'!$G$39))/((1+$Y$16)^AG$34))</f>
        <v>8478522.1561888568</v>
      </c>
      <c r="AH723" s="193">
        <f>(((K723*'Appendix K'!$C$14*1000)-('Appendix K'!$E$40+'Appendix K'!$F$40+'Appendix K'!$H$40+'Appendix K'!$G$40))/((1+$Y$16)^AH$34))</f>
        <v>4016233.8170591104</v>
      </c>
      <c r="AI723" s="193">
        <f>(((L723*'Appendix K'!$C$15*1000)-('Appendix K'!$E$41+'Appendix K'!$F$41+'Appendix K'!$H$41+'Appendix K'!$G$41))/((1+$Y$16)^AI$34))</f>
        <v>2241114.2138932357</v>
      </c>
      <c r="AJ723" s="193">
        <f>(((M723*'Appendix K'!$C$16*1000)-('Appendix K'!$E$42+'Appendix K'!$F$42+'Appendix K'!$H$42+'Appendix K'!$G$42))/((1+$Y$16)^AJ$34))</f>
        <v>1122191.960806316</v>
      </c>
      <c r="AK723" s="193">
        <f>(((N723*'Appendix K'!$C$17*1000)-('Appendix K'!$E$43+'Appendix K'!$F$43+'Appendix K'!$H$43))/((1+$Y$16)^AK$34))</f>
        <v>1803212.489636909</v>
      </c>
      <c r="AL723" s="193">
        <f>(((O723*'Appendix K'!$C$18*1000)-('Appendix K'!$E$44+'Appendix K'!$F$44+'Appendix K'!$H$44+'Appendix K'!$G$44))/((1+$Y$16)^AL$34))</f>
        <v>1568032.3122351342</v>
      </c>
      <c r="AM723" s="193">
        <f>(((P723*'Appendix K'!$C$19*1000)-('Appendix K'!$E$45+'Appendix K'!$F$45+'Appendix K'!$H$45+'Appendix K'!$G$45))/((1+$Y$16)^AM$34))</f>
        <v>1171750.7520358653</v>
      </c>
      <c r="AN723" s="193">
        <f>(((Q723*'Appendix K'!$C$20*1000)-('Appendix K'!$E$46+'Appendix K'!$F$46+'Appendix K'!$H$46+'Appendix K'!$G$46))/((1+$Y$16)^AN$34))</f>
        <v>754667.40548359288</v>
      </c>
      <c r="AO723" s="193">
        <f>(((R723*'Appendix K'!$C$21*1000)-('Appendix K'!$E$47+'Appendix K'!$F$47+'Appendix K'!$H$47+'Appendix K'!$G$47))/((1+$Y$16)^AO$34))</f>
        <v>917968.28016018809</v>
      </c>
      <c r="AP723" s="193">
        <f>(((S723*'Appendix K'!$C$22*1000)-('Appendix K'!$E$48+'Appendix K'!$F$48+'Appendix K'!$H$48+'Appendix K'!$G$48))/((1+$Y$16)^AP$34))</f>
        <v>750050.62750797591</v>
      </c>
      <c r="AQ723" s="193">
        <f>(((T723*'Appendix K'!$C$23*1000)-('Appendix K'!$E$49+'Appendix K'!$F$49+'Appendix K'!$H$49+'Appendix K'!$G$49))/((1+$Y$16)^AQ$34))</f>
        <v>803196.32648275851</v>
      </c>
      <c r="AR723" s="193">
        <f>(((U723*'Appendix K'!$C$24*1000)-('Appendix K'!$E$50+'Appendix K'!$F$50+'Appendix K'!$H$50+'Appendix K'!$G$50))/((1+$Y$16)^AR$34))</f>
        <v>637804.30707987933</v>
      </c>
      <c r="AS723" s="209">
        <f t="shared" si="36"/>
        <v>130933890.66011524</v>
      </c>
      <c r="AU723" s="199">
        <f t="shared" si="35"/>
        <v>5.2532375201419864E-9</v>
      </c>
    </row>
    <row r="724" spans="1:47" x14ac:dyDescent="0.35">
      <c r="A724">
        <v>690</v>
      </c>
      <c r="B724" s="70">
        <v>56</v>
      </c>
      <c r="C724" s="70">
        <v>48.657846832804921</v>
      </c>
      <c r="D724" s="70">
        <v>36.54471842255559</v>
      </c>
      <c r="E724" s="70">
        <v>60.478791203722125</v>
      </c>
      <c r="F724" s="70">
        <v>55.293965833761291</v>
      </c>
      <c r="G724" s="70">
        <v>77.592945819412591</v>
      </c>
      <c r="H724" s="70">
        <v>95.140144802115756</v>
      </c>
      <c r="I724" s="70">
        <v>106.70847561011033</v>
      </c>
      <c r="J724" s="70">
        <v>95.286913561210454</v>
      </c>
      <c r="K724" s="70">
        <v>101.00884275733466</v>
      </c>
      <c r="L724" s="70">
        <v>138.91185363233203</v>
      </c>
      <c r="M724" s="70">
        <v>206.54945402402501</v>
      </c>
      <c r="N724" s="70">
        <v>319.15771444951412</v>
      </c>
      <c r="O724" s="70">
        <v>360.6538515478652</v>
      </c>
      <c r="P724" s="70">
        <v>403.35475251299329</v>
      </c>
      <c r="Q724" s="70">
        <v>350.14159046396554</v>
      </c>
      <c r="R724" s="70">
        <v>378.35556344305917</v>
      </c>
      <c r="S724" s="70">
        <v>500</v>
      </c>
      <c r="T724" s="70">
        <v>368.14123084677863</v>
      </c>
      <c r="U724" s="70">
        <v>500</v>
      </c>
      <c r="V724" s="70">
        <v>389.92241606976222</v>
      </c>
      <c r="X724" s="193">
        <f>((0-('Appendix K'!$I$30))/(1+$Y$16)^0)</f>
        <v>-33594902.4440751</v>
      </c>
      <c r="Y724" s="193">
        <f>(((B724*'Appendix K'!$C$5*1000)-('Appendix K'!$E$31+'Appendix K'!$F$31+'Appendix K'!$H$31+'Appendix K'!$G$31))/((1+$Y$16)^1))</f>
        <v>34971064.972647354</v>
      </c>
      <c r="Z724" s="193">
        <f>+(((C724*'Appendix K'!$C$6*1000)-('Appendix K'!$E$32+'Appendix K'!$F$32+'Appendix K'!$H$32+'Appendix K'!$G$32))/((1+$Y$16)^2))</f>
        <v>8804556.6412722953</v>
      </c>
      <c r="AA724" s="193">
        <f>(((D724*'Appendix K'!$C$7*1000)-('Appendix K'!$E$33+'Appendix K'!$F$33+'Appendix K'!$H$33+'Appendix K'!$G$33))/((1+$Y$16)^3))</f>
        <v>1689980.7815277621</v>
      </c>
      <c r="AB724" s="193">
        <f>(((E724*'Appendix K'!$C$8*1000)-('Appendix K'!$E$34+'Appendix K'!$F$34+'Appendix K'!$H$34+'Appendix K'!$G$34))/((1+$Y$16)^4))</f>
        <v>9963189.512954982</v>
      </c>
      <c r="AC724" s="193">
        <f>(((F724*'Appendix K'!$C$9*1000)-('Appendix K'!$E$35+'Appendix K'!$F$35+'Appendix K'!$H$35+'Appendix K'!$G$35))/((1+$Y$16)^AC$34))</f>
        <v>11712820.772347104</v>
      </c>
      <c r="AD724" s="193">
        <f>(((G724*'Appendix K'!$C$10*1000)-('Appendix K'!$E$36+'Appendix K'!$F$36+'Appendix K'!$H$36+'Appendix K'!$G$36))/((1+$Y$16)^AD$34))</f>
        <v>9669739.8434811793</v>
      </c>
      <c r="AE724" s="193">
        <f>(((H724*'Appendix K'!$C$11*1000)-('Appendix K'!$E$37+'Appendix K'!$F$37+'Appendix K'!$H$37+'Appendix K'!$G$37))/((1+$Y$16)^AE$34))</f>
        <v>7269111.4843323249</v>
      </c>
      <c r="AF724" s="193">
        <f>(((I724*'Appendix K'!$C$12*1000)-('Appendix K'!$E$38+'Appendix K'!$F$38+'Appendix K'!$H$38+'Appendix K'!$G$38))/((1+$Y$16)^AF$34))</f>
        <v>5010158.4835509015</v>
      </c>
      <c r="AG724" s="193">
        <f>(((J724*'Appendix K'!$C$13*1000)-('Appendix K'!$E$39+'Appendix K'!$F$39+'Appendix K'!$H$39+'Appendix K'!$G$39))/((1+$Y$16)^AG$34))</f>
        <v>2570058.1781928036</v>
      </c>
      <c r="AH724" s="193">
        <f>(((K724*'Appendix K'!$C$14*1000)-('Appendix K'!$E$40+'Appendix K'!$F$40+'Appendix K'!$H$40+'Appendix K'!$G$40))/((1+$Y$16)^AH$34))</f>
        <v>1771916.1049486496</v>
      </c>
      <c r="AI724" s="193">
        <f>(((L724*'Appendix K'!$C$15*1000)-('Appendix K'!$E$41+'Appendix K'!$F$41+'Appendix K'!$H$41+'Appendix K'!$G$41))/((1+$Y$16)^AI$34))</f>
        <v>2123268.9832761316</v>
      </c>
      <c r="AJ724" s="193">
        <f>(((M724*'Appendix K'!$C$16*1000)-('Appendix K'!$E$42+'Appendix K'!$F$42+'Appendix K'!$H$42+'Appendix K'!$G$42))/((1+$Y$16)^AJ$34))</f>
        <v>2758085.7232093713</v>
      </c>
      <c r="AK724" s="193">
        <f>(((N724*'Appendix K'!$C$17*1000)-('Appendix K'!$E$43+'Appendix K'!$F$43+'Appendix K'!$H$43))/((1+$Y$16)^AK$34))</f>
        <v>3899247.7828248944</v>
      </c>
      <c r="AL724" s="193">
        <f>(((O724*'Appendix K'!$C$18*1000)-('Appendix K'!$E$44+'Appendix K'!$F$44+'Appendix K'!$H$44+'Appendix K'!$G$44))/((1+$Y$16)^AL$34))</f>
        <v>3140347.0998892323</v>
      </c>
      <c r="AM724" s="193">
        <f>(((P724*'Appendix K'!$C$19*1000)-('Appendix K'!$E$45+'Appendix K'!$F$45+'Appendix K'!$H$45+'Appendix K'!$G$45))/((1+$Y$16)^AM$34))</f>
        <v>2711821.0760681857</v>
      </c>
      <c r="AN724" s="193">
        <f>(((Q724*'Appendix K'!$C$20*1000)-('Appendix K'!$E$46+'Appendix K'!$F$46+'Appendix K'!$H$46+'Appendix K'!$G$46))/((1+$Y$16)^AN$34))</f>
        <v>1617991.6522518436</v>
      </c>
      <c r="AO724" s="193">
        <f>(((R724*'Appendix K'!$C$21*1000)-('Appendix K'!$E$47+'Appendix K'!$F$47+'Appendix K'!$H$47+'Appendix K'!$G$47))/((1+$Y$16)^AO$34))</f>
        <v>1393124.2553053489</v>
      </c>
      <c r="AP724" s="193">
        <f>(((S724*'Appendix K'!$C$22*1000)-('Appendix K'!$E$48+'Appendix K'!$F$48+'Appendix K'!$H$48+'Appendix K'!$G$48))/((1+$Y$16)^AP$34))</f>
        <v>1630406.4380253027</v>
      </c>
      <c r="AQ724" s="193">
        <f>(((T724*'Appendix K'!$C$23*1000)-('Appendix K'!$E$49+'Appendix K'!$F$49+'Appendix K'!$H$49+'Appendix K'!$G$49))/((1+$Y$16)^AQ$34))</f>
        <v>747324.89945034543</v>
      </c>
      <c r="AR724" s="193">
        <f>(((U724*'Appendix K'!$C$24*1000)-('Appendix K'!$E$50+'Appendix K'!$F$50+'Appendix K'!$H$50+'Appendix K'!$G$50))/((1+$Y$16)^AR$34))</f>
        <v>980725.14012097823</v>
      </c>
      <c r="AS724" s="209">
        <f t="shared" si="36"/>
        <v>80840037.3816019</v>
      </c>
      <c r="AU724" s="199">
        <f t="shared" si="35"/>
        <v>6.9797298064375614E-9</v>
      </c>
    </row>
    <row r="725" spans="1:47" x14ac:dyDescent="0.35">
      <c r="A725">
        <v>691</v>
      </c>
      <c r="B725" s="70">
        <v>56</v>
      </c>
      <c r="C725" s="70">
        <v>50.136016703849727</v>
      </c>
      <c r="D725" s="70">
        <v>77.864811673406592</v>
      </c>
      <c r="E725" s="70">
        <v>71.656223958771335</v>
      </c>
      <c r="F725" s="70">
        <v>108.87815915527594</v>
      </c>
      <c r="G725" s="70">
        <v>124.17170245135739</v>
      </c>
      <c r="H725" s="70">
        <v>92.719695600615651</v>
      </c>
      <c r="I725" s="70">
        <v>112.41726114513284</v>
      </c>
      <c r="J725" s="70">
        <v>93.085082864069904</v>
      </c>
      <c r="K725" s="70">
        <v>134.95594272336911</v>
      </c>
      <c r="L725" s="70">
        <v>158.79615757107285</v>
      </c>
      <c r="M725" s="70">
        <v>98.190982411970694</v>
      </c>
      <c r="N725" s="70">
        <v>76.039945512609279</v>
      </c>
      <c r="O725" s="70">
        <v>111.66435955181952</v>
      </c>
      <c r="P725" s="70">
        <v>145.26868024370015</v>
      </c>
      <c r="Q725" s="70">
        <v>215.25761453827729</v>
      </c>
      <c r="R725" s="70">
        <v>225.30079880801594</v>
      </c>
      <c r="S725" s="70">
        <v>271.4019894852986</v>
      </c>
      <c r="T725" s="70">
        <v>367.42133890410179</v>
      </c>
      <c r="U725" s="70">
        <v>237.08678659670176</v>
      </c>
      <c r="V725" s="70">
        <v>288.91074648011454</v>
      </c>
      <c r="X725" s="193">
        <f>((0-('Appendix K'!$I$30))/(1+$Y$16)^0)</f>
        <v>-33594902.4440751</v>
      </c>
      <c r="Y725" s="193">
        <f>(((B725*'Appendix K'!$C$5*1000)-('Appendix K'!$E$31+'Appendix K'!$F$31+'Appendix K'!$H$31+'Appendix K'!$G$31))/((1+$Y$16)^1))</f>
        <v>34971064.972647354</v>
      </c>
      <c r="Z725" s="193">
        <f>+(((C725*'Appendix K'!$C$6*1000)-('Appendix K'!$E$32+'Appendix K'!$F$32+'Appendix K'!$H$32+'Appendix K'!$G$32))/((1+$Y$16)^2))</f>
        <v>9177967.6320209373</v>
      </c>
      <c r="AA725" s="193">
        <f>(((D725*'Appendix K'!$C$7*1000)-('Appendix K'!$E$33+'Appendix K'!$F$33+'Appendix K'!$H$33+'Appendix K'!$G$33))/((1+$Y$16)^3))</f>
        <v>6953122.3851947403</v>
      </c>
      <c r="AB725" s="193">
        <f>(((E725*'Appendix K'!$C$8*1000)-('Appendix K'!$E$34+'Appendix K'!$F$34+'Appendix K'!$H$34+'Appendix K'!$G$34))/((1+$Y$16)^4))</f>
        <v>12413180.453313189</v>
      </c>
      <c r="AC725" s="193">
        <f>(((F725*'Appendix K'!$C$9*1000)-('Appendix K'!$E$35+'Appendix K'!$F$35+'Appendix K'!$H$35+'Appendix K'!$G$35))/((1+$Y$16)^AC$34))</f>
        <v>25955415.214922849</v>
      </c>
      <c r="AD725" s="193">
        <f>(((G725*'Appendix K'!$C$10*1000)-('Appendix K'!$E$36+'Appendix K'!$F$36+'Appendix K'!$H$36+'Appendix K'!$G$36))/((1+$Y$16)^AD$34))</f>
        <v>16984651.841678701</v>
      </c>
      <c r="AE725" s="193">
        <f>(((H725*'Appendix K'!$C$11*1000)-('Appendix K'!$E$37+'Appendix K'!$F$37+'Appendix K'!$H$37+'Appendix K'!$G$37))/((1+$Y$16)^AE$34))</f>
        <v>7027701.6202555476</v>
      </c>
      <c r="AF725" s="193">
        <f>(((I725*'Appendix K'!$C$12*1000)-('Appendix K'!$E$38+'Appendix K'!$F$38+'Appendix K'!$H$38+'Appendix K'!$G$38))/((1+$Y$16)^AF$34))</f>
        <v>5385011.1972258361</v>
      </c>
      <c r="AG725" s="193">
        <f>(((J725*'Appendix K'!$C$13*1000)-('Appendix K'!$E$39+'Appendix K'!$F$39+'Appendix K'!$H$39+'Appendix K'!$G$39))/((1+$Y$16)^AG$34))</f>
        <v>2468732.279828608</v>
      </c>
      <c r="AH725" s="193">
        <f>(((K725*'Appendix K'!$C$14*1000)-('Appendix K'!$E$40+'Appendix K'!$F$40+'Appendix K'!$H$40+'Appendix K'!$G$40))/((1+$Y$16)^AH$34))</f>
        <v>2916154.9382476639</v>
      </c>
      <c r="AI725" s="193">
        <f>(((L725*'Appendix K'!$C$15*1000)-('Appendix K'!$E$41+'Appendix K'!$F$41+'Appendix K'!$H$41+'Appendix K'!$G$41))/((1+$Y$16)^AI$34))</f>
        <v>2644274.9303018381</v>
      </c>
      <c r="AJ725" s="193">
        <f>(((M725*'Appendix K'!$C$16*1000)-('Appendix K'!$E$42+'Appendix K'!$F$42+'Appendix K'!$H$42+'Appendix K'!$G$42))/((1+$Y$16)^AJ$34))</f>
        <v>586379.64922684093</v>
      </c>
      <c r="AK725" s="193">
        <f>(((N725*'Appendix K'!$C$17*1000)-('Appendix K'!$E$43+'Appendix K'!$F$43+'Appendix K'!$H$43))/((1+$Y$16)^AK$34))</f>
        <v>164011.30953639009</v>
      </c>
      <c r="AL725" s="193">
        <f>(((O725*'Appendix K'!$C$18*1000)-('Appendix K'!$E$44+'Appendix K'!$F$44+'Appendix K'!$H$44+'Appendix K'!$G$44))/((1+$Y$16)^AL$34))</f>
        <v>189001.38557272166</v>
      </c>
      <c r="AM725" s="193">
        <f>(((P725*'Appendix K'!$C$19*1000)-('Appendix K'!$E$45+'Appendix K'!$F$45+'Appendix K'!$H$45+'Appendix K'!$G$45))/((1+$Y$16)^AM$34))</f>
        <v>319690.4928830252</v>
      </c>
      <c r="AN725" s="193">
        <f>(((Q725*'Appendix K'!$C$20*1000)-('Appendix K'!$E$46+'Appendix K'!$F$46+'Appendix K'!$H$46+'Appendix K'!$G$46))/((1+$Y$16)^AN$34))</f>
        <v>641941.94734865171</v>
      </c>
      <c r="AO725" s="193">
        <f>(((R725*'Appendix K'!$C$21*1000)-('Appendix K'!$E$47+'Appendix K'!$F$47+'Appendix K'!$H$47+'Appendix K'!$G$47))/((1+$Y$16)^AO$34))</f>
        <v>488553.68681568844</v>
      </c>
      <c r="AP725" s="193">
        <f>(((S725*'Appendix K'!$C$22*1000)-('Appendix K'!$E$48+'Appendix K'!$F$48+'Appendix K'!$H$48+'Appendix K'!$G$48))/((1+$Y$16)^AP$34))</f>
        <v>535486.12559238647</v>
      </c>
      <c r="AQ725" s="193">
        <f>(((T725*'Appendix K'!$C$23*1000)-('Appendix K'!$E$49+'Appendix K'!$F$49+'Appendix K'!$H$49+'Appendix K'!$G$49))/((1+$Y$16)^AQ$34))</f>
        <v>744507.42668377201</v>
      </c>
      <c r="AR725" s="193">
        <f>(((U725*'Appendix K'!$C$24*1000)-('Appendix K'!$E$50+'Appendix K'!$F$50+'Appendix K'!$H$50+'Appendix K'!$G$50))/((1+$Y$16)^AR$34))</f>
        <v>134137.22643421538</v>
      </c>
      <c r="AS725" s="209">
        <f t="shared" si="36"/>
        <v>97106084.271655858</v>
      </c>
      <c r="AU725" s="199">
        <f t="shared" si="35"/>
        <v>6.9320918029137834E-9</v>
      </c>
    </row>
    <row r="726" spans="1:47" x14ac:dyDescent="0.35">
      <c r="A726">
        <v>692</v>
      </c>
      <c r="B726" s="70">
        <v>56</v>
      </c>
      <c r="C726" s="70">
        <v>53.058165725993369</v>
      </c>
      <c r="D726" s="70">
        <v>40.195844042161468</v>
      </c>
      <c r="E726" s="70">
        <v>19.297879337738593</v>
      </c>
      <c r="F726" s="70">
        <v>15.91819349548765</v>
      </c>
      <c r="G726" s="70">
        <v>15.686751180226381</v>
      </c>
      <c r="H726" s="70">
        <v>21.833729176488873</v>
      </c>
      <c r="I726" s="70">
        <v>20.536232235365382</v>
      </c>
      <c r="J726" s="70">
        <v>17.559543210690784</v>
      </c>
      <c r="K726" s="70">
        <v>20.752738126738819</v>
      </c>
      <c r="L726" s="70">
        <v>30.432241981531423</v>
      </c>
      <c r="M726" s="70">
        <v>43.940161990070514</v>
      </c>
      <c r="N726" s="70">
        <v>46.236949700603851</v>
      </c>
      <c r="O726" s="70">
        <v>43.641806107782287</v>
      </c>
      <c r="P726" s="70">
        <v>49.531856966643154</v>
      </c>
      <c r="Q726" s="70">
        <v>78.350706514100267</v>
      </c>
      <c r="R726" s="70">
        <v>92.74392950184486</v>
      </c>
      <c r="S726" s="70">
        <v>101.88061732922225</v>
      </c>
      <c r="T726" s="70">
        <v>85.512172004719574</v>
      </c>
      <c r="U726" s="70">
        <v>84.624572179464479</v>
      </c>
      <c r="V726" s="70">
        <v>109.38080364188544</v>
      </c>
      <c r="X726" s="193">
        <f>((0-('Appendix K'!$I$30))/(1+$Y$16)^0)</f>
        <v>-33594902.4440751</v>
      </c>
      <c r="Y726" s="193">
        <f>(((B726*'Appendix K'!$C$5*1000)-('Appendix K'!$E$31+'Appendix K'!$F$31+'Appendix K'!$H$31+'Appendix K'!$G$31))/((1+$Y$16)^1))</f>
        <v>34971064.972647354</v>
      </c>
      <c r="Z726" s="193">
        <f>+(((C726*'Appendix K'!$C$6*1000)-('Appendix K'!$E$32+'Appendix K'!$F$32+'Appendix K'!$H$32+'Appendix K'!$G$32))/((1+$Y$16)^2))</f>
        <v>9916152.4528917428</v>
      </c>
      <c r="AA726" s="193">
        <f>(((D726*'Appendix K'!$C$7*1000)-('Appendix K'!$E$33+'Appendix K'!$F$33+'Appendix K'!$H$33+'Appendix K'!$G$33))/((1+$Y$16)^3))</f>
        <v>2155042.4412897783</v>
      </c>
      <c r="AB726" s="193">
        <f>(((E726*'Appendix K'!$C$8*1000)-('Appendix K'!$E$34+'Appendix K'!$F$34+'Appendix K'!$H$34+'Appendix K'!$G$34))/((1+$Y$16)^4))</f>
        <v>936710.60689555306</v>
      </c>
      <c r="AC726" s="193">
        <f>(((F726*'Appendix K'!$C$9*1000)-('Appendix K'!$E$35+'Appendix K'!$F$35+'Appendix K'!$H$35+'Appendix K'!$G$35))/((1+$Y$16)^AC$34))</f>
        <v>1246802.3158921225</v>
      </c>
      <c r="AD726" s="193">
        <f>(((G726*'Appendix K'!$C$10*1000)-('Appendix K'!$E$36+'Appendix K'!$F$36+'Appendix K'!$H$36+'Appendix K'!$G$36))/((1+$Y$16)^AD$34))</f>
        <v>-52253.58599493443</v>
      </c>
      <c r="AE726" s="193">
        <f>(((H726*'Appendix K'!$C$11*1000)-('Appendix K'!$E$37+'Appendix K'!$F$37+'Appendix K'!$H$37+'Appendix K'!$G$37))/((1+$Y$16)^AE$34))</f>
        <v>-42296.588669414377</v>
      </c>
      <c r="AF726" s="193">
        <f>(((I726*'Appendix K'!$C$12*1000)-('Appendix K'!$E$38+'Appendix K'!$F$38+'Appendix K'!$H$38+'Appendix K'!$G$38))/((1+$Y$16)^AF$34))</f>
        <v>-648120.15983355709</v>
      </c>
      <c r="AG726" s="193">
        <f>(((J726*'Appendix K'!$C$13*1000)-('Appendix K'!$E$39+'Appendix K'!$F$39+'Appendix K'!$H$39+'Appendix K'!$G$39))/((1+$Y$16)^AG$34))</f>
        <v>-1006872.4361732253</v>
      </c>
      <c r="AH726" s="193">
        <f>(((K726*'Appendix K'!$C$14*1000)-('Appendix K'!$E$40+'Appendix K'!$F$40+'Appendix K'!$H$40+'Appendix K'!$G$40))/((1+$Y$16)^AH$34))</f>
        <v>-933238.43312731723</v>
      </c>
      <c r="AI726" s="193">
        <f>(((L726*'Appendix K'!$C$15*1000)-('Appendix K'!$E$41+'Appendix K'!$F$41+'Appendix K'!$H$41+'Appendix K'!$G$41))/((1+$Y$16)^AI$34))</f>
        <v>-719099.69984334824</v>
      </c>
      <c r="AJ726" s="193">
        <f>(((M726*'Appendix K'!$C$16*1000)-('Appendix K'!$E$42+'Appendix K'!$F$42+'Appendix K'!$H$42+'Appendix K'!$G$42))/((1+$Y$16)^AJ$34))</f>
        <v>-500908.07711341913</v>
      </c>
      <c r="AK726" s="193">
        <f>(((N726*'Appendix K'!$C$17*1000)-('Appendix K'!$E$43+'Appendix K'!$F$43+'Appendix K'!$H$43))/((1+$Y$16)^AK$34))</f>
        <v>-293878.86219827179</v>
      </c>
      <c r="AL726" s="193">
        <f>(((O726*'Appendix K'!$C$18*1000)-('Appendix K'!$E$44+'Appendix K'!$F$44+'Appendix K'!$H$44+'Appendix K'!$G$44))/((1+$Y$16)^AL$34))</f>
        <v>-617289.9561804214</v>
      </c>
      <c r="AM726" s="193">
        <f>(((P726*'Appendix K'!$C$19*1000)-('Appendix K'!$E$45+'Appendix K'!$F$45+'Appendix K'!$H$45+'Appendix K'!$G$45))/((1+$Y$16)^AM$34))</f>
        <v>-567668.44471621595</v>
      </c>
      <c r="AN726" s="193">
        <f>(((Q726*'Appendix K'!$C$20*1000)-('Appendix K'!$E$46+'Appendix K'!$F$46+'Appendix K'!$H$46+'Appendix K'!$G$46))/((1+$Y$16)^AN$34))</f>
        <v>-348746.13297473814</v>
      </c>
      <c r="AO726" s="193">
        <f>(((R726*'Appendix K'!$C$21*1000)-('Appendix K'!$E$47+'Appendix K'!$F$47+'Appendix K'!$H$47+'Appendix K'!$G$47))/((1+$Y$16)^AO$34))</f>
        <v>-294872.05567203718</v>
      </c>
      <c r="AP726" s="193">
        <f>(((S726*'Appendix K'!$C$22*1000)-('Appendix K'!$E$48+'Appendix K'!$F$48+'Appendix K'!$H$48+'Appendix K'!$G$48))/((1+$Y$16)^AP$34))</f>
        <v>-276473.66945250874</v>
      </c>
      <c r="AQ726" s="193">
        <f>(((T726*'Appendix K'!$C$23*1000)-('Appendix K'!$E$49+'Appendix K'!$F$49+'Appendix K'!$H$49+'Appendix K'!$G$49))/((1+$Y$16)^AQ$34))</f>
        <v>-358812.88196278544</v>
      </c>
      <c r="AR726" s="193">
        <f>(((U726*'Appendix K'!$C$24*1000)-('Appendix K'!$E$50+'Appendix K'!$F$50+'Appendix K'!$H$50+'Appendix K'!$G$50))/((1+$Y$16)^AR$34))</f>
        <v>-356795.37580651167</v>
      </c>
      <c r="AS726" s="209">
        <f t="shared" si="36"/>
        <v>15630870.345541447</v>
      </c>
      <c r="AU726" s="199">
        <f t="shared" si="35"/>
        <v>3.1444995799026506E-9</v>
      </c>
    </row>
    <row r="727" spans="1:47" x14ac:dyDescent="0.35">
      <c r="A727">
        <v>693</v>
      </c>
      <c r="B727" s="70">
        <v>56</v>
      </c>
      <c r="C727" s="70">
        <v>39.317373665125928</v>
      </c>
      <c r="D727" s="70">
        <v>42.544257298435703</v>
      </c>
      <c r="E727" s="70">
        <v>52.627236451808315</v>
      </c>
      <c r="F727" s="70">
        <v>84.381726724258073</v>
      </c>
      <c r="G727" s="70">
        <v>76.976894793522618</v>
      </c>
      <c r="H727" s="70">
        <v>85.92226755919431</v>
      </c>
      <c r="I727" s="70">
        <v>64.543839008377574</v>
      </c>
      <c r="J727" s="70">
        <v>88.97033107235228</v>
      </c>
      <c r="K727" s="70">
        <v>108.17171838159967</v>
      </c>
      <c r="L727" s="70">
        <v>145.20527006004775</v>
      </c>
      <c r="M727" s="70">
        <v>212.96015697750695</v>
      </c>
      <c r="N727" s="70">
        <v>238.6685847617004</v>
      </c>
      <c r="O727" s="70">
        <v>245.08594802648275</v>
      </c>
      <c r="P727" s="70">
        <v>320.26912862359563</v>
      </c>
      <c r="Q727" s="70">
        <v>361.67174839953077</v>
      </c>
      <c r="R727" s="70">
        <v>397.32956166531039</v>
      </c>
      <c r="S727" s="70">
        <v>379.80152305597068</v>
      </c>
      <c r="T727" s="70">
        <v>372.49656220858071</v>
      </c>
      <c r="U727" s="70">
        <v>490.93406398344155</v>
      </c>
      <c r="V727" s="70">
        <v>500</v>
      </c>
      <c r="X727" s="193">
        <f>((0-('Appendix K'!$I$30))/(1+$Y$16)^0)</f>
        <v>-33594902.4440751</v>
      </c>
      <c r="Y727" s="193">
        <f>(((B727*'Appendix K'!$C$5*1000)-('Appendix K'!$E$31+'Appendix K'!$F$31+'Appendix K'!$H$31+'Appendix K'!$G$31))/((1+$Y$16)^1))</f>
        <v>34971064.972647354</v>
      </c>
      <c r="Z727" s="193">
        <f>+(((C727*'Appendix K'!$C$6*1000)-('Appendix K'!$E$32+'Appendix K'!$F$32+'Appendix K'!$H$32+'Appendix K'!$G$32))/((1+$Y$16)^2))</f>
        <v>6444993.3678449746</v>
      </c>
      <c r="AA727" s="193">
        <f>(((D727*'Appendix K'!$C$7*1000)-('Appendix K'!$E$33+'Appendix K'!$F$33+'Appendix K'!$H$33+'Appendix K'!$G$33))/((1+$Y$16)^3))</f>
        <v>2454171.2800526344</v>
      </c>
      <c r="AB727" s="193">
        <f>(((E727*'Appendix K'!$C$8*1000)-('Appendix K'!$E$34+'Appendix K'!$F$34+'Appendix K'!$H$34+'Appendix K'!$G$34))/((1+$Y$16)^4))</f>
        <v>8242200.5854013255</v>
      </c>
      <c r="AC727" s="193">
        <f>(((F727*'Appendix K'!$C$9*1000)-('Appendix K'!$E$35+'Appendix K'!$F$35+'Appendix K'!$H$35+'Appendix K'!$G$35))/((1+$Y$16)^AC$34))</f>
        <v>19444301.941059999</v>
      </c>
      <c r="AD727" s="193">
        <f>(((G727*'Appendix K'!$C$10*1000)-('Appendix K'!$E$36+'Appendix K'!$F$36+'Appendix K'!$H$36+'Appendix K'!$G$36))/((1+$Y$16)^AD$34))</f>
        <v>9572992.7560397387</v>
      </c>
      <c r="AE727" s="193">
        <f>(((H727*'Appendix K'!$C$11*1000)-('Appendix K'!$E$37+'Appendix K'!$F$37+'Appendix K'!$H$37+'Appendix K'!$G$37))/((1+$Y$16)^AE$34))</f>
        <v>6349742.2652175631</v>
      </c>
      <c r="AF727" s="193">
        <f>(((I727*'Appendix K'!$C$12*1000)-('Appendix K'!$E$38+'Appendix K'!$F$38+'Appendix K'!$H$38+'Appendix K'!$G$38))/((1+$Y$16)^AF$34))</f>
        <v>2241526.1090620533</v>
      </c>
      <c r="AG727" s="193">
        <f>(((J727*'Appendix K'!$C$13*1000)-('Appendix K'!$E$39+'Appendix K'!$F$39+'Appendix K'!$H$39+'Appendix K'!$G$39))/((1+$Y$16)^AG$34))</f>
        <v>2279375.794617041</v>
      </c>
      <c r="AH727" s="193">
        <f>(((K727*'Appendix K'!$C$14*1000)-('Appendix K'!$E$40+'Appendix K'!$F$40+'Appendix K'!$H$40+'Appendix K'!$G$40))/((1+$Y$16)^AH$34))</f>
        <v>2013351.7638289502</v>
      </c>
      <c r="AI727" s="193">
        <f>(((L727*'Appendix K'!$C$15*1000)-('Appendix K'!$E$41+'Appendix K'!$F$41+'Appendix K'!$H$41+'Appendix K'!$G$41))/((1+$Y$16)^AI$34))</f>
        <v>2288168.2624287116</v>
      </c>
      <c r="AJ727" s="193">
        <f>(((M727*'Appendix K'!$C$16*1000)-('Appendix K'!$E$42+'Appendix K'!$F$42+'Appendix K'!$H$42+'Appendix K'!$G$42))/((1+$Y$16)^AJ$34))</f>
        <v>2886568.1790381935</v>
      </c>
      <c r="AK727" s="193">
        <f>(((N727*'Appendix K'!$C$17*1000)-('Appendix K'!$E$43+'Appendix K'!$F$43+'Appendix K'!$H$43))/((1+$Y$16)^AK$34))</f>
        <v>2662621.0474454849</v>
      </c>
      <c r="AL727" s="193">
        <f>(((O727*'Appendix K'!$C$18*1000)-('Appendix K'!$E$44+'Appendix K'!$F$44+'Appendix K'!$H$44+'Appendix K'!$G$44))/((1+$Y$16)^AL$34))</f>
        <v>1770486.7333489736</v>
      </c>
      <c r="AM727" s="193">
        <f>(((P727*'Appendix K'!$C$19*1000)-('Appendix K'!$E$45+'Appendix K'!$F$45+'Appendix K'!$H$45+'Appendix K'!$G$45))/((1+$Y$16)^AM$34))</f>
        <v>1941722.7124437222</v>
      </c>
      <c r="AN727" s="193">
        <f>(((Q727*'Appendix K'!$C$20*1000)-('Appendix K'!$E$46+'Appendix K'!$F$46+'Appendix K'!$H$46+'Appendix K'!$G$46))/((1+$Y$16)^AN$34))</f>
        <v>1701426.3758597525</v>
      </c>
      <c r="AO727" s="193">
        <f>(((R727*'Appendix K'!$C$21*1000)-('Appendix K'!$E$47+'Appendix K'!$F$47+'Appendix K'!$H$47+'Appendix K'!$G$47))/((1+$Y$16)^AO$34))</f>
        <v>1505262.6810469409</v>
      </c>
      <c r="AP727" s="193">
        <f>(((S727*'Appendix K'!$C$22*1000)-('Appendix K'!$E$48+'Appendix K'!$F$48+'Appendix K'!$H$48+'Appendix K'!$G$48))/((1+$Y$16)^AP$34))</f>
        <v>1054689.4681654382</v>
      </c>
      <c r="AQ727" s="193">
        <f>(((T727*'Appendix K'!$C$23*1000)-('Appendix K'!$E$49+'Appendix K'!$F$49+'Appendix K'!$H$49+'Appendix K'!$G$49))/((1+$Y$16)^AQ$34))</f>
        <v>764370.55140701495</v>
      </c>
      <c r="AR727" s="193">
        <f>(((U727*'Appendix K'!$C$24*1000)-('Appendix K'!$E$50+'Appendix K'!$F$50+'Appendix K'!$H$50+'Appendix K'!$G$50))/((1+$Y$16)^AR$34))</f>
        <v>951532.57213048101</v>
      </c>
      <c r="AS727" s="209">
        <f t="shared" si="36"/>
        <v>77945666.975011259</v>
      </c>
      <c r="AU727" s="199">
        <f t="shared" si="35"/>
        <v>6.9283335394392136E-9</v>
      </c>
    </row>
    <row r="728" spans="1:47" x14ac:dyDescent="0.35">
      <c r="A728">
        <v>694</v>
      </c>
      <c r="B728" s="70">
        <v>56</v>
      </c>
      <c r="C728" s="70">
        <v>63.475650272148854</v>
      </c>
      <c r="D728" s="70">
        <v>97.300123616428408</v>
      </c>
      <c r="E728" s="70">
        <v>74.798402360436924</v>
      </c>
      <c r="F728" s="70">
        <v>94.399598631119474</v>
      </c>
      <c r="G728" s="70">
        <v>91.964998400238258</v>
      </c>
      <c r="H728" s="70">
        <v>93.70913793367707</v>
      </c>
      <c r="I728" s="70">
        <v>77.435284561239058</v>
      </c>
      <c r="J728" s="70">
        <v>84.555380774600238</v>
      </c>
      <c r="K728" s="70">
        <v>124.5509362138835</v>
      </c>
      <c r="L728" s="70">
        <v>101.86552522050336</v>
      </c>
      <c r="M728" s="70">
        <v>92.116762046893513</v>
      </c>
      <c r="N728" s="70">
        <v>107.795391308904</v>
      </c>
      <c r="O728" s="70">
        <v>128.93303397919397</v>
      </c>
      <c r="P728" s="70">
        <v>171.47333155668468</v>
      </c>
      <c r="Q728" s="70">
        <v>220.06107423388286</v>
      </c>
      <c r="R728" s="70">
        <v>326.85156115440213</v>
      </c>
      <c r="S728" s="70">
        <v>440.11189689603947</v>
      </c>
      <c r="T728" s="70">
        <v>500</v>
      </c>
      <c r="U728" s="70">
        <v>374.99003696845989</v>
      </c>
      <c r="V728" s="70">
        <v>361.86040292176165</v>
      </c>
      <c r="X728" s="193">
        <f>((0-('Appendix K'!$I$30))/(1+$Y$16)^0)</f>
        <v>-33594902.4440751</v>
      </c>
      <c r="Y728" s="193">
        <f>(((B728*'Appendix K'!$C$5*1000)-('Appendix K'!$E$31+'Appendix K'!$F$31+'Appendix K'!$H$31+'Appendix K'!$G$31))/((1+$Y$16)^1))</f>
        <v>34971064.972647354</v>
      </c>
      <c r="Z728" s="193">
        <f>+(((C728*'Appendix K'!$C$6*1000)-('Appendix K'!$E$32+'Appendix K'!$F$32+'Appendix K'!$H$32+'Appendix K'!$G$32))/((1+$Y$16)^2))</f>
        <v>12547787.220781473</v>
      </c>
      <c r="AA728" s="193">
        <f>(((D728*'Appendix K'!$C$7*1000)-('Appendix K'!$E$33+'Appendix K'!$F$33+'Appendix K'!$H$33+'Appendix K'!$G$33))/((1+$Y$16)^3))</f>
        <v>9428692.7631840743</v>
      </c>
      <c r="AB728" s="193">
        <f>(((E728*'Appendix K'!$C$8*1000)-('Appendix K'!$E$34+'Appendix K'!$F$34+'Appendix K'!$H$34+'Appendix K'!$G$34))/((1+$Y$16)^4))</f>
        <v>13101917.195083553</v>
      </c>
      <c r="AC728" s="193">
        <f>(((F728*'Appendix K'!$C$9*1000)-('Appendix K'!$E$35+'Appendix K'!$F$35+'Appendix K'!$H$35+'Appendix K'!$G$35))/((1+$Y$16)^AC$34))</f>
        <v>22107036.563021954</v>
      </c>
      <c r="AD728" s="193">
        <f>(((G728*'Appendix K'!$C$10*1000)-('Appendix K'!$E$36+'Appendix K'!$F$36+'Appendix K'!$H$36+'Appendix K'!$G$36))/((1+$Y$16)^AD$34))</f>
        <v>11926783.772174343</v>
      </c>
      <c r="AE728" s="193">
        <f>(((H728*'Appendix K'!$C$11*1000)-('Appendix K'!$E$37+'Appendix K'!$F$37+'Appendix K'!$H$37+'Appendix K'!$G$37))/((1+$Y$16)^AE$34))</f>
        <v>7126386.2524255328</v>
      </c>
      <c r="AF728" s="193">
        <f>(((I728*'Appendix K'!$C$12*1000)-('Appendix K'!$E$38+'Appendix K'!$F$38+'Appendix K'!$H$38+'Appendix K'!$G$38))/((1+$Y$16)^AF$34))</f>
        <v>3088009.7121045566</v>
      </c>
      <c r="AG728" s="193">
        <f>(((J728*'Appendix K'!$C$13*1000)-('Appendix K'!$E$39+'Appendix K'!$F$39+'Appendix K'!$H$39+'Appendix K'!$G$39))/((1+$Y$16)^AG$34))</f>
        <v>2076204.494601124</v>
      </c>
      <c r="AH728" s="193">
        <f>(((K728*'Appendix K'!$C$14*1000)-('Appendix K'!$E$40+'Appendix K'!$F$40+'Appendix K'!$H$40+'Appendix K'!$G$40))/((1+$Y$16)^AH$34))</f>
        <v>2565438.3079377189</v>
      </c>
      <c r="AI728" s="193">
        <f>(((L728*'Appendix K'!$C$15*1000)-('Appendix K'!$E$41+'Appendix K'!$F$41+'Appendix K'!$H$41+'Appendix K'!$G$41))/((1+$Y$16)^AI$34))</f>
        <v>1152585.9019123893</v>
      </c>
      <c r="AJ728" s="193">
        <f>(((M728*'Appendix K'!$C$16*1000)-('Appendix K'!$E$42+'Appendix K'!$F$42+'Appendix K'!$H$42+'Appendix K'!$G$42))/((1+$Y$16)^AJ$34))</f>
        <v>464640.93267522205</v>
      </c>
      <c r="AK728" s="193">
        <f>(((N728*'Appendix K'!$C$17*1000)-('Appendix K'!$E$43+'Appendix K'!$F$43+'Appendix K'!$H$43))/((1+$Y$16)^AK$34))</f>
        <v>651898.72263057448</v>
      </c>
      <c r="AL728" s="193">
        <f>(((O728*'Appendix K'!$C$18*1000)-('Appendix K'!$E$44+'Appendix K'!$F$44+'Appendix K'!$H$44+'Appendix K'!$G$44))/((1+$Y$16)^AL$34))</f>
        <v>393692.06490455515</v>
      </c>
      <c r="AM728" s="193">
        <f>(((P728*'Appendix K'!$C$19*1000)-('Appendix K'!$E$45+'Appendix K'!$F$45+'Appendix K'!$H$45+'Appendix K'!$G$45))/((1+$Y$16)^AM$34))</f>
        <v>562574.37761310278</v>
      </c>
      <c r="AN728" s="193">
        <f>(((Q728*'Appendix K'!$C$20*1000)-('Appendix K'!$E$46+'Appendix K'!$F$46+'Appendix K'!$H$46+'Appendix K'!$G$46))/((1+$Y$16)^AN$34))</f>
        <v>676700.82353267819</v>
      </c>
      <c r="AO728" s="193">
        <f>(((R728*'Appendix K'!$C$21*1000)-('Appendix K'!$E$47+'Appendix K'!$F$47+'Appendix K'!$H$47+'Appendix K'!$G$47))/((1+$Y$16)^AO$34))</f>
        <v>1088729.911615141</v>
      </c>
      <c r="AP728" s="193">
        <f>(((S728*'Appendix K'!$C$22*1000)-('Appendix K'!$E$48+'Appendix K'!$F$48+'Appendix K'!$H$48+'Appendix K'!$G$48))/((1+$Y$16)^AP$34))</f>
        <v>1343559.232251453</v>
      </c>
      <c r="AQ728" s="193">
        <f>(((T728*'Appendix K'!$C$23*1000)-('Appendix K'!$E$49+'Appendix K'!$F$49+'Appendix K'!$H$49+'Appendix K'!$G$49))/((1+$Y$16)^AQ$34))</f>
        <v>1263386.3652054211</v>
      </c>
      <c r="AR728" s="193">
        <f>(((U728*'Appendix K'!$C$24*1000)-('Appendix K'!$E$50+'Appendix K'!$F$50+'Appendix K'!$H$50+'Appendix K'!$G$50))/((1+$Y$16)^AR$34))</f>
        <v>578189.55652294506</v>
      </c>
      <c r="AS728" s="209">
        <f t="shared" si="36"/>
        <v>93520376.698750108</v>
      </c>
      <c r="AU728" s="199">
        <f t="shared" si="35"/>
        <v>6.991744157578571E-9</v>
      </c>
    </row>
    <row r="729" spans="1:47" x14ac:dyDescent="0.35">
      <c r="A729">
        <v>695</v>
      </c>
      <c r="B729" s="70">
        <v>56</v>
      </c>
      <c r="C729" s="70">
        <v>42.435622015718963</v>
      </c>
      <c r="D729" s="70">
        <v>53.346328346824542</v>
      </c>
      <c r="E729" s="70">
        <v>29.998936313880357</v>
      </c>
      <c r="F729" s="70">
        <v>20.300376641260261</v>
      </c>
      <c r="G729" s="70">
        <v>24.509404474220847</v>
      </c>
      <c r="H729" s="70">
        <v>7.6771974406882784</v>
      </c>
      <c r="I729" s="70">
        <v>6.8393886958781271</v>
      </c>
      <c r="J729" s="70">
        <v>6.3032726641667765</v>
      </c>
      <c r="K729" s="70">
        <v>5.5069896244941434</v>
      </c>
      <c r="L729" s="70">
        <v>3.5326733909183616</v>
      </c>
      <c r="M729" s="70">
        <v>2.8713762268326186</v>
      </c>
      <c r="N729" s="70">
        <v>2.7675698215535309</v>
      </c>
      <c r="O729" s="70">
        <v>3.2506127758283716</v>
      </c>
      <c r="P729" s="70">
        <v>4.00890930988822</v>
      </c>
      <c r="Q729" s="70">
        <v>4.0803989449433722</v>
      </c>
      <c r="R729" s="70">
        <v>4.0219522054468335</v>
      </c>
      <c r="S729" s="70">
        <v>6.8785987374219157</v>
      </c>
      <c r="T729" s="70">
        <v>3.1275837994939333</v>
      </c>
      <c r="U729" s="70">
        <v>2.8244593858479741</v>
      </c>
      <c r="V729" s="70">
        <v>2.9702188940630005</v>
      </c>
      <c r="X729" s="193">
        <f>((0-('Appendix K'!$I$30))/(1+$Y$16)^0)</f>
        <v>-33594902.4440751</v>
      </c>
      <c r="Y729" s="193">
        <f>(((B729*'Appendix K'!$C$5*1000)-('Appendix K'!$E$31+'Appendix K'!$F$31+'Appendix K'!$H$31+'Appendix K'!$G$31))/((1+$Y$16)^1))</f>
        <v>34971064.972647354</v>
      </c>
      <c r="Z729" s="193">
        <f>+(((C729*'Appendix K'!$C$6*1000)-('Appendix K'!$E$32+'Appendix K'!$F$32+'Appendix K'!$H$32+'Appendix K'!$G$32))/((1+$Y$16)^2))</f>
        <v>7232716.2329932461</v>
      </c>
      <c r="AA729" s="193">
        <f>(((D729*'Appendix K'!$C$7*1000)-('Appendix K'!$E$33+'Appendix K'!$F$33+'Appendix K'!$H$33+'Appendix K'!$G$33))/((1+$Y$16)^3))</f>
        <v>3830083.7010482228</v>
      </c>
      <c r="AB729" s="193">
        <f>(((E729*'Appendix K'!$C$8*1000)-('Appendix K'!$E$34+'Appendix K'!$F$34+'Appendix K'!$H$34+'Appendix K'!$G$34))/((1+$Y$16)^4))</f>
        <v>3282284.3373177745</v>
      </c>
      <c r="AC729" s="193">
        <f>(((F729*'Appendix K'!$C$9*1000)-('Appendix K'!$E$35+'Appendix K'!$F$35+'Appendix K'!$H$35+'Appendix K'!$G$35))/((1+$Y$16)^AC$34))</f>
        <v>2411579.714776102</v>
      </c>
      <c r="AD729" s="193">
        <f>(((G729*'Appendix K'!$C$10*1000)-('Appendix K'!$E$36+'Appendix K'!$F$36+'Appendix K'!$H$36+'Appendix K'!$G$36))/((1+$Y$16)^AD$34))</f>
        <v>1333290.7501524172</v>
      </c>
      <c r="AE729" s="193">
        <f>(((H729*'Appendix K'!$C$11*1000)-('Appendix K'!$E$37+'Appendix K'!$F$37+'Appendix K'!$H$37+'Appendix K'!$G$37))/((1+$Y$16)^AE$34))</f>
        <v>-1454235.4965465881</v>
      </c>
      <c r="AF729" s="193">
        <f>(((I729*'Appendix K'!$C$12*1000)-('Appendix K'!$E$38+'Appendix K'!$F$38+'Appendix K'!$H$38+'Appendix K'!$G$38))/((1+$Y$16)^AF$34))</f>
        <v>-1547488.1494102646</v>
      </c>
      <c r="AG729" s="193">
        <f>(((J729*'Appendix K'!$C$13*1000)-('Appendix K'!$E$39+'Appendix K'!$F$39+'Appendix K'!$H$39+'Appendix K'!$G$39))/((1+$Y$16)^AG$34))</f>
        <v>-1524873.9913510042</v>
      </c>
      <c r="AH729" s="193">
        <f>(((K729*'Appendix K'!$C$14*1000)-('Appendix K'!$E$40+'Appendix K'!$F$40+'Appendix K'!$H$40+'Appendix K'!$G$40))/((1+$Y$16)^AH$34))</f>
        <v>-1447119.66293584</v>
      </c>
      <c r="AI729" s="193">
        <f>(((L729*'Appendix K'!$C$15*1000)-('Appendix K'!$E$41+'Appendix K'!$F$41+'Appendix K'!$H$41+'Appendix K'!$G$41))/((1+$Y$16)^AI$34))</f>
        <v>-1423918.6993573338</v>
      </c>
      <c r="AJ729" s="193">
        <f>(((M729*'Appendix K'!$C$16*1000)-('Appendix K'!$E$42+'Appendix K'!$F$42+'Appendix K'!$H$42+'Appendix K'!$G$42))/((1+$Y$16)^AJ$34))</f>
        <v>-1324003.2183260715</v>
      </c>
      <c r="AK729" s="193">
        <f>(((N729*'Appendix K'!$C$17*1000)-('Appendix K'!$E$43+'Appendix K'!$F$43+'Appendix K'!$H$43))/((1+$Y$16)^AK$34))</f>
        <v>-961737.95742384903</v>
      </c>
      <c r="AL729" s="193">
        <f>(((O729*'Appendix K'!$C$18*1000)-('Appendix K'!$E$44+'Appendix K'!$F$44+'Appendix K'!$H$44+'Appendix K'!$G$44))/((1+$Y$16)^AL$34))</f>
        <v>-1096058.6559385823</v>
      </c>
      <c r="AM729" s="193">
        <f>(((P729*'Appendix K'!$C$19*1000)-('Appendix K'!$E$45+'Appendix K'!$F$45+'Appendix K'!$H$45+'Appendix K'!$G$45))/((1+$Y$16)^AM$34))</f>
        <v>-989608.43694034172</v>
      </c>
      <c r="AN729" s="193">
        <f>(((Q729*'Appendix K'!$C$20*1000)-('Appendix K'!$E$46+'Appendix K'!$F$46+'Appendix K'!$H$46+'Appendix K'!$G$46))/((1+$Y$16)^AN$34))</f>
        <v>-886182.18709789589</v>
      </c>
      <c r="AO729" s="193">
        <f>(((R729*'Appendix K'!$C$21*1000)-('Appendix K'!$E$47+'Appendix K'!$F$47+'Appendix K'!$H$47+'Appendix K'!$G$47))/((1+$Y$16)^AO$34))</f>
        <v>-819228.74350137112</v>
      </c>
      <c r="AP729" s="193">
        <f>(((S729*'Appendix K'!$C$22*1000)-('Appendix K'!$E$48+'Appendix K'!$F$48+'Appendix K'!$H$48+'Appendix K'!$G$48))/((1+$Y$16)^AP$34))</f>
        <v>-731506.67540074768</v>
      </c>
      <c r="AQ729" s="193">
        <f>(((T729*'Appendix K'!$C$23*1000)-('Appendix K'!$E$49+'Appendix K'!$F$49+'Appendix K'!$H$49+'Appendix K'!$G$49))/((1+$Y$16)^AQ$34))</f>
        <v>-681245.06920255511</v>
      </c>
      <c r="AR729" s="193">
        <f>(((U729*'Appendix K'!$C$24*1000)-('Appendix K'!$E$50+'Appendix K'!$F$50+'Appendix K'!$H$50+'Appendix K'!$G$50))/((1+$Y$16)^AR$34))</f>
        <v>-620194.03094774822</v>
      </c>
      <c r="AS729" s="209">
        <f t="shared" si="36"/>
        <v>19466117.264860012</v>
      </c>
      <c r="AU729" s="199">
        <f t="shared" si="35"/>
        <v>3.4181288447038724E-9</v>
      </c>
    </row>
    <row r="730" spans="1:47" x14ac:dyDescent="0.35">
      <c r="A730">
        <v>696</v>
      </c>
      <c r="B730" s="70">
        <v>56</v>
      </c>
      <c r="C730" s="70">
        <v>59.688664066327938</v>
      </c>
      <c r="D730" s="70">
        <v>54.16137669305899</v>
      </c>
      <c r="E730" s="70">
        <v>39.002624198562174</v>
      </c>
      <c r="F730" s="70">
        <v>31.225163730198091</v>
      </c>
      <c r="G730" s="70">
        <v>29.131200875539214</v>
      </c>
      <c r="H730" s="70">
        <v>24.783590231672381</v>
      </c>
      <c r="I730" s="70">
        <v>40.145245464375705</v>
      </c>
      <c r="J730" s="70">
        <v>24.307368377360007</v>
      </c>
      <c r="K730" s="70">
        <v>30.485072415993326</v>
      </c>
      <c r="L730" s="70">
        <v>30.584082696076091</v>
      </c>
      <c r="M730" s="70">
        <v>51.352973303884283</v>
      </c>
      <c r="N730" s="70">
        <v>43.508407946095531</v>
      </c>
      <c r="O730" s="70">
        <v>40.352883251877358</v>
      </c>
      <c r="P730" s="70">
        <v>31.608430845344262</v>
      </c>
      <c r="Q730" s="70">
        <v>47.317458896242471</v>
      </c>
      <c r="R730" s="70">
        <v>34.416751297837315</v>
      </c>
      <c r="S730" s="70">
        <v>32.076942626748348</v>
      </c>
      <c r="T730" s="70">
        <v>39.000245897649606</v>
      </c>
      <c r="U730" s="70">
        <v>37.801780020936121</v>
      </c>
      <c r="V730" s="70">
        <v>26.445089254300303</v>
      </c>
      <c r="X730" s="193">
        <f>((0-('Appendix K'!$I$30))/(1+$Y$16)^0)</f>
        <v>-33594902.4440751</v>
      </c>
      <c r="Y730" s="193">
        <f>(((B730*'Appendix K'!$C$5*1000)-('Appendix K'!$E$31+'Appendix K'!$F$31+'Appendix K'!$H$31+'Appendix K'!$G$31))/((1+$Y$16)^1))</f>
        <v>34971064.972647354</v>
      </c>
      <c r="Z730" s="193">
        <f>+(((C730*'Appendix K'!$C$6*1000)-('Appendix K'!$E$32+'Appendix K'!$F$32+'Appendix K'!$H$32+'Appendix K'!$G$32))/((1+$Y$16)^2))</f>
        <v>11591129.735896122</v>
      </c>
      <c r="AA730" s="193">
        <f>(((D730*'Appendix K'!$C$7*1000)-('Appendix K'!$E$33+'Appendix K'!$F$33+'Appendix K'!$H$33+'Appendix K'!$G$33))/((1+$Y$16)^3))</f>
        <v>3933900.3801158122</v>
      </c>
      <c r="AB730" s="193">
        <f>(((E730*'Appendix K'!$C$8*1000)-('Appendix K'!$E$34+'Appendix K'!$F$34+'Appendix K'!$H$34+'Appendix K'!$G$34))/((1+$Y$16)^4))</f>
        <v>5255810.3008104786</v>
      </c>
      <c r="AC730" s="193">
        <f>(((F730*'Appendix K'!$C$9*1000)-('Appendix K'!$E$35+'Appendix K'!$F$35+'Appendix K'!$H$35+'Appendix K'!$G$35))/((1+$Y$16)^AC$34))</f>
        <v>5315370.9680215837</v>
      </c>
      <c r="AD730" s="193">
        <f>(((G730*'Appendix K'!$C$10*1000)-('Appendix K'!$E$36+'Appendix K'!$F$36+'Appendix K'!$H$36+'Appendix K'!$G$36))/((1+$Y$16)^AD$34))</f>
        <v>2059115.9201193531</v>
      </c>
      <c r="AE730" s="193">
        <f>(((H730*'Appendix K'!$C$11*1000)-('Appendix K'!$E$37+'Appendix K'!$F$37+'Appendix K'!$H$37+'Appendix K'!$G$37))/((1+$Y$16)^AE$34))</f>
        <v>251915.55837167529</v>
      </c>
      <c r="AF730" s="193">
        <f>(((I730*'Appendix K'!$C$12*1000)-('Appendix K'!$E$38+'Appendix K'!$F$38+'Appendix K'!$H$38+'Appendix K'!$G$38))/((1+$Y$16)^AF$34))</f>
        <v>639455.24062387401</v>
      </c>
      <c r="AG730" s="193">
        <f>(((J730*'Appendix K'!$C$13*1000)-('Appendix K'!$E$39+'Appendix K'!$F$39+'Appendix K'!$H$39+'Appendix K'!$G$39))/((1+$Y$16)^AG$34))</f>
        <v>-696344.72488950868</v>
      </c>
      <c r="AH730" s="193">
        <f>(((K730*'Appendix K'!$C$14*1000)-('Appendix K'!$E$40+'Appendix K'!$F$40+'Appendix K'!$H$40+'Appendix K'!$G$40))/((1+$Y$16)^AH$34))</f>
        <v>-605195.24700671388</v>
      </c>
      <c r="AI730" s="193">
        <f>(((L730*'Appendix K'!$C$15*1000)-('Appendix K'!$E$41+'Appendix K'!$F$41+'Appendix K'!$H$41+'Appendix K'!$G$41))/((1+$Y$16)^AI$34))</f>
        <v>-715121.18917874957</v>
      </c>
      <c r="AJ730" s="193">
        <f>(((M730*'Appendix K'!$C$16*1000)-('Appendix K'!$E$42+'Appendix K'!$F$42+'Appendix K'!$H$42+'Appendix K'!$G$42))/((1+$Y$16)^AJ$34))</f>
        <v>-352341.49882933678</v>
      </c>
      <c r="AK730" s="193">
        <f>(((N730*'Appendix K'!$C$17*1000)-('Appendix K'!$E$43+'Appendix K'!$F$43+'Appendix K'!$H$43))/((1+$Y$16)^AK$34))</f>
        <v>-335799.89793702564</v>
      </c>
      <c r="AL730" s="193">
        <f>(((O730*'Appendix K'!$C$18*1000)-('Appendix K'!$E$44+'Appendix K'!$F$44+'Appendix K'!$H$44+'Appendix K'!$G$44))/((1+$Y$16)^AL$34))</f>
        <v>-656274.52656400518</v>
      </c>
      <c r="AM730" s="193">
        <f>(((P730*'Appendix K'!$C$19*1000)-('Appendix K'!$E$45+'Appendix K'!$F$45+'Appendix K'!$H$45+'Appendix K'!$G$45))/((1+$Y$16)^AM$34))</f>
        <v>-733795.87423314818</v>
      </c>
      <c r="AN730" s="193">
        <f>(((Q730*'Appendix K'!$C$20*1000)-('Appendix K'!$E$46+'Appendix K'!$F$46+'Appendix K'!$H$46+'Appendix K'!$G$46))/((1+$Y$16)^AN$34))</f>
        <v>-573309.44356609765</v>
      </c>
      <c r="AO730" s="193">
        <f>(((R730*'Appendix K'!$C$21*1000)-('Appendix K'!$E$47+'Appendix K'!$F$47+'Appendix K'!$H$47+'Appendix K'!$G$47))/((1+$Y$16)^AO$34))</f>
        <v>-639592.12284671667</v>
      </c>
      <c r="AP730" s="193">
        <f>(((S730*'Appendix K'!$C$22*1000)-('Appendix K'!$E$48+'Appendix K'!$F$48+'Appendix K'!$H$48+'Appendix K'!$G$48))/((1+$Y$16)^AP$34))</f>
        <v>-610813.68029561744</v>
      </c>
      <c r="AQ730" s="193">
        <f>(((T730*'Appendix K'!$C$23*1000)-('Appendix K'!$E$49+'Appendix K'!$F$49+'Appendix K'!$H$49+'Appendix K'!$G$49))/((1+$Y$16)^AQ$34))</f>
        <v>-540848.6533873959</v>
      </c>
      <c r="AR730" s="193">
        <f>(((U730*'Appendix K'!$C$24*1000)-('Appendix K'!$E$50+'Appendix K'!$F$50+'Appendix K'!$H$50+'Appendix K'!$G$50))/((1+$Y$16)^AR$34))</f>
        <v>-507566.07847816433</v>
      </c>
      <c r="AS730" s="209">
        <f t="shared" si="36"/>
        <v>30422860.632531166</v>
      </c>
      <c r="AU730" s="199">
        <f t="shared" si="35"/>
        <v>4.2304314434462471E-9</v>
      </c>
    </row>
    <row r="731" spans="1:47" x14ac:dyDescent="0.35">
      <c r="A731">
        <v>697</v>
      </c>
      <c r="B731" s="70">
        <v>56</v>
      </c>
      <c r="C731" s="70">
        <v>55.259547818567377</v>
      </c>
      <c r="D731" s="70">
        <v>43.159220692336731</v>
      </c>
      <c r="E731" s="70">
        <v>59.79973306326508</v>
      </c>
      <c r="F731" s="70">
        <v>66.853172105805754</v>
      </c>
      <c r="G731" s="70">
        <v>63.718885803091965</v>
      </c>
      <c r="H731" s="70">
        <v>62.729404886569753</v>
      </c>
      <c r="I731" s="70">
        <v>40.343021411109319</v>
      </c>
      <c r="J731" s="70">
        <v>38.352597267531365</v>
      </c>
      <c r="K731" s="70">
        <v>32.57114352353932</v>
      </c>
      <c r="L731" s="70">
        <v>41.189527865682784</v>
      </c>
      <c r="M731" s="70">
        <v>57.092836164289054</v>
      </c>
      <c r="N731" s="70">
        <v>78.112789127797114</v>
      </c>
      <c r="O731" s="70">
        <v>79.222242222220103</v>
      </c>
      <c r="P731" s="70">
        <v>82.843976885470084</v>
      </c>
      <c r="Q731" s="70">
        <v>103.15180062849899</v>
      </c>
      <c r="R731" s="70">
        <v>138.63712034365733</v>
      </c>
      <c r="S731" s="70">
        <v>153.970763521789</v>
      </c>
      <c r="T731" s="70">
        <v>187.41303340357652</v>
      </c>
      <c r="U731" s="70">
        <v>218.02859140342812</v>
      </c>
      <c r="V731" s="70">
        <v>326.8525393262301</v>
      </c>
      <c r="X731" s="193">
        <f>((0-('Appendix K'!$I$30))/(1+$Y$16)^0)</f>
        <v>-33594902.4440751</v>
      </c>
      <c r="Y731" s="193">
        <f>(((B731*'Appendix K'!$C$5*1000)-('Appendix K'!$E$31+'Appendix K'!$F$31+'Appendix K'!$H$31+'Appendix K'!$G$31))/((1+$Y$16)^1))</f>
        <v>34971064.972647354</v>
      </c>
      <c r="Z731" s="193">
        <f>+(((C731*'Appendix K'!$C$6*1000)-('Appendix K'!$E$32+'Appendix K'!$F$32+'Appendix K'!$H$32+'Appendix K'!$G$32))/((1+$Y$16)^2))</f>
        <v>10472259.219987027</v>
      </c>
      <c r="AA731" s="193">
        <f>(((D731*'Appendix K'!$C$7*1000)-('Appendix K'!$E$33+'Appendix K'!$F$33+'Appendix K'!$H$33+'Appendix K'!$G$33))/((1+$Y$16)^3))</f>
        <v>2532502.1638559056</v>
      </c>
      <c r="AB731" s="193">
        <f>(((E731*'Appendix K'!$C$8*1000)-('Appendix K'!$E$34+'Appendix K'!$F$34+'Appendix K'!$H$34+'Appendix K'!$G$34))/((1+$Y$16)^4))</f>
        <v>9814346.1847457662</v>
      </c>
      <c r="AC731" s="193">
        <f>(((F731*'Appendix K'!$C$9*1000)-('Appendix K'!$E$35+'Appendix K'!$F$35+'Appendix K'!$H$35+'Appendix K'!$G$35))/((1+$Y$16)^AC$34))</f>
        <v>14785239.648245441</v>
      </c>
      <c r="AD731" s="193">
        <f>(((G731*'Appendix K'!$C$10*1000)-('Appendix K'!$E$36+'Appendix K'!$F$36+'Appendix K'!$H$36+'Appendix K'!$G$36))/((1+$Y$16)^AD$34))</f>
        <v>7490902.6349436352</v>
      </c>
      <c r="AE731" s="193">
        <f>(((H731*'Appendix K'!$C$11*1000)-('Appendix K'!$E$37+'Appendix K'!$F$37+'Appendix K'!$H$37+'Appendix K'!$G$37))/((1+$Y$16)^AE$34))</f>
        <v>4036541.136319811</v>
      </c>
      <c r="AF731" s="193">
        <f>(((I731*'Appendix K'!$C$12*1000)-('Appendix K'!$E$38+'Appendix K'!$F$38+'Appendix K'!$H$38+'Appendix K'!$G$38))/((1+$Y$16)^AF$34))</f>
        <v>652441.68929634709</v>
      </c>
      <c r="AG731" s="193">
        <f>(((J731*'Appendix K'!$C$13*1000)-('Appendix K'!$E$39+'Appendix K'!$F$39+'Appendix K'!$H$39+'Appendix K'!$G$39))/((1+$Y$16)^AG$34))</f>
        <v>-49998.283777774217</v>
      </c>
      <c r="AH731" s="193">
        <f>(((K731*'Appendix K'!$C$14*1000)-('Appendix K'!$E$40+'Appendix K'!$F$40+'Appendix K'!$H$40+'Appendix K'!$G$40))/((1+$Y$16)^AH$34))</f>
        <v>-534881.03540497273</v>
      </c>
      <c r="AI731" s="193">
        <f>(((L731*'Appendix K'!$C$15*1000)-('Appendix K'!$E$41+'Appendix K'!$F$41+'Appendix K'!$H$41+'Appendix K'!$G$41))/((1+$Y$16)^AI$34))</f>
        <v>-437238.69345533906</v>
      </c>
      <c r="AJ731" s="193">
        <f>(((M731*'Appendix K'!$C$16*1000)-('Appendix K'!$E$42+'Appendix K'!$F$42+'Appendix K'!$H$42+'Appendix K'!$G$42))/((1+$Y$16)^AJ$34))</f>
        <v>-237303.93090944117</v>
      </c>
      <c r="AK731" s="193">
        <f>(((N731*'Appendix K'!$C$17*1000)-('Appendix K'!$E$43+'Appendix K'!$F$43+'Appendix K'!$H$43))/((1+$Y$16)^AK$34))</f>
        <v>195858.26629619079</v>
      </c>
      <c r="AL731" s="193">
        <f>(((O731*'Appendix K'!$C$18*1000)-('Appendix K'!$E$44+'Appendix K'!$F$44+'Appendix K'!$H$44+'Appendix K'!$G$44))/((1+$Y$16)^AL$34))</f>
        <v>-195544.57729701785</v>
      </c>
      <c r="AM731" s="193">
        <f>(((P731*'Appendix K'!$C$19*1000)-('Appendix K'!$E$45+'Appendix K'!$F$45+'Appendix K'!$H$45+'Appendix K'!$G$45))/((1+$Y$16)^AM$34))</f>
        <v>-258907.33975658767</v>
      </c>
      <c r="AN731" s="193">
        <f>(((Q731*'Appendix K'!$C$20*1000)-('Appendix K'!$E$46+'Appendix K'!$F$46+'Appendix K'!$H$46+'Appendix K'!$G$46))/((1+$Y$16)^AN$34))</f>
        <v>-169280.03683169733</v>
      </c>
      <c r="AO731" s="193">
        <f>(((R731*'Appendix K'!$C$21*1000)-('Appendix K'!$E$47+'Appendix K'!$F$47+'Appendix K'!$H$47+'Appendix K'!$G$47))/((1+$Y$16)^AO$34))</f>
        <v>-23638.227515354924</v>
      </c>
      <c r="AP731" s="193">
        <f>(((S731*'Appendix K'!$C$22*1000)-('Appendix K'!$E$48+'Appendix K'!$F$48+'Appendix K'!$H$48+'Appendix K'!$G$48))/((1+$Y$16)^AP$34))</f>
        <v>-26976.488722786209</v>
      </c>
      <c r="AQ731" s="193">
        <f>(((T731*'Appendix K'!$C$23*1000)-('Appendix K'!$E$49+'Appendix K'!$F$49+'Appendix K'!$H$49+'Appendix K'!$G$49))/((1+$Y$16)^AQ$34))</f>
        <v>40001.002262783863</v>
      </c>
      <c r="AR731" s="193">
        <f>(((U731*'Appendix K'!$C$24*1000)-('Appendix K'!$E$50+'Appendix K'!$F$50+'Appendix K'!$H$50+'Appendix K'!$G$50))/((1+$Y$16)^AR$34))</f>
        <v>72769.303922998632</v>
      </c>
      <c r="AS731" s="209">
        <f t="shared" si="36"/>
        <v>51469023.778448172</v>
      </c>
      <c r="AU731" s="199">
        <f t="shared" si="35"/>
        <v>5.7389931242831099E-9</v>
      </c>
    </row>
    <row r="732" spans="1:47" x14ac:dyDescent="0.35">
      <c r="A732">
        <v>698</v>
      </c>
      <c r="B732" s="70">
        <v>56</v>
      </c>
      <c r="C732" s="70">
        <v>67.584061625418713</v>
      </c>
      <c r="D732" s="70">
        <v>78.283992261610933</v>
      </c>
      <c r="E732" s="70">
        <v>136.56454426320343</v>
      </c>
      <c r="F732" s="70">
        <v>177.99521897078839</v>
      </c>
      <c r="G732" s="70">
        <v>139.64415758903073</v>
      </c>
      <c r="H732" s="70">
        <v>192.22663839626614</v>
      </c>
      <c r="I732" s="70">
        <v>211.39505180934435</v>
      </c>
      <c r="J732" s="70">
        <v>170.73476761224782</v>
      </c>
      <c r="K732" s="70">
        <v>80.576636555042569</v>
      </c>
      <c r="L732" s="70">
        <v>121.1098758969799</v>
      </c>
      <c r="M732" s="70">
        <v>144.75101138494966</v>
      </c>
      <c r="N732" s="70">
        <v>196.98679475288691</v>
      </c>
      <c r="O732" s="70">
        <v>123.17873871957775</v>
      </c>
      <c r="P732" s="70">
        <v>114.65669530832935</v>
      </c>
      <c r="Q732" s="70">
        <v>78.087698597396255</v>
      </c>
      <c r="R732" s="70">
        <v>99.731783959852677</v>
      </c>
      <c r="S732" s="70">
        <v>94.738848732885927</v>
      </c>
      <c r="T732" s="70">
        <v>175.60809831967359</v>
      </c>
      <c r="U732" s="70">
        <v>150.18208512875546</v>
      </c>
      <c r="V732" s="70">
        <v>168.47753463461069</v>
      </c>
      <c r="X732" s="193">
        <f>((0-('Appendix K'!$I$30))/(1+$Y$16)^0)</f>
        <v>-33594902.4440751</v>
      </c>
      <c r="Y732" s="193">
        <f>(((B732*'Appendix K'!$C$5*1000)-('Appendix K'!$E$31+'Appendix K'!$F$31+'Appendix K'!$H$31+'Appendix K'!$G$31))/((1+$Y$16)^1))</f>
        <v>34971064.972647354</v>
      </c>
      <c r="Z732" s="193">
        <f>+(((C732*'Appendix K'!$C$6*1000)-('Appendix K'!$E$32+'Appendix K'!$F$32+'Appendix K'!$H$32+'Appendix K'!$G$32))/((1+$Y$16)^2))</f>
        <v>13585642.195286611</v>
      </c>
      <c r="AA732" s="193">
        <f>(((D732*'Appendix K'!$C$7*1000)-('Appendix K'!$E$33+'Appendix K'!$F$33+'Appendix K'!$H$33+'Appendix K'!$G$33))/((1+$Y$16)^3))</f>
        <v>7006515.4591124132</v>
      </c>
      <c r="AB732" s="193">
        <f>(((E732*'Appendix K'!$C$8*1000)-('Appendix K'!$E$34+'Appendix K'!$F$34+'Appendix K'!$H$34+'Appendix K'!$G$34))/((1+$Y$16)^4))</f>
        <v>26640490.085562207</v>
      </c>
      <c r="AC732" s="193">
        <f>(((F732*'Appendix K'!$C$9*1000)-('Appendix K'!$E$35+'Appendix K'!$F$35+'Appendix K'!$H$35+'Appendix K'!$G$35))/((1+$Y$16)^AC$34))</f>
        <v>44326621.180625856</v>
      </c>
      <c r="AD732" s="193">
        <f>(((G732*'Appendix K'!$C$10*1000)-('Appendix K'!$E$36+'Appendix K'!$F$36+'Appendix K'!$H$36+'Appendix K'!$G$36))/((1+$Y$16)^AD$34))</f>
        <v>19414507.336157881</v>
      </c>
      <c r="AE732" s="193">
        <f>(((H732*'Appendix K'!$C$11*1000)-('Appendix K'!$E$37+'Appendix K'!$F$37+'Appendix K'!$H$37+'Appendix K'!$G$37))/((1+$Y$16)^AE$34))</f>
        <v>16952288.147461291</v>
      </c>
      <c r="AF732" s="193">
        <f>(((I732*'Appendix K'!$C$12*1000)-('Appendix K'!$E$38+'Appendix K'!$F$38+'Appendix K'!$H$38+'Appendix K'!$G$38))/((1+$Y$16)^AF$34))</f>
        <v>11884133.155199852</v>
      </c>
      <c r="AG732" s="193">
        <f>(((J732*'Appendix K'!$C$13*1000)-('Appendix K'!$E$39+'Appendix K'!$F$39+'Appendix K'!$H$39+'Appendix K'!$G$39))/((1+$Y$16)^AG$34))</f>
        <v>6042087.8856994491</v>
      </c>
      <c r="AH732" s="193">
        <f>(((K732*'Appendix K'!$C$14*1000)-('Appendix K'!$E$40+'Appendix K'!$F$40+'Appendix K'!$H$40+'Appendix K'!$G$40))/((1+$Y$16)^AH$34))</f>
        <v>1083217.399903812</v>
      </c>
      <c r="AI732" s="193">
        <f>(((L732*'Appendix K'!$C$15*1000)-('Appendix K'!$E$41+'Appendix K'!$F$41+'Appendix K'!$H$41+'Appendix K'!$G$41))/((1+$Y$16)^AI$34))</f>
        <v>1656823.8767483027</v>
      </c>
      <c r="AJ732" s="193">
        <f>(((M732*'Appendix K'!$C$16*1000)-('Appendix K'!$E$42+'Appendix K'!$F$42+'Appendix K'!$H$42+'Appendix K'!$G$42))/((1+$Y$16)^AJ$34))</f>
        <v>1519529.5563926832</v>
      </c>
      <c r="AK732" s="193">
        <f>(((N732*'Appendix K'!$C$17*1000)-('Appendix K'!$E$43+'Appendix K'!$F$43+'Appendix K'!$H$43))/((1+$Y$16)^AK$34))</f>
        <v>2022226.2996914512</v>
      </c>
      <c r="AL732" s="193">
        <f>(((O732*'Appendix K'!$C$18*1000)-('Appendix K'!$E$44+'Appendix K'!$F$44+'Appendix K'!$H$44+'Appendix K'!$G$44))/((1+$Y$16)^AL$34))</f>
        <v>325484.70997870987</v>
      </c>
      <c r="AM732" s="193">
        <f>(((P732*'Appendix K'!$C$19*1000)-('Appendix K'!$E$45+'Appendix K'!$F$45+'Appendix K'!$H$45+'Appendix K'!$G$45))/((1+$Y$16)^AM$34))</f>
        <v>35956.214887984257</v>
      </c>
      <c r="AN732" s="193">
        <f>(((Q732*'Appendix K'!$C$20*1000)-('Appendix K'!$E$46+'Appendix K'!$F$46+'Appendix K'!$H$46+'Appendix K'!$G$46))/((1+$Y$16)^AN$34))</f>
        <v>-350649.31530402816</v>
      </c>
      <c r="AO732" s="193">
        <f>(((R732*'Appendix K'!$C$21*1000)-('Appendix K'!$E$47+'Appendix K'!$F$47+'Appendix K'!$H$47+'Appendix K'!$G$47))/((1+$Y$16)^AO$34))</f>
        <v>-253573.06380676935</v>
      </c>
      <c r="AP732" s="193">
        <f>(((S732*'Appendix K'!$C$22*1000)-('Appendix K'!$E$48+'Appendix K'!$F$48+'Appendix K'!$H$48+'Appendix K'!$G$48))/((1+$Y$16)^AP$34))</f>
        <v>-310680.73663221748</v>
      </c>
      <c r="AQ732" s="193">
        <f>(((T732*'Appendix K'!$C$23*1000)-('Appendix K'!$E$49+'Appendix K'!$F$49+'Appendix K'!$H$49+'Appendix K'!$G$49))/((1+$Y$16)^AQ$34))</f>
        <v>-6200.4915147243528</v>
      </c>
      <c r="AR732" s="193">
        <f>(((U732*'Appendix K'!$C$24*1000)-('Appendix K'!$E$50+'Appendix K'!$F$50+'Appendix K'!$H$50+'Appendix K'!$G$50))/((1+$Y$16)^AR$34))</f>
        <v>-145698.34726311115</v>
      </c>
      <c r="AS732" s="209">
        <f t="shared" si="36"/>
        <v>153871686.0312807</v>
      </c>
      <c r="AU732" s="199">
        <f t="shared" si="35"/>
        <v>3.5560859367521208E-9</v>
      </c>
    </row>
    <row r="733" spans="1:47" x14ac:dyDescent="0.35">
      <c r="A733">
        <v>699</v>
      </c>
      <c r="B733" s="70">
        <v>56</v>
      </c>
      <c r="C733" s="70">
        <v>62.067908758685007</v>
      </c>
      <c r="D733" s="70">
        <v>25.414952634679409</v>
      </c>
      <c r="E733" s="70">
        <v>26.133806421366199</v>
      </c>
      <c r="F733" s="70">
        <v>26.389774542031123</v>
      </c>
      <c r="G733" s="70">
        <v>29.10885925002631</v>
      </c>
      <c r="H733" s="70">
        <v>33.319527688683486</v>
      </c>
      <c r="I733" s="70">
        <v>40.435758296698893</v>
      </c>
      <c r="J733" s="70">
        <v>40.718679068195009</v>
      </c>
      <c r="K733" s="70">
        <v>42.85676242804945</v>
      </c>
      <c r="L733" s="70">
        <v>51.297207469930171</v>
      </c>
      <c r="M733" s="70">
        <v>61.702912399222654</v>
      </c>
      <c r="N733" s="70">
        <v>61.797245753027383</v>
      </c>
      <c r="O733" s="70">
        <v>88.043286972907026</v>
      </c>
      <c r="P733" s="70">
        <v>60.199809138219237</v>
      </c>
      <c r="Q733" s="70">
        <v>50.640794703733704</v>
      </c>
      <c r="R733" s="70">
        <v>68.187105602845605</v>
      </c>
      <c r="S733" s="70">
        <v>115.79954881091049</v>
      </c>
      <c r="T733" s="70">
        <v>140.51792433163706</v>
      </c>
      <c r="U733" s="70">
        <v>131.10876267767998</v>
      </c>
      <c r="V733" s="70">
        <v>120.80749737964852</v>
      </c>
      <c r="X733" s="193">
        <f>((0-('Appendix K'!$I$30))/(1+$Y$16)^0)</f>
        <v>-33594902.4440751</v>
      </c>
      <c r="Y733" s="193">
        <f>(((B733*'Appendix K'!$C$5*1000)-('Appendix K'!$E$31+'Appendix K'!$F$31+'Appendix K'!$H$31+'Appendix K'!$G$31))/((1+$Y$16)^1))</f>
        <v>34971064.972647354</v>
      </c>
      <c r="Z733" s="193">
        <f>+(((C733*'Appendix K'!$C$6*1000)-('Appendix K'!$E$32+'Appendix K'!$F$32+'Appendix K'!$H$32+'Appendix K'!$G$32))/((1+$Y$16)^2))</f>
        <v>12192167.637702722</v>
      </c>
      <c r="AA733" s="193">
        <f>(((D733*'Appendix K'!$C$7*1000)-('Appendix K'!$E$33+'Appendix K'!$F$33+'Appendix K'!$H$33+'Appendix K'!$G$33))/((1+$Y$16)^3))</f>
        <v>272328.28491743316</v>
      </c>
      <c r="AB733" s="193">
        <f>(((E733*'Appendix K'!$C$8*1000)-('Appendix K'!$E$34+'Appendix K'!$F$34+'Appendix K'!$H$34+'Appendix K'!$G$34))/((1+$Y$16)^4))</f>
        <v>2435083.2467373209</v>
      </c>
      <c r="AC733" s="193">
        <f>(((F733*'Appendix K'!$C$9*1000)-('Appendix K'!$E$35+'Appendix K'!$F$35+'Appendix K'!$H$35+'Appendix K'!$G$35))/((1+$Y$16)^AC$34))</f>
        <v>4030132.1147303795</v>
      </c>
      <c r="AD733" s="193">
        <f>(((G733*'Appendix K'!$C$10*1000)-('Appendix K'!$E$36+'Appendix K'!$F$36+'Appendix K'!$H$36+'Appendix K'!$G$36))/((1+$Y$16)^AD$34))</f>
        <v>2055607.3029655088</v>
      </c>
      <c r="AE733" s="193">
        <f>(((H733*'Appendix K'!$C$11*1000)-('Appendix K'!$E$37+'Appendix K'!$F$37+'Appendix K'!$H$37+'Appendix K'!$G$37))/((1+$Y$16)^AE$34))</f>
        <v>1103269.7202304828</v>
      </c>
      <c r="AF733" s="193">
        <f>(((I733*'Appendix K'!$C$12*1000)-('Appendix K'!$E$38+'Appendix K'!$F$38+'Appendix K'!$H$38+'Appendix K'!$G$38))/((1+$Y$16)^AF$34))</f>
        <v>658531.01828019961</v>
      </c>
      <c r="AG733" s="193">
        <f>(((J733*'Appendix K'!$C$13*1000)-('Appendix K'!$E$39+'Appendix K'!$F$39+'Appendix K'!$H$39+'Appendix K'!$G$39))/((1+$Y$16)^AG$34))</f>
        <v>58886.275042650239</v>
      </c>
      <c r="AH733" s="193">
        <f>(((K733*'Appendix K'!$C$14*1000)-('Appendix K'!$E$40+'Appendix K'!$F$40+'Appendix K'!$H$40+'Appendix K'!$G$40))/((1+$Y$16)^AH$34))</f>
        <v>-188188.54659648659</v>
      </c>
      <c r="AI733" s="193">
        <f>(((L733*'Appendix K'!$C$15*1000)-('Appendix K'!$E$41+'Appendix K'!$F$41+'Appendix K'!$H$41+'Appendix K'!$G$41))/((1+$Y$16)^AI$34))</f>
        <v>-172398.58637051404</v>
      </c>
      <c r="AJ733" s="193">
        <f>(((M733*'Appendix K'!$C$16*1000)-('Appendix K'!$E$42+'Appendix K'!$F$42+'Appendix K'!$H$42+'Appendix K'!$G$42))/((1+$Y$16)^AJ$34))</f>
        <v>-144909.39625070328</v>
      </c>
      <c r="AK733" s="193">
        <f>(((N733*'Appendix K'!$C$17*1000)-('Appendix K'!$E$43+'Appendix K'!$F$43+'Appendix K'!$H$43))/((1+$Y$16)^AK$34))</f>
        <v>-54812.069160764608</v>
      </c>
      <c r="AL733" s="193">
        <f>(((O733*'Appendix K'!$C$18*1000)-('Appendix K'!$E$44+'Appendix K'!$F$44+'Appendix K'!$H$44+'Appendix K'!$G$44))/((1+$Y$16)^AL$34))</f>
        <v>-90986.138255953905</v>
      </c>
      <c r="AM733" s="193">
        <f>(((P733*'Appendix K'!$C$19*1000)-('Appendix K'!$E$45+'Appendix K'!$F$45+'Appendix K'!$H$45+'Appendix K'!$G$45))/((1+$Y$16)^AM$34))</f>
        <v>-468790.05726508534</v>
      </c>
      <c r="AN733" s="193">
        <f>(((Q733*'Appendix K'!$C$20*1000)-('Appendix K'!$E$46+'Appendix K'!$F$46+'Appendix K'!$H$46+'Appendix K'!$G$46))/((1+$Y$16)^AN$34))</f>
        <v>-549261.06486184662</v>
      </c>
      <c r="AO733" s="193">
        <f>(((R733*'Appendix K'!$C$21*1000)-('Appendix K'!$E$47+'Appendix K'!$F$47+'Appendix K'!$H$47+'Appendix K'!$G$47))/((1+$Y$16)^AO$34))</f>
        <v>-440005.59795401531</v>
      </c>
      <c r="AP733" s="193">
        <f>(((S733*'Appendix K'!$C$22*1000)-('Appendix K'!$E$48+'Appendix K'!$F$48+'Appendix K'!$H$48+'Appendix K'!$G$48))/((1+$Y$16)^AP$34))</f>
        <v>-209805.89411908193</v>
      </c>
      <c r="AQ733" s="193">
        <f>(((T733*'Appendix K'!$C$23*1000)-('Appendix K'!$E$49+'Appendix K'!$F$49+'Appendix K'!$H$49+'Appendix K'!$G$49))/((1+$Y$16)^AQ$34))</f>
        <v>-143534.44918897087</v>
      </c>
      <c r="AR733" s="193">
        <f>(((U733*'Appendix K'!$C$24*1000)-('Appendix K'!$E$50+'Appendix K'!$F$50+'Appendix K'!$H$50+'Appendix K'!$G$50))/((1+$Y$16)^AR$34))</f>
        <v>-207114.97996829846</v>
      </c>
      <c r="AS733" s="209">
        <f t="shared" si="36"/>
        <v>24182168.129178956</v>
      </c>
      <c r="AU733" s="199">
        <f t="shared" si="35"/>
        <v>3.7638166181444897E-9</v>
      </c>
    </row>
    <row r="734" spans="1:47" x14ac:dyDescent="0.35">
      <c r="A734">
        <v>700</v>
      </c>
      <c r="B734" s="70">
        <v>56</v>
      </c>
      <c r="C734" s="70">
        <v>70.341088283261072</v>
      </c>
      <c r="D734" s="70">
        <v>87.764562947969068</v>
      </c>
      <c r="E734" s="70">
        <v>75.057067563920356</v>
      </c>
      <c r="F734" s="70">
        <v>82.643536793056356</v>
      </c>
      <c r="G734" s="70">
        <v>140.23346888028183</v>
      </c>
      <c r="H734" s="70">
        <v>182.86024741755637</v>
      </c>
      <c r="I734" s="70">
        <v>238.19208652125002</v>
      </c>
      <c r="J734" s="70">
        <v>337.54373133194002</v>
      </c>
      <c r="K734" s="70">
        <v>460.9294152381724</v>
      </c>
      <c r="L734" s="70">
        <v>500</v>
      </c>
      <c r="M734" s="70">
        <v>500</v>
      </c>
      <c r="N734" s="70">
        <v>500</v>
      </c>
      <c r="O734" s="70">
        <v>373.74384759461259</v>
      </c>
      <c r="P734" s="70">
        <v>402.33846818510034</v>
      </c>
      <c r="Q734" s="70">
        <v>500</v>
      </c>
      <c r="R734" s="70">
        <v>371.87267692851356</v>
      </c>
      <c r="S734" s="70">
        <v>441.2222466984515</v>
      </c>
      <c r="T734" s="70">
        <v>500</v>
      </c>
      <c r="U734" s="70">
        <v>500</v>
      </c>
      <c r="V734" s="70">
        <v>436.09620515079365</v>
      </c>
      <c r="X734" s="193">
        <f>((0-('Appendix K'!$I$30))/(1+$Y$16)^0)</f>
        <v>-33594902.4440751</v>
      </c>
      <c r="Y734" s="193">
        <f>(((B734*'Appendix K'!$C$5*1000)-('Appendix K'!$E$31+'Appendix K'!$F$31+'Appendix K'!$H$31+'Appendix K'!$G$31))/((1+$Y$16)^1))</f>
        <v>34971064.972647354</v>
      </c>
      <c r="Z734" s="193">
        <f>+(((C734*'Appendix K'!$C$6*1000)-('Appendix K'!$E$32+'Appendix K'!$F$32+'Appendix K'!$H$32+'Appendix K'!$G$32))/((1+$Y$16)^2))</f>
        <v>14282114.282826627</v>
      </c>
      <c r="AA734" s="193">
        <f>(((D734*'Appendix K'!$C$7*1000)-('Appendix K'!$E$33+'Appendix K'!$F$33+'Appendix K'!$H$33+'Appendix K'!$G$33))/((1+$Y$16)^3))</f>
        <v>8214101.940172676</v>
      </c>
      <c r="AB734" s="193">
        <f>(((E734*'Appendix K'!$C$8*1000)-('Appendix K'!$E$34+'Appendix K'!$F$34+'Appendix K'!$H$34+'Appendix K'!$G$34))/((1+$Y$16)^4))</f>
        <v>13158614.239835091</v>
      </c>
      <c r="AC734" s="193">
        <f>(((F734*'Appendix K'!$C$9*1000)-('Appendix K'!$E$35+'Appendix K'!$F$35+'Appendix K'!$H$35+'Appendix K'!$G$35))/((1+$Y$16)^AC$34))</f>
        <v>18982293.786794569</v>
      </c>
      <c r="AD734" s="193">
        <f>(((G734*'Appendix K'!$C$10*1000)-('Appendix K'!$E$36+'Appendix K'!$F$36+'Appendix K'!$H$36+'Appendix K'!$G$36))/((1+$Y$16)^AD$34))</f>
        <v>19507055.110009141</v>
      </c>
      <c r="AE734" s="193">
        <f>(((H734*'Appendix K'!$C$11*1000)-('Appendix K'!$E$37+'Appendix K'!$F$37+'Appendix K'!$H$37+'Appendix K'!$G$37))/((1+$Y$16)^AE$34))</f>
        <v>16018106.520489354</v>
      </c>
      <c r="AF734" s="193">
        <f>(((I734*'Appendix K'!$C$12*1000)-('Appendix K'!$E$38+'Appendix K'!$F$38+'Appendix K'!$H$38+'Appendix K'!$G$38))/((1+$Y$16)^AF$34))</f>
        <v>13643691.491832938</v>
      </c>
      <c r="AG734" s="193">
        <f>(((J734*'Appendix K'!$C$13*1000)-('Appendix K'!$E$39+'Appendix K'!$F$39+'Appendix K'!$H$39+'Appendix K'!$G$39))/((1+$Y$16)^AG$34))</f>
        <v>13718458.337818446</v>
      </c>
      <c r="AH734" s="193">
        <f>(((K734*'Appendix K'!$C$14*1000)-('Appendix K'!$E$40+'Appendix K'!$F$40+'Appendix K'!$H$40+'Appendix K'!$G$40))/((1+$Y$16)^AH$34))</f>
        <v>13903588.511364689</v>
      </c>
      <c r="AI734" s="193">
        <f>(((L734*'Appendix K'!$C$15*1000)-('Appendix K'!$E$41+'Appendix K'!$F$41+'Appendix K'!$H$41+'Appendix K'!$G$41))/((1+$Y$16)^AI$34))</f>
        <v>11584453.656253781</v>
      </c>
      <c r="AJ734" s="193">
        <f>(((M734*'Appendix K'!$C$16*1000)-('Appendix K'!$E$42+'Appendix K'!$F$42+'Appendix K'!$H$42+'Appendix K'!$G$42))/((1+$Y$16)^AJ$34))</f>
        <v>8639382.5302660316</v>
      </c>
      <c r="AK734" s="193">
        <f>(((N734*'Appendix K'!$C$17*1000)-('Appendix K'!$E$43+'Appendix K'!$F$43+'Appendix K'!$H$43))/((1+$Y$16)^AK$34))</f>
        <v>6677690.1149291173</v>
      </c>
      <c r="AL734" s="193">
        <f>(((O734*'Appendix K'!$C$18*1000)-('Appendix K'!$E$44+'Appendix K'!$F$44+'Appendix K'!$H$44+'Appendix K'!$G$44))/((1+$Y$16)^AL$34))</f>
        <v>3295506.6747904965</v>
      </c>
      <c r="AM734" s="193">
        <f>(((P734*'Appendix K'!$C$19*1000)-('Appendix K'!$E$45+'Appendix K'!$F$45+'Appendix K'!$H$45+'Appendix K'!$G$45))/((1+$Y$16)^AM$34))</f>
        <v>2702401.4092082558</v>
      </c>
      <c r="AN734" s="193">
        <f>(((Q734*'Appendix K'!$C$20*1000)-('Appendix K'!$E$46+'Appendix K'!$F$46+'Appendix K'!$H$46+'Appendix K'!$G$46))/((1+$Y$16)^AN$34))</f>
        <v>2702399.606577659</v>
      </c>
      <c r="AO734" s="193">
        <f>(((R734*'Appendix K'!$C$21*1000)-('Appendix K'!$E$47+'Appendix K'!$F$47+'Appendix K'!$H$47+'Appendix K'!$G$47))/((1+$Y$16)^AO$34))</f>
        <v>1354809.6797748215</v>
      </c>
      <c r="AP734" s="193">
        <f>(((S734*'Appendix K'!$C$22*1000)-('Appendix K'!$E$48+'Appendix K'!$F$48+'Appendix K'!$H$48+'Appendix K'!$G$48))/((1+$Y$16)^AP$34))</f>
        <v>1348877.4961761017</v>
      </c>
      <c r="AQ734" s="193">
        <f>(((T734*'Appendix K'!$C$23*1000)-('Appendix K'!$E$49+'Appendix K'!$F$49+'Appendix K'!$H$49+'Appendix K'!$G$49))/((1+$Y$16)^AQ$34))</f>
        <v>1263386.3652054211</v>
      </c>
      <c r="AR734" s="193">
        <f>(((U734*'Appendix K'!$C$24*1000)-('Appendix K'!$E$50+'Appendix K'!$F$50+'Appendix K'!$H$50+'Appendix K'!$G$50))/((1+$Y$16)^AR$34))</f>
        <v>980725.14012097823</v>
      </c>
      <c r="AS734" s="209">
        <f t="shared" si="36"/>
        <v>173353819.42301846</v>
      </c>
      <c r="AU734" s="199">
        <f t="shared" si="35"/>
        <v>2.2455692596839808E-9</v>
      </c>
    </row>
    <row r="735" spans="1:47" x14ac:dyDescent="0.35">
      <c r="A735">
        <v>701</v>
      </c>
      <c r="B735" s="70">
        <v>56</v>
      </c>
      <c r="C735" s="70">
        <v>38.667352967576491</v>
      </c>
      <c r="D735" s="70">
        <v>61.242572875579775</v>
      </c>
      <c r="E735" s="70">
        <v>70.054400141910975</v>
      </c>
      <c r="F735" s="70">
        <v>53.948986045437209</v>
      </c>
      <c r="G735" s="70">
        <v>91.392437305268317</v>
      </c>
      <c r="H735" s="70">
        <v>112.11046415676299</v>
      </c>
      <c r="I735" s="70">
        <v>134.11580723097313</v>
      </c>
      <c r="J735" s="70">
        <v>142.77618159613957</v>
      </c>
      <c r="K735" s="70">
        <v>206.6534982740416</v>
      </c>
      <c r="L735" s="70">
        <v>225.10107378913733</v>
      </c>
      <c r="M735" s="70">
        <v>402.87417646556895</v>
      </c>
      <c r="N735" s="70">
        <v>438.61071596061828</v>
      </c>
      <c r="O735" s="70">
        <v>393.61729551672875</v>
      </c>
      <c r="P735" s="70">
        <v>274.52473795325523</v>
      </c>
      <c r="Q735" s="70">
        <v>272.17674933646322</v>
      </c>
      <c r="R735" s="70">
        <v>241.57840602356947</v>
      </c>
      <c r="S735" s="70">
        <v>158.50590569433996</v>
      </c>
      <c r="T735" s="70">
        <v>96.572752888217479</v>
      </c>
      <c r="U735" s="70">
        <v>83.430469992265927</v>
      </c>
      <c r="V735" s="70">
        <v>69.89195393843822</v>
      </c>
      <c r="X735" s="193">
        <f>((0-('Appendix K'!$I$30))/(1+$Y$16)^0)</f>
        <v>-33594902.4440751</v>
      </c>
      <c r="Y735" s="193">
        <f>(((B735*'Appendix K'!$C$5*1000)-('Appendix K'!$E$31+'Appendix K'!$F$31+'Appendix K'!$H$31+'Appendix K'!$G$31))/((1+$Y$16)^1))</f>
        <v>34971064.972647354</v>
      </c>
      <c r="Z735" s="193">
        <f>+(((C735*'Appendix K'!$C$6*1000)-('Appendix K'!$E$32+'Appendix K'!$F$32+'Appendix K'!$H$32+'Appendix K'!$G$32))/((1+$Y$16)^2))</f>
        <v>6280787.0222593378</v>
      </c>
      <c r="AA735" s="193">
        <f>(((D735*'Appendix K'!$C$7*1000)-('Appendix K'!$E$33+'Appendix K'!$F$33+'Appendix K'!$H$33+'Appendix K'!$G$33))/((1+$Y$16)^3))</f>
        <v>4835866.84000964</v>
      </c>
      <c r="AB735" s="193">
        <f>(((E735*'Appendix K'!$C$8*1000)-('Appendix K'!$E$34+'Appendix K'!$F$34+'Appendix K'!$H$34+'Appendix K'!$G$34))/((1+$Y$16)^4))</f>
        <v>12062075.335943095</v>
      </c>
      <c r="AC735" s="193">
        <f>(((F735*'Appendix K'!$C$9*1000)-('Appendix K'!$E$35+'Appendix K'!$F$35+'Appendix K'!$H$35+'Appendix K'!$G$35))/((1+$Y$16)^AC$34))</f>
        <v>11355327.256607827</v>
      </c>
      <c r="AD735" s="193">
        <f>(((G735*'Appendix K'!$C$10*1000)-('Appendix K'!$E$36+'Appendix K'!$F$36+'Appendix K'!$H$36+'Appendix K'!$G$36))/((1+$Y$16)^AD$34))</f>
        <v>11836866.515335754</v>
      </c>
      <c r="AE735" s="193">
        <f>(((H735*'Appendix K'!$C$11*1000)-('Appendix K'!$E$37+'Appendix K'!$F$37+'Appendix K'!$H$37+'Appendix K'!$G$37))/((1+$Y$16)^AE$34))</f>
        <v>8961690.8973627184</v>
      </c>
      <c r="AF735" s="193">
        <f>(((I735*'Appendix K'!$C$12*1000)-('Appendix K'!$E$38+'Appendix K'!$F$38+'Appendix K'!$H$38+'Appendix K'!$G$38))/((1+$Y$16)^AF$34))</f>
        <v>6809790.3964405386</v>
      </c>
      <c r="AG735" s="193">
        <f>(((J735*'Appendix K'!$C$13*1000)-('Appendix K'!$E$39+'Appendix K'!$F$39+'Appendix K'!$H$39+'Appendix K'!$G$39))/((1+$Y$16)^AG$34))</f>
        <v>4755463.6013010908</v>
      </c>
      <c r="AH735" s="193">
        <f>(((K735*'Appendix K'!$C$14*1000)-('Appendix K'!$E$40+'Appendix K'!$F$40+'Appendix K'!$H$40+'Appendix K'!$G$40))/((1+$Y$16)^AH$34))</f>
        <v>5332830.5127673279</v>
      </c>
      <c r="AI735" s="193">
        <f>(((L735*'Appendix K'!$C$15*1000)-('Appendix K'!$E$41+'Appendix K'!$F$41+'Appendix K'!$H$41+'Appendix K'!$G$41))/((1+$Y$16)^AI$34))</f>
        <v>4381587.7260164451</v>
      </c>
      <c r="AJ735" s="193">
        <f>(((M735*'Appendix K'!$C$16*1000)-('Appendix K'!$E$42+'Appendix K'!$F$42+'Appendix K'!$H$42+'Appendix K'!$G$42))/((1+$Y$16)^AJ$34))</f>
        <v>6692799.6948653273</v>
      </c>
      <c r="AK735" s="193">
        <f>(((N735*'Appendix K'!$C$17*1000)-('Appendix K'!$E$43+'Appendix K'!$F$43+'Appendix K'!$H$43))/((1+$Y$16)^AK$34))</f>
        <v>5734511.4496441605</v>
      </c>
      <c r="AL735" s="193">
        <f>(((O735*'Appendix K'!$C$18*1000)-('Appendix K'!$E$44+'Appendix K'!$F$44+'Appendix K'!$H$44+'Appendix K'!$G$44))/((1+$Y$16)^AL$34))</f>
        <v>3531072.5008156425</v>
      </c>
      <c r="AM735" s="193">
        <f>(((P735*'Appendix K'!$C$19*1000)-('Appendix K'!$E$45+'Appendix K'!$F$45+'Appendix K'!$H$45+'Appendix K'!$G$45))/((1+$Y$16)^AM$34))</f>
        <v>1517730.2243193998</v>
      </c>
      <c r="AN735" s="193">
        <f>(((Q735*'Appendix K'!$C$20*1000)-('Appendix K'!$E$46+'Appendix K'!$F$46+'Appendix K'!$H$46+'Appendix K'!$G$46))/((1+$Y$16)^AN$34))</f>
        <v>1053821.1519898453</v>
      </c>
      <c r="AO735" s="193">
        <f>(((R735*'Appendix K'!$C$21*1000)-('Appendix K'!$E$47+'Appendix K'!$F$47+'Appendix K'!$H$47+'Appendix K'!$G$47))/((1+$Y$16)^AO$34))</f>
        <v>584756.14381031005</v>
      </c>
      <c r="AP735" s="193">
        <f>(((S735*'Appendix K'!$C$22*1000)-('Appendix K'!$E$48+'Appendix K'!$F$48+'Appendix K'!$H$48+'Appendix K'!$G$48))/((1+$Y$16)^AP$34))</f>
        <v>-5254.4305416287671</v>
      </c>
      <c r="AQ735" s="193">
        <f>(((T735*'Appendix K'!$C$23*1000)-('Appendix K'!$E$49+'Appendix K'!$F$49+'Appendix K'!$H$49+'Appendix K'!$G$49))/((1+$Y$16)^AQ$34))</f>
        <v>-315524.59996610001</v>
      </c>
      <c r="AR735" s="193">
        <f>(((U735*'Appendix K'!$C$24*1000)-('Appendix K'!$E$50+'Appendix K'!$F$50+'Appendix K'!$H$50+'Appendix K'!$G$50))/((1+$Y$16)^AR$34))</f>
        <v>-360640.41830667126</v>
      </c>
      <c r="AS735" s="209">
        <f t="shared" si="36"/>
        <v>97103139.798060745</v>
      </c>
      <c r="AU735" s="199">
        <f t="shared" si="35"/>
        <v>6.9321519312961271E-9</v>
      </c>
    </row>
    <row r="736" spans="1:47" x14ac:dyDescent="0.35">
      <c r="A736">
        <v>702</v>
      </c>
      <c r="B736" s="70">
        <v>56</v>
      </c>
      <c r="C736" s="70">
        <v>42.590540203797246</v>
      </c>
      <c r="D736" s="70">
        <v>56.255137269361967</v>
      </c>
      <c r="E736" s="70">
        <v>51.620941328372815</v>
      </c>
      <c r="F736" s="70">
        <v>50.456856669043518</v>
      </c>
      <c r="G736" s="70">
        <v>62.498718599771166</v>
      </c>
      <c r="H736" s="70">
        <v>111.78309259272618</v>
      </c>
      <c r="I736" s="70">
        <v>158.03775358380295</v>
      </c>
      <c r="J736" s="70">
        <v>242.33714980542109</v>
      </c>
      <c r="K736" s="70">
        <v>234.92098370472439</v>
      </c>
      <c r="L736" s="70">
        <v>201.61724556881217</v>
      </c>
      <c r="M736" s="70">
        <v>198.98722117995206</v>
      </c>
      <c r="N736" s="70">
        <v>151.50265111744343</v>
      </c>
      <c r="O736" s="70">
        <v>218.50888394123115</v>
      </c>
      <c r="P736" s="70">
        <v>341.61063524158402</v>
      </c>
      <c r="Q736" s="70">
        <v>411.30744842864351</v>
      </c>
      <c r="R736" s="70">
        <v>481.12573396887132</v>
      </c>
      <c r="S736" s="70">
        <v>428.98772994257644</v>
      </c>
      <c r="T736" s="70">
        <v>430.80808484716403</v>
      </c>
      <c r="U736" s="70">
        <v>347.19583905261311</v>
      </c>
      <c r="V736" s="70">
        <v>402.38848410961111</v>
      </c>
      <c r="X736" s="193">
        <f>((0-('Appendix K'!$I$30))/(1+$Y$16)^0)</f>
        <v>-33594902.4440751</v>
      </c>
      <c r="Y736" s="193">
        <f>(((B736*'Appendix K'!$C$5*1000)-('Appendix K'!$E$31+'Appendix K'!$F$31+'Appendix K'!$H$31+'Appendix K'!$G$31))/((1+$Y$16)^1))</f>
        <v>34971064.972647354</v>
      </c>
      <c r="Z736" s="193">
        <f>+(((C736*'Appendix K'!$C$6*1000)-('Appendix K'!$E$32+'Appendix K'!$F$32+'Appendix K'!$H$32+'Appendix K'!$G$32))/((1+$Y$16)^2))</f>
        <v>7271851.2168868147</v>
      </c>
      <c r="AA736" s="193">
        <f>(((D736*'Appendix K'!$C$7*1000)-('Appendix K'!$E$33+'Appendix K'!$F$33+'Appendix K'!$H$33+'Appendix K'!$G$33))/((1+$Y$16)^3))</f>
        <v>4200592.8662715871</v>
      </c>
      <c r="AB736" s="193">
        <f>(((E736*'Appendix K'!$C$8*1000)-('Appendix K'!$E$34+'Appendix K'!$F$34+'Appendix K'!$H$34+'Appendix K'!$G$34))/((1+$Y$16)^4))</f>
        <v>8021629.9060894847</v>
      </c>
      <c r="AC736" s="193">
        <f>(((F736*'Appendix K'!$C$9*1000)-('Appendix K'!$E$35+'Appendix K'!$F$35+'Appendix K'!$H$35+'Appendix K'!$G$35))/((1+$Y$16)^AC$34))</f>
        <v>10427124.751989542</v>
      </c>
      <c r="AD736" s="193">
        <f>(((G736*'Appendix K'!$C$10*1000)-('Appendix K'!$E$36+'Appendix K'!$F$36+'Appendix K'!$H$36+'Appendix K'!$G$36))/((1+$Y$16)^AD$34))</f>
        <v>7299282.7558235228</v>
      </c>
      <c r="AE736" s="193">
        <f>(((H736*'Appendix K'!$C$11*1000)-('Appendix K'!$E$37+'Appendix K'!$F$37+'Appendix K'!$H$37+'Appendix K'!$G$37))/((1+$Y$16)^AE$34))</f>
        <v>8929039.6338171959</v>
      </c>
      <c r="AF736" s="193">
        <f>(((I736*'Appendix K'!$C$12*1000)-('Appendix K'!$E$38+'Appendix K'!$F$38+'Appendix K'!$H$38+'Appendix K'!$G$38))/((1+$Y$16)^AF$34))</f>
        <v>8380563.4534650212</v>
      </c>
      <c r="AG736" s="193">
        <f>(((J736*'Appendix K'!$C$13*1000)-('Appendix K'!$E$39+'Appendix K'!$F$39+'Appendix K'!$H$39+'Appendix K'!$G$39))/((1+$Y$16)^AG$34))</f>
        <v>9337153.0831107758</v>
      </c>
      <c r="AH736" s="193">
        <f>(((K736*'Appendix K'!$C$14*1000)-('Appendix K'!$E$40+'Appendix K'!$F$40+'Appendix K'!$H$40+'Appendix K'!$G$40))/((1+$Y$16)^AH$34))</f>
        <v>6285629.2667658636</v>
      </c>
      <c r="AI736" s="193">
        <f>(((L736*'Appendix K'!$C$15*1000)-('Appendix K'!$E$41+'Appendix K'!$F$41+'Appendix K'!$H$41+'Appendix K'!$G$41))/((1+$Y$16)^AI$34))</f>
        <v>3766267.511669816</v>
      </c>
      <c r="AJ736" s="193">
        <f>(((M736*'Appendix K'!$C$16*1000)-('Appendix K'!$E$42+'Appendix K'!$F$42+'Appendix K'!$H$42+'Appendix K'!$G$42))/((1+$Y$16)^AJ$34))</f>
        <v>2606524.4584921934</v>
      </c>
      <c r="AK736" s="193">
        <f>(((N736*'Appendix K'!$C$17*1000)-('Appendix K'!$E$43+'Appendix K'!$F$43+'Appendix K'!$H$43))/((1+$Y$16)^AK$34))</f>
        <v>1323412.5807012385</v>
      </c>
      <c r="AL736" s="193">
        <f>(((O736*'Appendix K'!$C$18*1000)-('Appendix K'!$E$44+'Appendix K'!$F$44+'Appendix K'!$H$44+'Appendix K'!$G$44))/((1+$Y$16)^AL$34))</f>
        <v>1455460.9723888747</v>
      </c>
      <c r="AM736" s="193">
        <f>(((P736*'Appendix K'!$C$19*1000)-('Appendix K'!$E$45+'Appendix K'!$F$45+'Appendix K'!$H$45+'Appendix K'!$G$45))/((1+$Y$16)^AM$34))</f>
        <v>2139531.4133288669</v>
      </c>
      <c r="AN736" s="193">
        <f>(((Q736*'Appendix K'!$C$20*1000)-('Appendix K'!$E$46+'Appendix K'!$F$46+'Appendix K'!$H$46+'Appendix K'!$G$46))/((1+$Y$16)^AN$34))</f>
        <v>2060601.0668013198</v>
      </c>
      <c r="AO736" s="193">
        <f>(((R736*'Appendix K'!$C$21*1000)-('Appendix K'!$E$47+'Appendix K'!$F$47+'Appendix K'!$H$47+'Appendix K'!$G$47))/((1+$Y$16)^AO$34))</f>
        <v>2000507.3171654737</v>
      </c>
      <c r="AP736" s="193">
        <f>(((S736*'Appendix K'!$C$22*1000)-('Appendix K'!$E$48+'Appendix K'!$F$48+'Appendix K'!$H$48+'Appendix K'!$G$48))/((1+$Y$16)^AP$34))</f>
        <v>1290277.5946343213</v>
      </c>
      <c r="AQ736" s="193">
        <f>(((T736*'Appendix K'!$C$23*1000)-('Appendix K'!$E$49+'Appendix K'!$F$49+'Appendix K'!$H$49+'Appendix K'!$G$49))/((1+$Y$16)^AQ$34))</f>
        <v>992586.92288178543</v>
      </c>
      <c r="AR736" s="193">
        <f>(((U736*'Appendix K'!$C$24*1000)-('Appendix K'!$E$50+'Appendix K'!$F$50+'Appendix K'!$H$50+'Appendix K'!$G$50))/((1+$Y$16)^AR$34))</f>
        <v>488691.46047221817</v>
      </c>
      <c r="AS736" s="209">
        <f t="shared" si="36"/>
        <v>89652890.761328161</v>
      </c>
      <c r="AU736" s="199">
        <f t="shared" si="35"/>
        <v>7.0251518861801426E-9</v>
      </c>
    </row>
    <row r="737" spans="1:47" x14ac:dyDescent="0.35">
      <c r="A737">
        <v>703</v>
      </c>
      <c r="B737" s="70">
        <v>56</v>
      </c>
      <c r="C737" s="70">
        <v>95.59745862945266</v>
      </c>
      <c r="D737" s="70">
        <v>89.52569991414876</v>
      </c>
      <c r="E737" s="70">
        <v>82.494567533134841</v>
      </c>
      <c r="F737" s="70">
        <v>98.603877246861359</v>
      </c>
      <c r="G737" s="70">
        <v>138.37358206862274</v>
      </c>
      <c r="H737" s="70">
        <v>113.15144120883544</v>
      </c>
      <c r="I737" s="70">
        <v>147.79768702388225</v>
      </c>
      <c r="J737" s="70">
        <v>202.39977093350825</v>
      </c>
      <c r="K737" s="70">
        <v>254.09471984934027</v>
      </c>
      <c r="L737" s="70">
        <v>239.88812041134074</v>
      </c>
      <c r="M737" s="70">
        <v>322.19510956524766</v>
      </c>
      <c r="N737" s="70">
        <v>197.51845881595554</v>
      </c>
      <c r="O737" s="70">
        <v>304.31627617126634</v>
      </c>
      <c r="P737" s="70">
        <v>332.42935687906083</v>
      </c>
      <c r="Q737" s="70">
        <v>500</v>
      </c>
      <c r="R737" s="70">
        <v>500</v>
      </c>
      <c r="S737" s="70">
        <v>487.05209611008809</v>
      </c>
      <c r="T737" s="70">
        <v>500</v>
      </c>
      <c r="U737" s="70">
        <v>500</v>
      </c>
      <c r="V737" s="70">
        <v>500</v>
      </c>
      <c r="X737" s="193">
        <f>((0-('Appendix K'!$I$30))/(1+$Y$16)^0)</f>
        <v>-33594902.4440751</v>
      </c>
      <c r="Y737" s="193">
        <f>(((B737*'Appendix K'!$C$5*1000)-('Appendix K'!$E$31+'Appendix K'!$F$31+'Appendix K'!$H$31+'Appendix K'!$G$31))/((1+$Y$16)^1))</f>
        <v>34971064.972647354</v>
      </c>
      <c r="Z737" s="193">
        <f>+(((C737*'Appendix K'!$C$6*1000)-('Appendix K'!$E$32+'Appendix K'!$F$32+'Appendix K'!$H$32+'Appendix K'!$G$32))/((1+$Y$16)^2))</f>
        <v>20662305.395110615</v>
      </c>
      <c r="AA737" s="193">
        <f>(((D737*'Appendix K'!$C$7*1000)-('Appendix K'!$E$33+'Appendix K'!$F$33+'Appendix K'!$H$33+'Appendix K'!$G$33))/((1+$Y$16)^3))</f>
        <v>8438426.5364455879</v>
      </c>
      <c r="AB737" s="193">
        <f>(((E737*'Appendix K'!$C$8*1000)-('Appendix K'!$E$34+'Appendix K'!$F$34+'Appendix K'!$H$34+'Appendix K'!$G$34))/((1+$Y$16)^4))</f>
        <v>14788846.149327772</v>
      </c>
      <c r="AC737" s="193">
        <f>(((F737*'Appendix K'!$C$9*1000)-('Appendix K'!$E$35+'Appendix K'!$F$35+'Appendix K'!$H$35+'Appendix K'!$G$35))/((1+$Y$16)^AC$34))</f>
        <v>23224527.217184015</v>
      </c>
      <c r="AD737" s="193">
        <f>(((G737*'Appendix K'!$C$10*1000)-('Appendix K'!$E$36+'Appendix K'!$F$36+'Appendix K'!$H$36+'Appendix K'!$G$36))/((1+$Y$16)^AD$34))</f>
        <v>19214971.135733109</v>
      </c>
      <c r="AE737" s="193">
        <f>(((H737*'Appendix K'!$C$11*1000)-('Appendix K'!$E$37+'Appendix K'!$F$37+'Appendix K'!$H$37+'Appendix K'!$G$37))/((1+$Y$16)^AE$34))</f>
        <v>9065515.4802096151</v>
      </c>
      <c r="AF737" s="193">
        <f>(((I737*'Appendix K'!$C$12*1000)-('Appendix K'!$E$38+'Appendix K'!$F$38+'Appendix K'!$H$38+'Appendix K'!$G$38))/((1+$Y$16)^AF$34))</f>
        <v>7708175.8300993284</v>
      </c>
      <c r="AG737" s="193">
        <f>(((J737*'Appendix K'!$C$13*1000)-('Appendix K'!$E$39+'Appendix K'!$F$39+'Appendix K'!$H$39+'Appendix K'!$G$39))/((1+$Y$16)^AG$34))</f>
        <v>7499277.5381094674</v>
      </c>
      <c r="AH737" s="193">
        <f>(((K737*'Appendix K'!$C$14*1000)-('Appendix K'!$E$40+'Appendix K'!$F$40+'Appendix K'!$H$40+'Appendix K'!$G$40))/((1+$Y$16)^AH$34))</f>
        <v>6931909.3171398174</v>
      </c>
      <c r="AI737" s="193">
        <f>(((L737*'Appendix K'!$C$15*1000)-('Appendix K'!$E$41+'Appendix K'!$F$41+'Appendix K'!$H$41+'Appendix K'!$G$41))/((1+$Y$16)^AI$34))</f>
        <v>4769035.9994309498</v>
      </c>
      <c r="AJ737" s="193">
        <f>(((M737*'Appendix K'!$C$16*1000)-('Appendix K'!$E$42+'Appendix K'!$F$42+'Appendix K'!$H$42+'Appendix K'!$G$42))/((1+$Y$16)^AJ$34))</f>
        <v>5075840.5681441324</v>
      </c>
      <c r="AK737" s="193">
        <f>(((N737*'Appendix K'!$C$17*1000)-('Appendix K'!$E$43+'Appendix K'!$F$43+'Appendix K'!$H$43))/((1+$Y$16)^AK$34))</f>
        <v>2030394.7318409998</v>
      </c>
      <c r="AL737" s="193">
        <f>(((O737*'Appendix K'!$C$18*1000)-('Appendix K'!$E$44+'Appendix K'!$F$44+'Appendix K'!$H$44+'Appendix K'!$G$44))/((1+$Y$16)^AL$34))</f>
        <v>2472561.2414990761</v>
      </c>
      <c r="AM737" s="193">
        <f>(((P737*'Appendix K'!$C$19*1000)-('Appendix K'!$E$45+'Appendix K'!$F$45+'Appendix K'!$H$45+'Appendix K'!$G$45))/((1+$Y$16)^AM$34))</f>
        <v>2054432.6066764435</v>
      </c>
      <c r="AN737" s="193">
        <f>(((Q737*'Appendix K'!$C$20*1000)-('Appendix K'!$E$46+'Appendix K'!$F$46+'Appendix K'!$H$46+'Appendix K'!$G$46))/((1+$Y$16)^AN$34))</f>
        <v>2702399.606577659</v>
      </c>
      <c r="AO737" s="193">
        <f>(((R737*'Appendix K'!$C$21*1000)-('Appendix K'!$E$47+'Appendix K'!$F$47+'Appendix K'!$H$47+'Appendix K'!$G$47))/((1+$Y$16)^AO$34))</f>
        <v>2112056.3146391152</v>
      </c>
      <c r="AP737" s="193">
        <f>(((S737*'Appendix K'!$C$22*1000)-('Appendix K'!$E$48+'Appendix K'!$F$48+'Appendix K'!$H$48+'Appendix K'!$G$48))/((1+$Y$16)^AP$34))</f>
        <v>1568389.6123295168</v>
      </c>
      <c r="AQ737" s="193">
        <f>(((T737*'Appendix K'!$C$23*1000)-('Appendix K'!$E$49+'Appendix K'!$F$49+'Appendix K'!$H$49+'Appendix K'!$G$49))/((1+$Y$16)^AQ$34))</f>
        <v>1263386.3652054211</v>
      </c>
      <c r="AR737" s="193">
        <f>(((U737*'Appendix K'!$C$24*1000)-('Appendix K'!$E$50+'Appendix K'!$F$50+'Appendix K'!$H$50+'Appendix K'!$G$50))/((1+$Y$16)^AR$34))</f>
        <v>980725.14012097823</v>
      </c>
      <c r="AS737" s="209">
        <f t="shared" si="36"/>
        <v>143939339.31439587</v>
      </c>
      <c r="AU737" s="199">
        <f t="shared" si="35"/>
        <v>4.2959331968695352E-9</v>
      </c>
    </row>
    <row r="738" spans="1:47" x14ac:dyDescent="0.35">
      <c r="A738">
        <v>704</v>
      </c>
      <c r="B738" s="70">
        <v>56</v>
      </c>
      <c r="C738" s="70">
        <v>59.321719562889704</v>
      </c>
      <c r="D738" s="70">
        <v>38.194761756880396</v>
      </c>
      <c r="E738" s="70">
        <v>28.413378137115028</v>
      </c>
      <c r="F738" s="70">
        <v>28.467659972624098</v>
      </c>
      <c r="G738" s="70">
        <v>38.977634615683201</v>
      </c>
      <c r="H738" s="70">
        <v>52.877167223022361</v>
      </c>
      <c r="I738" s="70">
        <v>51.686762922857518</v>
      </c>
      <c r="J738" s="70">
        <v>47.36707116487996</v>
      </c>
      <c r="K738" s="70">
        <v>87.921521531859881</v>
      </c>
      <c r="L738" s="70">
        <v>124.64597637802481</v>
      </c>
      <c r="M738" s="70">
        <v>38.28153688035151</v>
      </c>
      <c r="N738" s="70">
        <v>54.736967261022926</v>
      </c>
      <c r="O738" s="70">
        <v>69.286792721758886</v>
      </c>
      <c r="P738" s="70">
        <v>105.12431767378007</v>
      </c>
      <c r="Q738" s="70">
        <v>91.696811404668964</v>
      </c>
      <c r="R738" s="70">
        <v>126.65525520487513</v>
      </c>
      <c r="S738" s="70">
        <v>163.3679268251235</v>
      </c>
      <c r="T738" s="70">
        <v>89.900200378605476</v>
      </c>
      <c r="U738" s="70">
        <v>72.745634401963244</v>
      </c>
      <c r="V738" s="70">
        <v>87.607133366703621</v>
      </c>
      <c r="X738" s="193">
        <f>((0-('Appendix K'!$I$30))/(1+$Y$16)^0)</f>
        <v>-33594902.4440751</v>
      </c>
      <c r="Y738" s="193">
        <f>(((B738*'Appendix K'!$C$5*1000)-('Appendix K'!$E$31+'Appendix K'!$F$31+'Appendix K'!$H$31+'Appendix K'!$G$31))/((1+$Y$16)^1))</f>
        <v>34971064.972647354</v>
      </c>
      <c r="Z738" s="193">
        <f>+(((C738*'Appendix K'!$C$6*1000)-('Appendix K'!$E$32+'Appendix K'!$F$32+'Appendix K'!$H$32+'Appendix K'!$G$32))/((1+$Y$16)^2))</f>
        <v>11498433.278430248</v>
      </c>
      <c r="AA738" s="193">
        <f>(((D738*'Appendix K'!$C$7*1000)-('Appendix K'!$E$33+'Appendix K'!$F$33+'Appendix K'!$H$33+'Appendix K'!$G$33))/((1+$Y$16)^3))</f>
        <v>1900154.8406233187</v>
      </c>
      <c r="AB738" s="193">
        <f>(((E738*'Appendix K'!$C$8*1000)-('Appendix K'!$E$34+'Appendix K'!$F$34+'Appendix K'!$H$34+'Appendix K'!$G$34))/((1+$Y$16)^4))</f>
        <v>2934744.4993589083</v>
      </c>
      <c r="AC738" s="193">
        <f>(((F738*'Appendix K'!$C$9*1000)-('Appendix K'!$E$35+'Appendix K'!$F$35+'Appendix K'!$H$35+'Appendix K'!$G$35))/((1+$Y$16)^AC$34))</f>
        <v>4582430.7993163448</v>
      </c>
      <c r="AD738" s="193">
        <f>(((G738*'Appendix K'!$C$10*1000)-('Appendix K'!$E$36+'Appendix K'!$F$36+'Appendix K'!$H$36+'Appendix K'!$G$36))/((1+$Y$16)^AD$34))</f>
        <v>3605438.7830151641</v>
      </c>
      <c r="AE738" s="193">
        <f>(((H738*'Appendix K'!$C$11*1000)-('Appendix K'!$E$37+'Appendix K'!$F$37+'Appendix K'!$H$37+'Appendix K'!$G$37))/((1+$Y$16)^AE$34))</f>
        <v>3053902.3130241018</v>
      </c>
      <c r="AF738" s="193">
        <f>(((I738*'Appendix K'!$C$12*1000)-('Appendix K'!$E$38+'Appendix K'!$F$38+'Appendix K'!$H$38+'Appendix K'!$G$38))/((1+$Y$16)^AF$34))</f>
        <v>1397299.2886612252</v>
      </c>
      <c r="AG738" s="193">
        <f>(((J738*'Appendix K'!$C$13*1000)-('Appendix K'!$E$39+'Appendix K'!$F$39+'Appendix K'!$H$39+'Appendix K'!$G$39))/((1+$Y$16)^AG$34))</f>
        <v>364838.18258434907</v>
      </c>
      <c r="AH738" s="193">
        <f>(((K738*'Appendix K'!$C$14*1000)-('Appendix K'!$E$40+'Appendix K'!$F$40+'Appendix K'!$H$40+'Appendix K'!$G$40))/((1+$Y$16)^AH$34))</f>
        <v>1330787.9618957867</v>
      </c>
      <c r="AI738" s="193">
        <f>(((L738*'Appendix K'!$C$15*1000)-('Appendix K'!$E$41+'Appendix K'!$F$41+'Appendix K'!$H$41+'Appendix K'!$G$41))/((1+$Y$16)^AI$34))</f>
        <v>1749476.3218920038</v>
      </c>
      <c r="AJ738" s="193">
        <f>(((M738*'Appendix K'!$C$16*1000)-('Appendix K'!$E$42+'Appendix K'!$F$42+'Appendix K'!$H$42+'Appendix K'!$G$42))/((1+$Y$16)^AJ$34))</f>
        <v>-614317.4888404829</v>
      </c>
      <c r="AK738" s="193">
        <f>(((N738*'Appendix K'!$C$17*1000)-('Appendix K'!$E$43+'Appendix K'!$F$43+'Appendix K'!$H$43))/((1+$Y$16)^AK$34))</f>
        <v>-163285.4639694902</v>
      </c>
      <c r="AL738" s="193">
        <f>(((O738*'Appendix K'!$C$18*1000)-('Appendix K'!$E$44+'Appendix K'!$F$44+'Appendix K'!$H$44+'Appendix K'!$G$44))/((1+$Y$16)^AL$34))</f>
        <v>-313312.38375312323</v>
      </c>
      <c r="AM738" s="193">
        <f>(((P738*'Appendix K'!$C$19*1000)-('Appendix K'!$E$45+'Appendix K'!$F$45+'Appendix K'!$H$45+'Appendix K'!$G$45))/((1+$Y$16)^AM$34))</f>
        <v>-52396.836749310947</v>
      </c>
      <c r="AN738" s="193">
        <f>(((Q738*'Appendix K'!$C$20*1000)-('Appendix K'!$E$46+'Appendix K'!$F$46+'Appendix K'!$H$46+'Appendix K'!$G$46))/((1+$Y$16)^AN$34))</f>
        <v>-252170.823338082</v>
      </c>
      <c r="AO738" s="193">
        <f>(((R738*'Appendix K'!$C$21*1000)-('Appendix K'!$E$47+'Appendix K'!$F$47+'Appendix K'!$H$47+'Appendix K'!$G$47))/((1+$Y$16)^AO$34))</f>
        <v>-94452.374242500198</v>
      </c>
      <c r="AP738" s="193">
        <f>(((S738*'Appendix K'!$C$22*1000)-('Appendix K'!$E$48+'Appendix K'!$F$48+'Appendix K'!$H$48+'Appendix K'!$G$48))/((1+$Y$16)^AP$34))</f>
        <v>18033.286108164932</v>
      </c>
      <c r="AQ738" s="193">
        <f>(((T738*'Appendix K'!$C$23*1000)-('Appendix K'!$E$49+'Appendix K'!$F$49+'Appendix K'!$H$49+'Appendix K'!$G$49))/((1+$Y$16)^AQ$34))</f>
        <v>-341639.26227146975</v>
      </c>
      <c r="AR738" s="193">
        <f>(((U738*'Appendix K'!$C$24*1000)-('Appendix K'!$E$50+'Appendix K'!$F$50+'Appendix K'!$H$50+'Appendix K'!$G$50))/((1+$Y$16)^AR$34))</f>
        <v>-395045.88828434318</v>
      </c>
      <c r="AS738" s="209">
        <f t="shared" si="36"/>
        <v>33811702.083481871</v>
      </c>
      <c r="AU738" s="199">
        <f t="shared" si="35"/>
        <v>4.4848329352287205E-9</v>
      </c>
    </row>
    <row r="739" spans="1:47" x14ac:dyDescent="0.35">
      <c r="A739">
        <v>705</v>
      </c>
      <c r="B739" s="70">
        <v>56</v>
      </c>
      <c r="C739" s="70">
        <v>46.89279226850141</v>
      </c>
      <c r="D739" s="70">
        <v>60.554291505259222</v>
      </c>
      <c r="E739" s="70">
        <v>72.449052929373735</v>
      </c>
      <c r="F739" s="70">
        <v>92.328983815034036</v>
      </c>
      <c r="G739" s="70">
        <v>90.097266414949033</v>
      </c>
      <c r="H739" s="70">
        <v>73.279055217322139</v>
      </c>
      <c r="I739" s="70">
        <v>51.128127555436954</v>
      </c>
      <c r="J739" s="70">
        <v>39.801300330182485</v>
      </c>
      <c r="K739" s="70">
        <v>47.904327699306329</v>
      </c>
      <c r="L739" s="70">
        <v>29.587360371812167</v>
      </c>
      <c r="M739" s="70">
        <v>27.605687711921796</v>
      </c>
      <c r="N739" s="70">
        <v>37.91312085373125</v>
      </c>
      <c r="O739" s="70">
        <v>49.461057344088331</v>
      </c>
      <c r="P739" s="70">
        <v>44.083432444616861</v>
      </c>
      <c r="Q739" s="70">
        <v>48.564775576763211</v>
      </c>
      <c r="R739" s="70">
        <v>73.899366861875293</v>
      </c>
      <c r="S739" s="70">
        <v>86.210870009570399</v>
      </c>
      <c r="T739" s="70">
        <v>98.554859517579516</v>
      </c>
      <c r="U739" s="70">
        <v>59.333880694991265</v>
      </c>
      <c r="V739" s="70">
        <v>66.94735256323348</v>
      </c>
      <c r="X739" s="193">
        <f>((0-('Appendix K'!$I$30))/(1+$Y$16)^0)</f>
        <v>-33594902.4440751</v>
      </c>
      <c r="Y739" s="193">
        <f>(((B739*'Appendix K'!$C$5*1000)-('Appendix K'!$E$31+'Appendix K'!$F$31+'Appendix K'!$H$31+'Appendix K'!$G$31))/((1+$Y$16)^1))</f>
        <v>34971064.972647354</v>
      </c>
      <c r="Z739" s="193">
        <f>+(((C739*'Appendix K'!$C$6*1000)-('Appendix K'!$E$32+'Appendix K'!$F$32+'Appendix K'!$H$32+'Appendix K'!$G$32))/((1+$Y$16)^2))</f>
        <v>8358673.6703819958</v>
      </c>
      <c r="AA739" s="193">
        <f>(((D739*'Appendix K'!$C$7*1000)-('Appendix K'!$E$33+'Appendix K'!$F$33+'Appendix K'!$H$33+'Appendix K'!$G$33))/((1+$Y$16)^3))</f>
        <v>4748197.0883183498</v>
      </c>
      <c r="AB739" s="193">
        <f>(((E739*'Appendix K'!$C$8*1000)-('Appendix K'!$E$34+'Appendix K'!$F$34+'Appendix K'!$H$34+'Appendix K'!$G$34))/((1+$Y$16)^4))</f>
        <v>12586961.306018559</v>
      </c>
      <c r="AC739" s="193">
        <f>(((F739*'Appendix K'!$C$9*1000)-('Appendix K'!$E$35+'Appendix K'!$F$35+'Appendix K'!$H$35+'Appendix K'!$G$35))/((1+$Y$16)^AC$34))</f>
        <v>21556670.396355178</v>
      </c>
      <c r="AD739" s="193">
        <f>(((G739*'Appendix K'!$C$10*1000)-('Appendix K'!$E$36+'Appendix K'!$F$36+'Appendix K'!$H$36+'Appendix K'!$G$36))/((1+$Y$16)^AD$34))</f>
        <v>11633467.760831105</v>
      </c>
      <c r="AE739" s="193">
        <f>(((H739*'Appendix K'!$C$11*1000)-('Appendix K'!$E$37+'Appendix K'!$F$37+'Appendix K'!$H$37+'Appendix K'!$G$37))/((1+$Y$16)^AE$34))</f>
        <v>5088738.2453630734</v>
      </c>
      <c r="AF739" s="193">
        <f>(((I739*'Appendix K'!$C$12*1000)-('Appendix K'!$E$38+'Appendix K'!$F$38+'Appendix K'!$H$38+'Appendix K'!$G$38))/((1+$Y$16)^AF$34))</f>
        <v>1360617.9346065461</v>
      </c>
      <c r="AG739" s="193">
        <f>(((J739*'Appendix K'!$C$13*1000)-('Appendix K'!$E$39+'Appendix K'!$F$39+'Appendix K'!$H$39+'Appendix K'!$G$39))/((1+$Y$16)^AG$34))</f>
        <v>16669.484764429617</v>
      </c>
      <c r="AH739" s="193">
        <f>(((K739*'Appendix K'!$C$14*1000)-('Appendix K'!$E$40+'Appendix K'!$F$40+'Appendix K'!$H$40+'Appendix K'!$G$40))/((1+$Y$16)^AH$34))</f>
        <v>-18052.652727426936</v>
      </c>
      <c r="AI739" s="193">
        <f>(((L739*'Appendix K'!$C$15*1000)-('Appendix K'!$E$41+'Appendix K'!$F$41+'Appendix K'!$H$41+'Appendix K'!$G$41))/((1+$Y$16)^AI$34))</f>
        <v>-741237.17795435013</v>
      </c>
      <c r="AJ739" s="193">
        <f>(((M739*'Appendix K'!$C$16*1000)-('Appendix K'!$E$42+'Appendix K'!$F$42+'Appendix K'!$H$42+'Appendix K'!$G$42))/((1+$Y$16)^AJ$34))</f>
        <v>-828281.43775078654</v>
      </c>
      <c r="AK739" s="193">
        <f>(((N739*'Appendix K'!$C$17*1000)-('Appendix K'!$E$43+'Appendix K'!$F$43+'Appendix K'!$H$43))/((1+$Y$16)^AK$34))</f>
        <v>-421765.31509805366</v>
      </c>
      <c r="AL739" s="193">
        <f>(((O739*'Appendix K'!$C$18*1000)-('Appendix K'!$E$44+'Appendix K'!$F$44+'Appendix K'!$H$44+'Appendix K'!$G$44))/((1+$Y$16)^AL$34))</f>
        <v>-548312.65894943755</v>
      </c>
      <c r="AM739" s="193">
        <f>(((P739*'Appendix K'!$C$19*1000)-('Appendix K'!$E$45+'Appendix K'!$F$45+'Appendix K'!$H$45+'Appendix K'!$G$45))/((1+$Y$16)^AM$34))</f>
        <v>-618168.43030131864</v>
      </c>
      <c r="AN739" s="193">
        <f>(((Q739*'Appendix K'!$C$20*1000)-('Appendix K'!$E$46+'Appendix K'!$F$46+'Appendix K'!$H$46+'Appendix K'!$G$46))/((1+$Y$16)^AN$34))</f>
        <v>-564283.58953423088</v>
      </c>
      <c r="AO739" s="193">
        <f>(((R739*'Appendix K'!$C$21*1000)-('Appendix K'!$E$47+'Appendix K'!$F$47+'Appendix K'!$H$47+'Appendix K'!$G$47))/((1+$Y$16)^AO$34))</f>
        <v>-406245.50282229617</v>
      </c>
      <c r="AP739" s="193">
        <f>(((S739*'Appendix K'!$C$22*1000)-('Appendix K'!$E$48+'Appendix K'!$F$48+'Appendix K'!$H$48+'Appendix K'!$G$48))/((1+$Y$16)^AP$34))</f>
        <v>-351527.36126875767</v>
      </c>
      <c r="AQ739" s="193">
        <f>(((T739*'Appendix K'!$C$23*1000)-('Appendix K'!$E$49+'Appendix K'!$F$49+'Appendix K'!$H$49+'Appendix K'!$G$49))/((1+$Y$16)^AQ$34))</f>
        <v>-307767.14205108781</v>
      </c>
      <c r="AR739" s="193">
        <f>(((U739*'Appendix K'!$C$24*1000)-('Appendix K'!$E$50+'Appendix K'!$F$50+'Appendix K'!$H$50+'Appendix K'!$G$50))/((1+$Y$16)^AR$34))</f>
        <v>-438232.11100282328</v>
      </c>
      <c r="AS739" s="209">
        <f t="shared" si="36"/>
        <v>66726158.415211491</v>
      </c>
      <c r="AU739" s="199">
        <f t="shared" ref="AU739:AU802" si="37">_xlfn.NORM.DIST(AS739,$Y$17,$Y$19,FALSE)</f>
        <v>6.5691636653809107E-9</v>
      </c>
    </row>
    <row r="740" spans="1:47" x14ac:dyDescent="0.35">
      <c r="A740">
        <v>706</v>
      </c>
      <c r="B740" s="70">
        <v>56</v>
      </c>
      <c r="C740" s="70">
        <v>53.921023866638379</v>
      </c>
      <c r="D740" s="70">
        <v>63.802959355845609</v>
      </c>
      <c r="E740" s="70">
        <v>72.725930285067065</v>
      </c>
      <c r="F740" s="70">
        <v>125.7313929298501</v>
      </c>
      <c r="G740" s="70">
        <v>108.31161122567164</v>
      </c>
      <c r="H740" s="70">
        <v>112.68078840479035</v>
      </c>
      <c r="I740" s="70">
        <v>136.48984317737938</v>
      </c>
      <c r="J740" s="70">
        <v>140.38638375093501</v>
      </c>
      <c r="K740" s="70">
        <v>24.917419000022875</v>
      </c>
      <c r="L740" s="70">
        <v>21.378383503357956</v>
      </c>
      <c r="M740" s="70">
        <v>37.043380112022689</v>
      </c>
      <c r="N740" s="70">
        <v>26.794672055098925</v>
      </c>
      <c r="O740" s="70">
        <v>28.699463665115562</v>
      </c>
      <c r="P740" s="70">
        <v>28.791076018729871</v>
      </c>
      <c r="Q740" s="70">
        <v>20.378212156944794</v>
      </c>
      <c r="R740" s="70">
        <v>13.891747264802863</v>
      </c>
      <c r="S740" s="70">
        <v>11.905124813887278</v>
      </c>
      <c r="T740" s="70">
        <v>11.097422711353047</v>
      </c>
      <c r="U740" s="70">
        <v>10.833744671712056</v>
      </c>
      <c r="V740" s="70">
        <v>16.178383577487946</v>
      </c>
      <c r="X740" s="193">
        <f>((0-('Appendix K'!$I$30))/(1+$Y$16)^0)</f>
        <v>-33594902.4440751</v>
      </c>
      <c r="Y740" s="193">
        <f>(((B740*'Appendix K'!$C$5*1000)-('Appendix K'!$E$31+'Appendix K'!$F$31+'Appendix K'!$H$31+'Appendix K'!$G$31))/((1+$Y$16)^1))</f>
        <v>34971064.972647354</v>
      </c>
      <c r="Z740" s="193">
        <f>+(((C740*'Appendix K'!$C$6*1000)-('Appendix K'!$E$32+'Appendix K'!$F$32+'Appendix K'!$H$32+'Appendix K'!$G$32))/((1+$Y$16)^2))</f>
        <v>10134125.176788522</v>
      </c>
      <c r="AA740" s="193">
        <f>(((D740*'Appendix K'!$C$7*1000)-('Appendix K'!$E$33+'Appendix K'!$F$33+'Appendix K'!$H$33+'Appendix K'!$G$33))/((1+$Y$16)^3))</f>
        <v>5161995.7411218379</v>
      </c>
      <c r="AB740" s="193">
        <f>(((E740*'Appendix K'!$C$8*1000)-('Appendix K'!$E$34+'Appendix K'!$F$34+'Appendix K'!$H$34+'Appendix K'!$G$34))/((1+$Y$16)^4))</f>
        <v>12647650.2878183</v>
      </c>
      <c r="AC740" s="193">
        <f>(((F740*'Appendix K'!$C$9*1000)-('Appendix K'!$E$35+'Appendix K'!$F$35+'Appendix K'!$H$35+'Appendix K'!$G$35))/((1+$Y$16)^AC$34))</f>
        <v>30434978.28787861</v>
      </c>
      <c r="AD740" s="193">
        <f>(((G740*'Appendix K'!$C$10*1000)-('Appendix K'!$E$36+'Appendix K'!$F$36+'Appendix K'!$H$36+'Appendix K'!$G$36))/((1+$Y$16)^AD$34))</f>
        <v>14493920.444187725</v>
      </c>
      <c r="AE740" s="193">
        <f>(((H740*'Appendix K'!$C$11*1000)-('Appendix K'!$E$37+'Appendix K'!$F$37+'Appendix K'!$H$37+'Appendix K'!$G$37))/((1+$Y$16)^AE$34))</f>
        <v>9018573.6855289172</v>
      </c>
      <c r="AF740" s="193">
        <f>(((I740*'Appendix K'!$C$12*1000)-('Appendix K'!$E$38+'Appendix K'!$F$38+'Appendix K'!$H$38+'Appendix K'!$G$38))/((1+$Y$16)^AF$34))</f>
        <v>6965675.3585594948</v>
      </c>
      <c r="AG740" s="193">
        <f>(((J740*'Appendix K'!$C$13*1000)-('Appendix K'!$E$39+'Appendix K'!$F$39+'Appendix K'!$H$39+'Appendix K'!$G$39))/((1+$Y$16)^AG$34))</f>
        <v>4645487.6554263057</v>
      </c>
      <c r="AH740" s="193">
        <f>(((K740*'Appendix K'!$C$14*1000)-('Appendix K'!$E$40+'Appendix K'!$F$40+'Appendix K'!$H$40+'Appendix K'!$G$40))/((1+$Y$16)^AH$34))</f>
        <v>-792861.50584112073</v>
      </c>
      <c r="AI740" s="193">
        <f>(((L740*'Appendix K'!$C$15*1000)-('Appendix K'!$E$41+'Appendix K'!$F$41+'Appendix K'!$H$41+'Appendix K'!$G$41))/((1+$Y$16)^AI$34))</f>
        <v>-956327.72276986786</v>
      </c>
      <c r="AJ740" s="193">
        <f>(((M740*'Appendix K'!$C$16*1000)-('Appendix K'!$E$42+'Appendix K'!$F$42+'Appendix K'!$H$42+'Appendix K'!$G$42))/((1+$Y$16)^AJ$34))</f>
        <v>-639132.46208917501</v>
      </c>
      <c r="AK740" s="193">
        <f>(((N740*'Appendix K'!$C$17*1000)-('Appendix K'!$E$43+'Appendix K'!$F$43+'Appendix K'!$H$43))/((1+$Y$16)^AK$34))</f>
        <v>-592588.02238367498</v>
      </c>
      <c r="AL740" s="193">
        <f>(((O740*'Appendix K'!$C$18*1000)-('Appendix K'!$E$44+'Appendix K'!$F$44+'Appendix K'!$H$44+'Appendix K'!$G$44))/((1+$Y$16)^AL$34))</f>
        <v>-794405.9379693818</v>
      </c>
      <c r="AM740" s="193">
        <f>(((P740*'Appendix K'!$C$19*1000)-('Appendix K'!$E$45+'Appendix K'!$F$45+'Appendix K'!$H$45+'Appendix K'!$G$45))/((1+$Y$16)^AM$34))</f>
        <v>-759909.18048470165</v>
      </c>
      <c r="AN740" s="193">
        <f>(((Q740*'Appendix K'!$C$20*1000)-('Appendix K'!$E$46+'Appendix K'!$F$46+'Appendix K'!$H$46+'Appendix K'!$G$46))/((1+$Y$16)^AN$34))</f>
        <v>-768247.67584872223</v>
      </c>
      <c r="AO740" s="193">
        <f>(((R740*'Appendix K'!$C$21*1000)-('Appendix K'!$E$47+'Appendix K'!$F$47+'Appendix K'!$H$47+'Appendix K'!$G$47))/((1+$Y$16)^AO$34))</f>
        <v>-760897.16428522172</v>
      </c>
      <c r="AP740" s="193">
        <f>(((S740*'Appendix K'!$C$22*1000)-('Appendix K'!$E$48+'Appendix K'!$F$48+'Appendix K'!$H$48+'Appendix K'!$G$48))/((1+$Y$16)^AP$34))</f>
        <v>-707431.02623081894</v>
      </c>
      <c r="AQ740" s="193">
        <f>(((T740*'Appendix K'!$C$23*1000)-('Appendix K'!$E$49+'Appendix K'!$F$49+'Appendix K'!$H$49+'Appendix K'!$G$49))/((1+$Y$16)^AQ$34))</f>
        <v>-650053.16003262671</v>
      </c>
      <c r="AR740" s="193">
        <f>(((U740*'Appendix K'!$C$24*1000)-('Appendix K'!$E$50+'Appendix K'!$F$50+'Appendix K'!$H$50+'Appendix K'!$G$50))/((1+$Y$16)^AR$34))</f>
        <v>-594403.90791623422</v>
      </c>
      <c r="AS740" s="209">
        <f t="shared" ref="AS740:AS803" si="38">SUMIF(Y740:AR740,"&gt;0")+X740</f>
        <v>94878569.165881962</v>
      </c>
      <c r="AU740" s="199">
        <f t="shared" si="37"/>
        <v>6.9723629244745217E-9</v>
      </c>
    </row>
    <row r="741" spans="1:47" x14ac:dyDescent="0.35">
      <c r="A741">
        <v>707</v>
      </c>
      <c r="B741" s="70">
        <v>56</v>
      </c>
      <c r="C741" s="70">
        <v>42.420217315167477</v>
      </c>
      <c r="D741" s="70">
        <v>40.259542567932932</v>
      </c>
      <c r="E741" s="70">
        <v>44.32219885213226</v>
      </c>
      <c r="F741" s="70">
        <v>35.813053498750712</v>
      </c>
      <c r="G741" s="70">
        <v>37.682332318215451</v>
      </c>
      <c r="H741" s="70">
        <v>41.727881506903124</v>
      </c>
      <c r="I741" s="70">
        <v>30.586168965770629</v>
      </c>
      <c r="J741" s="70">
        <v>37.163386518392457</v>
      </c>
      <c r="K741" s="70">
        <v>42.607071592347218</v>
      </c>
      <c r="L741" s="70">
        <v>58.172804568142041</v>
      </c>
      <c r="M741" s="70">
        <v>80.137453636031807</v>
      </c>
      <c r="N741" s="70">
        <v>82.139478556646822</v>
      </c>
      <c r="O741" s="70">
        <v>94.156007797508067</v>
      </c>
      <c r="P741" s="70">
        <v>85.981038592088467</v>
      </c>
      <c r="Q741" s="70">
        <v>83.06078617178153</v>
      </c>
      <c r="R741" s="70">
        <v>29.431059021062836</v>
      </c>
      <c r="S741" s="70">
        <v>39.783311078222184</v>
      </c>
      <c r="T741" s="70">
        <v>35.203179545746529</v>
      </c>
      <c r="U741" s="70">
        <v>39.022880431100901</v>
      </c>
      <c r="V741" s="70">
        <v>59.919197015818881</v>
      </c>
      <c r="X741" s="193">
        <f>((0-('Appendix K'!$I$30))/(1+$Y$16)^0)</f>
        <v>-33594902.4440751</v>
      </c>
      <c r="Y741" s="193">
        <f>(((B741*'Appendix K'!$C$5*1000)-('Appendix K'!$E$31+'Appendix K'!$F$31+'Appendix K'!$H$31+'Appendix K'!$G$31))/((1+$Y$16)^1))</f>
        <v>34971064.972647354</v>
      </c>
      <c r="Z741" s="193">
        <f>+(((C741*'Appendix K'!$C$6*1000)-('Appendix K'!$E$32+'Appendix K'!$F$32+'Appendix K'!$H$32+'Appendix K'!$G$32))/((1+$Y$16)^2))</f>
        <v>7228824.7421654342</v>
      </c>
      <c r="AA741" s="193">
        <f>(((D741*'Appendix K'!$C$7*1000)-('Appendix K'!$E$33+'Appendix K'!$F$33+'Appendix K'!$H$33+'Appendix K'!$G$33))/((1+$Y$16)^3))</f>
        <v>2163156.0328793409</v>
      </c>
      <c r="AB741" s="193">
        <f>(((E741*'Appendix K'!$C$8*1000)-('Appendix K'!$E$34+'Appendix K'!$F$34+'Appendix K'!$H$34+'Appendix K'!$G$34))/((1+$Y$16)^4))</f>
        <v>6421812.3688540971</v>
      </c>
      <c r="AC741" s="193">
        <f>(((F741*'Appendix K'!$C$9*1000)-('Appendix K'!$E$35+'Appendix K'!$F$35+'Appendix K'!$H$35+'Appendix K'!$G$35))/((1+$Y$16)^AC$34))</f>
        <v>6534824.8642231254</v>
      </c>
      <c r="AD741" s="193">
        <f>(((G741*'Appendix K'!$C$10*1000)-('Appendix K'!$E$36+'Appendix K'!$F$36+'Appendix K'!$H$36+'Appendix K'!$G$36))/((1+$Y$16)^AD$34))</f>
        <v>3402019.3918126635</v>
      </c>
      <c r="AE741" s="193">
        <f>(((H741*'Appendix K'!$C$11*1000)-('Appendix K'!$E$37+'Appendix K'!$F$37+'Appendix K'!$H$37+'Appendix K'!$G$37))/((1+$Y$16)^AE$34))</f>
        <v>1941898.9924778983</v>
      </c>
      <c r="AF741" s="193">
        <f>(((I741*'Appendix K'!$C$12*1000)-('Appendix K'!$E$38+'Appendix K'!$F$38+'Appendix K'!$H$38+'Appendix K'!$G$38))/((1+$Y$16)^AF$34))</f>
        <v>11783.077473630316</v>
      </c>
      <c r="AG741" s="193">
        <f>(((J741*'Appendix K'!$C$13*1000)-('Appendix K'!$E$39+'Appendix K'!$F$39+'Appendix K'!$H$39+'Appendix K'!$G$39))/((1+$Y$16)^AG$34))</f>
        <v>-104724.49304415628</v>
      </c>
      <c r="AH741" s="193">
        <f>(((K741*'Appendix K'!$C$14*1000)-('Appendix K'!$E$40+'Appendix K'!$F$40+'Appendix K'!$H$40+'Appendix K'!$G$40))/((1+$Y$16)^AH$34))</f>
        <v>-196604.75743085064</v>
      </c>
      <c r="AI741" s="193">
        <f>(((L741*'Appendix K'!$C$15*1000)-('Appendix K'!$E$41+'Appendix K'!$F$41+'Appendix K'!$H$41+'Appendix K'!$G$41))/((1+$Y$16)^AI$34))</f>
        <v>7754.9150322572723</v>
      </c>
      <c r="AJ741" s="193">
        <f>(((M741*'Appendix K'!$C$16*1000)-('Appendix K'!$E$42+'Appendix K'!$F$42+'Appendix K'!$H$42+'Appendix K'!$G$42))/((1+$Y$16)^AJ$34))</f>
        <v>224553.22701692008</v>
      </c>
      <c r="AK741" s="193">
        <f>(((N741*'Appendix K'!$C$17*1000)-('Appendix K'!$E$43+'Appendix K'!$F$43+'Appendix K'!$H$43))/((1+$Y$16)^AK$34))</f>
        <v>257723.9097948696</v>
      </c>
      <c r="AL741" s="193">
        <f>(((O741*'Appendix K'!$C$18*1000)-('Appendix K'!$E$44+'Appendix K'!$F$44+'Appendix K'!$H$44+'Appendix K'!$G$44))/((1+$Y$16)^AL$34))</f>
        <v>-18530.259640859378</v>
      </c>
      <c r="AM741" s="193">
        <f>(((P741*'Appendix K'!$C$19*1000)-('Appendix K'!$E$45+'Appendix K'!$F$45+'Appendix K'!$H$45+'Appendix K'!$G$45))/((1+$Y$16)^AM$34))</f>
        <v>-229830.75618213281</v>
      </c>
      <c r="AN741" s="193">
        <f>(((Q741*'Appendix K'!$C$20*1000)-('Appendix K'!$E$46+'Appendix K'!$F$46+'Appendix K'!$H$46+'Appendix K'!$G$46))/((1+$Y$16)^AN$34))</f>
        <v>-314662.97499841102</v>
      </c>
      <c r="AO741" s="193">
        <f>(((R741*'Appendix K'!$C$21*1000)-('Appendix K'!$E$47+'Appendix K'!$F$47+'Appendix K'!$H$47+'Appendix K'!$G$47))/((1+$Y$16)^AO$34))</f>
        <v>-669058.11502193718</v>
      </c>
      <c r="AP741" s="193">
        <f>(((S741*'Appendix K'!$C$22*1000)-('Appendix K'!$E$48+'Appendix K'!$F$48+'Appendix K'!$H$48+'Appendix K'!$G$48))/((1+$Y$16)^AP$34))</f>
        <v>-573902.33826944418</v>
      </c>
      <c r="AQ741" s="193">
        <f>(((T741*'Appendix K'!$C$23*1000)-('Appendix K'!$E$49+'Appendix K'!$F$49+'Appendix K'!$H$49+'Appendix K'!$G$49))/((1+$Y$16)^AQ$34))</f>
        <v>-555709.39901482849</v>
      </c>
      <c r="AR741" s="193">
        <f>(((U741*'Appendix K'!$C$24*1000)-('Appendix K'!$E$50+'Appendix K'!$F$50+'Appendix K'!$H$50+'Appendix K'!$G$50))/((1+$Y$16)^AR$34))</f>
        <v>-503634.10094359401</v>
      </c>
      <c r="AS741" s="209">
        <f t="shared" si="38"/>
        <v>29570514.050302483</v>
      </c>
      <c r="AU741" s="199">
        <f t="shared" si="37"/>
        <v>4.166410826216813E-9</v>
      </c>
    </row>
    <row r="742" spans="1:47" x14ac:dyDescent="0.35">
      <c r="A742">
        <v>708</v>
      </c>
      <c r="B742" s="70">
        <v>56</v>
      </c>
      <c r="C742" s="70">
        <v>56.760522094490817</v>
      </c>
      <c r="D742" s="70">
        <v>42.438833226591257</v>
      </c>
      <c r="E742" s="70">
        <v>44.168926597463575</v>
      </c>
      <c r="F742" s="70">
        <v>71.789992601518378</v>
      </c>
      <c r="G742" s="70">
        <v>92.603974295216659</v>
      </c>
      <c r="H742" s="70">
        <v>125.99905080685602</v>
      </c>
      <c r="I742" s="70">
        <v>146.99601522725413</v>
      </c>
      <c r="J742" s="70">
        <v>183.59832936353229</v>
      </c>
      <c r="K742" s="70">
        <v>134.0123682652135</v>
      </c>
      <c r="L742" s="70">
        <v>190.53393364327491</v>
      </c>
      <c r="M742" s="70">
        <v>238.67739877711969</v>
      </c>
      <c r="N742" s="70">
        <v>292.26146279271558</v>
      </c>
      <c r="O742" s="70">
        <v>402.29253771750615</v>
      </c>
      <c r="P742" s="70">
        <v>399.98538458309315</v>
      </c>
      <c r="Q742" s="70">
        <v>298.02435822667911</v>
      </c>
      <c r="R742" s="70">
        <v>233.01460069574139</v>
      </c>
      <c r="S742" s="70">
        <v>272.24437241164696</v>
      </c>
      <c r="T742" s="70">
        <v>254.88334737310734</v>
      </c>
      <c r="U742" s="70">
        <v>274.47689150553379</v>
      </c>
      <c r="V742" s="70">
        <v>279.29958708668545</v>
      </c>
      <c r="X742" s="193">
        <f>((0-('Appendix K'!$I$30))/(1+$Y$16)^0)</f>
        <v>-33594902.4440751</v>
      </c>
      <c r="Y742" s="193">
        <f>(((B742*'Appendix K'!$C$5*1000)-('Appendix K'!$E$31+'Appendix K'!$F$31+'Appendix K'!$H$31+'Appendix K'!$G$31))/((1+$Y$16)^1))</f>
        <v>34971064.972647354</v>
      </c>
      <c r="Z742" s="193">
        <f>+(((C742*'Appendix K'!$C$6*1000)-('Appendix K'!$E$32+'Appendix K'!$F$32+'Appendix K'!$H$32+'Appendix K'!$G$32))/((1+$Y$16)^2))</f>
        <v>10851430.993434578</v>
      </c>
      <c r="AA742" s="193">
        <f>(((D742*'Appendix K'!$C$7*1000)-('Appendix K'!$E$33+'Appendix K'!$F$33+'Appendix K'!$H$33+'Appendix K'!$G$33))/((1+$Y$16)^3))</f>
        <v>2440742.9023579382</v>
      </c>
      <c r="AB742" s="193">
        <f>(((E742*'Appendix K'!$C$8*1000)-('Appendix K'!$E$34+'Appendix K'!$F$34+'Appendix K'!$H$34+'Appendix K'!$G$34))/((1+$Y$16)^4))</f>
        <v>6388216.4937031651</v>
      </c>
      <c r="AC742" s="193">
        <f>(((F742*'Appendix K'!$C$9*1000)-('Appendix K'!$E$35+'Appendix K'!$F$35+'Appendix K'!$H$35+'Appendix K'!$G$35))/((1+$Y$16)^AC$34))</f>
        <v>16097438.783806546</v>
      </c>
      <c r="AD742" s="193">
        <f>(((G742*'Appendix K'!$C$10*1000)-('Appendix K'!$E$36+'Appendix K'!$F$36+'Appendix K'!$H$36+'Appendix K'!$G$36))/((1+$Y$16)^AD$34))</f>
        <v>12027131.071645424</v>
      </c>
      <c r="AE742" s="193">
        <f>(((H742*'Appendix K'!$C$11*1000)-('Appendix K'!$E$37+'Appendix K'!$F$37+'Appendix K'!$H$37+'Appendix K'!$G$37))/((1+$Y$16)^AE$34))</f>
        <v>10346905.59773303</v>
      </c>
      <c r="AF742" s="193">
        <f>(((I742*'Appendix K'!$C$12*1000)-('Appendix K'!$E$38+'Appendix K'!$F$38+'Appendix K'!$H$38+'Appendix K'!$G$38))/((1+$Y$16)^AF$34))</f>
        <v>7655536.1142439805</v>
      </c>
      <c r="AG742" s="193">
        <f>(((J742*'Appendix K'!$C$13*1000)-('Appendix K'!$E$39+'Appendix K'!$F$39+'Appendix K'!$H$39+'Appendix K'!$G$39))/((1+$Y$16)^AG$34))</f>
        <v>6634055.2664362611</v>
      </c>
      <c r="AH742" s="193">
        <f>(((K742*'Appendix K'!$C$14*1000)-('Appendix K'!$E$40+'Appendix K'!$F$40+'Appendix K'!$H$40+'Appendix K'!$G$40))/((1+$Y$16)^AH$34))</f>
        <v>2884350.3205274171</v>
      </c>
      <c r="AI742" s="193">
        <f>(((L742*'Appendix K'!$C$15*1000)-('Appendix K'!$E$41+'Appendix K'!$F$41+'Appendix K'!$H$41+'Appendix K'!$G$41))/((1+$Y$16)^AI$34))</f>
        <v>3475864.01332581</v>
      </c>
      <c r="AJ742" s="193">
        <f>(((M742*'Appendix K'!$C$16*1000)-('Appendix K'!$E$42+'Appendix K'!$F$42+'Appendix K'!$H$42+'Appendix K'!$G$42))/((1+$Y$16)^AJ$34))</f>
        <v>3401989.7182257525</v>
      </c>
      <c r="AK742" s="193">
        <f>(((N742*'Appendix K'!$C$17*1000)-('Appendix K'!$E$43+'Appendix K'!$F$43+'Appendix K'!$H$43))/((1+$Y$16)^AK$34))</f>
        <v>3486016.5302409125</v>
      </c>
      <c r="AL742" s="193">
        <f>(((O742*'Appendix K'!$C$18*1000)-('Appendix K'!$E$44+'Appendix K'!$F$44+'Appendix K'!$H$44+'Appendix K'!$G$44))/((1+$Y$16)^AL$34))</f>
        <v>3633902.6993299178</v>
      </c>
      <c r="AM742" s="193">
        <f>(((P742*'Appendix K'!$C$19*1000)-('Appendix K'!$E$45+'Appendix K'!$F$45+'Appendix K'!$H$45+'Appendix K'!$G$45))/((1+$Y$16)^AM$34))</f>
        <v>2680591.308416456</v>
      </c>
      <c r="AN742" s="193">
        <f>(((Q742*'Appendix K'!$C$20*1000)-('Appendix K'!$E$46+'Appendix K'!$F$46+'Appendix K'!$H$46+'Appendix K'!$G$46))/((1+$Y$16)^AN$34))</f>
        <v>1240860.0560302148</v>
      </c>
      <c r="AO742" s="193">
        <f>(((R742*'Appendix K'!$C$21*1000)-('Appendix K'!$E$47+'Appendix K'!$F$47+'Appendix K'!$H$47+'Appendix K'!$G$47))/((1+$Y$16)^AO$34))</f>
        <v>534143.10819328867</v>
      </c>
      <c r="AP742" s="193">
        <f>(((S742*'Appendix K'!$C$22*1000)-('Appendix K'!$E$48+'Appendix K'!$F$48+'Appendix K'!$H$48+'Appendix K'!$G$48))/((1+$Y$16)^AP$34))</f>
        <v>539520.90338782233</v>
      </c>
      <c r="AQ742" s="193">
        <f>(((T742*'Appendix K'!$C$23*1000)-('Appendix K'!$E$49+'Appendix K'!$F$49+'Appendix K'!$H$49+'Appendix K'!$G$49))/((1+$Y$16)^AQ$34))</f>
        <v>304062.53829616937</v>
      </c>
      <c r="AR742" s="193">
        <f>(((U742*'Appendix K'!$C$24*1000)-('Appendix K'!$E$50+'Appendix K'!$F$50+'Appendix K'!$H$50+'Appendix K'!$G$50))/((1+$Y$16)^AR$34))</f>
        <v>254534.41186871592</v>
      </c>
      <c r="AS742" s="209">
        <f t="shared" si="38"/>
        <v>96253455.359775662</v>
      </c>
      <c r="AU742" s="199">
        <f t="shared" si="37"/>
        <v>6.9487433687755068E-9</v>
      </c>
    </row>
    <row r="743" spans="1:47" x14ac:dyDescent="0.35">
      <c r="A743">
        <v>709</v>
      </c>
      <c r="B743" s="70">
        <v>56</v>
      </c>
      <c r="C743" s="70">
        <v>43.967135371653519</v>
      </c>
      <c r="D743" s="70">
        <v>52.580015781020322</v>
      </c>
      <c r="E743" s="70">
        <v>29.049047357817283</v>
      </c>
      <c r="F743" s="70">
        <v>22.327394550932766</v>
      </c>
      <c r="G743" s="70">
        <v>22.645995493389592</v>
      </c>
      <c r="H743" s="70">
        <v>19.592792436650203</v>
      </c>
      <c r="I743" s="70">
        <v>20.876001458447405</v>
      </c>
      <c r="J743" s="70">
        <v>31.11076874631247</v>
      </c>
      <c r="K743" s="70">
        <v>29.169194292841674</v>
      </c>
      <c r="L743" s="70">
        <v>32.82706929402319</v>
      </c>
      <c r="M743" s="70">
        <v>37.040963823794627</v>
      </c>
      <c r="N743" s="70">
        <v>54.330948352029843</v>
      </c>
      <c r="O743" s="70">
        <v>51.103789452258283</v>
      </c>
      <c r="P743" s="70">
        <v>75.989704527943303</v>
      </c>
      <c r="Q743" s="70">
        <v>85.111606753943448</v>
      </c>
      <c r="R743" s="70">
        <v>92.21341310978427</v>
      </c>
      <c r="S743" s="70">
        <v>82.517382999672222</v>
      </c>
      <c r="T743" s="70">
        <v>79.876656166011017</v>
      </c>
      <c r="U743" s="70">
        <v>96.734059417434437</v>
      </c>
      <c r="V743" s="70">
        <v>152.32174769972224</v>
      </c>
      <c r="X743" s="193">
        <f>((0-('Appendix K'!$I$30))/(1+$Y$16)^0)</f>
        <v>-33594902.4440751</v>
      </c>
      <c r="Y743" s="193">
        <f>(((B743*'Appendix K'!$C$5*1000)-('Appendix K'!$E$31+'Appendix K'!$F$31+'Appendix K'!$H$31+'Appendix K'!$G$31))/((1+$Y$16)^1))</f>
        <v>34971064.972647354</v>
      </c>
      <c r="Z743" s="193">
        <f>+(((C743*'Appendix K'!$C$6*1000)-('Appendix K'!$E$32+'Appendix K'!$F$32+'Appendix K'!$H$32+'Appendix K'!$G$32))/((1+$Y$16)^2))</f>
        <v>7619602.7003652798</v>
      </c>
      <c r="AA743" s="193">
        <f>(((D743*'Appendix K'!$C$7*1000)-('Appendix K'!$E$33+'Appendix K'!$F$33+'Appendix K'!$H$33+'Appendix K'!$G$33))/((1+$Y$16)^3))</f>
        <v>3732474.7357922215</v>
      </c>
      <c r="AB743" s="193">
        <f>(((E743*'Appendix K'!$C$8*1000)-('Appendix K'!$E$34+'Appendix K'!$F$34+'Appendix K'!$H$34+'Appendix K'!$G$34))/((1+$Y$16)^4))</f>
        <v>3074077.3735452066</v>
      </c>
      <c r="AC743" s="193">
        <f>(((F743*'Appendix K'!$C$9*1000)-('Appendix K'!$E$35+'Appendix K'!$F$35+'Appendix K'!$H$35+'Appendix K'!$G$35))/((1+$Y$16)^AC$34))</f>
        <v>2950357.8921777471</v>
      </c>
      <c r="AD743" s="193">
        <f>(((G743*'Appendix K'!$C$10*1000)-('Appendix K'!$E$36+'Appendix K'!$F$36+'Appendix K'!$H$36+'Appendix K'!$G$36))/((1+$Y$16)^AD$34))</f>
        <v>1040653.640511682</v>
      </c>
      <c r="AE743" s="193">
        <f>(((H743*'Appendix K'!$C$11*1000)-('Appendix K'!$E$37+'Appendix K'!$F$37+'Appendix K'!$H$37+'Appendix K'!$G$37))/((1+$Y$16)^AE$34))</f>
        <v>-265802.30547348183</v>
      </c>
      <c r="AF743" s="193">
        <f>(((I743*'Appendix K'!$C$12*1000)-('Appendix K'!$E$38+'Appendix K'!$F$38+'Appendix K'!$H$38+'Appendix K'!$G$38))/((1+$Y$16)^AF$34))</f>
        <v>-625810.0880128229</v>
      </c>
      <c r="AG743" s="193">
        <f>(((J743*'Appendix K'!$C$13*1000)-('Appendix K'!$E$39+'Appendix K'!$F$39+'Appendix K'!$H$39+'Appendix K'!$G$39))/((1+$Y$16)^AG$34))</f>
        <v>-383259.50211981148</v>
      </c>
      <c r="AH743" s="193">
        <f>(((K743*'Appendix K'!$C$14*1000)-('Appendix K'!$E$40+'Appendix K'!$F$40+'Appendix K'!$H$40+'Appendix K'!$G$40))/((1+$Y$16)^AH$34))</f>
        <v>-649548.92817256437</v>
      </c>
      <c r="AI743" s="193">
        <f>(((L743*'Appendix K'!$C$15*1000)-('Appendix K'!$E$41+'Appendix K'!$F$41+'Appendix K'!$H$41+'Appendix K'!$G$41))/((1+$Y$16)^AI$34))</f>
        <v>-656350.74590702995</v>
      </c>
      <c r="AJ743" s="193">
        <f>(((M743*'Appendix K'!$C$16*1000)-('Appendix K'!$E$42+'Appendix K'!$F$42+'Appendix K'!$H$42+'Appendix K'!$G$42))/((1+$Y$16)^AJ$34))</f>
        <v>-639180.88901642221</v>
      </c>
      <c r="AK743" s="193">
        <f>(((N743*'Appendix K'!$C$17*1000)-('Appendix K'!$E$43+'Appendix K'!$F$43+'Appendix K'!$H$43))/((1+$Y$16)^AK$34))</f>
        <v>-169523.4968551464</v>
      </c>
      <c r="AL743" s="193">
        <f>(((O743*'Appendix K'!$C$18*1000)-('Appendix K'!$E$44+'Appendix K'!$F$44+'Appendix K'!$H$44+'Appendix K'!$G$44))/((1+$Y$16)^AL$34))</f>
        <v>-528840.87189388368</v>
      </c>
      <c r="AM743" s="193">
        <f>(((P743*'Appendix K'!$C$19*1000)-('Appendix K'!$E$45+'Appendix K'!$F$45+'Appendix K'!$H$45+'Appendix K'!$G$45))/((1+$Y$16)^AM$34))</f>
        <v>-322437.75186969136</v>
      </c>
      <c r="AN743" s="193">
        <f>(((Q743*'Appendix K'!$C$20*1000)-('Appendix K'!$E$46+'Appendix K'!$F$46+'Appendix K'!$H$46+'Appendix K'!$G$46))/((1+$Y$16)^AN$34))</f>
        <v>-299822.79246159643</v>
      </c>
      <c r="AO743" s="193">
        <f>(((R743*'Appendix K'!$C$21*1000)-('Appendix K'!$E$47+'Appendix K'!$F$47+'Appendix K'!$H$47+'Appendix K'!$G$47))/((1+$Y$16)^AO$34))</f>
        <v>-298007.46616058773</v>
      </c>
      <c r="AP743" s="193">
        <f>(((S743*'Appendix K'!$C$22*1000)-('Appendix K'!$E$48+'Appendix K'!$F$48+'Appendix K'!$H$48+'Appendix K'!$G$48))/((1+$Y$16)^AP$34))</f>
        <v>-369218.12743832835</v>
      </c>
      <c r="AQ743" s="193">
        <f>(((T743*'Appendix K'!$C$23*1000)-('Appendix K'!$E$49+'Appendix K'!$F$49+'Appendix K'!$H$49+'Appendix K'!$G$49))/((1+$Y$16)^AQ$34))</f>
        <v>-380868.84822643554</v>
      </c>
      <c r="AR743" s="193">
        <f>(((U743*'Appendix K'!$C$24*1000)-('Appendix K'!$E$50+'Appendix K'!$F$50+'Appendix K'!$H$50+'Appendix K'!$G$50))/((1+$Y$16)^AR$34))</f>
        <v>-317802.48760623817</v>
      </c>
      <c r="AS743" s="209">
        <f t="shared" si="38"/>
        <v>19793328.870964393</v>
      </c>
      <c r="AU743" s="199">
        <f t="shared" si="37"/>
        <v>3.441820528989905E-9</v>
      </c>
    </row>
    <row r="744" spans="1:47" x14ac:dyDescent="0.35">
      <c r="A744">
        <v>710</v>
      </c>
      <c r="B744" s="70">
        <v>56</v>
      </c>
      <c r="C744" s="70">
        <v>46.778831446150861</v>
      </c>
      <c r="D744" s="70">
        <v>42.820657667125715</v>
      </c>
      <c r="E744" s="70">
        <v>47.715362715908682</v>
      </c>
      <c r="F744" s="70">
        <v>49.811743005681521</v>
      </c>
      <c r="G744" s="70">
        <v>47.777826504116916</v>
      </c>
      <c r="H744" s="70">
        <v>60.491629091810346</v>
      </c>
      <c r="I744" s="70">
        <v>43.649370403499439</v>
      </c>
      <c r="J744" s="70">
        <v>47.031668948427082</v>
      </c>
      <c r="K744" s="70">
        <v>49.054032247037057</v>
      </c>
      <c r="L744" s="70">
        <v>65.473976213123279</v>
      </c>
      <c r="M744" s="70">
        <v>47.094357229666358</v>
      </c>
      <c r="N744" s="70">
        <v>50.092765095806556</v>
      </c>
      <c r="O744" s="70">
        <v>75.58507119329046</v>
      </c>
      <c r="P744" s="70">
        <v>69.553467337584308</v>
      </c>
      <c r="Q744" s="70">
        <v>64.8173496354176</v>
      </c>
      <c r="R744" s="70">
        <v>100.18847537205708</v>
      </c>
      <c r="S744" s="70">
        <v>86.994193296140253</v>
      </c>
      <c r="T744" s="70">
        <v>137.97549329124823</v>
      </c>
      <c r="U744" s="70">
        <v>149.66528201869386</v>
      </c>
      <c r="V744" s="70">
        <v>79.965185299155166</v>
      </c>
      <c r="X744" s="193">
        <f>((0-('Appendix K'!$I$30))/(1+$Y$16)^0)</f>
        <v>-33594902.4440751</v>
      </c>
      <c r="Y744" s="193">
        <f>(((B744*'Appendix K'!$C$5*1000)-('Appendix K'!$E$31+'Appendix K'!$F$31+'Appendix K'!$H$31+'Appendix K'!$G$31))/((1+$Y$16)^1))</f>
        <v>34971064.972647354</v>
      </c>
      <c r="Z744" s="193">
        <f>+(((C744*'Appendix K'!$C$6*1000)-('Appendix K'!$E$32+'Appendix K'!$F$32+'Appendix K'!$H$32+'Appendix K'!$G$32))/((1+$Y$16)^2))</f>
        <v>8329885.2175701614</v>
      </c>
      <c r="AA744" s="193">
        <f>(((D744*'Appendix K'!$C$7*1000)-('Appendix K'!$E$33+'Appendix K'!$F$33+'Appendix K'!$H$33+'Appendix K'!$G$33))/((1+$Y$16)^3))</f>
        <v>2489377.7417343571</v>
      </c>
      <c r="AB744" s="193">
        <f>(((E744*'Appendix K'!$C$8*1000)-('Appendix K'!$E$34+'Appendix K'!$F$34+'Appendix K'!$H$34+'Appendix K'!$G$34))/((1+$Y$16)^4))</f>
        <v>7165562.8263683878</v>
      </c>
      <c r="AC744" s="193">
        <f>(((F744*'Appendix K'!$C$9*1000)-('Appendix K'!$E$35+'Appendix K'!$F$35+'Appendix K'!$H$35+'Appendix K'!$G$35))/((1+$Y$16)^AC$34))</f>
        <v>10255654.553278157</v>
      </c>
      <c r="AD744" s="193">
        <f>(((G744*'Appendix K'!$C$10*1000)-('Appendix K'!$E$36+'Appendix K'!$F$36+'Appendix K'!$H$36+'Appendix K'!$G$36))/((1+$Y$16)^AD$34))</f>
        <v>4987455.6912766453</v>
      </c>
      <c r="AE744" s="193">
        <f>(((H744*'Appendix K'!$C$11*1000)-('Appendix K'!$E$37+'Appendix K'!$F$37+'Appendix K'!$H$37+'Appendix K'!$G$37))/((1+$Y$16)^AE$34))</f>
        <v>3813350.6846828312</v>
      </c>
      <c r="AF744" s="193">
        <f>(((I744*'Appendix K'!$C$12*1000)-('Appendix K'!$E$38+'Appendix K'!$F$38+'Appendix K'!$H$38+'Appendix K'!$G$38))/((1+$Y$16)^AF$34))</f>
        <v>869544.5887747613</v>
      </c>
      <c r="AG744" s="193">
        <f>(((J744*'Appendix K'!$C$13*1000)-('Appendix K'!$E$39+'Appendix K'!$F$39+'Appendix K'!$H$39+'Appendix K'!$G$39))/((1+$Y$16)^AG$34))</f>
        <v>349403.33060432848</v>
      </c>
      <c r="AH744" s="193">
        <f>(((K744*'Appendix K'!$C$14*1000)-('Appendix K'!$E$40+'Appendix K'!$F$40+'Appendix K'!$H$40+'Appendix K'!$G$40))/((1+$Y$16)^AH$34))</f>
        <v>20699.894372332012</v>
      </c>
      <c r="AI744" s="193">
        <f>(((L744*'Appendix K'!$C$15*1000)-('Appendix K'!$E$41+'Appendix K'!$F$41+'Appendix K'!$H$41+'Appendix K'!$G$41))/((1+$Y$16)^AI$34))</f>
        <v>199059.26538869066</v>
      </c>
      <c r="AJ744" s="193">
        <f>(((M744*'Appendix K'!$C$16*1000)-('Appendix K'!$E$42+'Appendix K'!$F$42+'Appendix K'!$H$42+'Appendix K'!$G$42))/((1+$Y$16)^AJ$34))</f>
        <v>-437692.115698963</v>
      </c>
      <c r="AK744" s="193">
        <f>(((N744*'Appendix K'!$C$17*1000)-('Appendix K'!$E$43+'Appendix K'!$F$43+'Appendix K'!$H$43))/((1+$Y$16)^AK$34))</f>
        <v>-234638.50983157067</v>
      </c>
      <c r="AL744" s="193">
        <f>(((O744*'Appendix K'!$C$18*1000)-('Appendix K'!$E$44+'Appendix K'!$F$44+'Appendix K'!$H$44+'Appendix K'!$G$44))/((1+$Y$16)^AL$34))</f>
        <v>-238657.03574822893</v>
      </c>
      <c r="AM744" s="193">
        <f>(((P744*'Appendix K'!$C$19*1000)-('Appendix K'!$E$45+'Appendix K'!$F$45+'Appendix K'!$H$45+'Appendix K'!$G$45))/((1+$Y$16)^AM$34))</f>
        <v>-382093.50813857903</v>
      </c>
      <c r="AN744" s="193">
        <f>(((Q744*'Appendix K'!$C$20*1000)-('Appendix K'!$E$46+'Appendix K'!$F$46+'Appendix K'!$H$46+'Appendix K'!$G$46))/((1+$Y$16)^AN$34))</f>
        <v>-446676.43861063645</v>
      </c>
      <c r="AO744" s="193">
        <f>(((R744*'Appendix K'!$C$21*1000)-('Appendix K'!$E$47+'Appendix K'!$F$47+'Appendix K'!$H$47+'Appendix K'!$G$47))/((1+$Y$16)^AO$34))</f>
        <v>-250873.96710535575</v>
      </c>
      <c r="AP744" s="193">
        <f>(((S744*'Appendix K'!$C$22*1000)-('Appendix K'!$E$48+'Appendix K'!$F$48+'Appendix K'!$H$48+'Appendix K'!$G$48))/((1+$Y$16)^AP$34))</f>
        <v>-347775.46257228212</v>
      </c>
      <c r="AQ744" s="193">
        <f>(((T744*'Appendix K'!$C$23*1000)-('Appendix K'!$E$49+'Appendix K'!$F$49+'Appendix K'!$H$49+'Appendix K'!$G$49))/((1+$Y$16)^AQ$34))</f>
        <v>-153484.87340201397</v>
      </c>
      <c r="AR744" s="193">
        <f>(((U744*'Appendix K'!$C$24*1000)-('Appendix K'!$E$50+'Appendix K'!$F$50+'Appendix K'!$H$50+'Appendix K'!$G$50))/((1+$Y$16)^AR$34))</f>
        <v>-147362.46775774274</v>
      </c>
      <c r="AS744" s="209">
        <f t="shared" si="38"/>
        <v>39856156.322622903</v>
      </c>
      <c r="AU744" s="199">
        <f t="shared" si="37"/>
        <v>4.9333024079271736E-9</v>
      </c>
    </row>
    <row r="745" spans="1:47" x14ac:dyDescent="0.35">
      <c r="A745">
        <v>711</v>
      </c>
      <c r="B745" s="70">
        <v>56</v>
      </c>
      <c r="C745" s="70">
        <v>48.063245214274176</v>
      </c>
      <c r="D745" s="70">
        <v>27.836948217895205</v>
      </c>
      <c r="E745" s="70">
        <v>24.269545776970286</v>
      </c>
      <c r="F745" s="70">
        <v>27.139347824045448</v>
      </c>
      <c r="G745" s="70">
        <v>19.662418350539014</v>
      </c>
      <c r="H745" s="70">
        <v>19.716120805621795</v>
      </c>
      <c r="I745" s="70">
        <v>15.643396246269642</v>
      </c>
      <c r="J745" s="70">
        <v>13.11036679620474</v>
      </c>
      <c r="K745" s="70">
        <v>14.368241905400728</v>
      </c>
      <c r="L745" s="70">
        <v>16.366820489642325</v>
      </c>
      <c r="M745" s="70">
        <v>17.659306799765364</v>
      </c>
      <c r="N745" s="70">
        <v>18.871324829726952</v>
      </c>
      <c r="O745" s="70">
        <v>23.918445001001782</v>
      </c>
      <c r="P745" s="70">
        <v>15.258665733477676</v>
      </c>
      <c r="Q745" s="70">
        <v>14.925346188075418</v>
      </c>
      <c r="R745" s="70">
        <v>7.4661037877600069</v>
      </c>
      <c r="S745" s="70">
        <v>10.20708654331599</v>
      </c>
      <c r="T745" s="70">
        <v>13.941015447221611</v>
      </c>
      <c r="U745" s="70">
        <v>15.4934086826976</v>
      </c>
      <c r="V745" s="70">
        <v>12.251131164792639</v>
      </c>
      <c r="X745" s="193">
        <f>((0-('Appendix K'!$I$30))/(1+$Y$16)^0)</f>
        <v>-33594902.4440751</v>
      </c>
      <c r="Y745" s="193">
        <f>(((B745*'Appendix K'!$C$5*1000)-('Appendix K'!$E$31+'Appendix K'!$F$31+'Appendix K'!$H$31+'Appendix K'!$G$31))/((1+$Y$16)^1))</f>
        <v>34971064.972647354</v>
      </c>
      <c r="Z745" s="193">
        <f>+(((C745*'Appendix K'!$C$6*1000)-('Appendix K'!$E$32+'Appendix K'!$F$32+'Appendix K'!$H$32+'Appendix K'!$G$32))/((1+$Y$16)^2))</f>
        <v>8654350.1028861646</v>
      </c>
      <c r="AA745" s="193">
        <f>(((D745*'Appendix K'!$C$7*1000)-('Appendix K'!$E$33+'Appendix K'!$F$33+'Appendix K'!$H$33+'Appendix K'!$G$33))/((1+$Y$16)^3))</f>
        <v>580829.66318230878</v>
      </c>
      <c r="AB745" s="193">
        <f>(((E745*'Appendix K'!$C$8*1000)-('Appendix K'!$E$34+'Appendix K'!$F$34+'Appendix K'!$H$34+'Appendix K'!$G$34))/((1+$Y$16)^4))</f>
        <v>2026454.3791493603</v>
      </c>
      <c r="AC745" s="193">
        <f>(((F745*'Appendix K'!$C$9*1000)-('Appendix K'!$E$35+'Appendix K'!$F$35+'Appendix K'!$H$35+'Appendix K'!$G$35))/((1+$Y$16)^AC$34))</f>
        <v>4229367.5160485143</v>
      </c>
      <c r="AD745" s="193">
        <f>(((G745*'Appendix K'!$C$10*1000)-('Appendix K'!$E$36+'Appendix K'!$F$36+'Appendix K'!$H$36+'Appendix K'!$G$36))/((1+$Y$16)^AD$34))</f>
        <v>572100.89634466043</v>
      </c>
      <c r="AE745" s="193">
        <f>(((H745*'Appendix K'!$C$11*1000)-('Appendix K'!$E$37+'Appendix K'!$F$37+'Appendix K'!$H$37+'Appendix K'!$G$37))/((1+$Y$16)^AE$34))</f>
        <v>-253501.82638398453</v>
      </c>
      <c r="AF745" s="193">
        <f>(((I745*'Appendix K'!$C$12*1000)-('Appendix K'!$E$38+'Appendix K'!$F$38+'Appendix K'!$H$38+'Appendix K'!$G$38))/((1+$Y$16)^AF$34))</f>
        <v>-969395.64598153776</v>
      </c>
      <c r="AG745" s="193">
        <f>(((J745*'Appendix K'!$C$13*1000)-('Appendix K'!$E$39+'Appendix K'!$F$39+'Appendix K'!$H$39+'Appendix K'!$G$39))/((1+$Y$16)^AG$34))</f>
        <v>-1211618.7855469761</v>
      </c>
      <c r="AH745" s="193">
        <f>(((K745*'Appendix K'!$C$14*1000)-('Appendix K'!$E$40+'Appendix K'!$F$40+'Appendix K'!$H$40+'Appendix K'!$G$40))/((1+$Y$16)^AH$34))</f>
        <v>-1148437.6258364213</v>
      </c>
      <c r="AI745" s="193">
        <f>(((L745*'Appendix K'!$C$15*1000)-('Appendix K'!$E$41+'Appendix K'!$F$41+'Appendix K'!$H$41+'Appendix K'!$G$41))/((1+$Y$16)^AI$34))</f>
        <v>-1087640.0453980069</v>
      </c>
      <c r="AJ745" s="193">
        <f>(((M745*'Appendix K'!$C$16*1000)-('Appendix K'!$E$42+'Appendix K'!$F$42+'Appendix K'!$H$42+'Appendix K'!$G$42))/((1+$Y$16)^AJ$34))</f>
        <v>-1027625.4809042254</v>
      </c>
      <c r="AK745" s="193">
        <f>(((N745*'Appendix K'!$C$17*1000)-('Appendix K'!$E$43+'Appendix K'!$F$43+'Appendix K'!$H$43))/((1+$Y$16)^AK$34))</f>
        <v>-714321.5167150558</v>
      </c>
      <c r="AL745" s="193">
        <f>(((O745*'Appendix K'!$C$18*1000)-('Appendix K'!$E$44+'Appendix K'!$F$44+'Appendix K'!$H$44+'Appendix K'!$G$44))/((1+$Y$16)^AL$34))</f>
        <v>-851076.75902002899</v>
      </c>
      <c r="AM745" s="193">
        <f>(((P745*'Appendix K'!$C$19*1000)-('Appendix K'!$E$45+'Appendix K'!$F$45+'Appendix K'!$H$45+'Appendix K'!$G$45))/((1+$Y$16)^AM$34))</f>
        <v>-885337.46192169527</v>
      </c>
      <c r="AN745" s="193">
        <f>(((Q745*'Appendix K'!$C$20*1000)-('Appendix K'!$E$46+'Appendix K'!$F$46+'Appendix K'!$H$46+'Appendix K'!$G$46))/((1+$Y$16)^AN$34))</f>
        <v>-807705.79667638685</v>
      </c>
      <c r="AO745" s="193">
        <f>(((R745*'Appendix K'!$C$21*1000)-('Appendix K'!$E$47+'Appendix K'!$F$47+'Appendix K'!$H$47+'Appendix K'!$G$47))/((1+$Y$16)^AO$34))</f>
        <v>-798873.42713989492</v>
      </c>
      <c r="AP745" s="193">
        <f>(((S745*'Appendix K'!$C$22*1000)-('Appendix K'!$E$48+'Appendix K'!$F$48+'Appendix K'!$H$48+'Appendix K'!$G$48))/((1+$Y$16)^AP$34))</f>
        <v>-715564.15297829511</v>
      </c>
      <c r="AQ745" s="193">
        <f>(((T745*'Appendix K'!$C$23*1000)-('Appendix K'!$E$49+'Appendix K'!$F$49+'Appendix K'!$H$49+'Appendix K'!$G$49))/((1+$Y$16)^AQ$34))</f>
        <v>-638924.06604284735</v>
      </c>
      <c r="AR745" s="193">
        <f>(((U745*'Appendix K'!$C$24*1000)-('Appendix K'!$E$50+'Appendix K'!$F$50+'Appendix K'!$H$50+'Appendix K'!$G$50))/((1+$Y$16)^AR$34))</f>
        <v>-579399.6592423938</v>
      </c>
      <c r="AS745" s="209">
        <f t="shared" si="38"/>
        <v>17439265.086183265</v>
      </c>
      <c r="AU745" s="199">
        <f t="shared" si="37"/>
        <v>3.2725408542114439E-9</v>
      </c>
    </row>
    <row r="746" spans="1:47" x14ac:dyDescent="0.35">
      <c r="A746">
        <v>712</v>
      </c>
      <c r="B746" s="70">
        <v>56</v>
      </c>
      <c r="C746" s="70">
        <v>65.127263536349091</v>
      </c>
      <c r="D746" s="70">
        <v>71.805695991039102</v>
      </c>
      <c r="E746" s="70">
        <v>40.028760443324835</v>
      </c>
      <c r="F746" s="70">
        <v>66.822167587019607</v>
      </c>
      <c r="G746" s="70">
        <v>88.197892567457671</v>
      </c>
      <c r="H746" s="70">
        <v>55.245962402779078</v>
      </c>
      <c r="I746" s="70">
        <v>63.245538155908669</v>
      </c>
      <c r="J746" s="70">
        <v>70.730273133698319</v>
      </c>
      <c r="K746" s="70">
        <v>77.118909640497776</v>
      </c>
      <c r="L746" s="70">
        <v>61.756054741590781</v>
      </c>
      <c r="M746" s="70">
        <v>84.056820534610353</v>
      </c>
      <c r="N746" s="70">
        <v>63.862307798503437</v>
      </c>
      <c r="O746" s="70">
        <v>55.59293233496728</v>
      </c>
      <c r="P746" s="70">
        <v>80.87691416008289</v>
      </c>
      <c r="Q746" s="70">
        <v>103.05287894271272</v>
      </c>
      <c r="R746" s="70">
        <v>50.967830529250158</v>
      </c>
      <c r="S746" s="70">
        <v>28.307024037956531</v>
      </c>
      <c r="T746" s="70">
        <v>29.725942292720049</v>
      </c>
      <c r="U746" s="70">
        <v>29.046206012193672</v>
      </c>
      <c r="V746" s="70">
        <v>20.173970077588756</v>
      </c>
      <c r="X746" s="193">
        <f>((0-('Appendix K'!$I$30))/(1+$Y$16)^0)</f>
        <v>-33594902.4440751</v>
      </c>
      <c r="Y746" s="193">
        <f>(((B746*'Appendix K'!$C$5*1000)-('Appendix K'!$E$31+'Appendix K'!$F$31+'Appendix K'!$H$31+'Appendix K'!$G$31))/((1+$Y$16)^1))</f>
        <v>34971064.972647354</v>
      </c>
      <c r="Z746" s="193">
        <f>+(((C746*'Appendix K'!$C$6*1000)-('Appendix K'!$E$32+'Appendix K'!$F$32+'Appendix K'!$H$32+'Appendix K'!$G$32))/((1+$Y$16)^2))</f>
        <v>12965012.979065055</v>
      </c>
      <c r="AA746" s="193">
        <f>(((D746*'Appendix K'!$C$7*1000)-('Appendix K'!$E$33+'Appendix K'!$F$33+'Appendix K'!$H$33+'Appendix K'!$G$33))/((1+$Y$16)^3))</f>
        <v>6181343.298548013</v>
      </c>
      <c r="AB746" s="193">
        <f>(((E746*'Appendix K'!$C$8*1000)-('Appendix K'!$E$34+'Appendix K'!$F$34+'Appendix K'!$H$34+'Appendix K'!$G$34))/((1+$Y$16)^4))</f>
        <v>5480729.9722892484</v>
      </c>
      <c r="AC746" s="193">
        <f>(((F746*'Appendix K'!$C$9*1000)-('Appendix K'!$E$35+'Appendix K'!$F$35+'Appendix K'!$H$35+'Appendix K'!$G$35))/((1+$Y$16)^AC$34))</f>
        <v>14776998.695837913</v>
      </c>
      <c r="AD746" s="193">
        <f>(((G746*'Appendix K'!$C$10*1000)-('Appendix K'!$E$36+'Appendix K'!$F$36+'Appendix K'!$H$36+'Appendix K'!$G$36))/((1+$Y$16)^AD$34))</f>
        <v>11335182.586414309</v>
      </c>
      <c r="AE746" s="193">
        <f>(((H746*'Appendix K'!$C$11*1000)-('Appendix K'!$E$37+'Appendix K'!$F$37+'Appendix K'!$H$37+'Appendix K'!$G$37))/((1+$Y$16)^AE$34))</f>
        <v>3290160.3274523281</v>
      </c>
      <c r="AF746" s="193">
        <f>(((I746*'Appendix K'!$C$12*1000)-('Appendix K'!$E$38+'Appendix K'!$F$38+'Appendix K'!$H$38+'Appendix K'!$G$38))/((1+$Y$16)^AF$34))</f>
        <v>2156276.524062092</v>
      </c>
      <c r="AG746" s="193">
        <f>(((J746*'Appendix K'!$C$13*1000)-('Appendix K'!$E$39+'Appendix K'!$F$39+'Appendix K'!$H$39+'Appendix K'!$G$39))/((1+$Y$16)^AG$34))</f>
        <v>1439987.798414937</v>
      </c>
      <c r="AH746" s="193">
        <f>(((K746*'Appendix K'!$C$14*1000)-('Appendix K'!$E$40+'Appendix K'!$F$40+'Appendix K'!$H$40+'Appendix K'!$G$40))/((1+$Y$16)^AH$34))</f>
        <v>966669.43514323002</v>
      </c>
      <c r="AI746" s="193">
        <f>(((L746*'Appendix K'!$C$15*1000)-('Appendix K'!$E$41+'Appendix K'!$F$41+'Appendix K'!$H$41+'Appendix K'!$G$41))/((1+$Y$16)^AI$34))</f>
        <v>101642.77028729548</v>
      </c>
      <c r="AJ746" s="193">
        <f>(((M746*'Appendix K'!$C$16*1000)-('Appendix K'!$E$42+'Appendix K'!$F$42+'Appendix K'!$H$42+'Appendix K'!$G$42))/((1+$Y$16)^AJ$34))</f>
        <v>303104.65703600325</v>
      </c>
      <c r="AK746" s="193">
        <f>(((N746*'Appendix K'!$C$17*1000)-('Appendix K'!$E$43+'Appendix K'!$F$43+'Appendix K'!$H$43))/((1+$Y$16)^AK$34))</f>
        <v>-23084.667640114141</v>
      </c>
      <c r="AL746" s="193">
        <f>(((O746*'Appendix K'!$C$18*1000)-('Appendix K'!$E$44+'Appendix K'!$F$44+'Appendix K'!$H$44+'Appendix K'!$G$44))/((1+$Y$16)^AL$34))</f>
        <v>-475629.74036529666</v>
      </c>
      <c r="AM746" s="193">
        <f>(((P746*'Appendix K'!$C$19*1000)-('Appendix K'!$E$45+'Appendix K'!$F$45+'Appendix K'!$H$45+'Appendix K'!$G$45))/((1+$Y$16)^AM$34))</f>
        <v>-277139.51657677832</v>
      </c>
      <c r="AN746" s="193">
        <f>(((Q746*'Appendix K'!$C$20*1000)-('Appendix K'!$E$46+'Appendix K'!$F$46+'Appendix K'!$H$46+'Appendix K'!$G$46))/((1+$Y$16)^AN$34))</f>
        <v>-169995.85560525881</v>
      </c>
      <c r="AO746" s="193">
        <f>(((R746*'Appendix K'!$C$21*1000)-('Appendix K'!$E$47+'Appendix K'!$F$47+'Appendix K'!$H$47+'Appendix K'!$G$47))/((1+$Y$16)^AO$34))</f>
        <v>-541773.41602516745</v>
      </c>
      <c r="AP746" s="193">
        <f>(((S746*'Appendix K'!$C$22*1000)-('Appendix K'!$E$48+'Appendix K'!$F$48+'Appendix K'!$H$48+'Appendix K'!$G$48))/((1+$Y$16)^AP$34))</f>
        <v>-628870.53227693064</v>
      </c>
      <c r="AQ746" s="193">
        <f>(((T746*'Appendix K'!$C$23*1000)-('Appendix K'!$E$49+'Appendix K'!$F$49+'Appendix K'!$H$49+'Appendix K'!$G$49))/((1+$Y$16)^AQ$34))</f>
        <v>-577145.9034144762</v>
      </c>
      <c r="AR746" s="193">
        <f>(((U746*'Appendix K'!$C$24*1000)-('Appendix K'!$E$50+'Appendix K'!$F$50+'Appendix K'!$H$50+'Appendix K'!$G$50))/((1+$Y$16)^AR$34))</f>
        <v>-535759.27210750489</v>
      </c>
      <c r="AS746" s="209">
        <f t="shared" si="38"/>
        <v>60373271.573122673</v>
      </c>
      <c r="AU746" s="199">
        <f t="shared" si="37"/>
        <v>6.264590827814645E-9</v>
      </c>
    </row>
    <row r="747" spans="1:47" x14ac:dyDescent="0.35">
      <c r="A747">
        <v>713</v>
      </c>
      <c r="B747" s="70">
        <v>56</v>
      </c>
      <c r="C747" s="70">
        <v>36.939458795455693</v>
      </c>
      <c r="D747" s="70">
        <v>21.941741962458032</v>
      </c>
      <c r="E747" s="70">
        <v>27.553204152650313</v>
      </c>
      <c r="F747" s="70">
        <v>37.505609439864287</v>
      </c>
      <c r="G747" s="70">
        <v>51.535492841044636</v>
      </c>
      <c r="H747" s="70">
        <v>63.164340479212953</v>
      </c>
      <c r="I747" s="70">
        <v>81.3056455276093</v>
      </c>
      <c r="J747" s="70">
        <v>62.918589260996754</v>
      </c>
      <c r="K747" s="70">
        <v>88.50970730884778</v>
      </c>
      <c r="L747" s="70">
        <v>124.08662829742021</v>
      </c>
      <c r="M747" s="70">
        <v>118.64533148532863</v>
      </c>
      <c r="N747" s="70">
        <v>50.023357705156528</v>
      </c>
      <c r="O747" s="70">
        <v>58.550453785811087</v>
      </c>
      <c r="P747" s="70">
        <v>56.515514999121535</v>
      </c>
      <c r="Q747" s="70">
        <v>64.642337907421009</v>
      </c>
      <c r="R747" s="70">
        <v>104.89544828210768</v>
      </c>
      <c r="S747" s="70">
        <v>100.73112089433121</v>
      </c>
      <c r="T747" s="70">
        <v>116.60206443286692</v>
      </c>
      <c r="U747" s="70">
        <v>114.70578137178443</v>
      </c>
      <c r="V747" s="70">
        <v>117.51712620766179</v>
      </c>
      <c r="X747" s="193">
        <f>((0-('Appendix K'!$I$30))/(1+$Y$16)^0)</f>
        <v>-33594902.4440751</v>
      </c>
      <c r="Y747" s="193">
        <f>(((B747*'Appendix K'!$C$5*1000)-('Appendix K'!$E$31+'Appendix K'!$F$31+'Appendix K'!$H$31+'Appendix K'!$G$31))/((1+$Y$16)^1))</f>
        <v>34971064.972647354</v>
      </c>
      <c r="Z747" s="193">
        <f>+(((C747*'Appendix K'!$C$6*1000)-('Appendix K'!$E$32+'Appendix K'!$F$32+'Appendix K'!$H$32+'Appendix K'!$G$32))/((1+$Y$16)^2))</f>
        <v>5844291.4019931918</v>
      </c>
      <c r="AA747" s="193">
        <f>(((D747*'Appendix K'!$C$7*1000)-('Appendix K'!$E$33+'Appendix K'!$F$33+'Appendix K'!$H$33+'Appendix K'!$G$33))/((1+$Y$16)^3))</f>
        <v>-170071.48113081948</v>
      </c>
      <c r="AB747" s="193">
        <f>(((E747*'Appendix K'!$C$8*1000)-('Appendix K'!$E$34+'Appendix K'!$F$34+'Appendix K'!$H$34+'Appendix K'!$G$34))/((1+$Y$16)^4))</f>
        <v>2746202.2360991826</v>
      </c>
      <c r="AC747" s="193">
        <f>(((F747*'Appendix K'!$C$9*1000)-('Appendix K'!$E$35+'Appendix K'!$F$35+'Appendix K'!$H$35+'Appendix K'!$G$35))/((1+$Y$16)^AC$34))</f>
        <v>6984703.5755813457</v>
      </c>
      <c r="AD747" s="193">
        <f>(((G747*'Appendix K'!$C$10*1000)-('Appendix K'!$E$36+'Appendix K'!$F$36+'Appendix K'!$H$36+'Appendix K'!$G$36))/((1+$Y$16)^AD$34))</f>
        <v>5577574.4613076234</v>
      </c>
      <c r="AE747" s="193">
        <f>(((H747*'Appendix K'!$C$11*1000)-('Appendix K'!$E$37+'Appendix K'!$F$37+'Appendix K'!$H$37+'Appendix K'!$G$37))/((1+$Y$16)^AE$34))</f>
        <v>4079920.5810266351</v>
      </c>
      <c r="AF747" s="193">
        <f>(((I747*'Appendix K'!$C$12*1000)-('Appendix K'!$E$38+'Appendix K'!$F$38+'Appendix K'!$H$38+'Appendix K'!$G$38))/((1+$Y$16)^AF$34))</f>
        <v>3342147.0066735856</v>
      </c>
      <c r="AG747" s="193">
        <f>(((J747*'Appendix K'!$C$13*1000)-('Appendix K'!$E$39+'Appendix K'!$F$39+'Appendix K'!$H$39+'Appendix K'!$G$39))/((1+$Y$16)^AG$34))</f>
        <v>1080502.4450830419</v>
      </c>
      <c r="AH747" s="193">
        <f>(((K747*'Appendix K'!$C$14*1000)-('Appendix K'!$E$40+'Appendix K'!$F$40+'Appendix K'!$H$40+'Appendix K'!$G$40))/((1+$Y$16)^AH$34))</f>
        <v>1350613.6615254192</v>
      </c>
      <c r="AI747" s="193">
        <f>(((L747*'Appendix K'!$C$15*1000)-('Appendix K'!$E$41+'Appendix K'!$F$41+'Appendix K'!$H$41+'Appendix K'!$G$41))/((1+$Y$16)^AI$34))</f>
        <v>1734820.3561941236</v>
      </c>
      <c r="AJ747" s="193">
        <f>(((M747*'Appendix K'!$C$16*1000)-('Appendix K'!$E$42+'Appendix K'!$F$42+'Appendix K'!$H$42+'Appendix K'!$G$42))/((1+$Y$16)^AJ$34))</f>
        <v>996322.99247559113</v>
      </c>
      <c r="AK747" s="193">
        <f>(((N747*'Appendix K'!$C$17*1000)-('Appendix K'!$E$43+'Appendix K'!$F$43+'Appendix K'!$H$43))/((1+$Y$16)^AK$34))</f>
        <v>-235704.87786466593</v>
      </c>
      <c r="AL747" s="193">
        <f>(((O747*'Appendix K'!$C$18*1000)-('Appendix K'!$E$44+'Appendix K'!$F$44+'Appendix K'!$H$44+'Appendix K'!$G$44))/((1+$Y$16)^AL$34))</f>
        <v>-440573.36835147033</v>
      </c>
      <c r="AM747" s="193">
        <f>(((P747*'Appendix K'!$C$19*1000)-('Appendix K'!$E$45+'Appendix K'!$F$45+'Appendix K'!$H$45+'Appendix K'!$G$45))/((1+$Y$16)^AM$34))</f>
        <v>-502938.7914842238</v>
      </c>
      <c r="AN747" s="193">
        <f>(((Q747*'Appendix K'!$C$20*1000)-('Appendix K'!$E$46+'Appendix K'!$F$46+'Appendix K'!$H$46+'Appendix K'!$G$46))/((1+$Y$16)^AN$34))</f>
        <v>-447942.86143286835</v>
      </c>
      <c r="AO747" s="193">
        <f>(((R747*'Appendix K'!$C$21*1000)-('Appendix K'!$E$47+'Appendix K'!$F$47+'Appendix K'!$H$47+'Appendix K'!$G$47))/((1+$Y$16)^AO$34))</f>
        <v>-223055.23718040029</v>
      </c>
      <c r="AP747" s="193">
        <f>(((S747*'Appendix K'!$C$22*1000)-('Appendix K'!$E$48+'Appendix K'!$F$48+'Appendix K'!$H$48+'Appendix K'!$G$48))/((1+$Y$16)^AP$34))</f>
        <v>-281979.43475990399</v>
      </c>
      <c r="AQ747" s="193">
        <f>(((T747*'Appendix K'!$C$23*1000)-('Appendix K'!$E$49+'Appendix K'!$F$49+'Appendix K'!$H$49+'Appendix K'!$G$49))/((1+$Y$16)^AQ$34))</f>
        <v>-237135.00221560153</v>
      </c>
      <c r="AR747" s="193">
        <f>(((U747*'Appendix K'!$C$24*1000)-('Appendix K'!$E$50+'Appendix K'!$F$50+'Appendix K'!$H$50+'Appendix K'!$G$50))/((1+$Y$16)^AR$34))</f>
        <v>-259933.03936609547</v>
      </c>
      <c r="AS747" s="209">
        <f t="shared" si="38"/>
        <v>35113261.246532001</v>
      </c>
      <c r="AU747" s="199">
        <f t="shared" si="37"/>
        <v>4.5822138207944574E-9</v>
      </c>
    </row>
    <row r="748" spans="1:47" x14ac:dyDescent="0.35">
      <c r="A748">
        <v>714</v>
      </c>
      <c r="B748" s="70">
        <v>56</v>
      </c>
      <c r="C748" s="70">
        <v>44.380569585401282</v>
      </c>
      <c r="D748" s="70">
        <v>63.84702920370728</v>
      </c>
      <c r="E748" s="70">
        <v>84.105378777201878</v>
      </c>
      <c r="F748" s="70">
        <v>99.821652067503209</v>
      </c>
      <c r="G748" s="70">
        <v>83.343926195478957</v>
      </c>
      <c r="H748" s="70">
        <v>125.78822484129685</v>
      </c>
      <c r="I748" s="70">
        <v>81.646376654822376</v>
      </c>
      <c r="J748" s="70">
        <v>115.57700850960245</v>
      </c>
      <c r="K748" s="70">
        <v>132.25944801889264</v>
      </c>
      <c r="L748" s="70">
        <v>96.965127839479322</v>
      </c>
      <c r="M748" s="70">
        <v>87.511623316674275</v>
      </c>
      <c r="N748" s="70">
        <v>129.38088728923736</v>
      </c>
      <c r="O748" s="70">
        <v>164.73204023899058</v>
      </c>
      <c r="P748" s="70">
        <v>177.6093989786805</v>
      </c>
      <c r="Q748" s="70">
        <v>194.61455671831516</v>
      </c>
      <c r="R748" s="70">
        <v>259.70696617226366</v>
      </c>
      <c r="S748" s="70">
        <v>295.95422311994577</v>
      </c>
      <c r="T748" s="70">
        <v>417.87728572484633</v>
      </c>
      <c r="U748" s="70">
        <v>180.09176416257003</v>
      </c>
      <c r="V748" s="70">
        <v>157.06573665565782</v>
      </c>
      <c r="X748" s="193">
        <f>((0-('Appendix K'!$I$30))/(1+$Y$16)^0)</f>
        <v>-33594902.4440751</v>
      </c>
      <c r="Y748" s="193">
        <f>(((B748*'Appendix K'!$C$5*1000)-('Appendix K'!$E$31+'Appendix K'!$F$31+'Appendix K'!$H$31+'Appendix K'!$G$31))/((1+$Y$16)^1))</f>
        <v>34971064.972647354</v>
      </c>
      <c r="Z748" s="193">
        <f>+(((C748*'Appendix K'!$C$6*1000)-('Appendix K'!$E$32+'Appendix K'!$F$32+'Appendix K'!$H$32+'Appendix K'!$G$32))/((1+$Y$16)^2))</f>
        <v>7724043.2537746243</v>
      </c>
      <c r="AA748" s="193">
        <f>(((D748*'Appendix K'!$C$7*1000)-('Appendix K'!$E$33+'Appendix K'!$F$33+'Appendix K'!$H$33+'Appendix K'!$G$33))/((1+$Y$16)^3))</f>
        <v>5167609.1323680738</v>
      </c>
      <c r="AB748" s="193">
        <f>(((E748*'Appendix K'!$C$8*1000)-('Appendix K'!$E$34+'Appendix K'!$F$34+'Appendix K'!$H$34+'Appendix K'!$G$34))/((1+$Y$16)^4))</f>
        <v>15141921.228469592</v>
      </c>
      <c r="AC748" s="193">
        <f>(((F748*'Appendix K'!$C$9*1000)-('Appendix K'!$E$35+'Appendix K'!$F$35+'Appendix K'!$H$35+'Appendix K'!$G$35))/((1+$Y$16)^AC$34))</f>
        <v>23548209.852260996</v>
      </c>
      <c r="AD748" s="193">
        <f>(((G748*'Appendix K'!$C$10*1000)-('Appendix K'!$E$36+'Appendix K'!$F$36+'Appendix K'!$H$36+'Appendix K'!$G$36))/((1+$Y$16)^AD$34))</f>
        <v>10572896.526831444</v>
      </c>
      <c r="AE748" s="193">
        <f>(((H748*'Appendix K'!$C$11*1000)-('Appendix K'!$E$37+'Appendix K'!$F$37+'Appendix K'!$H$37+'Appendix K'!$G$37))/((1+$Y$16)^AE$34))</f>
        <v>10325878.315830998</v>
      </c>
      <c r="AF748" s="193">
        <f>(((I748*'Appendix K'!$C$12*1000)-('Appendix K'!$E$38+'Appendix K'!$F$38+'Appendix K'!$H$38+'Appendix K'!$G$38))/((1+$Y$16)^AF$34))</f>
        <v>3364520.2394541432</v>
      </c>
      <c r="AG748" s="193">
        <f>(((J748*'Appendix K'!$C$13*1000)-('Appendix K'!$E$39+'Appendix K'!$F$39+'Appendix K'!$H$39+'Appendix K'!$G$39))/((1+$Y$16)^AG$34))</f>
        <v>3503786.6892952197</v>
      </c>
      <c r="AH748" s="193">
        <f>(((K748*'Appendix K'!$C$14*1000)-('Appendix K'!$E$40+'Appendix K'!$F$40+'Appendix K'!$H$40+'Appendix K'!$G$40))/((1+$Y$16)^AH$34))</f>
        <v>2825265.467343397</v>
      </c>
      <c r="AI748" s="193">
        <f>(((L748*'Appendix K'!$C$15*1000)-('Appendix K'!$E$41+'Appendix K'!$F$41+'Appendix K'!$H$41+'Appendix K'!$G$41))/((1+$Y$16)^AI$34))</f>
        <v>1024186.3267415219</v>
      </c>
      <c r="AJ748" s="193">
        <f>(((M748*'Appendix K'!$C$16*1000)-('Appendix K'!$E$42+'Appendix K'!$F$42+'Appendix K'!$H$42+'Appendix K'!$G$42))/((1+$Y$16)^AJ$34))</f>
        <v>372345.35482917237</v>
      </c>
      <c r="AK748" s="193">
        <f>(((N748*'Appendix K'!$C$17*1000)-('Appendix K'!$E$43+'Appendix K'!$F$43+'Appendix K'!$H$43))/((1+$Y$16)^AK$34))</f>
        <v>983536.0695522977</v>
      </c>
      <c r="AL748" s="193">
        <f>(((O748*'Appendix K'!$C$18*1000)-('Appendix K'!$E$44+'Appendix K'!$F$44+'Appendix K'!$H$44+'Appendix K'!$G$44))/((1+$Y$16)^AL$34))</f>
        <v>818028.22003562632</v>
      </c>
      <c r="AM748" s="193">
        <f>(((P748*'Appendix K'!$C$19*1000)-('Appendix K'!$E$45+'Appendix K'!$F$45+'Appendix K'!$H$45+'Appendix K'!$G$45))/((1+$Y$16)^AM$34))</f>
        <v>619447.94080688362</v>
      </c>
      <c r="AN748" s="193">
        <f>(((Q748*'Appendix K'!$C$20*1000)-('Appendix K'!$E$46+'Appendix K'!$F$46+'Appendix K'!$H$46+'Appendix K'!$G$46))/((1+$Y$16)^AN$34))</f>
        <v>492564.30367232568</v>
      </c>
      <c r="AO748" s="193">
        <f>(((R748*'Appendix K'!$C$21*1000)-('Appendix K'!$E$47+'Appendix K'!$F$47+'Appendix K'!$H$47+'Appendix K'!$G$47))/((1+$Y$16)^AO$34))</f>
        <v>691897.93713314715</v>
      </c>
      <c r="AP748" s="193">
        <f>(((S748*'Appendix K'!$C$22*1000)-('Appendix K'!$E$48+'Appendix K'!$F$48+'Appendix K'!$H$48+'Appendix K'!$G$48))/((1+$Y$16)^AP$34))</f>
        <v>653084.43391381856</v>
      </c>
      <c r="AQ748" s="193">
        <f>(((T748*'Appendix K'!$C$23*1000)-('Appendix K'!$E$49+'Appendix K'!$F$49+'Appendix K'!$H$49+'Appendix K'!$G$49))/((1+$Y$16)^AQ$34))</f>
        <v>941979.08548650751</v>
      </c>
      <c r="AR748" s="193">
        <f>(((U748*'Appendix K'!$C$24*1000)-('Appendix K'!$E$50+'Appendix K'!$F$50+'Appendix K'!$H$50+'Appendix K'!$G$50))/((1+$Y$16)^AR$34))</f>
        <v>-49388.342739161519</v>
      </c>
      <c r="AS748" s="209">
        <f t="shared" si="38"/>
        <v>90147362.906372041</v>
      </c>
      <c r="AU748" s="199">
        <f t="shared" si="37"/>
        <v>7.022689843089388E-9</v>
      </c>
    </row>
    <row r="749" spans="1:47" x14ac:dyDescent="0.35">
      <c r="A749">
        <v>715</v>
      </c>
      <c r="B749" s="70">
        <v>56</v>
      </c>
      <c r="C749" s="70">
        <v>82.1722120202773</v>
      </c>
      <c r="D749" s="70">
        <v>78.986284181225955</v>
      </c>
      <c r="E749" s="70">
        <v>101.87262280443093</v>
      </c>
      <c r="F749" s="70">
        <v>101.42801789120986</v>
      </c>
      <c r="G749" s="70">
        <v>121.21712928033502</v>
      </c>
      <c r="H749" s="70">
        <v>124.47279591330441</v>
      </c>
      <c r="I749" s="70">
        <v>147.5989294308728</v>
      </c>
      <c r="J749" s="70">
        <v>221.20828963189797</v>
      </c>
      <c r="K749" s="70">
        <v>219.98890512768725</v>
      </c>
      <c r="L749" s="70">
        <v>239.53754447899487</v>
      </c>
      <c r="M749" s="70">
        <v>174.74867027571969</v>
      </c>
      <c r="N749" s="70">
        <v>137.96982128426856</v>
      </c>
      <c r="O749" s="70">
        <v>158.20667811621163</v>
      </c>
      <c r="P749" s="70">
        <v>169.81107748595034</v>
      </c>
      <c r="Q749" s="70">
        <v>226.6577673831475</v>
      </c>
      <c r="R749" s="70">
        <v>272.55906517825451</v>
      </c>
      <c r="S749" s="70">
        <v>179.28362161149505</v>
      </c>
      <c r="T749" s="70">
        <v>227.71794403527451</v>
      </c>
      <c r="U749" s="70">
        <v>169.91941881402332</v>
      </c>
      <c r="V749" s="70">
        <v>172.58947418924001</v>
      </c>
      <c r="X749" s="193">
        <f>((0-('Appendix K'!$I$30))/(1+$Y$16)^0)</f>
        <v>-33594902.4440751</v>
      </c>
      <c r="Y749" s="193">
        <f>(((B749*'Appendix K'!$C$5*1000)-('Appendix K'!$E$31+'Appendix K'!$F$31+'Appendix K'!$H$31+'Appendix K'!$G$31))/((1+$Y$16)^1))</f>
        <v>34971064.972647354</v>
      </c>
      <c r="Z749" s="193">
        <f>+(((C749*'Appendix K'!$C$6*1000)-('Appendix K'!$E$32+'Appendix K'!$F$32+'Appendix K'!$H$32+'Appendix K'!$G$32))/((1+$Y$16)^2))</f>
        <v>17270858.487974279</v>
      </c>
      <c r="AA749" s="193">
        <f>(((D749*'Appendix K'!$C$7*1000)-('Appendix K'!$E$33+'Appendix K'!$F$33+'Appendix K'!$H$33+'Appendix K'!$G$33))/((1+$Y$16)^3))</f>
        <v>7095969.8027317561</v>
      </c>
      <c r="AB749" s="193">
        <f>(((E749*'Appendix K'!$C$8*1000)-('Appendix K'!$E$34+'Appendix K'!$F$34+'Appendix K'!$H$34+'Appendix K'!$G$34))/((1+$Y$16)^4))</f>
        <v>19036338.475773621</v>
      </c>
      <c r="AC749" s="193">
        <f>(((F749*'Appendix K'!$C$9*1000)-('Appendix K'!$E$35+'Appendix K'!$F$35+'Appendix K'!$H$35+'Appendix K'!$G$35))/((1+$Y$16)^AC$34))</f>
        <v>23975179.365755223</v>
      </c>
      <c r="AD749" s="193">
        <f>(((G749*'Appendix K'!$C$10*1000)-('Appendix K'!$E$36+'Appendix K'!$F$36+'Appendix K'!$H$36+'Appendix K'!$G$36))/((1+$Y$16)^AD$34))</f>
        <v>16520653.995857252</v>
      </c>
      <c r="AE749" s="193">
        <f>(((H749*'Appendix K'!$C$11*1000)-('Appendix K'!$E$37+'Appendix K'!$F$37+'Appendix K'!$H$37+'Appendix K'!$G$37))/((1+$Y$16)^AE$34))</f>
        <v>10194680.553650115</v>
      </c>
      <c r="AF749" s="193">
        <f>(((I749*'Appendix K'!$C$12*1000)-('Appendix K'!$E$38+'Appendix K'!$F$38+'Appendix K'!$H$38+'Appendix K'!$G$38))/((1+$Y$16)^AF$34))</f>
        <v>7695124.9241498914</v>
      </c>
      <c r="AG749" s="193">
        <f>(((J749*'Appendix K'!$C$13*1000)-('Appendix K'!$E$39+'Appendix K'!$F$39+'Appendix K'!$H$39+'Appendix K'!$G$39))/((1+$Y$16)^AG$34))</f>
        <v>8364825.4916778738</v>
      </c>
      <c r="AH749" s="193">
        <f>(((K749*'Appendix K'!$C$14*1000)-('Appendix K'!$E$40+'Appendix K'!$F$40+'Appendix K'!$H$40+'Appendix K'!$G$40))/((1+$Y$16)^AH$34))</f>
        <v>5782320.7606839491</v>
      </c>
      <c r="AI749" s="193">
        <f>(((L749*'Appendix K'!$C$15*1000)-('Appendix K'!$E$41+'Appendix K'!$F$41+'Appendix K'!$H$41+'Appendix K'!$G$41))/((1+$Y$16)^AI$34))</f>
        <v>4759850.2544232802</v>
      </c>
      <c r="AJ749" s="193">
        <f>(((M749*'Appendix K'!$C$16*1000)-('Appendix K'!$E$42+'Appendix K'!$F$42+'Appendix K'!$H$42+'Appendix K'!$G$42))/((1+$Y$16)^AJ$34))</f>
        <v>2120738.6455313512</v>
      </c>
      <c r="AK749" s="193">
        <f>(((N749*'Appendix K'!$C$17*1000)-('Appendix K'!$E$43+'Appendix K'!$F$43+'Appendix K'!$H$43))/((1+$Y$16)^AK$34))</f>
        <v>1115495.5707652019</v>
      </c>
      <c r="AL749" s="193">
        <f>(((O749*'Appendix K'!$C$18*1000)-('Appendix K'!$E$44+'Appendix K'!$F$44+'Appendix K'!$H$44+'Appendix K'!$G$44))/((1+$Y$16)^AL$34))</f>
        <v>740681.18269264977</v>
      </c>
      <c r="AM749" s="193">
        <f>(((P749*'Appendix K'!$C$19*1000)-('Appendix K'!$E$45+'Appendix K'!$F$45+'Appendix K'!$H$45+'Appendix K'!$G$45))/((1+$Y$16)^AM$34))</f>
        <v>547167.39046085288</v>
      </c>
      <c r="AN749" s="193">
        <f>(((Q749*'Appendix K'!$C$20*1000)-('Appendix K'!$E$46+'Appendix K'!$F$46+'Appendix K'!$H$46+'Appendix K'!$G$46))/((1+$Y$16)^AN$34))</f>
        <v>724435.92592337215</v>
      </c>
      <c r="AO749" s="193">
        <f>(((R749*'Appendix K'!$C$21*1000)-('Appendix K'!$E$47+'Appendix K'!$F$47+'Appendix K'!$H$47+'Appendix K'!$G$47))/((1+$Y$16)^AO$34))</f>
        <v>767855.26215896837</v>
      </c>
      <c r="AP749" s="193">
        <f>(((S749*'Appendix K'!$C$22*1000)-('Appendix K'!$E$48+'Appendix K'!$F$48+'Appendix K'!$H$48+'Appendix K'!$G$48))/((1+$Y$16)^AP$34))</f>
        <v>94264.99726279969</v>
      </c>
      <c r="AQ749" s="193">
        <f>(((T749*'Appendix K'!$C$23*1000)-('Appendix K'!$E$49+'Appendix K'!$F$49+'Appendix K'!$H$49+'Appendix K'!$G$49))/((1+$Y$16)^AQ$34))</f>
        <v>197744.10415350294</v>
      </c>
      <c r="AR749" s="193">
        <f>(((U749*'Appendix K'!$C$24*1000)-('Appendix K'!$E$50+'Appendix K'!$F$50+'Appendix K'!$H$50+'Appendix K'!$G$50))/((1+$Y$16)^AR$34))</f>
        <v>-82143.579778987623</v>
      </c>
      <c r="AS749" s="209">
        <f t="shared" si="38"/>
        <v>128380347.72019821</v>
      </c>
      <c r="AU749" s="199">
        <f t="shared" si="37"/>
        <v>5.4312875276300516E-9</v>
      </c>
    </row>
    <row r="750" spans="1:47" x14ac:dyDescent="0.35">
      <c r="A750">
        <v>716</v>
      </c>
      <c r="B750" s="70">
        <v>56</v>
      </c>
      <c r="C750" s="70">
        <v>74.037586831717505</v>
      </c>
      <c r="D750" s="70">
        <v>75.154093451968905</v>
      </c>
      <c r="E750" s="70">
        <v>76.919151938984413</v>
      </c>
      <c r="F750" s="70">
        <v>77.225831514067806</v>
      </c>
      <c r="G750" s="70">
        <v>46.857121103563742</v>
      </c>
      <c r="H750" s="70">
        <v>66.675917235433587</v>
      </c>
      <c r="I750" s="70">
        <v>74.717858266609554</v>
      </c>
      <c r="J750" s="70">
        <v>51.738911493648146</v>
      </c>
      <c r="K750" s="70">
        <v>65.253770923100376</v>
      </c>
      <c r="L750" s="70">
        <v>44.585012421380426</v>
      </c>
      <c r="M750" s="70">
        <v>60.438220425510899</v>
      </c>
      <c r="N750" s="70">
        <v>70.219331186139044</v>
      </c>
      <c r="O750" s="70">
        <v>69.641890823337761</v>
      </c>
      <c r="P750" s="70">
        <v>67.555675089135889</v>
      </c>
      <c r="Q750" s="70">
        <v>125.75098121545764</v>
      </c>
      <c r="R750" s="70">
        <v>169.24623133837986</v>
      </c>
      <c r="S750" s="70">
        <v>145.89731386855877</v>
      </c>
      <c r="T750" s="70">
        <v>120.53448673908122</v>
      </c>
      <c r="U750" s="70">
        <v>67.764258129380167</v>
      </c>
      <c r="V750" s="70">
        <v>53.311644206470106</v>
      </c>
      <c r="X750" s="193">
        <f>((0-('Appendix K'!$I$30))/(1+$Y$16)^0)</f>
        <v>-33594902.4440751</v>
      </c>
      <c r="Y750" s="193">
        <f>(((B750*'Appendix K'!$C$5*1000)-('Appendix K'!$E$31+'Appendix K'!$F$31+'Appendix K'!$H$31+'Appendix K'!$G$31))/((1+$Y$16)^1))</f>
        <v>34971064.972647354</v>
      </c>
      <c r="Z750" s="193">
        <f>+(((C750*'Appendix K'!$C$6*1000)-('Appendix K'!$E$32+'Appendix K'!$F$32+'Appendix K'!$H$32+'Appendix K'!$G$32))/((1+$Y$16)^2))</f>
        <v>15215913.037840081</v>
      </c>
      <c r="AA750" s="193">
        <f>(((D750*'Appendix K'!$C$7*1000)-('Appendix K'!$E$33+'Appendix K'!$F$33+'Appendix K'!$H$33+'Appendix K'!$G$33))/((1+$Y$16)^3))</f>
        <v>6607844.9977393514</v>
      </c>
      <c r="AB750" s="193">
        <f>(((E750*'Appendix K'!$C$8*1000)-('Appendix K'!$E$34+'Appendix K'!$F$34+'Appendix K'!$H$34+'Appendix K'!$G$34))/((1+$Y$16)^4))</f>
        <v>13566766.089107335</v>
      </c>
      <c r="AC750" s="193">
        <f>(((F750*'Appendix K'!$C$9*1000)-('Appendix K'!$E$35+'Appendix K'!$F$35+'Appendix K'!$H$35+'Appendix K'!$G$35))/((1+$Y$16)^AC$34))</f>
        <v>17542276.230963338</v>
      </c>
      <c r="AD750" s="193">
        <f>(((G750*'Appendix K'!$C$10*1000)-('Appendix K'!$E$36+'Appendix K'!$F$36+'Appendix K'!$H$36+'Appendix K'!$G$36))/((1+$Y$16)^AD$34))</f>
        <v>4842864.476991361</v>
      </c>
      <c r="AE750" s="193">
        <f>(((H750*'Appendix K'!$C$11*1000)-('Appendix K'!$E$37+'Appendix K'!$F$37+'Appendix K'!$H$37+'Appendix K'!$G$37))/((1+$Y$16)^AE$34))</f>
        <v>4430156.9201693898</v>
      </c>
      <c r="AF750" s="193">
        <f>(((I750*'Appendix K'!$C$12*1000)-('Appendix K'!$E$38+'Appendix K'!$F$38+'Appendix K'!$H$38+'Appendix K'!$G$38))/((1+$Y$16)^AF$34))</f>
        <v>2909576.9062994826</v>
      </c>
      <c r="AG750" s="193">
        <f>(((J750*'Appendix K'!$C$13*1000)-('Appendix K'!$E$39+'Appendix K'!$F$39+'Appendix K'!$H$39+'Appendix K'!$G$39))/((1+$Y$16)^AG$34))</f>
        <v>566025.60784485657</v>
      </c>
      <c r="AH750" s="193">
        <f>(((K750*'Appendix K'!$C$14*1000)-('Appendix K'!$E$40+'Appendix K'!$F$40+'Appendix K'!$H$40+'Appendix K'!$G$40))/((1+$Y$16)^AH$34))</f>
        <v>566736.81949978217</v>
      </c>
      <c r="AI750" s="193">
        <f>(((L750*'Appendix K'!$C$15*1000)-('Appendix K'!$E$41+'Appendix K'!$F$41+'Appendix K'!$H$41+'Appendix K'!$G$41))/((1+$Y$16)^AI$34))</f>
        <v>-348270.64850880636</v>
      </c>
      <c r="AJ750" s="193">
        <f>(((M750*'Appendix K'!$C$16*1000)-('Appendix K'!$E$42+'Appendix K'!$F$42+'Appendix K'!$H$42+'Appendix K'!$G$42))/((1+$Y$16)^AJ$34))</f>
        <v>-170256.18455591259</v>
      </c>
      <c r="AK750" s="193">
        <f>(((N750*'Appendix K'!$C$17*1000)-('Appendix K'!$E$43+'Appendix K'!$F$43+'Appendix K'!$H$43))/((1+$Y$16)^AK$34))</f>
        <v>74583.987855021565</v>
      </c>
      <c r="AL750" s="193">
        <f>(((O750*'Appendix K'!$C$18*1000)-('Appendix K'!$E$44+'Appendix K'!$F$44+'Appendix K'!$H$44+'Appendix K'!$G$44))/((1+$Y$16)^AL$34))</f>
        <v>-309103.30146673764</v>
      </c>
      <c r="AM750" s="193">
        <f>(((P750*'Appendix K'!$C$19*1000)-('Appendix K'!$E$45+'Appendix K'!$F$45+'Appendix K'!$H$45+'Appendix K'!$G$45))/((1+$Y$16)^AM$34))</f>
        <v>-400610.50866612856</v>
      </c>
      <c r="AN750" s="193">
        <f>(((Q750*'Appendix K'!$C$20*1000)-('Appendix K'!$E$46+'Appendix K'!$F$46+'Appendix K'!$H$46+'Appendix K'!$G$46))/((1+$Y$16)^AN$34))</f>
        <v>-5747.4645481866282</v>
      </c>
      <c r="AO750" s="193">
        <f>(((R750*'Appendix K'!$C$21*1000)-('Appendix K'!$E$47+'Appendix K'!$F$47+'Appendix K'!$H$47+'Appendix K'!$G$47))/((1+$Y$16)^AO$34))</f>
        <v>157265.00015926966</v>
      </c>
      <c r="AP750" s="193">
        <f>(((S750*'Appendix K'!$C$22*1000)-('Appendix K'!$E$48+'Appendix K'!$F$48+'Appendix K'!$H$48+'Appendix K'!$G$48))/((1+$Y$16)^AP$34))</f>
        <v>-65646.046680981031</v>
      </c>
      <c r="AQ750" s="193">
        <f>(((T750*'Appendix K'!$C$23*1000)-('Appendix K'!$E$49+'Appendix K'!$F$49+'Appendix K'!$H$49+'Appendix K'!$G$49))/((1+$Y$16)^AQ$34))</f>
        <v>-221744.50803500792</v>
      </c>
      <c r="AR750" s="193">
        <f>(((U750*'Appendix K'!$C$24*1000)-('Appendix K'!$E$50+'Appendix K'!$F$50+'Appendix K'!$H$50+'Appendix K'!$G$50))/((1+$Y$16)^AR$34))</f>
        <v>-411086.05945453793</v>
      </c>
      <c r="AS750" s="209">
        <f t="shared" si="38"/>
        <v>67856172.6030415</v>
      </c>
      <c r="AU750" s="199">
        <f t="shared" si="37"/>
        <v>6.616179348819464E-9</v>
      </c>
    </row>
    <row r="751" spans="1:47" x14ac:dyDescent="0.35">
      <c r="A751">
        <v>717</v>
      </c>
      <c r="B751" s="70">
        <v>56</v>
      </c>
      <c r="C751" s="70">
        <v>76.983038901650843</v>
      </c>
      <c r="D751" s="70">
        <v>67.923007392343195</v>
      </c>
      <c r="E751" s="70">
        <v>68.038278566303291</v>
      </c>
      <c r="F751" s="70">
        <v>90.656838165144663</v>
      </c>
      <c r="G751" s="70">
        <v>123.41686863390026</v>
      </c>
      <c r="H751" s="70">
        <v>149.82541818778159</v>
      </c>
      <c r="I751" s="70">
        <v>170.6509370170032</v>
      </c>
      <c r="J751" s="70">
        <v>186.84547762704619</v>
      </c>
      <c r="K751" s="70">
        <v>233.29782496625916</v>
      </c>
      <c r="L751" s="70">
        <v>398.14999959023226</v>
      </c>
      <c r="M751" s="70">
        <v>459.92618121469962</v>
      </c>
      <c r="N751" s="70">
        <v>494.4710228012114</v>
      </c>
      <c r="O751" s="70">
        <v>420.46819676478538</v>
      </c>
      <c r="P751" s="70">
        <v>354.96173169113183</v>
      </c>
      <c r="Q751" s="70">
        <v>500</v>
      </c>
      <c r="R751" s="70">
        <v>496.1645584487602</v>
      </c>
      <c r="S751" s="70">
        <v>500</v>
      </c>
      <c r="T751" s="70">
        <v>476.63771456826589</v>
      </c>
      <c r="U751" s="70">
        <v>262.76915447457577</v>
      </c>
      <c r="V751" s="70">
        <v>268.21281746553933</v>
      </c>
      <c r="X751" s="193">
        <f>((0-('Appendix K'!$I$30))/(1+$Y$16)^0)</f>
        <v>-33594902.4440751</v>
      </c>
      <c r="Y751" s="193">
        <f>(((B751*'Appendix K'!$C$5*1000)-('Appendix K'!$E$31+'Appendix K'!$F$31+'Appendix K'!$H$31+'Appendix K'!$G$31))/((1+$Y$16)^1))</f>
        <v>34971064.972647354</v>
      </c>
      <c r="Z751" s="193">
        <f>+(((C751*'Appendix K'!$C$6*1000)-('Appendix K'!$E$32+'Appendix K'!$F$32+'Appendix K'!$H$32+'Appendix K'!$G$32))/((1+$Y$16)^2))</f>
        <v>15959984.607137484</v>
      </c>
      <c r="AA751" s="193">
        <f>(((D751*'Appendix K'!$C$7*1000)-('Appendix K'!$E$33+'Appendix K'!$F$33+'Appendix K'!$H$33+'Appendix K'!$G$33))/((1+$Y$16)^3))</f>
        <v>5686786.3338814564</v>
      </c>
      <c r="AB751" s="193">
        <f>(((E751*'Appendix K'!$C$8*1000)-('Appendix K'!$E$34+'Appendix K'!$F$34+'Appendix K'!$H$34+'Appendix K'!$G$34))/((1+$Y$16)^4))</f>
        <v>11620159.942386538</v>
      </c>
      <c r="AC751" s="193">
        <f>(((F751*'Appendix K'!$C$9*1000)-('Appendix K'!$E$35+'Appendix K'!$F$35+'Appendix K'!$H$35+'Appendix K'!$G$35))/((1+$Y$16)^AC$34))</f>
        <v>21112216.708354443</v>
      </c>
      <c r="AD751" s="193">
        <f>(((G751*'Appendix K'!$C$10*1000)-('Appendix K'!$E$36+'Appendix K'!$F$36+'Appendix K'!$H$36+'Appendix K'!$G$36))/((1+$Y$16)^AD$34))</f>
        <v>16866109.756247085</v>
      </c>
      <c r="AE751" s="193">
        <f>(((H751*'Appendix K'!$C$11*1000)-('Appendix K'!$E$37+'Appendix K'!$F$37+'Appendix K'!$H$37+'Appendix K'!$G$37))/((1+$Y$16)^AE$34))</f>
        <v>12723290.984093474</v>
      </c>
      <c r="AF751" s="193">
        <f>(((I751*'Appendix K'!$C$12*1000)-('Appendix K'!$E$38+'Appendix K'!$F$38+'Appendix K'!$H$38+'Appendix K'!$G$38))/((1+$Y$16)^AF$34))</f>
        <v>9208775.6903775409</v>
      </c>
      <c r="AG751" s="193">
        <f>(((J751*'Appendix K'!$C$13*1000)-('Appendix K'!$E$39+'Appendix K'!$F$39+'Appendix K'!$H$39+'Appendix K'!$G$39))/((1+$Y$16)^AG$34))</f>
        <v>6783485.5633930499</v>
      </c>
      <c r="AH751" s="193">
        <f>(((K751*'Appendix K'!$C$14*1000)-('Appendix K'!$E$40+'Appendix K'!$F$40+'Appendix K'!$H$40+'Appendix K'!$G$40))/((1+$Y$16)^AH$34))</f>
        <v>6230918.2233182983</v>
      </c>
      <c r="AI751" s="193">
        <f>(((L751*'Appendix K'!$C$15*1000)-('Appendix K'!$E$41+'Appendix K'!$F$41+'Appendix K'!$H$41+'Appendix K'!$G$41))/((1+$Y$16)^AI$34))</f>
        <v>8915793.1850831732</v>
      </c>
      <c r="AJ751" s="193">
        <f>(((M751*'Appendix K'!$C$16*1000)-('Appendix K'!$E$42+'Appendix K'!$F$42+'Appendix K'!$H$42+'Appendix K'!$G$42))/((1+$Y$16)^AJ$34))</f>
        <v>7836228.3848726545</v>
      </c>
      <c r="AK751" s="193">
        <f>(((N751*'Appendix K'!$C$17*1000)-('Appendix K'!$E$43+'Appendix K'!$F$43+'Appendix K'!$H$43))/((1+$Y$16)^AK$34))</f>
        <v>6592743.4761737427</v>
      </c>
      <c r="AL751" s="193">
        <f>(((O751*'Appendix K'!$C$18*1000)-('Appendix K'!$E$44+'Appendix K'!$F$44+'Appendix K'!$H$44+'Appendix K'!$G$44))/((1+$Y$16)^AL$34))</f>
        <v>3849344.134243635</v>
      </c>
      <c r="AM751" s="193">
        <f>(((P751*'Appendix K'!$C$19*1000)-('Appendix K'!$E$45+'Appendix K'!$F$45+'Appendix K'!$H$45+'Appendix K'!$G$45))/((1+$Y$16)^AM$34))</f>
        <v>2263279.1454524887</v>
      </c>
      <c r="AN751" s="193">
        <f>(((Q751*'Appendix K'!$C$20*1000)-('Appendix K'!$E$46+'Appendix K'!$F$46+'Appendix K'!$H$46+'Appendix K'!$G$46))/((1+$Y$16)^AN$34))</f>
        <v>2702399.606577659</v>
      </c>
      <c r="AO751" s="193">
        <f>(((R751*'Appendix K'!$C$21*1000)-('Appendix K'!$E$47+'Appendix K'!$F$47+'Appendix K'!$H$47+'Appendix K'!$G$47))/((1+$Y$16)^AO$34))</f>
        <v>2089388.4313315507</v>
      </c>
      <c r="AP751" s="193">
        <f>(((S751*'Appendix K'!$C$22*1000)-('Appendix K'!$E$48+'Appendix K'!$F$48+'Appendix K'!$H$48+'Appendix K'!$G$48))/((1+$Y$16)^AP$34))</f>
        <v>1630406.4380253027</v>
      </c>
      <c r="AQ751" s="193">
        <f>(((T751*'Appendix K'!$C$23*1000)-('Appendix K'!$E$49+'Appendix K'!$F$49+'Appendix K'!$H$49+'Appendix K'!$G$49))/((1+$Y$16)^AQ$34))</f>
        <v>1171952.3609240712</v>
      </c>
      <c r="AR751" s="193">
        <f>(((U751*'Appendix K'!$C$24*1000)-('Appendix K'!$E$50+'Appendix K'!$F$50+'Appendix K'!$H$50+'Appendix K'!$G$50))/((1+$Y$16)^AR$34))</f>
        <v>216835.17059160315</v>
      </c>
      <c r="AS751" s="209">
        <f t="shared" si="38"/>
        <v>144836260.6710375</v>
      </c>
      <c r="AU751" s="199">
        <f t="shared" si="37"/>
        <v>4.2285489620561975E-9</v>
      </c>
    </row>
    <row r="752" spans="1:47" x14ac:dyDescent="0.35">
      <c r="A752">
        <v>718</v>
      </c>
      <c r="B752" s="70">
        <v>56</v>
      </c>
      <c r="C752" s="70">
        <v>72.432297416188419</v>
      </c>
      <c r="D752" s="70">
        <v>104.31927249351172</v>
      </c>
      <c r="E752" s="70">
        <v>110.17094732032868</v>
      </c>
      <c r="F752" s="70">
        <v>70.593747265438452</v>
      </c>
      <c r="G752" s="70">
        <v>64.055058068783154</v>
      </c>
      <c r="H752" s="70">
        <v>29.933874301969922</v>
      </c>
      <c r="I752" s="70">
        <v>37.13357372544646</v>
      </c>
      <c r="J752" s="70">
        <v>34.245950389109836</v>
      </c>
      <c r="K752" s="70">
        <v>32.451279072496163</v>
      </c>
      <c r="L752" s="70">
        <v>29.253648791622098</v>
      </c>
      <c r="M752" s="70">
        <v>36.829020234144167</v>
      </c>
      <c r="N752" s="70">
        <v>33.03233009129837</v>
      </c>
      <c r="O752" s="70">
        <v>43.271969849547183</v>
      </c>
      <c r="P752" s="70">
        <v>54.455446127107436</v>
      </c>
      <c r="Q752" s="70">
        <v>59.879858567326131</v>
      </c>
      <c r="R752" s="70">
        <v>61.242889063944816</v>
      </c>
      <c r="S752" s="70">
        <v>73.97503392450848</v>
      </c>
      <c r="T752" s="70">
        <v>72.321266292239329</v>
      </c>
      <c r="U752" s="70">
        <v>88.999405104775775</v>
      </c>
      <c r="V752" s="70">
        <v>83.414083974786323</v>
      </c>
      <c r="X752" s="193">
        <f>((0-('Appendix K'!$I$30))/(1+$Y$16)^0)</f>
        <v>-33594902.4440751</v>
      </c>
      <c r="Y752" s="193">
        <f>(((B752*'Appendix K'!$C$5*1000)-('Appendix K'!$E$31+'Appendix K'!$F$31+'Appendix K'!$H$31+'Appendix K'!$G$31))/((1+$Y$16)^1))</f>
        <v>34971064.972647354</v>
      </c>
      <c r="Z752" s="193">
        <f>+(((C752*'Appendix K'!$C$6*1000)-('Appendix K'!$E$32+'Appendix K'!$F$32+'Appendix K'!$H$32+'Appendix K'!$G$32))/((1+$Y$16)^2))</f>
        <v>14810389.476013366</v>
      </c>
      <c r="AA752" s="193">
        <f>(((D752*'Appendix K'!$C$7*1000)-('Appendix K'!$E$33+'Appendix K'!$F$33+'Appendix K'!$H$33+'Appendix K'!$G$33))/((1+$Y$16)^3))</f>
        <v>10322755.955467619</v>
      </c>
      <c r="AB752" s="193">
        <f>(((E752*'Appendix K'!$C$8*1000)-('Appendix K'!$E$34+'Appendix K'!$F$34+'Appendix K'!$H$34+'Appendix K'!$G$34))/((1+$Y$16)^4))</f>
        <v>20855255.245809007</v>
      </c>
      <c r="AC752" s="193">
        <f>(((F752*'Appendix K'!$C$9*1000)-('Appendix K'!$E$35+'Appendix K'!$F$35+'Appendix K'!$H$35+'Appendix K'!$G$35))/((1+$Y$16)^AC$34))</f>
        <v>15779478.651918765</v>
      </c>
      <c r="AD752" s="193">
        <f>(((G752*'Appendix K'!$C$10*1000)-('Appendix K'!$E$36+'Appendix K'!$F$36+'Appendix K'!$H$36+'Appendix K'!$G$36))/((1+$Y$16)^AD$34))</f>
        <v>7543696.4559379742</v>
      </c>
      <c r="AE752" s="193">
        <f>(((H752*'Appendix K'!$C$11*1000)-('Appendix K'!$E$37+'Appendix K'!$F$37+'Appendix K'!$H$37+'Appendix K'!$G$37))/((1+$Y$16)^AE$34))</f>
        <v>765592.6793774626</v>
      </c>
      <c r="AF752" s="193">
        <f>(((I752*'Appendix K'!$C$12*1000)-('Appendix K'!$E$38+'Appendix K'!$F$38+'Appendix K'!$H$38+'Appendix K'!$G$38))/((1+$Y$16)^AF$34))</f>
        <v>441701.56480089837</v>
      </c>
      <c r="AG752" s="193">
        <f>(((J752*'Appendix K'!$C$13*1000)-('Appendix K'!$E$39+'Appendix K'!$F$39+'Appendix K'!$H$39+'Appendix K'!$G$39))/((1+$Y$16)^AG$34))</f>
        <v>-238981.78953095002</v>
      </c>
      <c r="AH752" s="193">
        <f>(((K752*'Appendix K'!$C$14*1000)-('Appendix K'!$E$40+'Appendix K'!$F$40+'Appendix K'!$H$40+'Appendix K'!$G$40))/((1+$Y$16)^AH$34))</f>
        <v>-538921.24973117071</v>
      </c>
      <c r="AI752" s="193">
        <f>(((L752*'Appendix K'!$C$15*1000)-('Appendix K'!$E$41+'Appendix K'!$F$41+'Appendix K'!$H$41+'Appendix K'!$G$41))/((1+$Y$16)^AI$34))</f>
        <v>-749981.04539904511</v>
      </c>
      <c r="AJ752" s="193">
        <f>(((M752*'Appendix K'!$C$16*1000)-('Appendix K'!$E$42+'Appendix K'!$F$42+'Appendix K'!$H$42+'Appendix K'!$G$42))/((1+$Y$16)^AJ$34))</f>
        <v>-643428.63424702559</v>
      </c>
      <c r="AK752" s="193">
        <f>(((N752*'Appendix K'!$C$17*1000)-('Appendix K'!$E$43+'Appendix K'!$F$43+'Appendix K'!$H$43))/((1+$Y$16)^AK$34))</f>
        <v>-496753.28390859452</v>
      </c>
      <c r="AL752" s="193">
        <f>(((O752*'Appendix K'!$C$18*1000)-('Appendix K'!$E$44+'Appendix K'!$F$44+'Appendix K'!$H$44+'Appendix K'!$G$44))/((1+$Y$16)^AL$34))</f>
        <v>-621673.7341743873</v>
      </c>
      <c r="AM752" s="193">
        <f>(((P752*'Appendix K'!$C$19*1000)-('Appendix K'!$E$45+'Appendix K'!$F$45+'Appendix K'!$H$45+'Appendix K'!$G$45))/((1+$Y$16)^AM$34))</f>
        <v>-522033.01733253204</v>
      </c>
      <c r="AN752" s="193">
        <f>(((Q752*'Appendix K'!$C$20*1000)-('Appendix K'!$E$46+'Appendix K'!$F$46+'Appendix K'!$H$46+'Appendix K'!$G$46))/((1+$Y$16)^AN$34))</f>
        <v>-482405.19487615384</v>
      </c>
      <c r="AO752" s="193">
        <f>(((R752*'Appendix K'!$C$21*1000)-('Appendix K'!$E$47+'Appendix K'!$F$47+'Appendix K'!$H$47+'Appendix K'!$G$47))/((1+$Y$16)^AO$34))</f>
        <v>-481046.68489624164</v>
      </c>
      <c r="AP752" s="193">
        <f>(((S752*'Appendix K'!$C$22*1000)-('Appendix K'!$E$48+'Appendix K'!$F$48+'Appendix K'!$H$48+'Appendix K'!$G$48))/((1+$Y$16)^AP$34))</f>
        <v>-410133.58202706289</v>
      </c>
      <c r="AQ752" s="193">
        <f>(((T752*'Appendix K'!$C$23*1000)-('Appendix K'!$E$49+'Appendix K'!$F$49+'Appendix K'!$H$49+'Appendix K'!$G$49))/((1+$Y$16)^AQ$34))</f>
        <v>-410438.7099629647</v>
      </c>
      <c r="AR752" s="193">
        <f>(((U752*'Appendix K'!$C$24*1000)-('Appendix K'!$E$50+'Appendix K'!$F$50+'Appendix K'!$H$50+'Appendix K'!$G$50))/((1+$Y$16)^AR$34))</f>
        <v>-342708.29120918422</v>
      </c>
      <c r="AS752" s="209">
        <f t="shared" si="38"/>
        <v>71895032.557897359</v>
      </c>
      <c r="AU752" s="199">
        <f t="shared" si="37"/>
        <v>6.7650280282049997E-9</v>
      </c>
    </row>
    <row r="753" spans="1:47" x14ac:dyDescent="0.35">
      <c r="A753">
        <v>719</v>
      </c>
      <c r="B753" s="70">
        <v>56</v>
      </c>
      <c r="C753" s="70">
        <v>59.930588722097589</v>
      </c>
      <c r="D753" s="70">
        <v>65.310989777331358</v>
      </c>
      <c r="E753" s="70">
        <v>73.366763608362419</v>
      </c>
      <c r="F753" s="70">
        <v>90.595824385187782</v>
      </c>
      <c r="G753" s="70">
        <v>46.621164044246441</v>
      </c>
      <c r="H753" s="70">
        <v>45.515192185403585</v>
      </c>
      <c r="I753" s="70">
        <v>45.357812800239202</v>
      </c>
      <c r="J753" s="70">
        <v>60.600063694042674</v>
      </c>
      <c r="K753" s="70">
        <v>78.256879419739306</v>
      </c>
      <c r="L753" s="70">
        <v>5.4337950352835378</v>
      </c>
      <c r="M753" s="70">
        <v>5.6520845190969249</v>
      </c>
      <c r="N753" s="70">
        <v>5.1377359881441791</v>
      </c>
      <c r="O753" s="70">
        <v>5.6174492175044461</v>
      </c>
      <c r="P753" s="70">
        <v>2.8632560517579533</v>
      </c>
      <c r="Q753" s="70">
        <v>2.1765417628155466</v>
      </c>
      <c r="R753" s="70">
        <v>3.5171338127007199</v>
      </c>
      <c r="S753" s="70">
        <v>5.5010393358839185</v>
      </c>
      <c r="T753" s="70">
        <v>8.2387142558845579</v>
      </c>
      <c r="U753" s="70">
        <v>7.5892198652672054</v>
      </c>
      <c r="V753" s="70">
        <v>7.6730998860939357</v>
      </c>
      <c r="X753" s="193">
        <f>((0-('Appendix K'!$I$30))/(1+$Y$16)^0)</f>
        <v>-33594902.4440751</v>
      </c>
      <c r="Y753" s="193">
        <f>(((B753*'Appendix K'!$C$5*1000)-('Appendix K'!$E$31+'Appendix K'!$F$31+'Appendix K'!$H$31+'Appendix K'!$G$31))/((1+$Y$16)^1))</f>
        <v>34971064.972647354</v>
      </c>
      <c r="Z753" s="193">
        <f>+(((C753*'Appendix K'!$C$6*1000)-('Appendix K'!$E$32+'Appendix K'!$F$32+'Appendix K'!$H$32+'Appendix K'!$G$32))/((1+$Y$16)^2))</f>
        <v>11652244.041610945</v>
      </c>
      <c r="AA753" s="193">
        <f>(((D753*'Appendix K'!$C$7*1000)-('Appendix K'!$E$33+'Appendix K'!$F$33+'Appendix K'!$H$33+'Appendix K'!$G$33))/((1+$Y$16)^3))</f>
        <v>5354080.9235712662</v>
      </c>
      <c r="AB753" s="193">
        <f>(((E753*'Appendix K'!$C$8*1000)-('Appendix K'!$E$34+'Appendix K'!$F$34+'Appendix K'!$H$34+'Appendix K'!$G$34))/((1+$Y$16)^4))</f>
        <v>12788115.086020198</v>
      </c>
      <c r="AC753" s="193">
        <f>(((F753*'Appendix K'!$C$9*1000)-('Appendix K'!$E$35+'Appendix K'!$F$35+'Appendix K'!$H$35+'Appendix K'!$G$35))/((1+$Y$16)^AC$34))</f>
        <v>21095999.341450732</v>
      </c>
      <c r="AD753" s="193">
        <f>(((G753*'Appendix K'!$C$10*1000)-('Appendix K'!$E$36+'Appendix K'!$F$36+'Appendix K'!$H$36+'Appendix K'!$G$36))/((1+$Y$16)^AD$34))</f>
        <v>4805808.8480080012</v>
      </c>
      <c r="AE753" s="193">
        <f>(((H753*'Appendix K'!$C$11*1000)-('Appendix K'!$E$37+'Appendix K'!$F$37+'Appendix K'!$H$37+'Appendix K'!$G$37))/((1+$Y$16)^AE$34))</f>
        <v>2319636.3792186263</v>
      </c>
      <c r="AF753" s="193">
        <f>(((I753*'Appendix K'!$C$12*1000)-('Appendix K'!$E$38+'Appendix K'!$F$38+'Appendix K'!$H$38+'Appendix K'!$G$38))/((1+$Y$16)^AF$34))</f>
        <v>981725.06300108647</v>
      </c>
      <c r="AG753" s="193">
        <f>(((J753*'Appendix K'!$C$13*1000)-('Appendix K'!$E$39+'Appendix K'!$F$39+'Appendix K'!$H$39+'Appendix K'!$G$39))/((1+$Y$16)^AG$34))</f>
        <v>973806.37337459088</v>
      </c>
      <c r="AH753" s="193">
        <f>(((K753*'Appendix K'!$C$14*1000)-('Appendix K'!$E$40+'Appendix K'!$F$40+'Appendix K'!$H$40+'Appendix K'!$G$40))/((1+$Y$16)^AH$34))</f>
        <v>1005026.4439549308</v>
      </c>
      <c r="AI753" s="193">
        <f>(((L753*'Appendix K'!$C$15*1000)-('Appendix K'!$E$41+'Appendix K'!$F$41+'Appendix K'!$H$41+'Appendix K'!$G$41))/((1+$Y$16)^AI$34))</f>
        <v>-1374105.7571600587</v>
      </c>
      <c r="AJ753" s="193">
        <f>(((M753*'Appendix K'!$C$16*1000)-('Appendix K'!$E$42+'Appendix K'!$F$42+'Appendix K'!$H$42+'Appendix K'!$G$42))/((1+$Y$16)^AJ$34))</f>
        <v>-1268272.6326280339</v>
      </c>
      <c r="AK753" s="193">
        <f>(((N753*'Appendix K'!$C$17*1000)-('Appendix K'!$E$43+'Appendix K'!$F$43+'Appendix K'!$H$43))/((1+$Y$16)^AK$34))</f>
        <v>-925322.96747096977</v>
      </c>
      <c r="AL753" s="193">
        <f>(((O753*'Appendix K'!$C$18*1000)-('Appendix K'!$E$44+'Appendix K'!$F$44+'Appendix K'!$H$44+'Appendix K'!$G$44))/((1+$Y$16)^AL$34))</f>
        <v>-1068003.8471487409</v>
      </c>
      <c r="AM753" s="193">
        <f>(((P753*'Appendix K'!$C$19*1000)-('Appendix K'!$E$45+'Appendix K'!$F$45+'Appendix K'!$H$45+'Appendix K'!$G$45))/((1+$Y$16)^AM$34))</f>
        <v>-1000227.1897168944</v>
      </c>
      <c r="AN753" s="193">
        <f>(((Q753*'Appendix K'!$C$20*1000)-('Appendix K'!$E$46+'Appendix K'!$F$46+'Appendix K'!$H$46+'Appendix K'!$G$46))/((1+$Y$16)^AN$34))</f>
        <v>-899958.91059704195</v>
      </c>
      <c r="AO753" s="193">
        <f>(((R753*'Appendix K'!$C$21*1000)-('Appendix K'!$E$47+'Appendix K'!$F$47+'Appendix K'!$H$47+'Appendix K'!$G$47))/((1+$Y$16)^AO$34))</f>
        <v>-822212.27597485704</v>
      </c>
      <c r="AP753" s="193">
        <f>(((S753*'Appendix K'!$C$22*1000)-('Appendix K'!$E$48+'Appendix K'!$F$48+'Appendix K'!$H$48+'Appendix K'!$G$48))/((1+$Y$16)^AP$34))</f>
        <v>-738104.79831061384</v>
      </c>
      <c r="AQ753" s="193">
        <f>(((T753*'Appendix K'!$C$23*1000)-('Appendix K'!$E$49+'Appendix K'!$F$49+'Appendix K'!$H$49+'Appendix K'!$G$49))/((1+$Y$16)^AQ$34))</f>
        <v>-661241.4130791967</v>
      </c>
      <c r="AR753" s="193">
        <f>(((U753*'Appendix K'!$C$24*1000)-('Appendix K'!$E$50+'Appendix K'!$F$50+'Appendix K'!$H$50+'Appendix K'!$G$50))/((1+$Y$16)^AR$34))</f>
        <v>-604851.36870086822</v>
      </c>
      <c r="AS753" s="209">
        <f t="shared" si="38"/>
        <v>62352605.028782628</v>
      </c>
      <c r="AU753" s="199">
        <f t="shared" si="37"/>
        <v>6.3664892032078115E-9</v>
      </c>
    </row>
    <row r="754" spans="1:47" x14ac:dyDescent="0.35">
      <c r="A754">
        <v>720</v>
      </c>
      <c r="B754" s="70">
        <v>56</v>
      </c>
      <c r="C754" s="70">
        <v>39.054670660210775</v>
      </c>
      <c r="D754" s="70">
        <v>37.635738186728979</v>
      </c>
      <c r="E754" s="70">
        <v>39.712343713880422</v>
      </c>
      <c r="F754" s="70">
        <v>54.928098785097802</v>
      </c>
      <c r="G754" s="70">
        <v>53.754038838319602</v>
      </c>
      <c r="H754" s="70">
        <v>44.421748333901292</v>
      </c>
      <c r="I754" s="70">
        <v>46.565462917114921</v>
      </c>
      <c r="J754" s="70">
        <v>48.248494005334386</v>
      </c>
      <c r="K754" s="70">
        <v>49.504407784106078</v>
      </c>
      <c r="L754" s="70">
        <v>70.98776033154553</v>
      </c>
      <c r="M754" s="70">
        <v>50.763209924665944</v>
      </c>
      <c r="N754" s="70">
        <v>36.6924237180136</v>
      </c>
      <c r="O754" s="70">
        <v>41.267767928003479</v>
      </c>
      <c r="P754" s="70">
        <v>44.837292966874926</v>
      </c>
      <c r="Q754" s="70">
        <v>38.448455808754005</v>
      </c>
      <c r="R754" s="70">
        <v>28.709424444327635</v>
      </c>
      <c r="S754" s="70">
        <v>27.617008598788065</v>
      </c>
      <c r="T754" s="70">
        <v>34.003838854061236</v>
      </c>
      <c r="U754" s="70">
        <v>33.435535127186533</v>
      </c>
      <c r="V754" s="70">
        <v>53.422212035740252</v>
      </c>
      <c r="X754" s="193">
        <f>((0-('Appendix K'!$I$30))/(1+$Y$16)^0)</f>
        <v>-33594902.4440751</v>
      </c>
      <c r="Y754" s="193">
        <f>(((B754*'Appendix K'!$C$5*1000)-('Appendix K'!$E$31+'Appendix K'!$F$31+'Appendix K'!$H$31+'Appendix K'!$G$31))/((1+$Y$16)^1))</f>
        <v>34971064.972647354</v>
      </c>
      <c r="Z754" s="193">
        <f>+(((C754*'Appendix K'!$C$6*1000)-('Appendix K'!$E$32+'Appendix K'!$F$32+'Appendix K'!$H$32+'Appendix K'!$G$32))/((1+$Y$16)^2))</f>
        <v>6378630.095761315</v>
      </c>
      <c r="AA754" s="193">
        <f>(((D754*'Appendix K'!$C$7*1000)-('Appendix K'!$E$33+'Appendix K'!$F$33+'Appendix K'!$H$33+'Appendix K'!$G$33))/((1+$Y$16)^3))</f>
        <v>1828949.2847299087</v>
      </c>
      <c r="AB754" s="193">
        <f>(((E754*'Appendix K'!$C$8*1000)-('Appendix K'!$E$34+'Appendix K'!$F$34+'Appendix K'!$H$34+'Appendix K'!$G$34))/((1+$Y$16)^4))</f>
        <v>5411374.3217114005</v>
      </c>
      <c r="AC754" s="193">
        <f>(((F754*'Appendix K'!$C$9*1000)-('Appendix K'!$E$35+'Appendix K'!$F$35+'Appendix K'!$H$35+'Appendix K'!$G$35))/((1+$Y$16)^AC$34))</f>
        <v>11615573.885326711</v>
      </c>
      <c r="AD754" s="193">
        <f>(((G754*'Appendix K'!$C$10*1000)-('Appendix K'!$E$36+'Appendix K'!$F$36+'Appendix K'!$H$36+'Appendix K'!$G$36))/((1+$Y$16)^AD$34))</f>
        <v>5925983.6913403934</v>
      </c>
      <c r="AE754" s="193">
        <f>(((H754*'Appendix K'!$C$11*1000)-('Appendix K'!$E$37+'Appendix K'!$F$37+'Appendix K'!$H$37+'Appendix K'!$G$37))/((1+$Y$16)^AE$34))</f>
        <v>2210578.8822039566</v>
      </c>
      <c r="AF754" s="193">
        <f>(((I754*'Appendix K'!$C$12*1000)-('Appendix K'!$E$38+'Appendix K'!$F$38+'Appendix K'!$H$38+'Appendix K'!$G$38))/((1+$Y$16)^AF$34))</f>
        <v>1061022.3006891247</v>
      </c>
      <c r="AG754" s="193">
        <f>(((J754*'Appendix K'!$C$13*1000)-('Appendix K'!$E$39+'Appendix K'!$F$39+'Appendix K'!$H$39+'Appendix K'!$G$39))/((1+$Y$16)^AG$34))</f>
        <v>405400.32083764469</v>
      </c>
      <c r="AH754" s="193">
        <f>(((K754*'Appendix K'!$C$14*1000)-('Appendix K'!$E$40+'Appendix K'!$F$40+'Appendix K'!$H$40+'Appendix K'!$G$40))/((1+$Y$16)^AH$34))</f>
        <v>35880.489462866877</v>
      </c>
      <c r="AI754" s="193">
        <f>(((L754*'Appendix K'!$C$15*1000)-('Appendix K'!$E$41+'Appendix K'!$F$41+'Appendix K'!$H$41+'Appendix K'!$G$41))/((1+$Y$16)^AI$34))</f>
        <v>343530.72011821438</v>
      </c>
      <c r="AJ754" s="193">
        <f>(((M754*'Appendix K'!$C$16*1000)-('Appendix K'!$E$42+'Appendix K'!$F$42+'Appendix K'!$H$42+'Appendix K'!$G$42))/((1+$Y$16)^AJ$34))</f>
        <v>-364161.4580240958</v>
      </c>
      <c r="AK754" s="193">
        <f>(((N754*'Appendix K'!$C$17*1000)-('Appendix K'!$E$43+'Appendix K'!$F$43+'Appendix K'!$H$43))/((1+$Y$16)^AK$34))</f>
        <v>-440519.98072413838</v>
      </c>
      <c r="AL754" s="193">
        <f>(((O754*'Appendix K'!$C$18*1000)-('Appendix K'!$E$44+'Appendix K'!$F$44+'Appendix K'!$H$44+'Appendix K'!$G$44))/((1+$Y$16)^AL$34))</f>
        <v>-645430.12929112127</v>
      </c>
      <c r="AM754" s="193">
        <f>(((P754*'Appendix K'!$C$19*1000)-('Appendix K'!$E$45+'Appendix K'!$F$45+'Appendix K'!$H$45+'Appendix K'!$G$45))/((1+$Y$16)^AM$34))</f>
        <v>-611181.09931172617</v>
      </c>
      <c r="AN754" s="193">
        <f>(((Q754*'Appendix K'!$C$20*1000)-('Appendix K'!$E$46+'Appendix K'!$F$46+'Appendix K'!$H$46+'Appendix K'!$G$46))/((1+$Y$16)^AN$34))</f>
        <v>-637487.47351309285</v>
      </c>
      <c r="AO754" s="193">
        <f>(((R754*'Appendix K'!$C$21*1000)-('Appendix K'!$E$47+'Appendix K'!$F$47+'Appendix K'!$H$47+'Appendix K'!$G$47))/((1+$Y$16)^AO$34))</f>
        <v>-673323.05509665934</v>
      </c>
      <c r="AP754" s="193">
        <f>(((S754*'Appendix K'!$C$22*1000)-('Appendix K'!$E$48+'Appendix K'!$F$48+'Appendix K'!$H$48+'Appendix K'!$G$48))/((1+$Y$16)^AP$34))</f>
        <v>-632175.51257197687</v>
      </c>
      <c r="AQ754" s="193">
        <f>(((T754*'Appendix K'!$C$23*1000)-('Appendix K'!$E$49+'Appendix K'!$F$49+'Appendix K'!$H$49+'Appendix K'!$G$49))/((1+$Y$16)^AQ$34))</f>
        <v>-560403.31144299335</v>
      </c>
      <c r="AR754" s="193">
        <f>(((U754*'Appendix K'!$C$24*1000)-('Appendix K'!$E$50+'Appendix K'!$F$50+'Appendix K'!$H$50+'Appendix K'!$G$50))/((1+$Y$16)^AR$34))</f>
        <v>-521625.50937323616</v>
      </c>
      <c r="AS754" s="209">
        <f t="shared" si="38"/>
        <v>36593086.520753793</v>
      </c>
      <c r="AU754" s="199">
        <f t="shared" si="37"/>
        <v>4.6925041723205682E-9</v>
      </c>
    </row>
    <row r="755" spans="1:47" x14ac:dyDescent="0.35">
      <c r="A755">
        <v>721</v>
      </c>
      <c r="B755" s="70">
        <v>56</v>
      </c>
      <c r="C755" s="70">
        <v>78.139354895697082</v>
      </c>
      <c r="D755" s="70">
        <v>91.820554782987799</v>
      </c>
      <c r="E755" s="70">
        <v>110.56745260532198</v>
      </c>
      <c r="F755" s="70">
        <v>48.344709747445094</v>
      </c>
      <c r="G755" s="70">
        <v>42.242173656118958</v>
      </c>
      <c r="H755" s="70">
        <v>27.283010440426455</v>
      </c>
      <c r="I755" s="70">
        <v>45.163059984880398</v>
      </c>
      <c r="J755" s="70">
        <v>36.460393734607649</v>
      </c>
      <c r="K755" s="70">
        <v>38.611885825196012</v>
      </c>
      <c r="L755" s="70">
        <v>21.749952543242649</v>
      </c>
      <c r="M755" s="70">
        <v>19.015736070752716</v>
      </c>
      <c r="N755" s="70">
        <v>16.304143573618717</v>
      </c>
      <c r="O755" s="70">
        <v>27.841590731909477</v>
      </c>
      <c r="P755" s="70">
        <v>31.266345991814873</v>
      </c>
      <c r="Q755" s="70">
        <v>38.0312953527296</v>
      </c>
      <c r="R755" s="70">
        <v>53.071523776980754</v>
      </c>
      <c r="S755" s="70">
        <v>49.849826458245566</v>
      </c>
      <c r="T755" s="70">
        <v>49.132130458928039</v>
      </c>
      <c r="U755" s="70">
        <v>52.436967460007885</v>
      </c>
      <c r="V755" s="70">
        <v>41.210306113633891</v>
      </c>
      <c r="X755" s="193">
        <f>((0-('Appendix K'!$I$30))/(1+$Y$16)^0)</f>
        <v>-33594902.4440751</v>
      </c>
      <c r="Y755" s="193">
        <f>(((B755*'Appendix K'!$C$5*1000)-('Appendix K'!$E$31+'Appendix K'!$F$31+'Appendix K'!$H$31+'Appendix K'!$G$31))/((1+$Y$16)^1))</f>
        <v>34971064.972647354</v>
      </c>
      <c r="Z755" s="193">
        <f>+(((C755*'Appendix K'!$C$6*1000)-('Appendix K'!$E$32+'Appendix K'!$F$32+'Appendix K'!$H$32+'Appendix K'!$G$32))/((1+$Y$16)^2))</f>
        <v>16252089.803849494</v>
      </c>
      <c r="AA755" s="193">
        <f>(((D755*'Appendix K'!$C$7*1000)-('Appendix K'!$E$33+'Appendix K'!$F$33+'Appendix K'!$H$33+'Appendix K'!$G$33))/((1+$Y$16)^3))</f>
        <v>8730733.3824451584</v>
      </c>
      <c r="AB755" s="193">
        <f>(((E755*'Appendix K'!$C$8*1000)-('Appendix K'!$E$34+'Appendix K'!$F$34+'Appendix K'!$H$34+'Appendix K'!$G$34))/((1+$Y$16)^4))</f>
        <v>20942165.574623015</v>
      </c>
      <c r="AC755" s="193">
        <f>(((F755*'Appendix K'!$C$9*1000)-('Appendix K'!$E$35+'Appendix K'!$F$35+'Appendix K'!$H$35+'Appendix K'!$G$35))/((1+$Y$16)^AC$34))</f>
        <v>9865719.4168945253</v>
      </c>
      <c r="AD755" s="193">
        <f>(((G755*'Appendix K'!$C$10*1000)-('Appendix K'!$E$36+'Appendix K'!$F$36+'Appendix K'!$H$36+'Appendix K'!$G$36))/((1+$Y$16)^AD$34))</f>
        <v>4118114.8938044859</v>
      </c>
      <c r="AE755" s="193">
        <f>(((H755*'Appendix K'!$C$11*1000)-('Appendix K'!$E$37+'Appendix K'!$F$37+'Appendix K'!$H$37+'Appendix K'!$G$37))/((1+$Y$16)^AE$34))</f>
        <v>501201.8034587939</v>
      </c>
      <c r="AF755" s="193">
        <f>(((I755*'Appendix K'!$C$12*1000)-('Appendix K'!$E$38+'Appendix K'!$F$38+'Appendix K'!$H$38+'Appendix K'!$G$38))/((1+$Y$16)^AF$34))</f>
        <v>968937.12047194131</v>
      </c>
      <c r="AG755" s="193">
        <f>(((J755*'Appendix K'!$C$13*1000)-('Appendix K'!$E$39+'Appendix K'!$F$39+'Appendix K'!$H$39+'Appendix K'!$G$39))/((1+$Y$16)^AG$34))</f>
        <v>-137075.47055257609</v>
      </c>
      <c r="AH755" s="193">
        <f>(((K755*'Appendix K'!$C$14*1000)-('Appendix K'!$E$40+'Appendix K'!$F$40+'Appendix K'!$H$40+'Appendix K'!$G$40))/((1+$Y$16)^AH$34))</f>
        <v>-331268.5933871431</v>
      </c>
      <c r="AI755" s="193">
        <f>(((L755*'Appendix K'!$C$15*1000)-('Appendix K'!$E$41+'Appendix K'!$F$41+'Appendix K'!$H$41+'Appendix K'!$G$41))/((1+$Y$16)^AI$34))</f>
        <v>-946591.91908737703</v>
      </c>
      <c r="AJ755" s="193">
        <f>(((M755*'Appendix K'!$C$16*1000)-('Appendix K'!$E$42+'Appendix K'!$F$42+'Appendix K'!$H$42+'Appendix K'!$G$42))/((1+$Y$16)^AJ$34))</f>
        <v>-1000440.1058901019</v>
      </c>
      <c r="AK755" s="193">
        <f>(((N755*'Appendix K'!$C$17*1000)-('Appendix K'!$E$43+'Appendix K'!$F$43+'Appendix K'!$H$43))/((1+$Y$16)^AK$34))</f>
        <v>-753763.42630187282</v>
      </c>
      <c r="AL755" s="193">
        <f>(((O755*'Appendix K'!$C$18*1000)-('Appendix K'!$E$44+'Appendix K'!$F$44+'Appendix K'!$H$44+'Appendix K'!$G$44))/((1+$Y$16)^AL$34))</f>
        <v>-804574.5582776079</v>
      </c>
      <c r="AM755" s="193">
        <f>(((P755*'Appendix K'!$C$19*1000)-('Appendix K'!$E$45+'Appendix K'!$F$45+'Appendix K'!$H$45+'Appendix K'!$G$45))/((1+$Y$16)^AM$34))</f>
        <v>-736966.56699071103</v>
      </c>
      <c r="AN755" s="193">
        <f>(((Q755*'Appendix K'!$C$20*1000)-('Appendix K'!$E$46+'Appendix K'!$F$46+'Appendix K'!$H$46+'Appendix K'!$G$46))/((1+$Y$16)^AN$34))</f>
        <v>-640506.13705118606</v>
      </c>
      <c r="AO755" s="193">
        <f>(((R755*'Appendix K'!$C$21*1000)-('Appendix K'!$E$47+'Appendix K'!$F$47+'Appendix K'!$H$47+'Appendix K'!$G$47))/((1+$Y$16)^AO$34))</f>
        <v>-529340.35651496495</v>
      </c>
      <c r="AP755" s="193">
        <f>(((S755*'Appendix K'!$C$22*1000)-('Appendix K'!$E$48+'Appendix K'!$F$48+'Appendix K'!$H$48+'Appendix K'!$G$48))/((1+$Y$16)^AP$34))</f>
        <v>-525686.55485037935</v>
      </c>
      <c r="AQ755" s="193">
        <f>(((T755*'Appendix K'!$C$23*1000)-('Appendix K'!$E$49+'Appendix K'!$F$49+'Appendix K'!$H$49+'Appendix K'!$G$49))/((1+$Y$16)^AQ$34))</f>
        <v>-501195.05104352161</v>
      </c>
      <c r="AR755" s="193">
        <f>(((U755*'Appendix K'!$C$24*1000)-('Appendix K'!$E$50+'Appendix K'!$F$50+'Appendix K'!$H$50+'Appendix K'!$G$50))/((1+$Y$16)^AR$34))</f>
        <v>-460440.36486310617</v>
      </c>
      <c r="AS755" s="209">
        <f t="shared" si="38"/>
        <v>62755124.524119668</v>
      </c>
      <c r="AU755" s="199">
        <f t="shared" si="37"/>
        <v>6.3864626692327652E-9</v>
      </c>
    </row>
    <row r="756" spans="1:47" x14ac:dyDescent="0.35">
      <c r="A756">
        <v>722</v>
      </c>
      <c r="B756" s="70">
        <v>56</v>
      </c>
      <c r="C756" s="70">
        <v>69.733218561543566</v>
      </c>
      <c r="D756" s="70">
        <v>75.990503223082158</v>
      </c>
      <c r="E756" s="70">
        <v>80.376906816058451</v>
      </c>
      <c r="F756" s="70">
        <v>132.76037319260081</v>
      </c>
      <c r="G756" s="70">
        <v>133.15159087789101</v>
      </c>
      <c r="H756" s="70">
        <v>133.75349721567866</v>
      </c>
      <c r="I756" s="70">
        <v>160.69336803472544</v>
      </c>
      <c r="J756" s="70">
        <v>97.617652705229574</v>
      </c>
      <c r="K756" s="70">
        <v>108.80294660745474</v>
      </c>
      <c r="L756" s="70">
        <v>142.99125527575217</v>
      </c>
      <c r="M756" s="70">
        <v>210.99356885824028</v>
      </c>
      <c r="N756" s="70">
        <v>213.22604851388314</v>
      </c>
      <c r="O756" s="70">
        <v>307.03506129724497</v>
      </c>
      <c r="P756" s="70">
        <v>500</v>
      </c>
      <c r="Q756" s="70">
        <v>442.16216267886438</v>
      </c>
      <c r="R756" s="70">
        <v>266.77881830625347</v>
      </c>
      <c r="S756" s="70">
        <v>286.12302615767669</v>
      </c>
      <c r="T756" s="70">
        <v>371.831578394183</v>
      </c>
      <c r="U756" s="70">
        <v>320.93828641473215</v>
      </c>
      <c r="V756" s="70">
        <v>251.84934732262997</v>
      </c>
      <c r="X756" s="193">
        <f>((0-('Appendix K'!$I$30))/(1+$Y$16)^0)</f>
        <v>-33594902.4440751</v>
      </c>
      <c r="Y756" s="193">
        <f>(((B756*'Appendix K'!$C$5*1000)-('Appendix K'!$E$31+'Appendix K'!$F$31+'Appendix K'!$H$31+'Appendix K'!$G$31))/((1+$Y$16)^1))</f>
        <v>34971064.972647354</v>
      </c>
      <c r="Z756" s="193">
        <f>+(((C756*'Appendix K'!$C$6*1000)-('Appendix K'!$E$32+'Appendix K'!$F$32+'Appendix K'!$H$32+'Appendix K'!$G$32))/((1+$Y$16)^2))</f>
        <v>14128555.994649509</v>
      </c>
      <c r="AA756" s="193">
        <f>(((D756*'Appendix K'!$C$7*1000)-('Appendix K'!$E$33+'Appendix K'!$F$33+'Appendix K'!$H$33+'Appendix K'!$G$33))/((1+$Y$16)^3))</f>
        <v>6714382.5855742749</v>
      </c>
      <c r="AB756" s="193">
        <f>(((E756*'Appendix K'!$C$8*1000)-('Appendix K'!$E$34+'Appendix K'!$F$34+'Appendix K'!$H$34+'Appendix K'!$G$34))/((1+$Y$16)^4))</f>
        <v>14324674.305462649</v>
      </c>
      <c r="AC756" s="193">
        <f>(((F756*'Appendix K'!$C$9*1000)-('Appendix K'!$E$35+'Appendix K'!$F$35+'Appendix K'!$H$35+'Appendix K'!$G$35))/((1+$Y$16)^AC$34))</f>
        <v>32303270.204238065</v>
      </c>
      <c r="AD756" s="193">
        <f>(((G756*'Appendix K'!$C$10*1000)-('Appendix K'!$E$36+'Appendix K'!$F$36+'Appendix K'!$H$36+'Appendix K'!$G$36))/((1+$Y$16)^AD$34))</f>
        <v>18394889.004357196</v>
      </c>
      <c r="AE756" s="193">
        <f>(((H756*'Appendix K'!$C$11*1000)-('Appendix K'!$E$37+'Appendix K'!$F$37+'Appendix K'!$H$37+'Appendix K'!$G$37))/((1+$Y$16)^AE$34))</f>
        <v>11120315.695488583</v>
      </c>
      <c r="AF756" s="193">
        <f>(((I756*'Appendix K'!$C$12*1000)-('Appendix K'!$E$38+'Appendix K'!$F$38+'Appendix K'!$H$38+'Appendix K'!$G$38))/((1+$Y$16)^AF$34))</f>
        <v>8554937.543592535</v>
      </c>
      <c r="AG756" s="193">
        <f>(((J756*'Appendix K'!$C$13*1000)-('Appendix K'!$E$39+'Appendix K'!$F$39+'Appendix K'!$H$39+'Appendix K'!$G$39))/((1+$Y$16)^AG$34))</f>
        <v>2677316.3056805492</v>
      </c>
      <c r="AH756" s="193">
        <f>(((K756*'Appendix K'!$C$14*1000)-('Appendix K'!$E$40+'Appendix K'!$F$40+'Appendix K'!$H$40+'Appendix K'!$G$40))/((1+$Y$16)^AH$34))</f>
        <v>2034628.2749129743</v>
      </c>
      <c r="AI756" s="193">
        <f>(((L756*'Appendix K'!$C$15*1000)-('Appendix K'!$E$41+'Appendix K'!$F$41+'Appendix K'!$H$41+'Appendix K'!$G$41))/((1+$Y$16)^AI$34))</f>
        <v>2230156.9348522187</v>
      </c>
      <c r="AJ756" s="193">
        <f>(((M756*'Appendix K'!$C$16*1000)-('Appendix K'!$E$42+'Appendix K'!$F$42+'Appendix K'!$H$42+'Appendix K'!$G$42))/((1+$Y$16)^AJ$34))</f>
        <v>2847154.0815514382</v>
      </c>
      <c r="AK756" s="193">
        <f>(((N756*'Appendix K'!$C$17*1000)-('Appendix K'!$E$43+'Appendix K'!$F$43+'Appendix K'!$H$43))/((1+$Y$16)^AK$34))</f>
        <v>2271724.5293449271</v>
      </c>
      <c r="AL756" s="193">
        <f>(((O756*'Appendix K'!$C$18*1000)-('Appendix K'!$E$44+'Appendix K'!$F$44+'Appendix K'!$H$44+'Appendix K'!$G$44))/((1+$Y$16)^AL$34))</f>
        <v>2504787.8016056041</v>
      </c>
      <c r="AM756" s="193">
        <f>(((P756*'Appendix K'!$C$19*1000)-('Appendix K'!$E$45+'Appendix K'!$F$45+'Appendix K'!$H$45+'Appendix K'!$G$45))/((1+$Y$16)^AM$34))</f>
        <v>3607599.9540230581</v>
      </c>
      <c r="AN756" s="193">
        <f>(((Q756*'Appendix K'!$C$20*1000)-('Appendix K'!$E$46+'Appendix K'!$F$46+'Appendix K'!$H$46+'Appendix K'!$G$46))/((1+$Y$16)^AN$34))</f>
        <v>2283872.4712221986</v>
      </c>
      <c r="AO756" s="193">
        <f>(((R756*'Appendix K'!$C$21*1000)-('Appendix K'!$E$47+'Appendix K'!$F$47+'Appendix K'!$H$47+'Appendix K'!$G$47))/((1+$Y$16)^AO$34))</f>
        <v>733693.36454353528</v>
      </c>
      <c r="AP756" s="193">
        <f>(((S756*'Appendix K'!$C$22*1000)-('Appendix K'!$E$48+'Appendix K'!$F$48+'Appendix K'!$H$48+'Appendix K'!$G$48))/((1+$Y$16)^AP$34))</f>
        <v>605995.75967172615</v>
      </c>
      <c r="AQ756" s="193">
        <f>(((T756*'Appendix K'!$C$23*1000)-('Appendix K'!$E$49+'Appendix K'!$F$49+'Appendix K'!$H$49+'Appendix K'!$G$49))/((1+$Y$16)^AQ$34))</f>
        <v>761767.97499768471</v>
      </c>
      <c r="AR756" s="193">
        <f>(((U756*'Appendix K'!$C$24*1000)-('Appendix K'!$E$50+'Appendix K'!$F$50+'Appendix K'!$H$50+'Appendix K'!$G$50))/((1+$Y$16)^AR$34))</f>
        <v>404141.4052715876</v>
      </c>
      <c r="AS756" s="209">
        <f t="shared" si="38"/>
        <v>129880026.71961254</v>
      </c>
      <c r="AU756" s="199">
        <f t="shared" si="37"/>
        <v>5.3273083608857847E-9</v>
      </c>
    </row>
    <row r="757" spans="1:47" x14ac:dyDescent="0.35">
      <c r="A757">
        <v>723</v>
      </c>
      <c r="B757" s="70">
        <v>56</v>
      </c>
      <c r="C757" s="70">
        <v>59.511693669730484</v>
      </c>
      <c r="D757" s="70">
        <v>105.48619804465147</v>
      </c>
      <c r="E757" s="70">
        <v>116.68265189800303</v>
      </c>
      <c r="F757" s="70">
        <v>76.864177361932292</v>
      </c>
      <c r="G757" s="70">
        <v>77.240231723881067</v>
      </c>
      <c r="H757" s="70">
        <v>66.685302083606985</v>
      </c>
      <c r="I757" s="70">
        <v>114.63614585915045</v>
      </c>
      <c r="J757" s="70">
        <v>137.36753858720297</v>
      </c>
      <c r="K757" s="70">
        <v>158.68884317346618</v>
      </c>
      <c r="L757" s="70">
        <v>169.510309803155</v>
      </c>
      <c r="M757" s="70">
        <v>180.55625006103239</v>
      </c>
      <c r="N757" s="70">
        <v>152.69206315294525</v>
      </c>
      <c r="O757" s="70">
        <v>130.78043914235207</v>
      </c>
      <c r="P757" s="70">
        <v>98.899106919678559</v>
      </c>
      <c r="Q757" s="70">
        <v>60.984972107312437</v>
      </c>
      <c r="R757" s="70">
        <v>94.625342618716687</v>
      </c>
      <c r="S757" s="70">
        <v>86.782729525546131</v>
      </c>
      <c r="T757" s="70">
        <v>47.418621749930011</v>
      </c>
      <c r="U757" s="70">
        <v>29.861091384718083</v>
      </c>
      <c r="V757" s="70">
        <v>47.601215259552035</v>
      </c>
      <c r="X757" s="193">
        <f>((0-('Appendix K'!$I$30))/(1+$Y$16)^0)</f>
        <v>-33594902.4440751</v>
      </c>
      <c r="Y757" s="193">
        <f>(((B757*'Appendix K'!$C$5*1000)-('Appendix K'!$E$31+'Appendix K'!$F$31+'Appendix K'!$H$31+'Appendix K'!$G$31))/((1+$Y$16)^1))</f>
        <v>34971064.972647354</v>
      </c>
      <c r="Z757" s="193">
        <f>+(((C757*'Appendix K'!$C$6*1000)-('Appendix K'!$E$32+'Appendix K'!$F$32+'Appendix K'!$H$32+'Appendix K'!$G$32))/((1+$Y$16)^2))</f>
        <v>11546423.986968953</v>
      </c>
      <c r="AA757" s="193">
        <f>(((D757*'Appendix K'!$C$7*1000)-('Appendix K'!$E$33+'Appendix K'!$F$33+'Appendix K'!$H$33+'Appendix K'!$G$33))/((1+$Y$16)^3))</f>
        <v>10471392.948595874</v>
      </c>
      <c r="AB757" s="193">
        <f>(((E757*'Appendix K'!$C$8*1000)-('Appendix K'!$E$34+'Appendix K'!$F$34+'Appendix K'!$H$34+'Appendix K'!$G$34))/((1+$Y$16)^4))</f>
        <v>22282561.280317198</v>
      </c>
      <c r="AC757" s="193">
        <f>(((F757*'Appendix K'!$C$9*1000)-('Appendix K'!$E$35+'Appendix K'!$F$35+'Appendix K'!$H$35+'Appendix K'!$G$35))/((1+$Y$16)^AC$34))</f>
        <v>17446149.12522465</v>
      </c>
      <c r="AD757" s="193">
        <f>(((G757*'Appendix K'!$C$10*1000)-('Appendix K'!$E$36+'Appendix K'!$F$36+'Appendix K'!$H$36+'Appendix K'!$G$36))/((1+$Y$16)^AD$34))</f>
        <v>9614348.2281634025</v>
      </c>
      <c r="AE757" s="193">
        <f>(((H757*'Appendix K'!$C$11*1000)-('Appendix K'!$E$37+'Appendix K'!$F$37+'Appendix K'!$H$37+'Appendix K'!$G$37))/((1+$Y$16)^AE$34))</f>
        <v>4431092.9426731942</v>
      </c>
      <c r="AF757" s="193">
        <f>(((I757*'Appendix K'!$C$12*1000)-('Appendix K'!$E$38+'Appendix K'!$F$38+'Appendix K'!$H$38+'Appendix K'!$G$38))/((1+$Y$16)^AF$34))</f>
        <v>5530708.5528680552</v>
      </c>
      <c r="AG757" s="193">
        <f>(((J757*'Appendix K'!$C$13*1000)-('Appendix K'!$E$39+'Appendix K'!$F$39+'Appendix K'!$H$39+'Appendix K'!$G$39))/((1+$Y$16)^AG$34))</f>
        <v>4506563.6234220276</v>
      </c>
      <c r="AH757" s="193">
        <f>(((K757*'Appendix K'!$C$14*1000)-('Appendix K'!$E$40+'Appendix K'!$F$40+'Appendix K'!$H$40+'Appendix K'!$G$40))/((1+$Y$16)^AH$34))</f>
        <v>3716108.5822700267</v>
      </c>
      <c r="AI757" s="193">
        <f>(((L757*'Appendix K'!$C$15*1000)-('Appendix K'!$E$41+'Appendix K'!$F$41+'Appendix K'!$H$41+'Appendix K'!$G$41))/((1+$Y$16)^AI$34))</f>
        <v>2925005.7543453085</v>
      </c>
      <c r="AJ757" s="193">
        <f>(((M757*'Appendix K'!$C$16*1000)-('Appendix K'!$E$42+'Appendix K'!$F$42+'Appendix K'!$H$42+'Appendix K'!$G$42))/((1+$Y$16)^AJ$34))</f>
        <v>2237133.3870524066</v>
      </c>
      <c r="AK757" s="193">
        <f>(((N757*'Appendix K'!$C$17*1000)-('Appendix K'!$E$43+'Appendix K'!$F$43+'Appendix K'!$H$43))/((1+$Y$16)^AK$34))</f>
        <v>1341686.5852554992</v>
      </c>
      <c r="AL757" s="193">
        <f>(((O757*'Appendix K'!$C$18*1000)-('Appendix K'!$E$44+'Appendix K'!$F$44+'Appendix K'!$H$44+'Appendix K'!$G$44))/((1+$Y$16)^AL$34))</f>
        <v>415589.90190636483</v>
      </c>
      <c r="AM757" s="193">
        <f>(((P757*'Appendix K'!$C$19*1000)-('Appendix K'!$E$45+'Appendix K'!$F$45+'Appendix K'!$H$45+'Appendix K'!$G$45))/((1+$Y$16)^AM$34))</f>
        <v>-110096.64557944893</v>
      </c>
      <c r="AN757" s="193">
        <f>(((Q757*'Appendix K'!$C$20*1000)-('Appendix K'!$E$46+'Appendix K'!$F$46+'Appendix K'!$H$46+'Appendix K'!$G$46))/((1+$Y$16)^AN$34))</f>
        <v>-474408.35361175914</v>
      </c>
      <c r="AO757" s="193">
        <f>(((R757*'Appendix K'!$C$21*1000)-('Appendix K'!$E$47+'Appendix K'!$F$47+'Appendix K'!$H$47+'Appendix K'!$G$47))/((1+$Y$16)^AO$34))</f>
        <v>-283752.69629272801</v>
      </c>
      <c r="AP757" s="193">
        <f>(((S757*'Appendix K'!$C$22*1000)-('Appendix K'!$E$48+'Appendix K'!$F$48+'Appendix K'!$H$48+'Appendix K'!$G$48))/((1+$Y$16)^AP$34))</f>
        <v>-348788.31468436233</v>
      </c>
      <c r="AQ757" s="193">
        <f>(((T757*'Appendix K'!$C$23*1000)-('Appendix K'!$E$49+'Appendix K'!$F$49+'Appendix K'!$H$49+'Appendix K'!$G$49))/((1+$Y$16)^AQ$34))</f>
        <v>-507901.28546106018</v>
      </c>
      <c r="AR757" s="193">
        <f>(((U757*'Appendix K'!$C$24*1000)-('Appendix K'!$E$50+'Appendix K'!$F$50+'Appendix K'!$H$50+'Appendix K'!$G$50))/((1+$Y$16)^AR$34))</f>
        <v>-533135.31837581831</v>
      </c>
      <c r="AS757" s="209">
        <f t="shared" si="38"/>
        <v>97840927.427635223</v>
      </c>
      <c r="AU757" s="199">
        <f t="shared" si="37"/>
        <v>6.9165198708509485E-9</v>
      </c>
    </row>
    <row r="758" spans="1:47" x14ac:dyDescent="0.35">
      <c r="A758">
        <v>724</v>
      </c>
      <c r="B758" s="70">
        <v>56</v>
      </c>
      <c r="C758" s="70">
        <v>54.591840951518385</v>
      </c>
      <c r="D758" s="70">
        <v>79.251964869063016</v>
      </c>
      <c r="E758" s="70">
        <v>104.25946681139911</v>
      </c>
      <c r="F758" s="70">
        <v>122.69026654496561</v>
      </c>
      <c r="G758" s="70">
        <v>92.385500619155209</v>
      </c>
      <c r="H758" s="70">
        <v>118.01166281300979</v>
      </c>
      <c r="I758" s="70">
        <v>92.076198563106672</v>
      </c>
      <c r="J758" s="70">
        <v>153.47771988799687</v>
      </c>
      <c r="K758" s="70">
        <v>99.578980266710275</v>
      </c>
      <c r="L758" s="70">
        <v>148.43349784466318</v>
      </c>
      <c r="M758" s="70">
        <v>135.28980367217184</v>
      </c>
      <c r="N758" s="70">
        <v>147.53411993809283</v>
      </c>
      <c r="O758" s="70">
        <v>225.49668956353381</v>
      </c>
      <c r="P758" s="70">
        <v>322.14842824613226</v>
      </c>
      <c r="Q758" s="70">
        <v>255.43532628612931</v>
      </c>
      <c r="R758" s="70">
        <v>185.71173177998421</v>
      </c>
      <c r="S758" s="70">
        <v>209.1644208847608</v>
      </c>
      <c r="T758" s="70">
        <v>304.98243432225354</v>
      </c>
      <c r="U758" s="70">
        <v>411.5846587227536</v>
      </c>
      <c r="V758" s="70">
        <v>500</v>
      </c>
      <c r="X758" s="193">
        <f>((0-('Appendix K'!$I$30))/(1+$Y$16)^0)</f>
        <v>-33594902.4440751</v>
      </c>
      <c r="Y758" s="193">
        <f>(((B758*'Appendix K'!$C$5*1000)-('Appendix K'!$E$31+'Appendix K'!$F$31+'Appendix K'!$H$31+'Appendix K'!$G$31))/((1+$Y$16)^1))</f>
        <v>34971064.972647354</v>
      </c>
      <c r="Z758" s="193">
        <f>+(((C758*'Appendix K'!$C$6*1000)-('Appendix K'!$E$32+'Appendix K'!$F$32+'Appendix K'!$H$32+'Appendix K'!$G$32))/((1+$Y$16)^2))</f>
        <v>10303585.045497052</v>
      </c>
      <c r="AA758" s="193">
        <f>(((D758*'Appendix K'!$C$7*1000)-('Appendix K'!$E$33+'Appendix K'!$F$33+'Appendix K'!$H$33+'Appendix K'!$G$33))/((1+$Y$16)^3))</f>
        <v>7129810.8464331124</v>
      </c>
      <c r="AB758" s="193">
        <f>(((E758*'Appendix K'!$C$8*1000)-('Appendix K'!$E$34+'Appendix K'!$F$34+'Appendix K'!$H$34+'Appendix K'!$G$34))/((1+$Y$16)^4))</f>
        <v>19559512.832647178</v>
      </c>
      <c r="AC758" s="193">
        <f>(((F758*'Appendix K'!$C$9*1000)-('Appendix K'!$E$35+'Appendix K'!$F$35+'Appendix K'!$H$35+'Appendix K'!$G$35))/((1+$Y$16)^AC$34))</f>
        <v>29626651.670201685</v>
      </c>
      <c r="AD758" s="193">
        <f>(((G758*'Appendix K'!$C$10*1000)-('Appendix K'!$E$36+'Appendix K'!$F$36+'Appendix K'!$H$36+'Appendix K'!$G$36))/((1+$Y$16)^AD$34))</f>
        <v>11992821.102254439</v>
      </c>
      <c r="AE758" s="193">
        <f>(((H758*'Appendix K'!$C$11*1000)-('Appendix K'!$E$37+'Appendix K'!$F$37+'Appendix K'!$H$37+'Appendix K'!$G$37))/((1+$Y$16)^AE$34))</f>
        <v>9550262.4586298149</v>
      </c>
      <c r="AF758" s="193">
        <f>(((I758*'Appendix K'!$C$12*1000)-('Appendix K'!$E$38+'Appendix K'!$F$38+'Appendix K'!$H$38+'Appendix K'!$G$38))/((1+$Y$16)^AF$34))</f>
        <v>4049367.6595370271</v>
      </c>
      <c r="AG758" s="193">
        <f>(((J758*'Appendix K'!$C$13*1000)-('Appendix K'!$E$39+'Appendix K'!$F$39+'Appendix K'!$H$39+'Appendix K'!$G$39))/((1+$Y$16)^AG$34))</f>
        <v>5247936.9702615114</v>
      </c>
      <c r="AH758" s="193">
        <f>(((K758*'Appendix K'!$C$14*1000)-('Appendix K'!$E$40+'Appendix K'!$F$40+'Appendix K'!$H$40+'Appendix K'!$G$40))/((1+$Y$16)^AH$34))</f>
        <v>1723720.4066507958</v>
      </c>
      <c r="AI758" s="193">
        <f>(((L758*'Appendix K'!$C$15*1000)-('Appendix K'!$E$41+'Appendix K'!$F$41+'Appendix K'!$H$41+'Appendix K'!$G$41))/((1+$Y$16)^AI$34))</f>
        <v>2372753.8672011942</v>
      </c>
      <c r="AJ758" s="193">
        <f>(((M758*'Appendix K'!$C$16*1000)-('Appendix K'!$E$42+'Appendix K'!$F$42+'Appendix K'!$H$42+'Appendix K'!$G$42))/((1+$Y$16)^AJ$34))</f>
        <v>1329909.2899624561</v>
      </c>
      <c r="AK758" s="193">
        <f>(((N758*'Appendix K'!$C$17*1000)-('Appendix K'!$E$43+'Appendix K'!$F$43+'Appendix K'!$H$43))/((1+$Y$16)^AK$34))</f>
        <v>1262440.47458447</v>
      </c>
      <c r="AL758" s="193">
        <f>(((O758*'Appendix K'!$C$18*1000)-('Appendix K'!$E$44+'Appendix K'!$F$44+'Appendix K'!$H$44+'Appendix K'!$G$44))/((1+$Y$16)^AL$34))</f>
        <v>1538289.4886066888</v>
      </c>
      <c r="AM758" s="193">
        <f>(((P758*'Appendix K'!$C$19*1000)-('Appendix K'!$E$45+'Appendix K'!$F$45+'Appendix K'!$H$45+'Appendix K'!$G$45))/((1+$Y$16)^AM$34))</f>
        <v>1959141.4366023329</v>
      </c>
      <c r="AN758" s="193">
        <f>(((Q758*'Appendix K'!$C$20*1000)-('Appendix K'!$E$46+'Appendix K'!$F$46+'Appendix K'!$H$46+'Appendix K'!$G$46))/((1+$Y$16)^AN$34))</f>
        <v>932676.58373556728</v>
      </c>
      <c r="AO758" s="193">
        <f>(((R758*'Appendix K'!$C$21*1000)-('Appendix K'!$E$47+'Appendix K'!$F$47+'Appendix K'!$H$47+'Appendix K'!$G$47))/((1+$Y$16)^AO$34))</f>
        <v>254577.92687830265</v>
      </c>
      <c r="AP758" s="193">
        <f>(((S758*'Appendix K'!$C$22*1000)-('Appendix K'!$E$48+'Appendix K'!$F$48+'Appendix K'!$H$48+'Appendix K'!$G$48))/((1+$Y$16)^AP$34))</f>
        <v>237385.63948696002</v>
      </c>
      <c r="AQ758" s="193">
        <f>(((T758*'Appendix K'!$C$23*1000)-('Appendix K'!$E$49+'Appendix K'!$F$49+'Appendix K'!$H$49+'Appendix K'!$G$49))/((1+$Y$16)^AQ$34))</f>
        <v>500137.5389199389</v>
      </c>
      <c r="AR758" s="193">
        <f>(((U758*'Appendix K'!$C$24*1000)-('Appendix K'!$E$50+'Appendix K'!$F$50+'Appendix K'!$H$50+'Appendix K'!$G$50))/((1+$Y$16)^AR$34))</f>
        <v>696025.26391130232</v>
      </c>
      <c r="AS758" s="209">
        <f t="shared" si="38"/>
        <v>111643169.03057405</v>
      </c>
      <c r="AU758" s="199">
        <f t="shared" si="37"/>
        <v>6.4271021415574147E-9</v>
      </c>
    </row>
    <row r="759" spans="1:47" x14ac:dyDescent="0.35">
      <c r="A759">
        <v>725</v>
      </c>
      <c r="B759" s="70">
        <v>56</v>
      </c>
      <c r="C759" s="70">
        <v>93.035523792733017</v>
      </c>
      <c r="D759" s="70">
        <v>84.234604557318008</v>
      </c>
      <c r="E759" s="70">
        <v>89.700270776630802</v>
      </c>
      <c r="F759" s="70">
        <v>104.76449747481541</v>
      </c>
      <c r="G759" s="70">
        <v>109.63425157154995</v>
      </c>
      <c r="H759" s="70">
        <v>123.49300585721602</v>
      </c>
      <c r="I759" s="70">
        <v>112.15583699929003</v>
      </c>
      <c r="J759" s="70">
        <v>143.59606356697282</v>
      </c>
      <c r="K759" s="70">
        <v>92.128534341538654</v>
      </c>
      <c r="L759" s="70">
        <v>89.975971548726932</v>
      </c>
      <c r="M759" s="70">
        <v>54.353252323898808</v>
      </c>
      <c r="N759" s="70">
        <v>55.521322289998693</v>
      </c>
      <c r="O759" s="70">
        <v>38.642990984963532</v>
      </c>
      <c r="P759" s="70">
        <v>42.316375133142451</v>
      </c>
      <c r="Q759" s="70">
        <v>33.69053953862683</v>
      </c>
      <c r="R759" s="70">
        <v>53.759688700403913</v>
      </c>
      <c r="S759" s="70">
        <v>29.290758846665025</v>
      </c>
      <c r="T759" s="70">
        <v>28.656279252670032</v>
      </c>
      <c r="U759" s="70">
        <v>40.354259099861856</v>
      </c>
      <c r="V759" s="70">
        <v>54.192320723046173</v>
      </c>
      <c r="X759" s="193">
        <f>((0-('Appendix K'!$I$30))/(1+$Y$16)^0)</f>
        <v>-33594902.4440751</v>
      </c>
      <c r="Y759" s="193">
        <f>(((B759*'Appendix K'!$C$5*1000)-('Appendix K'!$E$31+'Appendix K'!$F$31+'Appendix K'!$H$31+'Appendix K'!$G$31))/((1+$Y$16)^1))</f>
        <v>34971064.972647354</v>
      </c>
      <c r="Z759" s="193">
        <f>+(((C759*'Appendix K'!$C$6*1000)-('Appendix K'!$E$32+'Appendix K'!$F$32+'Appendix K'!$H$32+'Appendix K'!$G$32))/((1+$Y$16)^2))</f>
        <v>20015116.838265821</v>
      </c>
      <c r="AA759" s="193">
        <f>(((D759*'Appendix K'!$C$7*1000)-('Appendix K'!$E$33+'Appendix K'!$F$33+'Appendix K'!$H$33+'Appendix K'!$G$33))/((1+$Y$16)^3))</f>
        <v>7764473.9407328088</v>
      </c>
      <c r="AB759" s="193">
        <f>(((E759*'Appendix K'!$C$8*1000)-('Appendix K'!$E$34+'Appendix K'!$F$34+'Appendix K'!$H$34+'Appendix K'!$G$34))/((1+$Y$16)^4))</f>
        <v>16368270.338437745</v>
      </c>
      <c r="AC759" s="193">
        <f>(((F759*'Appendix K'!$C$9*1000)-('Appendix K'!$E$35+'Appendix K'!$F$35+'Appendix K'!$H$35+'Appendix K'!$G$35))/((1+$Y$16)^AC$34))</f>
        <v>24862010.399864458</v>
      </c>
      <c r="AD759" s="193">
        <f>(((G759*'Appendix K'!$C$10*1000)-('Appendix K'!$E$36+'Appendix K'!$F$36+'Appendix K'!$H$36+'Appendix K'!$G$36))/((1+$Y$16)^AD$34))</f>
        <v>14701633.110539367</v>
      </c>
      <c r="AE759" s="193">
        <f>(((H759*'Appendix K'!$C$11*1000)-('Appendix K'!$E$37+'Appendix K'!$F$37+'Appendix K'!$H$37+'Appendix K'!$G$37))/((1+$Y$16)^AE$34))</f>
        <v>10096958.616698295</v>
      </c>
      <c r="AF759" s="193">
        <f>(((I759*'Appendix K'!$C$12*1000)-('Appendix K'!$E$38+'Appendix K'!$F$38+'Appendix K'!$H$38+'Appendix K'!$G$38))/((1+$Y$16)^AF$34))</f>
        <v>5367845.4533231892</v>
      </c>
      <c r="AG759" s="193">
        <f>(((J759*'Appendix K'!$C$13*1000)-('Appendix K'!$E$39+'Appendix K'!$F$39+'Appendix K'!$H$39+'Appendix K'!$G$39))/((1+$Y$16)^AG$34))</f>
        <v>4793193.6944254953</v>
      </c>
      <c r="AH759" s="193">
        <f>(((K759*'Appendix K'!$C$14*1000)-('Appendix K'!$E$40+'Appendix K'!$F$40+'Appendix K'!$H$40+'Appendix K'!$G$40))/((1+$Y$16)^AH$34))</f>
        <v>1472591.7517287119</v>
      </c>
      <c r="AI759" s="193">
        <f>(((L759*'Appendix K'!$C$15*1000)-('Appendix K'!$E$41+'Appendix K'!$F$41+'Appendix K'!$H$41+'Appendix K'!$G$41))/((1+$Y$16)^AI$34))</f>
        <v>841057.36213745805</v>
      </c>
      <c r="AJ759" s="193">
        <f>(((M759*'Appendix K'!$C$16*1000)-('Appendix K'!$E$42+'Appendix K'!$F$42+'Appendix K'!$H$42+'Appendix K'!$G$42))/((1+$Y$16)^AJ$34))</f>
        <v>-292210.30581347796</v>
      </c>
      <c r="AK759" s="193">
        <f>(((N759*'Appendix K'!$C$17*1000)-('Appendix K'!$E$43+'Appendix K'!$F$43+'Appendix K'!$H$43))/((1+$Y$16)^AK$34))</f>
        <v>-151234.71373001317</v>
      </c>
      <c r="AL759" s="193">
        <f>(((O759*'Appendix K'!$C$18*1000)-('Appendix K'!$E$44+'Appendix K'!$F$44+'Appendix K'!$H$44+'Appendix K'!$G$44))/((1+$Y$16)^AL$34))</f>
        <v>-676542.38274316955</v>
      </c>
      <c r="AM759" s="193">
        <f>(((P759*'Appendix K'!$C$19*1000)-('Appendix K'!$E$45+'Appendix K'!$F$45+'Appendix K'!$H$45+'Appendix K'!$G$45))/((1+$Y$16)^AM$34))</f>
        <v>-634546.81058294931</v>
      </c>
      <c r="AN759" s="193">
        <f>(((Q759*'Appendix K'!$C$20*1000)-('Appendix K'!$E$46+'Appendix K'!$F$46+'Appendix K'!$H$46+'Appendix K'!$G$46))/((1+$Y$16)^AN$34))</f>
        <v>-671916.78759240371</v>
      </c>
      <c r="AO759" s="193">
        <f>(((R759*'Appendix K'!$C$21*1000)-('Appendix K'!$E$47+'Appendix K'!$F$47+'Appendix K'!$H$47+'Appendix K'!$G$47))/((1+$Y$16)^AO$34))</f>
        <v>-525273.22578904557</v>
      </c>
      <c r="AP759" s="193">
        <f>(((S759*'Appendix K'!$C$22*1000)-('Appendix K'!$E$48+'Appendix K'!$F$48+'Appendix K'!$H$48+'Appendix K'!$G$48))/((1+$Y$16)^AP$34))</f>
        <v>-624158.71863657096</v>
      </c>
      <c r="AQ759" s="193">
        <f>(((T759*'Appendix K'!$C$23*1000)-('Appendix K'!$E$49+'Appendix K'!$F$49+'Appendix K'!$H$49+'Appendix K'!$G$49))/((1+$Y$16)^AQ$34))</f>
        <v>-581332.29071247077</v>
      </c>
      <c r="AR759" s="193">
        <f>(((U759*'Appendix K'!$C$24*1000)-('Appendix K'!$E$50+'Appendix K'!$F$50+'Appendix K'!$H$50+'Appendix K'!$G$50))/((1+$Y$16)^AR$34))</f>
        <v>-499347.02432647313</v>
      </c>
      <c r="AS759" s="209">
        <f t="shared" si="38"/>
        <v>107659314.03472561</v>
      </c>
      <c r="AU759" s="199">
        <f t="shared" si="37"/>
        <v>6.6046838640315784E-9</v>
      </c>
    </row>
    <row r="760" spans="1:47" x14ac:dyDescent="0.35">
      <c r="A760">
        <v>726</v>
      </c>
      <c r="B760" s="70">
        <v>56</v>
      </c>
      <c r="C760" s="70">
        <v>39.160982542712482</v>
      </c>
      <c r="D760" s="70">
        <v>58.915267526985993</v>
      </c>
      <c r="E760" s="70">
        <v>54.49395320505127</v>
      </c>
      <c r="F760" s="70">
        <v>59.385310889045385</v>
      </c>
      <c r="G760" s="70">
        <v>64.776360077007197</v>
      </c>
      <c r="H760" s="70">
        <v>42.395844163171702</v>
      </c>
      <c r="I760" s="70">
        <v>37.735311785800256</v>
      </c>
      <c r="J760" s="70">
        <v>38.696730081811246</v>
      </c>
      <c r="K760" s="70">
        <v>28.748653463546802</v>
      </c>
      <c r="L760" s="70">
        <v>34.408142624537497</v>
      </c>
      <c r="M760" s="70">
        <v>33.663901724244937</v>
      </c>
      <c r="N760" s="70">
        <v>36.808888531856141</v>
      </c>
      <c r="O760" s="70">
        <v>48.163266929329311</v>
      </c>
      <c r="P760" s="70">
        <v>86.38184863580733</v>
      </c>
      <c r="Q760" s="70">
        <v>101.20752942819236</v>
      </c>
      <c r="R760" s="70">
        <v>78.867077531940623</v>
      </c>
      <c r="S760" s="70">
        <v>53.051639342006425</v>
      </c>
      <c r="T760" s="70">
        <v>47.338224586607176</v>
      </c>
      <c r="U760" s="70">
        <v>35.717160113851492</v>
      </c>
      <c r="V760" s="70">
        <v>39.38525795850061</v>
      </c>
      <c r="X760" s="193">
        <f>((0-('Appendix K'!$I$30))/(1+$Y$16)^0)</f>
        <v>-33594902.4440751</v>
      </c>
      <c r="Y760" s="193">
        <f>(((B760*'Appendix K'!$C$5*1000)-('Appendix K'!$E$31+'Appendix K'!$F$31+'Appendix K'!$H$31+'Appendix K'!$G$31))/((1+$Y$16)^1))</f>
        <v>34971064.972647354</v>
      </c>
      <c r="Z760" s="193">
        <f>+(((C760*'Appendix K'!$C$6*1000)-('Appendix K'!$E$32+'Appendix K'!$F$32+'Appendix K'!$H$32+'Appendix K'!$G$32))/((1+$Y$16)^2))</f>
        <v>6405486.2955465643</v>
      </c>
      <c r="AA760" s="193">
        <f>(((D760*'Appendix K'!$C$7*1000)-('Appendix K'!$E$33+'Appendix K'!$F$33+'Appendix K'!$H$33+'Appendix K'!$G$33))/((1+$Y$16)^3))</f>
        <v>4539426.6182933366</v>
      </c>
      <c r="AB760" s="193">
        <f>(((E760*'Appendix K'!$C$8*1000)-('Appendix K'!$E$34+'Appendix K'!$F$34+'Appendix K'!$H$34+'Appendix K'!$G$34))/((1+$Y$16)^4))</f>
        <v>8651367.8095650449</v>
      </c>
      <c r="AC760" s="193">
        <f>(((F760*'Appendix K'!$C$9*1000)-('Appendix K'!$E$35+'Appendix K'!$F$35+'Appendix K'!$H$35+'Appendix K'!$G$35))/((1+$Y$16)^AC$34))</f>
        <v>12800293.863476992</v>
      </c>
      <c r="AD760" s="193">
        <f>(((G760*'Appendix K'!$C$10*1000)-('Appendix K'!$E$36+'Appendix K'!$F$36+'Appendix K'!$H$36+'Appendix K'!$G$36))/((1+$Y$16)^AD$34))</f>
        <v>7656972.573546133</v>
      </c>
      <c r="AE760" s="193">
        <f>(((H760*'Appendix K'!$C$11*1000)-('Appendix K'!$E$37+'Appendix K'!$F$37+'Appendix K'!$H$37+'Appendix K'!$G$37))/((1+$Y$16)^AE$34))</f>
        <v>2008520.0039654453</v>
      </c>
      <c r="AF760" s="193">
        <f>(((I760*'Appendix K'!$C$12*1000)-('Appendix K'!$E$38+'Appendix K'!$F$38+'Appendix K'!$H$38+'Appendix K'!$G$38))/((1+$Y$16)^AF$34))</f>
        <v>481213.14628549176</v>
      </c>
      <c r="AG760" s="193">
        <f>(((J760*'Appendix K'!$C$13*1000)-('Appendix K'!$E$39+'Appendix K'!$F$39+'Appendix K'!$H$39+'Appendix K'!$G$39))/((1+$Y$16)^AG$34))</f>
        <v>-34161.659005128626</v>
      </c>
      <c r="AH760" s="193">
        <f>(((K760*'Appendix K'!$C$14*1000)-('Appendix K'!$E$40+'Appendix K'!$F$40+'Appendix K'!$H$40+'Appendix K'!$G$40))/((1+$Y$16)^AH$34))</f>
        <v>-663723.89888724766</v>
      </c>
      <c r="AI760" s="193">
        <f>(((L760*'Appendix K'!$C$15*1000)-('Appendix K'!$E$41+'Appendix K'!$F$41+'Appendix K'!$H$41+'Appendix K'!$G$41))/((1+$Y$16)^AI$34))</f>
        <v>-614923.66802592913</v>
      </c>
      <c r="AJ760" s="193">
        <f>(((M760*'Appendix K'!$C$16*1000)-('Appendix K'!$E$42+'Appendix K'!$F$42+'Appendix K'!$H$42+'Appendix K'!$G$42))/((1+$Y$16)^AJ$34))</f>
        <v>-706863.51839186647</v>
      </c>
      <c r="AK760" s="193">
        <f>(((N760*'Appendix K'!$C$17*1000)-('Appendix K'!$E$43+'Appendix K'!$F$43+'Appendix K'!$H$43))/((1+$Y$16)^AK$34))</f>
        <v>-438730.627266258</v>
      </c>
      <c r="AL760" s="193">
        <f>(((O760*'Appendix K'!$C$18*1000)-('Appendix K'!$E$44+'Appendix K'!$F$44+'Appendix K'!$H$44+'Appendix K'!$G$44))/((1+$Y$16)^AL$34))</f>
        <v>-563695.75061316497</v>
      </c>
      <c r="AM760" s="193">
        <f>(((P760*'Appendix K'!$C$19*1000)-('Appendix K'!$E$45+'Appendix K'!$F$45+'Appendix K'!$H$45+'Appendix K'!$G$45))/((1+$Y$16)^AM$34))</f>
        <v>-226115.75538725362</v>
      </c>
      <c r="AN760" s="193">
        <f>(((Q760*'Appendix K'!$C$20*1000)-('Appendix K'!$E$46+'Appendix K'!$F$46+'Appendix K'!$H$46+'Appendix K'!$G$46))/((1+$Y$16)^AN$34))</f>
        <v>-183349.20493181751</v>
      </c>
      <c r="AO760" s="193">
        <f>(((R760*'Appendix K'!$C$21*1000)-('Appendix K'!$E$47+'Appendix K'!$F$47+'Appendix K'!$H$47+'Appendix K'!$G$47))/((1+$Y$16)^AO$34))</f>
        <v>-376885.78392933524</v>
      </c>
      <c r="AP760" s="193">
        <f>(((S760*'Appendix K'!$C$22*1000)-('Appendix K'!$E$48+'Appendix K'!$F$48+'Appendix K'!$H$48+'Appendix K'!$G$48))/((1+$Y$16)^AP$34))</f>
        <v>-510350.76975257462</v>
      </c>
      <c r="AQ760" s="193">
        <f>(((T760*'Appendix K'!$C$23*1000)-('Appendix K'!$E$49+'Appendix K'!$F$49+'Appendix K'!$H$49+'Appendix K'!$G$49))/((1+$Y$16)^AQ$34))</f>
        <v>-508215.9393761041</v>
      </c>
      <c r="AR760" s="193">
        <f>(((U760*'Appendix K'!$C$24*1000)-('Appendix K'!$E$50+'Appendix K'!$F$50+'Appendix K'!$H$50+'Appendix K'!$G$50))/((1+$Y$16)^AR$34))</f>
        <v>-514278.61298764718</v>
      </c>
      <c r="AS760" s="209">
        <f t="shared" si="38"/>
        <v>43919442.839251257</v>
      </c>
      <c r="AU760" s="199">
        <f t="shared" si="37"/>
        <v>5.2262887345382483E-9</v>
      </c>
    </row>
    <row r="761" spans="1:47" x14ac:dyDescent="0.35">
      <c r="A761">
        <v>727</v>
      </c>
      <c r="B761" s="70">
        <v>56</v>
      </c>
      <c r="C761" s="70">
        <v>39.101076208448816</v>
      </c>
      <c r="D761" s="70">
        <v>49.448194351109322</v>
      </c>
      <c r="E761" s="70">
        <v>32.629875542299537</v>
      </c>
      <c r="F761" s="70">
        <v>47.948005463580337</v>
      </c>
      <c r="G761" s="70">
        <v>36.259140974808176</v>
      </c>
      <c r="H761" s="70">
        <v>50.107168537500016</v>
      </c>
      <c r="I761" s="70">
        <v>69.103986414937907</v>
      </c>
      <c r="J761" s="70">
        <v>90.578554656403199</v>
      </c>
      <c r="K761" s="70">
        <v>73.851749489206895</v>
      </c>
      <c r="L761" s="70">
        <v>59.689673188598711</v>
      </c>
      <c r="M761" s="70">
        <v>44.637355107180923</v>
      </c>
      <c r="N761" s="70">
        <v>37.634964814441609</v>
      </c>
      <c r="O761" s="70">
        <v>36.350711030289418</v>
      </c>
      <c r="P761" s="70">
        <v>41.205571547269983</v>
      </c>
      <c r="Q761" s="70">
        <v>35.84624199390403</v>
      </c>
      <c r="R761" s="70">
        <v>54.206352417778916</v>
      </c>
      <c r="S761" s="70">
        <v>49.239823283674355</v>
      </c>
      <c r="T761" s="70">
        <v>52.914340898115675</v>
      </c>
      <c r="U761" s="70">
        <v>65.739858001501318</v>
      </c>
      <c r="V761" s="70">
        <v>66.070397711028008</v>
      </c>
      <c r="X761" s="193">
        <f>((0-('Appendix K'!$I$30))/(1+$Y$16)^0)</f>
        <v>-33594902.4440751</v>
      </c>
      <c r="Y761" s="193">
        <f>(((B761*'Appendix K'!$C$5*1000)-('Appendix K'!$E$31+'Appendix K'!$F$31+'Appendix K'!$H$31+'Appendix K'!$G$31))/((1+$Y$16)^1))</f>
        <v>34971064.972647354</v>
      </c>
      <c r="Z761" s="193">
        <f>+(((C761*'Appendix K'!$C$6*1000)-('Appendix K'!$E$32+'Appendix K'!$F$32+'Appendix K'!$H$32+'Appendix K'!$G$32))/((1+$Y$16)^2))</f>
        <v>6390352.9309260948</v>
      </c>
      <c r="AA761" s="193">
        <f>(((D761*'Appendix K'!$C$7*1000)-('Appendix K'!$E$33+'Appendix K'!$F$33+'Appendix K'!$H$33+'Appendix K'!$G$33))/((1+$Y$16)^3))</f>
        <v>3333559.3809078066</v>
      </c>
      <c r="AB761" s="193">
        <f>(((E761*'Appendix K'!$C$8*1000)-('Appendix K'!$E$34+'Appendix K'!$F$34+'Appendix K'!$H$34+'Appendix K'!$G$34))/((1+$Y$16)^4))</f>
        <v>3858962.1322567095</v>
      </c>
      <c r="AC761" s="193">
        <f>(((F761*'Appendix K'!$C$9*1000)-('Appendix K'!$E$35+'Appendix K'!$F$35+'Appendix K'!$H$35+'Appendix K'!$G$35))/((1+$Y$16)^AC$34))</f>
        <v>9760276.041180782</v>
      </c>
      <c r="AD761" s="193">
        <f>(((G761*'Appendix K'!$C$10*1000)-('Appendix K'!$E$36+'Appendix K'!$F$36+'Appendix K'!$H$36+'Appendix K'!$G$36))/((1+$Y$16)^AD$34))</f>
        <v>3178515.7994801672</v>
      </c>
      <c r="AE761" s="193">
        <f>(((H761*'Appendix K'!$C$11*1000)-('Appendix K'!$E$37+'Appendix K'!$F$37+'Appendix K'!$H$37+'Appendix K'!$G$37))/((1+$Y$16)^AE$34))</f>
        <v>2777629.2122499277</v>
      </c>
      <c r="AF761" s="193">
        <f>(((I761*'Appendix K'!$C$12*1000)-('Appendix K'!$E$38+'Appendix K'!$F$38+'Appendix K'!$H$38+'Appendix K'!$G$38))/((1+$Y$16)^AF$34))</f>
        <v>2540956.4554325812</v>
      </c>
      <c r="AG761" s="193">
        <f>(((J761*'Appendix K'!$C$13*1000)-('Appendix K'!$E$39+'Appendix K'!$F$39+'Appendix K'!$H$39+'Appendix K'!$G$39))/((1+$Y$16)^AG$34))</f>
        <v>2353384.5272757635</v>
      </c>
      <c r="AH761" s="193">
        <f>(((K761*'Appendix K'!$C$14*1000)-('Appendix K'!$E$40+'Appendix K'!$F$40+'Appendix K'!$H$40+'Appendix K'!$G$40))/((1+$Y$16)^AH$34))</f>
        <v>856544.81408709998</v>
      </c>
      <c r="AI761" s="193">
        <f>(((L761*'Appendix K'!$C$15*1000)-('Appendix K'!$E$41+'Appendix K'!$F$41+'Appendix K'!$H$41+'Appendix K'!$G$41))/((1+$Y$16)^AI$34))</f>
        <v>47499.709446451343</v>
      </c>
      <c r="AJ761" s="193">
        <f>(((M761*'Appendix K'!$C$16*1000)-('Appendix K'!$E$42+'Appendix K'!$F$42+'Appendix K'!$H$42+'Appendix K'!$G$42))/((1+$Y$16)^AJ$34))</f>
        <v>-486935.02540235163</v>
      </c>
      <c r="AK761" s="193">
        <f>(((N761*'Appendix K'!$C$17*1000)-('Appendix K'!$E$43+'Appendix K'!$F$43+'Appendix K'!$H$43))/((1+$Y$16)^AK$34))</f>
        <v>-426038.87596430938</v>
      </c>
      <c r="AL761" s="193">
        <f>(((O761*'Appendix K'!$C$18*1000)-('Appendix K'!$E$44+'Appendix K'!$F$44+'Appendix K'!$H$44+'Appendix K'!$G$44))/((1+$Y$16)^AL$34))</f>
        <v>-703713.45155417209</v>
      </c>
      <c r="AM761" s="193">
        <f>(((P761*'Appendix K'!$C$19*1000)-('Appendix K'!$E$45+'Appendix K'!$F$45+'Appendix K'!$H$45+'Appendix K'!$G$45))/((1+$Y$16)^AM$34))</f>
        <v>-644842.55109429592</v>
      </c>
      <c r="AN761" s="193">
        <f>(((Q761*'Appendix K'!$C$20*1000)-('Appendix K'!$E$46+'Appendix K'!$F$46+'Appendix K'!$H$46+'Appendix K'!$G$46))/((1+$Y$16)^AN$34))</f>
        <v>-656317.65707380464</v>
      </c>
      <c r="AO761" s="193">
        <f>(((R761*'Appendix K'!$C$21*1000)-('Appendix K'!$E$47+'Appendix K'!$F$47+'Appendix K'!$H$47+'Appendix K'!$G$47))/((1+$Y$16)^AO$34))</f>
        <v>-522633.39387193386</v>
      </c>
      <c r="AP761" s="193">
        <f>(((S761*'Appendix K'!$C$22*1000)-('Appendix K'!$E$48+'Appendix K'!$F$48+'Appendix K'!$H$48+'Appendix K'!$G$48))/((1+$Y$16)^AP$34))</f>
        <v>-528608.29885411216</v>
      </c>
      <c r="AQ761" s="193">
        <f>(((T761*'Appendix K'!$C$23*1000)-('Appendix K'!$E$49+'Appendix K'!$F$49+'Appendix K'!$H$49+'Appendix K'!$G$49))/((1+$Y$16)^AQ$34))</f>
        <v>-486392.44765524595</v>
      </c>
      <c r="AR761" s="193">
        <f>(((U761*'Appendix K'!$C$24*1000)-('Appendix K'!$E$50+'Appendix K'!$F$50+'Appendix K'!$H$50+'Appendix K'!$G$50))/((1+$Y$16)^AR$34))</f>
        <v>-417604.68458768877</v>
      </c>
      <c r="AS761" s="209">
        <f t="shared" si="38"/>
        <v>36473843.531815611</v>
      </c>
      <c r="AU761" s="199">
        <f t="shared" si="37"/>
        <v>4.6836375480964326E-9</v>
      </c>
    </row>
    <row r="762" spans="1:47" x14ac:dyDescent="0.35">
      <c r="A762">
        <v>728</v>
      </c>
      <c r="B762" s="70">
        <v>56</v>
      </c>
      <c r="C762" s="70">
        <v>68.584348589120054</v>
      </c>
      <c r="D762" s="70">
        <v>66.806504903906941</v>
      </c>
      <c r="E762" s="70">
        <v>88.203610971978549</v>
      </c>
      <c r="F762" s="70">
        <v>109.03223441907986</v>
      </c>
      <c r="G762" s="70">
        <v>144.98265569651369</v>
      </c>
      <c r="H762" s="70">
        <v>205.37031955184085</v>
      </c>
      <c r="I762" s="70">
        <v>282.89029196136266</v>
      </c>
      <c r="J762" s="70">
        <v>240.20159667552707</v>
      </c>
      <c r="K762" s="70">
        <v>324.6250588303688</v>
      </c>
      <c r="L762" s="70">
        <v>344.70310326791343</v>
      </c>
      <c r="M762" s="70">
        <v>339.10237120146076</v>
      </c>
      <c r="N762" s="70">
        <v>422.45888916769547</v>
      </c>
      <c r="O762" s="70">
        <v>388.25719442751705</v>
      </c>
      <c r="P762" s="70">
        <v>359.60177542012707</v>
      </c>
      <c r="Q762" s="70">
        <v>500</v>
      </c>
      <c r="R762" s="70">
        <v>500</v>
      </c>
      <c r="S762" s="70">
        <v>500</v>
      </c>
      <c r="T762" s="70">
        <v>268.58806633377571</v>
      </c>
      <c r="U762" s="70">
        <v>331.28552996524132</v>
      </c>
      <c r="V762" s="70">
        <v>259.65572696726264</v>
      </c>
      <c r="X762" s="193">
        <f>((0-('Appendix K'!$I$30))/(1+$Y$16)^0)</f>
        <v>-33594902.4440751</v>
      </c>
      <c r="Y762" s="193">
        <f>(((B762*'Appendix K'!$C$5*1000)-('Appendix K'!$E$31+'Appendix K'!$F$31+'Appendix K'!$H$31+'Appendix K'!$G$31))/((1+$Y$16)^1))</f>
        <v>34971064.972647354</v>
      </c>
      <c r="Z762" s="193">
        <f>+(((C762*'Appendix K'!$C$6*1000)-('Appendix K'!$E$32+'Appendix K'!$F$32+'Appendix K'!$H$32+'Appendix K'!$G$32))/((1+$Y$16)^2))</f>
        <v>13838331.790349634</v>
      </c>
      <c r="AA762" s="193">
        <f>(((D762*'Appendix K'!$C$7*1000)-('Appendix K'!$E$33+'Appendix K'!$F$33+'Appendix K'!$H$33+'Appendix K'!$G$33))/((1+$Y$16)^3))</f>
        <v>5544571.971928983</v>
      </c>
      <c r="AB762" s="193">
        <f>(((E762*'Appendix K'!$C$8*1000)-('Appendix K'!$E$34+'Appendix K'!$F$34+'Appendix K'!$H$34+'Appendix K'!$G$34))/((1+$Y$16)^4))</f>
        <v>16040216.209859794</v>
      </c>
      <c r="AC762" s="193">
        <f>(((F762*'Appendix K'!$C$9*1000)-('Appendix K'!$E$35+'Appendix K'!$F$35+'Appendix K'!$H$35+'Appendix K'!$G$35))/((1+$Y$16)^AC$34))</f>
        <v>25996368.178100351</v>
      </c>
      <c r="AD762" s="193">
        <f>(((G762*'Appendix K'!$C$10*1000)-('Appendix K'!$E$36+'Appendix K'!$F$36+'Appendix K'!$H$36+'Appendix K'!$G$36))/((1+$Y$16)^AD$34))</f>
        <v>20252886.174119394</v>
      </c>
      <c r="AE762" s="193">
        <f>(((H762*'Appendix K'!$C$11*1000)-('Appendix K'!$E$37+'Appendix K'!$F$37+'Appendix K'!$H$37+'Appendix K'!$G$37))/((1+$Y$16)^AE$34))</f>
        <v>18263207.740101084</v>
      </c>
      <c r="AF762" s="193">
        <f>(((I762*'Appendix K'!$C$12*1000)-('Appendix K'!$E$38+'Appendix K'!$F$38+'Appendix K'!$H$38+'Appendix K'!$G$38))/((1+$Y$16)^AF$34))</f>
        <v>16578684.145320289</v>
      </c>
      <c r="AG762" s="193">
        <f>(((J762*'Appendix K'!$C$13*1000)-('Appendix K'!$E$39+'Appendix K'!$F$39+'Appendix K'!$H$39+'Appendix K'!$G$39))/((1+$Y$16)^AG$34))</f>
        <v>9238877.2076440584</v>
      </c>
      <c r="AH762" s="193">
        <f>(((K762*'Appendix K'!$C$14*1000)-('Appendix K'!$E$40+'Appendix K'!$F$40+'Appendix K'!$H$40+'Appendix K'!$G$40))/((1+$Y$16)^AH$34))</f>
        <v>9309242.0751245487</v>
      </c>
      <c r="AI762" s="193">
        <f>(((L762*'Appendix K'!$C$15*1000)-('Appendix K'!$E$41+'Appendix K'!$F$41+'Appendix K'!$H$41+'Appendix K'!$G$41))/((1+$Y$16)^AI$34))</f>
        <v>7515384.5552522102</v>
      </c>
      <c r="AJ762" s="193">
        <f>(((M762*'Appendix K'!$C$16*1000)-('Appendix K'!$E$42+'Appendix K'!$F$42+'Appendix K'!$H$42+'Appendix K'!$G$42))/((1+$Y$16)^AJ$34))</f>
        <v>5414693.6568184774</v>
      </c>
      <c r="AK762" s="193">
        <f>(((N762*'Appendix K'!$C$17*1000)-('Appendix K'!$E$43+'Appendix K'!$F$43+'Appendix K'!$H$43))/((1+$Y$16)^AK$34))</f>
        <v>5486356.438963633</v>
      </c>
      <c r="AL762" s="193">
        <f>(((O762*'Appendix K'!$C$18*1000)-('Appendix K'!$E$44+'Appendix K'!$F$44+'Appendix K'!$H$44+'Appendix K'!$G$44))/((1+$Y$16)^AL$34))</f>
        <v>3467537.6453840737</v>
      </c>
      <c r="AM762" s="193">
        <f>(((P762*'Appendix K'!$C$19*1000)-('Appendix K'!$E$45+'Appendix K'!$F$45+'Appendix K'!$H$45+'Appendix K'!$G$45))/((1+$Y$16)^AM$34))</f>
        <v>2306286.4662809614</v>
      </c>
      <c r="AN762" s="193">
        <f>(((Q762*'Appendix K'!$C$20*1000)-('Appendix K'!$E$46+'Appendix K'!$F$46+'Appendix K'!$H$46+'Appendix K'!$G$46))/((1+$Y$16)^AN$34))</f>
        <v>2702399.606577659</v>
      </c>
      <c r="AO762" s="193">
        <f>(((R762*'Appendix K'!$C$21*1000)-('Appendix K'!$E$47+'Appendix K'!$F$47+'Appendix K'!$H$47+'Appendix K'!$G$47))/((1+$Y$16)^AO$34))</f>
        <v>2112056.3146391152</v>
      </c>
      <c r="AP762" s="193">
        <f>(((S762*'Appendix K'!$C$22*1000)-('Appendix K'!$E$48+'Appendix K'!$F$48+'Appendix K'!$H$48+'Appendix K'!$G$48))/((1+$Y$16)^AP$34))</f>
        <v>1630406.4380253027</v>
      </c>
      <c r="AQ762" s="193">
        <f>(((T762*'Appendix K'!$C$23*1000)-('Appendix K'!$E$49+'Appendix K'!$F$49+'Appendix K'!$H$49+'Appendix K'!$G$49))/((1+$Y$16)^AQ$34))</f>
        <v>357699.29981019197</v>
      </c>
      <c r="AR762" s="193">
        <f>(((U762*'Appendix K'!$C$24*1000)-('Appendix K'!$E$50+'Appendix K'!$F$50+'Appendix K'!$H$50+'Appendix K'!$G$50))/((1+$Y$16)^AR$34))</f>
        <v>437459.81942218082</v>
      </c>
      <c r="AS762" s="209">
        <f t="shared" si="38"/>
        <v>167868828.2622942</v>
      </c>
      <c r="AU762" s="199">
        <f t="shared" si="37"/>
        <v>2.5864908522846519E-9</v>
      </c>
    </row>
    <row r="763" spans="1:47" x14ac:dyDescent="0.35">
      <c r="A763">
        <v>729</v>
      </c>
      <c r="B763" s="70">
        <v>56</v>
      </c>
      <c r="C763" s="70">
        <v>54.290991134521292</v>
      </c>
      <c r="D763" s="70">
        <v>74.33460376643977</v>
      </c>
      <c r="E763" s="70">
        <v>60.808132322618214</v>
      </c>
      <c r="F763" s="70">
        <v>53.017359884994626</v>
      </c>
      <c r="G763" s="70">
        <v>76.766584869105287</v>
      </c>
      <c r="H763" s="70">
        <v>90.064987036271418</v>
      </c>
      <c r="I763" s="70">
        <v>149.3274402551526</v>
      </c>
      <c r="J763" s="70">
        <v>129.13915825193752</v>
      </c>
      <c r="K763" s="70">
        <v>144.08751003226149</v>
      </c>
      <c r="L763" s="70">
        <v>184.79586029310542</v>
      </c>
      <c r="M763" s="70">
        <v>185.30182438841919</v>
      </c>
      <c r="N763" s="70">
        <v>163.09760734223909</v>
      </c>
      <c r="O763" s="70">
        <v>164.57156954268501</v>
      </c>
      <c r="P763" s="70">
        <v>169.25257886541226</v>
      </c>
      <c r="Q763" s="70">
        <v>157.58750447506509</v>
      </c>
      <c r="R763" s="70">
        <v>193.42281193773636</v>
      </c>
      <c r="S763" s="70">
        <v>225.60854354209997</v>
      </c>
      <c r="T763" s="70">
        <v>283.16800484429831</v>
      </c>
      <c r="U763" s="70">
        <v>271.92639777740715</v>
      </c>
      <c r="V763" s="70">
        <v>312.56735512154717</v>
      </c>
      <c r="X763" s="193">
        <f>((0-('Appendix K'!$I$30))/(1+$Y$16)^0)</f>
        <v>-33594902.4440751</v>
      </c>
      <c r="Y763" s="193">
        <f>(((B763*'Appendix K'!$C$5*1000)-('Appendix K'!$E$31+'Appendix K'!$F$31+'Appendix K'!$H$31+'Appendix K'!$G$31))/((1+$Y$16)^1))</f>
        <v>34971064.972647354</v>
      </c>
      <c r="Z763" s="193">
        <f>+(((C763*'Appendix K'!$C$6*1000)-('Appendix K'!$E$32+'Appendix K'!$F$32+'Appendix K'!$H$32+'Appendix K'!$G$32))/((1+$Y$16)^2))</f>
        <v>10227585.236251835</v>
      </c>
      <c r="AA763" s="193">
        <f>(((D763*'Appendix K'!$C$7*1000)-('Appendix K'!$E$33+'Appendix K'!$F$33+'Appendix K'!$H$33+'Appendix K'!$G$33))/((1+$Y$16)^3))</f>
        <v>6503462.6036460008</v>
      </c>
      <c r="AB763" s="193">
        <f>(((E763*'Appendix K'!$C$8*1000)-('Appendix K'!$E$34+'Appendix K'!$F$34+'Appendix K'!$H$34+'Appendix K'!$G$34))/((1+$Y$16)^4))</f>
        <v>10035378.071389241</v>
      </c>
      <c r="AC763" s="193">
        <f>(((F763*'Appendix K'!$C$9*1000)-('Appendix K'!$E$35+'Appendix K'!$F$35+'Appendix K'!$H$35+'Appendix K'!$G$35))/((1+$Y$16)^AC$34))</f>
        <v>11107702.48607778</v>
      </c>
      <c r="AD763" s="193">
        <f>(((G763*'Appendix K'!$C$10*1000)-('Appendix K'!$E$36+'Appendix K'!$F$36+'Appendix K'!$H$36+'Appendix K'!$G$36))/((1+$Y$16)^AD$34))</f>
        <v>9539964.8544661421</v>
      </c>
      <c r="AE763" s="193">
        <f>(((H763*'Appendix K'!$C$11*1000)-('Appendix K'!$E$37+'Appendix K'!$F$37+'Appendix K'!$H$37+'Appendix K'!$G$37))/((1+$Y$16)^AE$34))</f>
        <v>6762927.282795948</v>
      </c>
      <c r="AF763" s="193">
        <f>(((I763*'Appendix K'!$C$12*1000)-('Appendix K'!$E$38+'Appendix K'!$F$38+'Appendix K'!$H$38+'Appendix K'!$G$38))/((1+$Y$16)^AF$34))</f>
        <v>7808623.1400353508</v>
      </c>
      <c r="AG763" s="193">
        <f>(((J763*'Appendix K'!$C$13*1000)-('Appendix K'!$E$39+'Appendix K'!$F$39+'Appendix K'!$H$39+'Appendix K'!$G$39))/((1+$Y$16)^AG$34))</f>
        <v>4127902.3436806672</v>
      </c>
      <c r="AH763" s="193">
        <f>(((K763*'Appendix K'!$C$14*1000)-('Appendix K'!$E$40+'Appendix K'!$F$40+'Appendix K'!$H$40+'Appendix K'!$G$40))/((1+$Y$16)^AH$34))</f>
        <v>3223948.3560704766</v>
      </c>
      <c r="AI763" s="193">
        <f>(((L763*'Appendix K'!$C$15*1000)-('Appendix K'!$E$41+'Appendix K'!$F$41+'Appendix K'!$H$41+'Appendix K'!$G$41))/((1+$Y$16)^AI$34))</f>
        <v>3325515.7613015892</v>
      </c>
      <c r="AJ763" s="193">
        <f>(((M763*'Appendix K'!$C$16*1000)-('Appendix K'!$E$42+'Appendix K'!$F$42+'Appendix K'!$H$42+'Appendix K'!$G$42))/((1+$Y$16)^AJ$34))</f>
        <v>2332243.5564558571</v>
      </c>
      <c r="AK763" s="193">
        <f>(((N763*'Appendix K'!$C$17*1000)-('Appendix K'!$E$43+'Appendix K'!$F$43+'Appendix K'!$H$43))/((1+$Y$16)^AK$34))</f>
        <v>1501556.2992226123</v>
      </c>
      <c r="AL763" s="193">
        <f>(((O763*'Appendix K'!$C$18*1000)-('Appendix K'!$E$44+'Appendix K'!$F$44+'Appendix K'!$H$44+'Appendix K'!$G$44))/((1+$Y$16)^AL$34))</f>
        <v>816126.11365347297</v>
      </c>
      <c r="AM763" s="193">
        <f>(((P763*'Appendix K'!$C$19*1000)-('Appendix K'!$E$45+'Appendix K'!$F$45+'Appendix K'!$H$45+'Appendix K'!$G$45))/((1+$Y$16)^AM$34))</f>
        <v>541990.81654073112</v>
      </c>
      <c r="AN763" s="193">
        <f>(((Q763*'Appendix K'!$C$20*1000)-('Appendix K'!$E$46+'Appendix K'!$F$46+'Appendix K'!$H$46+'Appendix K'!$G$46))/((1+$Y$16)^AN$34))</f>
        <v>224628.52281003815</v>
      </c>
      <c r="AO763" s="193">
        <f>(((R763*'Appendix K'!$C$21*1000)-('Appendix K'!$E$47+'Appendix K'!$F$47+'Appendix K'!$H$47+'Appendix K'!$G$47))/((1+$Y$16)^AO$34))</f>
        <v>300151.26253106393</v>
      </c>
      <c r="AP763" s="193">
        <f>(((S763*'Appendix K'!$C$22*1000)-('Appendix K'!$E$48+'Appendix K'!$F$48+'Appendix K'!$H$48+'Appendix K'!$G$48))/((1+$Y$16)^AP$34))</f>
        <v>316148.37183585356</v>
      </c>
      <c r="AQ763" s="193">
        <f>(((T763*'Appendix K'!$C$23*1000)-('Appendix K'!$E$49+'Appendix K'!$F$49+'Appendix K'!$H$49+'Appendix K'!$G$49))/((1+$Y$16)^AQ$34))</f>
        <v>414761.44658039295</v>
      </c>
      <c r="AR763" s="193">
        <f>(((U763*'Appendix K'!$C$24*1000)-('Appendix K'!$E$50+'Appendix K'!$F$50+'Appendix K'!$H$50+'Appendix K'!$G$50))/((1+$Y$16)^AR$34))</f>
        <v>246321.75060222513</v>
      </c>
      <c r="AS763" s="209">
        <f t="shared" si="38"/>
        <v>80733100.804519534</v>
      </c>
      <c r="AU763" s="199">
        <f t="shared" si="37"/>
        <v>6.9781470431814404E-9</v>
      </c>
    </row>
    <row r="764" spans="1:47" x14ac:dyDescent="0.35">
      <c r="A764">
        <v>730</v>
      </c>
      <c r="B764" s="70">
        <v>56</v>
      </c>
      <c r="C764" s="70">
        <v>56.777518243752908</v>
      </c>
      <c r="D764" s="70">
        <v>70.789281511218348</v>
      </c>
      <c r="E764" s="70">
        <v>92.564128867044104</v>
      </c>
      <c r="F764" s="70">
        <v>139.05760718869027</v>
      </c>
      <c r="G764" s="70">
        <v>183.1129159227512</v>
      </c>
      <c r="H764" s="70">
        <v>224.59107123595277</v>
      </c>
      <c r="I764" s="70">
        <v>150.89259897226771</v>
      </c>
      <c r="J764" s="70">
        <v>172.66272157288338</v>
      </c>
      <c r="K764" s="70">
        <v>291.82889537661254</v>
      </c>
      <c r="L764" s="70">
        <v>245.01308183148996</v>
      </c>
      <c r="M764" s="70">
        <v>307.3015943966368</v>
      </c>
      <c r="N764" s="70">
        <v>453.81589358582073</v>
      </c>
      <c r="O764" s="70">
        <v>383.62843590826418</v>
      </c>
      <c r="P764" s="70">
        <v>453.8730552547139</v>
      </c>
      <c r="Q764" s="70">
        <v>258.57936840723357</v>
      </c>
      <c r="R764" s="70">
        <v>322.50623519567108</v>
      </c>
      <c r="S764" s="70">
        <v>250.25255578652019</v>
      </c>
      <c r="T764" s="70">
        <v>280.98284838843335</v>
      </c>
      <c r="U764" s="70">
        <v>305.26737736198987</v>
      </c>
      <c r="V764" s="70">
        <v>359.23288167018768</v>
      </c>
      <c r="X764" s="193">
        <f>((0-('Appendix K'!$I$30))/(1+$Y$16)^0)</f>
        <v>-33594902.4440751</v>
      </c>
      <c r="Y764" s="193">
        <f>(((B764*'Appendix K'!$C$5*1000)-('Appendix K'!$E$31+'Appendix K'!$F$31+'Appendix K'!$H$31+'Appendix K'!$G$31))/((1+$Y$16)^1))</f>
        <v>34971064.972647354</v>
      </c>
      <c r="Z764" s="193">
        <f>+(((C764*'Appendix K'!$C$6*1000)-('Appendix K'!$E$32+'Appendix K'!$F$32+'Appendix K'!$H$32+'Appendix K'!$G$32))/((1+$Y$16)^2))</f>
        <v>10855724.511425436</v>
      </c>
      <c r="AA764" s="193">
        <f>(((D764*'Appendix K'!$C$7*1000)-('Appendix K'!$E$33+'Appendix K'!$F$33+'Appendix K'!$H$33+'Appendix K'!$G$33))/((1+$Y$16)^3))</f>
        <v>6051877.6339175506</v>
      </c>
      <c r="AB764" s="193">
        <f>(((E764*'Appendix K'!$C$8*1000)-('Appendix K'!$E$34+'Appendix K'!$F$34+'Appendix K'!$H$34+'Appendix K'!$G$34))/((1+$Y$16)^4))</f>
        <v>16996001.815758832</v>
      </c>
      <c r="AC764" s="193">
        <f>(((F764*'Appendix K'!$C$9*1000)-('Appendix K'!$E$35+'Appendix K'!$F$35+'Appendix K'!$H$35+'Appendix K'!$G$35))/((1+$Y$16)^AC$34))</f>
        <v>33977065.111966789</v>
      </c>
      <c r="AD764" s="193">
        <f>(((G764*'Appendix K'!$C$10*1000)-('Appendix K'!$E$36+'Appendix K'!$F$36+'Appendix K'!$H$36+'Appendix K'!$G$36))/((1+$Y$16)^AD$34))</f>
        <v>26241012.912393231</v>
      </c>
      <c r="AE764" s="193">
        <f>(((H764*'Appendix K'!$C$11*1000)-('Appendix K'!$E$37+'Appendix K'!$F$37+'Appendix K'!$H$37+'Appendix K'!$G$37))/((1+$Y$16)^AE$34))</f>
        <v>20180239.937529247</v>
      </c>
      <c r="AF764" s="193">
        <f>(((I764*'Appendix K'!$C$12*1000)-('Appendix K'!$E$38+'Appendix K'!$F$38+'Appendix K'!$H$38+'Appendix K'!$G$38))/((1+$Y$16)^AF$34))</f>
        <v>7911395.260102435</v>
      </c>
      <c r="AG764" s="193">
        <f>(((J764*'Appendix K'!$C$13*1000)-('Appendix K'!$E$39+'Appendix K'!$F$39+'Appendix K'!$H$39+'Appendix K'!$G$39))/((1+$Y$16)^AG$34))</f>
        <v>6130810.2689961782</v>
      </c>
      <c r="AH764" s="193">
        <f>(((K764*'Appendix K'!$C$14*1000)-('Appendix K'!$E$40+'Appendix K'!$F$40+'Appendix K'!$H$40+'Appendix K'!$G$40))/((1+$Y$16)^AH$34))</f>
        <v>8203797.3141712751</v>
      </c>
      <c r="AI764" s="193">
        <f>(((L764*'Appendix K'!$C$15*1000)-('Appendix K'!$E$41+'Appendix K'!$F$41+'Appendix K'!$H$41+'Appendix K'!$G$41))/((1+$Y$16)^AI$34))</f>
        <v>4903319.5723637082</v>
      </c>
      <c r="AJ764" s="193">
        <f>(((M764*'Appendix K'!$C$16*1000)-('Appendix K'!$E$42+'Appendix K'!$F$42+'Appendix K'!$H$42+'Appendix K'!$G$42))/((1+$Y$16)^AJ$34))</f>
        <v>4777346.7183007859</v>
      </c>
      <c r="AK764" s="193">
        <f>(((N764*'Appendix K'!$C$17*1000)-('Appendix K'!$E$43+'Appendix K'!$F$43+'Appendix K'!$H$43))/((1+$Y$16)^AK$34))</f>
        <v>5968122.2395787546</v>
      </c>
      <c r="AL764" s="193">
        <f>(((O764*'Appendix K'!$C$18*1000)-('Appendix K'!$E$44+'Appendix K'!$F$44+'Appendix K'!$H$44+'Appendix K'!$G$44))/((1+$Y$16)^AL$34))</f>
        <v>3412671.6086333347</v>
      </c>
      <c r="AM764" s="193">
        <f>(((P764*'Appendix K'!$C$19*1000)-('Appendix K'!$E$45+'Appendix K'!$F$45+'Appendix K'!$H$45+'Appendix K'!$G$45))/((1+$Y$16)^AM$34))</f>
        <v>3180061.6747820228</v>
      </c>
      <c r="AN764" s="193">
        <f>(((Q764*'Appendix K'!$C$20*1000)-('Appendix K'!$E$46+'Appendix K'!$F$46+'Appendix K'!$H$46+'Appendix K'!$G$46))/((1+$Y$16)^AN$34))</f>
        <v>955427.55443795584</v>
      </c>
      <c r="AO764" s="193">
        <f>(((R764*'Appendix K'!$C$21*1000)-('Appendix K'!$E$47+'Appendix K'!$F$47+'Appendix K'!$H$47+'Appendix K'!$G$47))/((1+$Y$16)^AO$34))</f>
        <v>1063048.5551272533</v>
      </c>
      <c r="AP764" s="193">
        <f>(((S764*'Appendix K'!$C$22*1000)-('Appendix K'!$E$48+'Appendix K'!$F$48+'Appendix K'!$H$48+'Appendix K'!$G$48))/((1+$Y$16)^AP$34))</f>
        <v>434186.27393966867</v>
      </c>
      <c r="AQ764" s="193">
        <f>(((T764*'Appendix K'!$C$23*1000)-('Appendix K'!$E$49+'Appendix K'!$F$49+'Appendix K'!$H$49+'Appendix K'!$G$49))/((1+$Y$16)^AQ$34))</f>
        <v>406209.30362653703</v>
      </c>
      <c r="AR764" s="193">
        <f>(((U764*'Appendix K'!$C$24*1000)-('Appendix K'!$E$50+'Appendix K'!$F$50+'Appendix K'!$H$50+'Appendix K'!$G$50))/((1+$Y$16)^AR$34))</f>
        <v>353680.63904077298</v>
      </c>
      <c r="AS764" s="209">
        <f t="shared" si="38"/>
        <v>163378161.43466404</v>
      </c>
      <c r="AU764" s="199">
        <f t="shared" si="37"/>
        <v>2.8836812486075168E-9</v>
      </c>
    </row>
    <row r="765" spans="1:47" x14ac:dyDescent="0.35">
      <c r="A765">
        <v>731</v>
      </c>
      <c r="B765" s="70">
        <v>56</v>
      </c>
      <c r="C765" s="70">
        <v>56.532840631268051</v>
      </c>
      <c r="D765" s="70">
        <v>50.958252590676729</v>
      </c>
      <c r="E765" s="70">
        <v>15.785556265344908</v>
      </c>
      <c r="F765" s="70">
        <v>14.087065186992049</v>
      </c>
      <c r="G765" s="70">
        <v>18.925705079214367</v>
      </c>
      <c r="H765" s="70">
        <v>19.67986750869461</v>
      </c>
      <c r="I765" s="70">
        <v>21.978134071975941</v>
      </c>
      <c r="J765" s="70">
        <v>15.888106312483281</v>
      </c>
      <c r="K765" s="70">
        <v>19.913731049109401</v>
      </c>
      <c r="L765" s="70">
        <v>26.950059349424038</v>
      </c>
      <c r="M765" s="70">
        <v>29.426273511362382</v>
      </c>
      <c r="N765" s="70">
        <v>31.931896922018606</v>
      </c>
      <c r="O765" s="70">
        <v>39.883255594698092</v>
      </c>
      <c r="P765" s="70">
        <v>61.79422594590558</v>
      </c>
      <c r="Q765" s="70">
        <v>53.969259797317378</v>
      </c>
      <c r="R765" s="70">
        <v>49.131096781731166</v>
      </c>
      <c r="S765" s="70">
        <v>4.8091995575284798</v>
      </c>
      <c r="T765" s="70">
        <v>6.7607344992747951</v>
      </c>
      <c r="U765" s="70">
        <v>9.4213087381458216</v>
      </c>
      <c r="V765" s="70">
        <v>10.530397494294627</v>
      </c>
      <c r="X765" s="193">
        <f>((0-('Appendix K'!$I$30))/(1+$Y$16)^0)</f>
        <v>-33594902.4440751</v>
      </c>
      <c r="Y765" s="193">
        <f>(((B765*'Appendix K'!$C$5*1000)-('Appendix K'!$E$31+'Appendix K'!$F$31+'Appendix K'!$H$31+'Appendix K'!$G$31))/((1+$Y$16)^1))</f>
        <v>34971064.972647354</v>
      </c>
      <c r="Z765" s="193">
        <f>+(((C765*'Appendix K'!$C$6*1000)-('Appendix K'!$E$32+'Appendix K'!$F$32+'Appendix K'!$H$32+'Appendix K'!$G$32))/((1+$Y$16)^2))</f>
        <v>10793914.761760192</v>
      </c>
      <c r="AA765" s="193">
        <f>(((D765*'Appendix K'!$C$7*1000)-('Appendix K'!$E$33+'Appendix K'!$F$33+'Appendix K'!$H$33+'Appendix K'!$G$33))/((1+$Y$16)^3))</f>
        <v>3525902.8564265519</v>
      </c>
      <c r="AB765" s="193">
        <f>(((E765*'Appendix K'!$C$8*1000)-('Appendix K'!$E$34+'Appendix K'!$F$34+'Appendix K'!$H$34+'Appendix K'!$G$34))/((1+$Y$16)^4))</f>
        <v>166841.54164992252</v>
      </c>
      <c r="AC765" s="193">
        <f>(((F765*'Appendix K'!$C$9*1000)-('Appendix K'!$E$35+'Appendix K'!$F$35+'Appendix K'!$H$35+'Appendix K'!$G$35))/((1+$Y$16)^AC$34))</f>
        <v>760091.28688142449</v>
      </c>
      <c r="AD765" s="193">
        <f>(((G765*'Appendix K'!$C$10*1000)-('Appendix K'!$E$36+'Appendix K'!$F$36+'Appendix K'!$H$36+'Appendix K'!$G$36))/((1+$Y$16)^AD$34))</f>
        <v>456404.53308132489</v>
      </c>
      <c r="AE765" s="193">
        <f>(((H765*'Appendix K'!$C$11*1000)-('Appendix K'!$E$37+'Appendix K'!$F$37+'Appendix K'!$H$37+'Appendix K'!$G$37))/((1+$Y$16)^AE$34))</f>
        <v>-257117.64425700699</v>
      </c>
      <c r="AF765" s="193">
        <f>(((I765*'Appendix K'!$C$12*1000)-('Appendix K'!$E$38+'Appendix K'!$F$38+'Appendix K'!$H$38+'Appendix K'!$G$38))/((1+$Y$16)^AF$34))</f>
        <v>-553441.38568966056</v>
      </c>
      <c r="AG765" s="193">
        <f>(((J765*'Appendix K'!$C$13*1000)-('Appendix K'!$E$39+'Appendix K'!$F$39+'Appendix K'!$H$39+'Appendix K'!$G$39))/((1+$Y$16)^AG$34))</f>
        <v>-1083790.178073128</v>
      </c>
      <c r="AH765" s="193">
        <f>(((K765*'Appendix K'!$C$14*1000)-('Appendix K'!$E$40+'Appendix K'!$F$40+'Appendix K'!$H$40+'Appendix K'!$G$40))/((1+$Y$16)^AH$34))</f>
        <v>-961518.44763803703</v>
      </c>
      <c r="AI765" s="193">
        <f>(((L765*'Appendix K'!$C$15*1000)-('Appendix K'!$E$41+'Appendix K'!$F$41+'Appendix K'!$H$41+'Appendix K'!$G$41))/((1+$Y$16)^AI$34))</f>
        <v>-810339.39651801414</v>
      </c>
      <c r="AJ765" s="193">
        <f>(((M765*'Appendix K'!$C$16*1000)-('Appendix K'!$E$42+'Appendix K'!$F$42+'Appendix K'!$H$42+'Appendix K'!$G$42))/((1+$Y$16)^AJ$34))</f>
        <v>-791793.49933645746</v>
      </c>
      <c r="AK765" s="193">
        <f>(((N765*'Appendix K'!$C$17*1000)-('Appendix K'!$E$43+'Appendix K'!$F$43+'Appendix K'!$H$43))/((1+$Y$16)^AK$34))</f>
        <v>-513660.22628587909</v>
      </c>
      <c r="AL765" s="193">
        <f>(((O765*'Appendix K'!$C$18*1000)-('Appendix K'!$E$44+'Appendix K'!$F$44+'Appendix K'!$H$44+'Appendix K'!$G$44))/((1+$Y$16)^AL$34))</f>
        <v>-661841.16137348767</v>
      </c>
      <c r="AM765" s="193">
        <f>(((P765*'Appendix K'!$C$19*1000)-('Appendix K'!$E$45+'Appendix K'!$F$45+'Appendix K'!$H$45+'Appendix K'!$G$45))/((1+$Y$16)^AM$34))</f>
        <v>-454011.83550954907</v>
      </c>
      <c r="AN765" s="193">
        <f>(((Q765*'Appendix K'!$C$20*1000)-('Appendix K'!$E$46+'Appendix K'!$F$46+'Appendix K'!$H$46+'Appendix K'!$G$46))/((1+$Y$16)^AN$34))</f>
        <v>-525175.56953093526</v>
      </c>
      <c r="AO765" s="193">
        <f>(((R765*'Appendix K'!$C$21*1000)-('Appendix K'!$E$47+'Appendix K'!$F$47+'Appendix K'!$H$47+'Appendix K'!$G$47))/((1+$Y$16)^AO$34))</f>
        <v>-552628.715395423</v>
      </c>
      <c r="AP765" s="193">
        <f>(((S765*'Appendix K'!$C$22*1000)-('Appendix K'!$E$48+'Appendix K'!$F$48+'Appendix K'!$H$48+'Appendix K'!$G$48))/((1+$Y$16)^AP$34))</f>
        <v>-741418.51667834993</v>
      </c>
      <c r="AQ765" s="193">
        <f>(((T765*'Appendix K'!$C$23*1000)-('Appendix K'!$E$49+'Appendix K'!$F$49+'Appendix K'!$H$49+'Appendix K'!$G$49))/((1+$Y$16)^AQ$34))</f>
        <v>-667025.8474740457</v>
      </c>
      <c r="AR765" s="193">
        <f>(((U765*'Appendix K'!$C$24*1000)-('Appendix K'!$E$50+'Appendix K'!$F$50+'Appendix K'!$H$50+'Appendix K'!$G$50))/((1+$Y$16)^AR$34))</f>
        <v>-598951.9911971601</v>
      </c>
      <c r="AS765" s="209">
        <f t="shared" si="38"/>
        <v>17079317.508371666</v>
      </c>
      <c r="AU765" s="199">
        <f t="shared" si="37"/>
        <v>3.2469089982550406E-9</v>
      </c>
    </row>
    <row r="766" spans="1:47" x14ac:dyDescent="0.35">
      <c r="A766">
        <v>732</v>
      </c>
      <c r="B766" s="70">
        <v>56</v>
      </c>
      <c r="C766" s="70">
        <v>71.041644648908658</v>
      </c>
      <c r="D766" s="70">
        <v>34.504218175533723</v>
      </c>
      <c r="E766" s="70">
        <v>46.831114192098028</v>
      </c>
      <c r="F766" s="70">
        <v>65.666584292535674</v>
      </c>
      <c r="G766" s="70">
        <v>83.686199969860141</v>
      </c>
      <c r="H766" s="70">
        <v>51.87366249449034</v>
      </c>
      <c r="I766" s="70">
        <v>38.33916653195395</v>
      </c>
      <c r="J766" s="70">
        <v>52.106215873508603</v>
      </c>
      <c r="K766" s="70">
        <v>56.095086102940968</v>
      </c>
      <c r="L766" s="70">
        <v>64.659273967411764</v>
      </c>
      <c r="M766" s="70">
        <v>58.372772497600536</v>
      </c>
      <c r="N766" s="70">
        <v>60.289295980035007</v>
      </c>
      <c r="O766" s="70">
        <v>37.513735609767821</v>
      </c>
      <c r="P766" s="70">
        <v>47.348684396179074</v>
      </c>
      <c r="Q766" s="70">
        <v>68.223353899762017</v>
      </c>
      <c r="R766" s="70">
        <v>91.932036452329925</v>
      </c>
      <c r="S766" s="70">
        <v>131.84334992793083</v>
      </c>
      <c r="T766" s="70">
        <v>107.38473542679066</v>
      </c>
      <c r="U766" s="70">
        <v>87.57042313443857</v>
      </c>
      <c r="V766" s="70">
        <v>95.641056463379059</v>
      </c>
      <c r="X766" s="193">
        <f>((0-('Appendix K'!$I$30))/(1+$Y$16)^0)</f>
        <v>-33594902.4440751</v>
      </c>
      <c r="Y766" s="193">
        <f>(((B766*'Appendix K'!$C$5*1000)-('Appendix K'!$E$31+'Appendix K'!$F$31+'Appendix K'!$H$31+'Appendix K'!$G$31))/((1+$Y$16)^1))</f>
        <v>34971064.972647354</v>
      </c>
      <c r="Z766" s="193">
        <f>+(((C766*'Appendix K'!$C$6*1000)-('Appendix K'!$E$32+'Appendix K'!$F$32+'Appendix K'!$H$32+'Appendix K'!$G$32))/((1+$Y$16)^2))</f>
        <v>14459086.802491661</v>
      </c>
      <c r="AA766" s="193">
        <f>(((D766*'Appendix K'!$C$7*1000)-('Appendix K'!$E$33+'Appendix K'!$F$33+'Appendix K'!$H$33+'Appendix K'!$G$33))/((1+$Y$16)^3))</f>
        <v>1430072.3230159378</v>
      </c>
      <c r="AB766" s="193">
        <f>(((E766*'Appendix K'!$C$8*1000)-('Appendix K'!$E$34+'Appendix K'!$F$34+'Appendix K'!$H$34+'Appendix K'!$G$34))/((1+$Y$16)^4))</f>
        <v>6971743.6444652276</v>
      </c>
      <c r="AC766" s="193">
        <f>(((F766*'Appendix K'!$C$9*1000)-('Appendix K'!$E$35+'Appendix K'!$F$35+'Appendix K'!$H$35+'Appendix K'!$G$35))/((1+$Y$16)^AC$34))</f>
        <v>14469846.470755484</v>
      </c>
      <c r="AD766" s="193">
        <f>(((G766*'Appendix K'!$C$10*1000)-('Appendix K'!$E$36+'Appendix K'!$F$36+'Appendix K'!$H$36+'Appendix K'!$G$36))/((1+$Y$16)^AD$34))</f>
        <v>10626648.552860672</v>
      </c>
      <c r="AE766" s="193">
        <f>(((H766*'Appendix K'!$C$11*1000)-('Appendix K'!$E$37+'Appendix K'!$F$37+'Appendix K'!$H$37+'Appendix K'!$G$37))/((1+$Y$16)^AE$34))</f>
        <v>2953815.1308741192</v>
      </c>
      <c r="AF766" s="193">
        <f>(((I766*'Appendix K'!$C$12*1000)-('Appendix K'!$E$38+'Appendix K'!$F$38+'Appendix K'!$H$38+'Appendix K'!$G$38))/((1+$Y$16)^AF$34))</f>
        <v>520863.71449698607</v>
      </c>
      <c r="AG766" s="193">
        <f>(((J766*'Appendix K'!$C$13*1000)-('Appendix K'!$E$39+'Appendix K'!$F$39+'Appendix K'!$H$39+'Appendix K'!$G$39))/((1+$Y$16)^AG$34))</f>
        <v>582928.56333130563</v>
      </c>
      <c r="AH766" s="193">
        <f>(((K766*'Appendix K'!$C$14*1000)-('Appendix K'!$E$40+'Appendix K'!$F$40+'Appendix K'!$H$40+'Appendix K'!$G$40))/((1+$Y$16)^AH$34))</f>
        <v>258029.36455788658</v>
      </c>
      <c r="AI766" s="193">
        <f>(((L766*'Appendix K'!$C$15*1000)-('Appendix K'!$E$41+'Appendix K'!$F$41+'Appendix K'!$H$41+'Appendix K'!$G$41))/((1+$Y$16)^AI$34))</f>
        <v>177712.54305037888</v>
      </c>
      <c r="AJ766" s="193">
        <f>(((M766*'Appendix K'!$C$16*1000)-('Appendix K'!$E$42+'Appendix K'!$F$42+'Appendix K'!$H$42+'Appendix K'!$G$42))/((1+$Y$16)^AJ$34))</f>
        <v>-211651.61717697003</v>
      </c>
      <c r="AK766" s="193">
        <f>(((N766*'Appendix K'!$C$17*1000)-('Appendix K'!$E$43+'Appendix K'!$F$43+'Appendix K'!$H$43))/((1+$Y$16)^AK$34))</f>
        <v>-77980.054851806679</v>
      </c>
      <c r="AL766" s="193">
        <f>(((O766*'Appendix K'!$C$18*1000)-('Appendix K'!$E$44+'Appendix K'!$F$44+'Appendix K'!$H$44+'Appendix K'!$G$44))/((1+$Y$16)^AL$34))</f>
        <v>-689927.7789911594</v>
      </c>
      <c r="AM766" s="193">
        <f>(((P766*'Appendix K'!$C$19*1000)-('Appendix K'!$E$45+'Appendix K'!$F$45+'Appendix K'!$H$45+'Appendix K'!$G$45))/((1+$Y$16)^AM$34))</f>
        <v>-587903.68572809384</v>
      </c>
      <c r="AN766" s="193">
        <f>(((Q766*'Appendix K'!$C$20*1000)-('Appendix K'!$E$46+'Appendix K'!$F$46+'Appendix K'!$H$46+'Appendix K'!$G$46))/((1+$Y$16)^AN$34))</f>
        <v>-422029.853022561</v>
      </c>
      <c r="AO766" s="193">
        <f>(((R766*'Appendix K'!$C$21*1000)-('Appendix K'!$E$47+'Appendix K'!$F$47+'Appendix K'!$H$47+'Appendix K'!$G$47))/((1+$Y$16)^AO$34))</f>
        <v>-299670.43329264736</v>
      </c>
      <c r="AP766" s="193">
        <f>(((S766*'Appendix K'!$C$22*1000)-('Appendix K'!$E$48+'Appendix K'!$F$48+'Appendix K'!$H$48+'Appendix K'!$G$48))/((1+$Y$16)^AP$34))</f>
        <v>-132960.58959474647</v>
      </c>
      <c r="AQ766" s="193">
        <f>(((T766*'Appendix K'!$C$23*1000)-('Appendix K'!$E$49+'Appendix K'!$F$49+'Appendix K'!$H$49+'Appendix K'!$G$49))/((1+$Y$16)^AQ$34))</f>
        <v>-273209.2682486414</v>
      </c>
      <c r="AR766" s="193">
        <f>(((U766*'Appendix K'!$C$24*1000)-('Appendix K'!$E$50+'Appendix K'!$F$50+'Appendix K'!$H$50+'Appendix K'!$G$50))/((1+$Y$16)^AR$34))</f>
        <v>-347309.65319211379</v>
      </c>
      <c r="AS766" s="209">
        <f t="shared" si="38"/>
        <v>53826909.638471924</v>
      </c>
      <c r="AU766" s="199">
        <f t="shared" si="37"/>
        <v>5.8878139635286884E-9</v>
      </c>
    </row>
    <row r="767" spans="1:47" x14ac:dyDescent="0.35">
      <c r="A767">
        <v>733</v>
      </c>
      <c r="B767" s="70">
        <v>56</v>
      </c>
      <c r="C767" s="70">
        <v>72.916567178941321</v>
      </c>
      <c r="D767" s="70">
        <v>107.90827500432528</v>
      </c>
      <c r="E767" s="70">
        <v>130.23464603692636</v>
      </c>
      <c r="F767" s="70">
        <v>130.63593242034295</v>
      </c>
      <c r="G767" s="70">
        <v>172.46945421476951</v>
      </c>
      <c r="H767" s="70">
        <v>148.2447361240169</v>
      </c>
      <c r="I767" s="70">
        <v>170.17704979930573</v>
      </c>
      <c r="J767" s="70">
        <v>127.34066411102155</v>
      </c>
      <c r="K767" s="70">
        <v>159.43137892720193</v>
      </c>
      <c r="L767" s="70">
        <v>189.89487020267495</v>
      </c>
      <c r="M767" s="70">
        <v>231.20308561709862</v>
      </c>
      <c r="N767" s="70">
        <v>329.68886582438643</v>
      </c>
      <c r="O767" s="70">
        <v>226.06108609084993</v>
      </c>
      <c r="P767" s="70">
        <v>184.21806098548257</v>
      </c>
      <c r="Q767" s="70">
        <v>178.51878289765315</v>
      </c>
      <c r="R767" s="70">
        <v>272.90635876228856</v>
      </c>
      <c r="S767" s="70">
        <v>326.2747541175537</v>
      </c>
      <c r="T767" s="70">
        <v>417.57429776639151</v>
      </c>
      <c r="U767" s="70">
        <v>444.93778553873091</v>
      </c>
      <c r="V767" s="70">
        <v>377.17162646335646</v>
      </c>
      <c r="X767" s="193">
        <f>((0-('Appendix K'!$I$30))/(1+$Y$16)^0)</f>
        <v>-33594902.4440751</v>
      </c>
      <c r="Y767" s="193">
        <f>(((B767*'Appendix K'!$C$5*1000)-('Appendix K'!$E$31+'Appendix K'!$F$31+'Appendix K'!$H$31+'Appendix K'!$G$31))/((1+$Y$16)^1))</f>
        <v>34971064.972647354</v>
      </c>
      <c r="Z767" s="193">
        <f>+(((C767*'Appendix K'!$C$6*1000)-('Appendix K'!$E$32+'Appendix K'!$F$32+'Appendix K'!$H$32+'Appendix K'!$G$32))/((1+$Y$16)^2))</f>
        <v>14932724.300610593</v>
      </c>
      <c r="AA767" s="193">
        <f>(((D767*'Appendix K'!$C$7*1000)-('Appendix K'!$E$33+'Appendix K'!$F$33+'Appendix K'!$H$33+'Appendix K'!$G$33))/((1+$Y$16)^3))</f>
        <v>10779904.692176702</v>
      </c>
      <c r="AB767" s="193">
        <f>(((E767*'Appendix K'!$C$8*1000)-('Appendix K'!$E$34+'Appendix K'!$F$34+'Appendix K'!$H$34+'Appendix K'!$G$34))/((1+$Y$16)^4))</f>
        <v>25253034.339003339</v>
      </c>
      <c r="AC767" s="193">
        <f>(((F767*'Appendix K'!$C$9*1000)-('Appendix K'!$E$35+'Appendix K'!$F$35+'Appendix K'!$H$35+'Appendix K'!$G$35))/((1+$Y$16)^AC$34))</f>
        <v>31738597.18294258</v>
      </c>
      <c r="AD767" s="193">
        <f>(((G767*'Appendix K'!$C$10*1000)-('Appendix K'!$E$36+'Appendix K'!$F$36+'Appendix K'!$H$36+'Appendix K'!$G$36))/((1+$Y$16)^AD$34))</f>
        <v>24569521.627959166</v>
      </c>
      <c r="AE767" s="193">
        <f>(((H767*'Appendix K'!$C$11*1000)-('Appendix K'!$E$37+'Appendix K'!$F$37+'Appendix K'!$H$37+'Appendix K'!$G$37))/((1+$Y$16)^AE$34))</f>
        <v>12565637.503109226</v>
      </c>
      <c r="AF767" s="193">
        <f>(((I767*'Appendix K'!$C$12*1000)-('Appendix K'!$E$38+'Appendix K'!$F$38+'Appendix K'!$H$38+'Appendix K'!$G$38))/((1+$Y$16)^AF$34))</f>
        <v>9177659.1055207476</v>
      </c>
      <c r="AG767" s="193">
        <f>(((J767*'Appendix K'!$C$13*1000)-('Appendix K'!$E$39+'Appendix K'!$F$39+'Appendix K'!$H$39+'Appendix K'!$G$39))/((1+$Y$16)^AG$34))</f>
        <v>4045137.563097077</v>
      </c>
      <c r="AH767" s="193">
        <f>(((K767*'Appendix K'!$C$14*1000)-('Appendix K'!$E$40+'Appendix K'!$F$40+'Appendix K'!$H$40+'Appendix K'!$G$40))/((1+$Y$16)^AH$34))</f>
        <v>3741136.8835207233</v>
      </c>
      <c r="AI767" s="193">
        <f>(((L767*'Appendix K'!$C$15*1000)-('Appendix K'!$E$41+'Appendix K'!$F$41+'Appendix K'!$H$41+'Appendix K'!$G$41))/((1+$Y$16)^AI$34))</f>
        <v>3459119.3561275969</v>
      </c>
      <c r="AJ767" s="193">
        <f>(((M767*'Appendix K'!$C$16*1000)-('Appendix K'!$E$42+'Appendix K'!$F$42+'Appendix K'!$H$42+'Appendix K'!$G$42))/((1+$Y$16)^AJ$34))</f>
        <v>3252190.5281210849</v>
      </c>
      <c r="AK767" s="193">
        <f>(((N767*'Appendix K'!$C$17*1000)-('Appendix K'!$E$43+'Appendix K'!$F$43+'Appendix K'!$H$43))/((1+$Y$16)^AK$34))</f>
        <v>4061047.3127118042</v>
      </c>
      <c r="AL767" s="193">
        <f>(((O767*'Appendix K'!$C$18*1000)-('Appendix K'!$E$44+'Appendix K'!$F$44+'Appendix K'!$H$44+'Appendix K'!$G$44))/((1+$Y$16)^AL$34))</f>
        <v>1544979.4467198448</v>
      </c>
      <c r="AM767" s="193">
        <f>(((P767*'Appendix K'!$C$19*1000)-('Appendix K'!$E$45+'Appendix K'!$F$45+'Appendix K'!$H$45+'Appendix K'!$G$45))/((1+$Y$16)^AM$34))</f>
        <v>680701.85645371396</v>
      </c>
      <c r="AN767" s="193">
        <f>(((Q767*'Appendix K'!$C$20*1000)-('Appendix K'!$E$46+'Appendix K'!$F$46+'Appendix K'!$H$46+'Appendix K'!$G$46))/((1+$Y$16)^AN$34))</f>
        <v>376091.79327938682</v>
      </c>
      <c r="AO767" s="193">
        <f>(((R767*'Appendix K'!$C$21*1000)-('Appendix K'!$E$47+'Appendix K'!$F$47+'Appendix K'!$H$47+'Appendix K'!$G$47))/((1+$Y$16)^AO$34))</f>
        <v>769907.80560961866</v>
      </c>
      <c r="AP767" s="193">
        <f>(((S767*'Appendix K'!$C$22*1000)-('Appendix K'!$E$48+'Appendix K'!$F$48+'Appendix K'!$H$48+'Appendix K'!$G$48))/((1+$Y$16)^AP$34))</f>
        <v>798311.26768321299</v>
      </c>
      <c r="AQ767" s="193">
        <f>(((T767*'Appendix K'!$C$23*1000)-('Appendix K'!$E$49+'Appendix K'!$F$49+'Appendix K'!$H$49+'Appendix K'!$G$49))/((1+$Y$16)^AQ$34))</f>
        <v>940793.26818402205</v>
      </c>
      <c r="AR767" s="193">
        <f>(((U767*'Appendix K'!$C$24*1000)-('Appendix K'!$E$50+'Appendix K'!$F$50+'Appendix K'!$H$50+'Appendix K'!$G$50))/((1+$Y$16)^AR$34))</f>
        <v>803423.26677529223</v>
      </c>
      <c r="AS767" s="209">
        <f t="shared" si="38"/>
        <v>154866081.628178</v>
      </c>
      <c r="AU767" s="199">
        <f t="shared" si="37"/>
        <v>3.4835459793257836E-9</v>
      </c>
    </row>
    <row r="768" spans="1:47" x14ac:dyDescent="0.35">
      <c r="A768">
        <v>734</v>
      </c>
      <c r="B768" s="70">
        <v>56</v>
      </c>
      <c r="C768" s="70">
        <v>86.55075976195829</v>
      </c>
      <c r="D768" s="70">
        <v>59.133254060558386</v>
      </c>
      <c r="E768" s="70">
        <v>43.409553340269525</v>
      </c>
      <c r="F768" s="70">
        <v>40.424006373777267</v>
      </c>
      <c r="G768" s="70">
        <v>49.468677528528048</v>
      </c>
      <c r="H768" s="70">
        <v>53.449629080189546</v>
      </c>
      <c r="I768" s="70">
        <v>62.269909099255401</v>
      </c>
      <c r="J768" s="70">
        <v>60.559849872610755</v>
      </c>
      <c r="K768" s="70">
        <v>68.452392525710479</v>
      </c>
      <c r="L768" s="70">
        <v>72.821668243644865</v>
      </c>
      <c r="M768" s="70">
        <v>89.585757634910664</v>
      </c>
      <c r="N768" s="70">
        <v>90.218170640549019</v>
      </c>
      <c r="O768" s="70">
        <v>120.10244796580841</v>
      </c>
      <c r="P768" s="70">
        <v>154.00096991257476</v>
      </c>
      <c r="Q768" s="70">
        <v>130.29865639036856</v>
      </c>
      <c r="R768" s="70">
        <v>62.590576120932994</v>
      </c>
      <c r="S768" s="70">
        <v>55.933033224601175</v>
      </c>
      <c r="T768" s="70">
        <v>62.443061359623201</v>
      </c>
      <c r="U768" s="70">
        <v>95.25666517792277</v>
      </c>
      <c r="V768" s="70">
        <v>93.324003269766891</v>
      </c>
      <c r="X768" s="193">
        <f>((0-('Appendix K'!$I$30))/(1+$Y$16)^0)</f>
        <v>-33594902.4440751</v>
      </c>
      <c r="Y768" s="193">
        <f>(((B768*'Appendix K'!$C$5*1000)-('Appendix K'!$E$31+'Appendix K'!$F$31+'Appendix K'!$H$31+'Appendix K'!$G$31))/((1+$Y$16)^1))</f>
        <v>34971064.972647354</v>
      </c>
      <c r="Z768" s="193">
        <f>+(((C768*'Appendix K'!$C$6*1000)-('Appendix K'!$E$32+'Appendix K'!$F$32+'Appendix K'!$H$32+'Appendix K'!$G$32))/((1+$Y$16)^2))</f>
        <v>18376954.534368239</v>
      </c>
      <c r="AA768" s="193">
        <f>(((D768*'Appendix K'!$C$7*1000)-('Appendix K'!$E$33+'Appendix K'!$F$33+'Appendix K'!$H$33+'Appendix K'!$G$33))/((1+$Y$16)^3))</f>
        <v>4567192.6251829835</v>
      </c>
      <c r="AB768" s="193">
        <f>(((E768*'Appendix K'!$C$8*1000)-('Appendix K'!$E$34+'Appendix K'!$F$34+'Appendix K'!$H$34+'Appendix K'!$G$34))/((1+$Y$16)^4))</f>
        <v>6221768.8271193253</v>
      </c>
      <c r="AC768" s="193">
        <f>(((F768*'Appendix K'!$C$9*1000)-('Appendix K'!$E$35+'Appendix K'!$F$35+'Appendix K'!$H$35+'Appendix K'!$G$35))/((1+$Y$16)^AC$34))</f>
        <v>7760408.8979098639</v>
      </c>
      <c r="AD768" s="193">
        <f>(((G768*'Appendix K'!$C$10*1000)-('Appendix K'!$E$36+'Appendix K'!$F$36+'Appendix K'!$H$36+'Appendix K'!$G$36))/((1+$Y$16)^AD$34))</f>
        <v>5252993.617575584</v>
      </c>
      <c r="AE768" s="193">
        <f>(((H768*'Appendix K'!$C$11*1000)-('Appendix K'!$E$37+'Appendix K'!$F$37+'Appendix K'!$H$37+'Appendix K'!$G$37))/((1+$Y$16)^AE$34))</f>
        <v>3110998.3012572862</v>
      </c>
      <c r="AF768" s="193">
        <f>(((I768*'Appendix K'!$C$12*1000)-('Appendix K'!$E$38+'Appendix K'!$F$38+'Appendix K'!$H$38+'Appendix K'!$G$38))/((1+$Y$16)^AF$34))</f>
        <v>2092214.3523124307</v>
      </c>
      <c r="AG768" s="193">
        <f>(((J768*'Appendix K'!$C$13*1000)-('Appendix K'!$E$39+'Appendix K'!$F$39+'Appendix K'!$H$39+'Appendix K'!$G$39))/((1+$Y$16)^AG$34))</f>
        <v>971955.77623806335</v>
      </c>
      <c r="AH768" s="193">
        <f>(((K768*'Appendix K'!$C$14*1000)-('Appendix K'!$E$40+'Appendix K'!$F$40+'Appendix K'!$H$40+'Appendix K'!$G$40))/((1+$Y$16)^AH$34))</f>
        <v>674551.24413097557</v>
      </c>
      <c r="AI768" s="193">
        <f>(((L768*'Appendix K'!$C$15*1000)-('Appendix K'!$E$41+'Appendix K'!$F$41+'Appendix K'!$H$41+'Appendix K'!$G$41))/((1+$Y$16)^AI$34))</f>
        <v>391582.53683982883</v>
      </c>
      <c r="AJ768" s="193">
        <f>(((M768*'Appendix K'!$C$16*1000)-('Appendix K'!$E$42+'Appendix K'!$F$42+'Appendix K'!$H$42+'Appendix K'!$G$42))/((1+$Y$16)^AJ$34))</f>
        <v>413914.87892966287</v>
      </c>
      <c r="AK768" s="193">
        <f>(((N768*'Appendix K'!$C$17*1000)-('Appendix K'!$E$43+'Appendix K'!$F$43+'Appendix K'!$H$43))/((1+$Y$16)^AK$34))</f>
        <v>381844.10660405451</v>
      </c>
      <c r="AL768" s="193">
        <f>(((O768*'Appendix K'!$C$18*1000)-('Appendix K'!$E$44+'Appendix K'!$F$44+'Appendix K'!$H$44+'Appendix K'!$G$44))/((1+$Y$16)^AL$34))</f>
        <v>289020.53046918748</v>
      </c>
      <c r="AM768" s="193">
        <f>(((P768*'Appendix K'!$C$19*1000)-('Appendix K'!$E$45+'Appendix K'!$F$45+'Appendix K'!$H$45+'Appendix K'!$G$45))/((1+$Y$16)^AM$34))</f>
        <v>400627.74375625682</v>
      </c>
      <c r="AN768" s="193">
        <f>(((Q768*'Appendix K'!$C$20*1000)-('Appendix K'!$E$46+'Appendix K'!$F$46+'Appendix K'!$H$46+'Appendix K'!$G$46))/((1+$Y$16)^AN$34))</f>
        <v>27160.499366762349</v>
      </c>
      <c r="AO768" s="193">
        <f>(((R768*'Appendix K'!$C$21*1000)-('Appendix K'!$E$47+'Appendix K'!$F$47+'Appendix K'!$H$47+'Appendix K'!$G$47))/((1+$Y$16)^AO$34))</f>
        <v>-473081.7054969212</v>
      </c>
      <c r="AP768" s="193">
        <f>(((S768*'Appendix K'!$C$22*1000)-('Appendix K'!$E$48+'Appendix K'!$F$48+'Appendix K'!$H$48+'Appendix K'!$G$48))/((1+$Y$16)^AP$34))</f>
        <v>-496549.70174209843</v>
      </c>
      <c r="AQ768" s="193">
        <f>(((T768*'Appendix K'!$C$23*1000)-('Appendix K'!$E$49+'Appendix K'!$F$49+'Appendix K'!$H$49+'Appendix K'!$G$49))/((1+$Y$16)^AQ$34))</f>
        <v>-449099.47518390528</v>
      </c>
      <c r="AR768" s="193">
        <f>(((U768*'Appendix K'!$C$24*1000)-('Appendix K'!$E$50+'Appendix K'!$F$50+'Appendix K'!$H$50+'Appendix K'!$G$50))/((1+$Y$16)^AR$34))</f>
        <v>-322559.73845236591</v>
      </c>
      <c r="AS768" s="209">
        <f t="shared" si="38"/>
        <v>52309351.000632755</v>
      </c>
      <c r="AU768" s="199">
        <f t="shared" si="37"/>
        <v>5.792741698908745E-9</v>
      </c>
    </row>
    <row r="769" spans="1:47" x14ac:dyDescent="0.35">
      <c r="A769">
        <v>735</v>
      </c>
      <c r="B769" s="70">
        <v>56</v>
      </c>
      <c r="C769" s="70">
        <v>13.462016080443291</v>
      </c>
      <c r="D769" s="70">
        <v>7.9782024011987014</v>
      </c>
      <c r="E769" s="70">
        <v>8.0008114922050382</v>
      </c>
      <c r="F769" s="70">
        <v>9.2895445066964726</v>
      </c>
      <c r="G769" s="70">
        <v>8.1016951763532212</v>
      </c>
      <c r="H769" s="70">
        <v>2.6944488749131512</v>
      </c>
      <c r="I769" s="70">
        <v>2.7627477626836052</v>
      </c>
      <c r="J769" s="70">
        <v>4.097314420209206</v>
      </c>
      <c r="K769" s="70">
        <v>5.125450936643591</v>
      </c>
      <c r="L769" s="70">
        <v>6.2995345944263637</v>
      </c>
      <c r="M769" s="70">
        <v>5.7377963126162586</v>
      </c>
      <c r="N769" s="70">
        <v>6.4381621163156719</v>
      </c>
      <c r="O769" s="70">
        <v>2.9618295128422827</v>
      </c>
      <c r="P769" s="70">
        <v>2.5524543901033927</v>
      </c>
      <c r="Q769" s="70">
        <v>2.7786128156967167</v>
      </c>
      <c r="R769" s="70">
        <v>2.9248034930495344</v>
      </c>
      <c r="S769" s="70">
        <v>1.5112450908876092</v>
      </c>
      <c r="T769" s="70">
        <v>1.3172274027329145</v>
      </c>
      <c r="U769" s="70">
        <v>1.6151656339403004</v>
      </c>
      <c r="V769" s="70">
        <v>1.8005285958913777</v>
      </c>
      <c r="X769" s="193">
        <f>((0-('Appendix K'!$I$30))/(1+$Y$16)^0)</f>
        <v>-33594902.4440751</v>
      </c>
      <c r="Y769" s="193">
        <f>(((B769*'Appendix K'!$C$5*1000)-('Appendix K'!$E$31+'Appendix K'!$F$31+'Appendix K'!$H$31+'Appendix K'!$G$31))/((1+$Y$16)^1))</f>
        <v>34971064.972647354</v>
      </c>
      <c r="Z769" s="193">
        <f>+(((C769*'Appendix K'!$C$6*1000)-('Appendix K'!$E$32+'Appendix K'!$F$32+'Appendix K'!$H$32+'Appendix K'!$G$32))/((1+$Y$16)^2))</f>
        <v>-86512.165434914816</v>
      </c>
      <c r="AA769" s="193">
        <f>(((D769*'Appendix K'!$C$7*1000)-('Appendix K'!$E$33+'Appendix K'!$F$33+'Appendix K'!$H$33+'Appendix K'!$G$33))/((1+$Y$16)^3))</f>
        <v>-1948675.5504185897</v>
      </c>
      <c r="AB769" s="193">
        <f>(((E769*'Appendix K'!$C$8*1000)-('Appendix K'!$E$34+'Appendix K'!$F$34+'Appendix K'!$H$34+'Appendix K'!$G$34))/((1+$Y$16)^4))</f>
        <v>-1539503.2501429773</v>
      </c>
      <c r="AC769" s="193">
        <f>(((F769*'Appendix K'!$C$9*1000)-('Appendix K'!$E$35+'Appendix K'!$F$35+'Appendix K'!$H$35+'Appendix K'!$G$35))/((1+$Y$16)^AC$34))</f>
        <v>-515082.17648179247</v>
      </c>
      <c r="AD769" s="193">
        <f>(((G769*'Appendix K'!$C$10*1000)-('Appendix K'!$E$36+'Appendix K'!$F$36+'Appendix K'!$H$36+'Appendix K'!$G$36))/((1+$Y$16)^AD$34))</f>
        <v>-1243440.7533157489</v>
      </c>
      <c r="AE769" s="193">
        <f>(((H769*'Appendix K'!$C$11*1000)-('Appendix K'!$E$37+'Appendix K'!$F$37+'Appendix K'!$H$37+'Appendix K'!$G$37))/((1+$Y$16)^AE$34))</f>
        <v>-1951203.0235853863</v>
      </c>
      <c r="AF769" s="193">
        <f>(((I769*'Appendix K'!$C$12*1000)-('Appendix K'!$E$38+'Appendix K'!$F$38+'Appendix K'!$H$38+'Appendix K'!$G$38))/((1+$Y$16)^AF$34))</f>
        <v>-1815170.2872505079</v>
      </c>
      <c r="AG769" s="193">
        <f>(((J769*'Appendix K'!$C$13*1000)-('Appendix K'!$E$39+'Appendix K'!$F$39+'Appendix K'!$H$39+'Appendix K'!$G$39))/((1+$Y$16)^AG$34))</f>
        <v>-1626389.8350138175</v>
      </c>
      <c r="AH769" s="193">
        <f>(((K769*'Appendix K'!$C$14*1000)-('Appendix K'!$E$40+'Appendix K'!$F$40+'Appendix K'!$H$40+'Appendix K'!$G$40))/((1+$Y$16)^AH$34))</f>
        <v>-1459980.0069263829</v>
      </c>
      <c r="AI769" s="193">
        <f>(((L769*'Appendix K'!$C$15*1000)-('Appendix K'!$E$41+'Appendix K'!$F$41+'Appendix K'!$H$41+'Appendix K'!$G$41))/((1+$Y$16)^AI$34))</f>
        <v>-1351421.7617696025</v>
      </c>
      <c r="AJ769" s="193">
        <f>(((M769*'Appendix K'!$C$16*1000)-('Appendix K'!$E$42+'Appendix K'!$F$42+'Appendix K'!$H$42+'Appendix K'!$G$42))/((1+$Y$16)^AJ$34))</f>
        <v>-1266554.8082638781</v>
      </c>
      <c r="AK769" s="193">
        <f>(((N769*'Appendix K'!$C$17*1000)-('Appendix K'!$E$43+'Appendix K'!$F$43+'Appendix K'!$H$43))/((1+$Y$16)^AK$34))</f>
        <v>-905343.35378002597</v>
      </c>
      <c r="AL769" s="193">
        <f>(((O769*'Appendix K'!$C$18*1000)-('Appendix K'!$E$44+'Appendix K'!$F$44+'Appendix K'!$H$44+'Appendix K'!$G$44))/((1+$Y$16)^AL$34))</f>
        <v>-1099481.6889298456</v>
      </c>
      <c r="AM769" s="193">
        <f>(((P769*'Appendix K'!$C$19*1000)-('Appendix K'!$E$45+'Appendix K'!$F$45+'Appendix K'!$H$45+'Appendix K'!$G$45))/((1+$Y$16)^AM$34))</f>
        <v>-1003107.9269593632</v>
      </c>
      <c r="AN769" s="193">
        <f>(((Q769*'Appendix K'!$C$20*1000)-('Appendix K'!$E$46+'Appendix K'!$F$46+'Appendix K'!$H$46+'Appendix K'!$G$46))/((1+$Y$16)^AN$34))</f>
        <v>-895602.19387467031</v>
      </c>
      <c r="AO769" s="193">
        <f>(((R769*'Appendix K'!$C$21*1000)-('Appendix K'!$E$47+'Appendix K'!$F$47+'Appendix K'!$H$47+'Appendix K'!$G$47))/((1+$Y$16)^AO$34))</f>
        <v>-825713.01360467309</v>
      </c>
      <c r="AP769" s="193">
        <f>(((S769*'Appendix K'!$C$22*1000)-('Appendix K'!$E$48+'Appendix K'!$F$48+'Appendix K'!$H$48+'Appendix K'!$G$48))/((1+$Y$16)^AP$34))</f>
        <v>-757214.79297521524</v>
      </c>
      <c r="AQ769" s="193">
        <f>(((T769*'Appendix K'!$C$23*1000)-('Appendix K'!$E$49+'Appendix K'!$F$49+'Appendix K'!$H$49+'Appendix K'!$G$49))/((1+$Y$16)^AQ$34))</f>
        <v>-688330.34067635413</v>
      </c>
      <c r="AR769" s="193">
        <f>(((U769*'Appendix K'!$C$24*1000)-('Appendix K'!$E$50+'Appendix K'!$F$50+'Appendix K'!$H$50+'Appendix K'!$G$50))/((1+$Y$16)^AR$34))</f>
        <v>-624087.99071192159</v>
      </c>
      <c r="AS769" s="209">
        <f t="shared" si="38"/>
        <v>1376162.5285722539</v>
      </c>
      <c r="AU769" s="199">
        <f t="shared" si="37"/>
        <v>2.2155499856643697E-9</v>
      </c>
    </row>
    <row r="770" spans="1:47" x14ac:dyDescent="0.35">
      <c r="A770">
        <v>736</v>
      </c>
      <c r="B770" s="70">
        <v>56</v>
      </c>
      <c r="C770" s="70">
        <v>50.836639305152694</v>
      </c>
      <c r="D770" s="70">
        <v>65.673734563778538</v>
      </c>
      <c r="E770" s="70">
        <v>29.721603002962482</v>
      </c>
      <c r="F770" s="70">
        <v>18.470231329050307</v>
      </c>
      <c r="G770" s="70">
        <v>15.769376886727065</v>
      </c>
      <c r="H770" s="70">
        <v>18.327190818057201</v>
      </c>
      <c r="I770" s="70">
        <v>16.503691780896087</v>
      </c>
      <c r="J770" s="70">
        <v>19.144158230075561</v>
      </c>
      <c r="K770" s="70">
        <v>27.628779943908661</v>
      </c>
      <c r="L770" s="70">
        <v>37.253615867623395</v>
      </c>
      <c r="M770" s="70">
        <v>22.574032993801396</v>
      </c>
      <c r="N770" s="70">
        <v>26.33800222566947</v>
      </c>
      <c r="O770" s="70">
        <v>24.62487692671797</v>
      </c>
      <c r="P770" s="70">
        <v>26.74190606850825</v>
      </c>
      <c r="Q770" s="70">
        <v>32.98021339296087</v>
      </c>
      <c r="R770" s="70">
        <v>34.942897334184472</v>
      </c>
      <c r="S770" s="70">
        <v>59.257230518600622</v>
      </c>
      <c r="T770" s="70">
        <v>54.656794991676989</v>
      </c>
      <c r="U770" s="70">
        <v>70.26163389899277</v>
      </c>
      <c r="V770" s="70">
        <v>141.42969114162946</v>
      </c>
      <c r="X770" s="193">
        <f>((0-('Appendix K'!$I$30))/(1+$Y$16)^0)</f>
        <v>-33594902.4440751</v>
      </c>
      <c r="Y770" s="193">
        <f>(((B770*'Appendix K'!$C$5*1000)-('Appendix K'!$E$31+'Appendix K'!$F$31+'Appendix K'!$H$31+'Appendix K'!$G$31))/((1+$Y$16)^1))</f>
        <v>34971064.972647354</v>
      </c>
      <c r="Z770" s="193">
        <f>+(((C770*'Appendix K'!$C$6*1000)-('Appendix K'!$E$32+'Appendix K'!$F$32+'Appendix K'!$H$32+'Appendix K'!$G$32))/((1+$Y$16)^2))</f>
        <v>9354956.8839453533</v>
      </c>
      <c r="AA770" s="193">
        <f>(((D770*'Appendix K'!$C$7*1000)-('Appendix K'!$E$33+'Appendix K'!$F$33+'Appendix K'!$H$33+'Appendix K'!$G$33))/((1+$Y$16)^3))</f>
        <v>5400285.4944436727</v>
      </c>
      <c r="AB770" s="193">
        <f>(((E770*'Appendix K'!$C$8*1000)-('Appendix K'!$E$34+'Appendix K'!$F$34+'Appendix K'!$H$34+'Appendix K'!$G$34))/((1+$Y$16)^4))</f>
        <v>3221495.4143066825</v>
      </c>
      <c r="AC770" s="193">
        <f>(((F770*'Appendix K'!$C$9*1000)-('Appendix K'!$E$35+'Appendix K'!$F$35+'Appendix K'!$H$35+'Appendix K'!$G$35))/((1+$Y$16)^AC$34))</f>
        <v>1925129.9646345468</v>
      </c>
      <c r="AD770" s="193">
        <f>(((G770*'Appendix K'!$C$10*1000)-('Appendix K'!$E$36+'Appendix K'!$F$36+'Appendix K'!$H$36+'Appendix K'!$G$36))/((1+$Y$16)^AD$34))</f>
        <v>-39277.718549239602</v>
      </c>
      <c r="AE770" s="193">
        <f>(((H770*'Appendix K'!$C$11*1000)-('Appendix K'!$E$37+'Appendix K'!$F$37+'Appendix K'!$H$37+'Appendix K'!$G$37))/((1+$Y$16)^AE$34))</f>
        <v>-392030.40996356297</v>
      </c>
      <c r="AF770" s="193">
        <f>(((I770*'Appendix K'!$C$12*1000)-('Appendix K'!$E$38+'Appendix K'!$F$38+'Appendix K'!$H$38+'Appendix K'!$G$38))/((1+$Y$16)^AF$34))</f>
        <v>-912906.55320711806</v>
      </c>
      <c r="AG770" s="193">
        <f>(((J770*'Appendix K'!$C$13*1000)-('Appendix K'!$E$39+'Appendix K'!$F$39+'Appendix K'!$H$39+'Appendix K'!$G$39))/((1+$Y$16)^AG$34))</f>
        <v>-933950.14445975376</v>
      </c>
      <c r="AH770" s="193">
        <f>(((K770*'Appendix K'!$C$14*1000)-('Appendix K'!$E$40+'Appendix K'!$F$40+'Appendix K'!$H$40+'Appendix K'!$G$40))/((1+$Y$16)^AH$34))</f>
        <v>-701470.94564044045</v>
      </c>
      <c r="AI770" s="193">
        <f>(((L770*'Appendix K'!$C$15*1000)-('Appendix K'!$E$41+'Appendix K'!$F$41+'Appendix K'!$H$41+'Appendix K'!$G$41))/((1+$Y$16)^AI$34))</f>
        <v>-540366.9479960223</v>
      </c>
      <c r="AJ770" s="193">
        <f>(((M770*'Appendix K'!$C$16*1000)-('Appendix K'!$E$42+'Appendix K'!$F$42+'Appendix K'!$H$42+'Appendix K'!$G$42))/((1+$Y$16)^AJ$34))</f>
        <v>-929125.19229031925</v>
      </c>
      <c r="AK770" s="193">
        <f>(((N770*'Appendix K'!$C$17*1000)-('Appendix K'!$E$43+'Appendix K'!$F$43+'Appendix K'!$H$43))/((1+$Y$16)^AK$34))</f>
        <v>-599604.25081730308</v>
      </c>
      <c r="AL770" s="193">
        <f>(((O770*'Appendix K'!$C$18*1000)-('Appendix K'!$E$44+'Appendix K'!$F$44+'Appendix K'!$H$44+'Appendix K'!$G$44))/((1+$Y$16)^AL$34))</f>
        <v>-842703.21353541908</v>
      </c>
      <c r="AM770" s="193">
        <f>(((P770*'Appendix K'!$C$19*1000)-('Appendix K'!$E$45+'Appendix K'!$F$45+'Appendix K'!$H$45+'Appendix K'!$G$45))/((1+$Y$16)^AM$34))</f>
        <v>-778902.38715009042</v>
      </c>
      <c r="AN770" s="193">
        <f>(((Q770*'Appendix K'!$C$20*1000)-('Appendix K'!$E$46+'Appendix K'!$F$46+'Appendix K'!$H$46+'Appendix K'!$G$46))/((1+$Y$16)^AN$34))</f>
        <v>-677056.86164570902</v>
      </c>
      <c r="AO770" s="193">
        <f>(((R770*'Appendix K'!$C$21*1000)-('Appendix K'!$E$47+'Appendix K'!$F$47+'Appendix K'!$H$47+'Appendix K'!$G$47))/((1+$Y$16)^AO$34))</f>
        <v>-636482.54164326983</v>
      </c>
      <c r="AP770" s="193">
        <f>(((S770*'Appendix K'!$C$22*1000)-('Appendix K'!$E$48+'Appendix K'!$F$48+'Appendix K'!$H$48+'Appendix K'!$G$48))/((1+$Y$16)^AP$34))</f>
        <v>-480627.72966745321</v>
      </c>
      <c r="AQ770" s="193">
        <f>(((T770*'Appendix K'!$C$23*1000)-('Appendix K'!$E$49+'Appendix K'!$F$49+'Appendix K'!$H$49+'Appendix K'!$G$49))/((1+$Y$16)^AQ$34))</f>
        <v>-479572.92841273517</v>
      </c>
      <c r="AR770" s="193">
        <f>(((U770*'Appendix K'!$C$24*1000)-('Appendix K'!$E$50+'Appendix K'!$F$50+'Appendix K'!$H$50+'Appendix K'!$G$50))/((1+$Y$16)^AR$34))</f>
        <v>-403044.43950276688</v>
      </c>
      <c r="AS770" s="209">
        <f t="shared" si="38"/>
        <v>21278030.285902508</v>
      </c>
      <c r="AU770" s="199">
        <f t="shared" si="37"/>
        <v>3.5499170322955684E-9</v>
      </c>
    </row>
    <row r="771" spans="1:47" x14ac:dyDescent="0.35">
      <c r="A771">
        <v>737</v>
      </c>
      <c r="B771" s="70">
        <v>56</v>
      </c>
      <c r="C771" s="70">
        <v>67.774537602556407</v>
      </c>
      <c r="D771" s="70">
        <v>107.8484021410153</v>
      </c>
      <c r="E771" s="70">
        <v>141.38859690045791</v>
      </c>
      <c r="F771" s="70">
        <v>140.47202290943778</v>
      </c>
      <c r="G771" s="70">
        <v>148.79203210510752</v>
      </c>
      <c r="H771" s="70">
        <v>155.88435593614184</v>
      </c>
      <c r="I771" s="70">
        <v>229.60230299025082</v>
      </c>
      <c r="J771" s="70">
        <v>268.96794554924224</v>
      </c>
      <c r="K771" s="70">
        <v>329.94281054523083</v>
      </c>
      <c r="L771" s="70">
        <v>437.69629693624921</v>
      </c>
      <c r="M771" s="70">
        <v>500</v>
      </c>
      <c r="N771" s="70">
        <v>391.43925481141503</v>
      </c>
      <c r="O771" s="70">
        <v>500</v>
      </c>
      <c r="P771" s="70">
        <v>383.54035258516387</v>
      </c>
      <c r="Q771" s="70">
        <v>340.96267545144599</v>
      </c>
      <c r="R771" s="70">
        <v>460.94576491836085</v>
      </c>
      <c r="S771" s="70">
        <v>500</v>
      </c>
      <c r="T771" s="70">
        <v>500</v>
      </c>
      <c r="U771" s="70">
        <v>500</v>
      </c>
      <c r="V771" s="70">
        <v>358.74929113167616</v>
      </c>
      <c r="X771" s="193">
        <f>((0-('Appendix K'!$I$30))/(1+$Y$16)^0)</f>
        <v>-33594902.4440751</v>
      </c>
      <c r="Y771" s="193">
        <f>(((B771*'Appendix K'!$C$5*1000)-('Appendix K'!$E$31+'Appendix K'!$F$31+'Appendix K'!$H$31+'Appendix K'!$G$31))/((1+$Y$16)^1))</f>
        <v>34971064.972647354</v>
      </c>
      <c r="Z771" s="193">
        <f>+(((C771*'Appendix K'!$C$6*1000)-('Appendix K'!$E$32+'Appendix K'!$F$32+'Appendix K'!$H$32+'Appendix K'!$G$32))/((1+$Y$16)^2))</f>
        <v>13633759.684845865</v>
      </c>
      <c r="AA771" s="193">
        <f>(((D771*'Appendix K'!$C$7*1000)-('Appendix K'!$E$33+'Appendix K'!$F$33+'Appendix K'!$H$33+'Appendix K'!$G$33))/((1+$Y$16)^3))</f>
        <v>10772278.393854856</v>
      </c>
      <c r="AB771" s="193">
        <f>(((E771*'Appendix K'!$C$8*1000)-('Appendix K'!$E$34+'Appendix K'!$F$34+'Appendix K'!$H$34+'Appendix K'!$G$34))/((1+$Y$16)^4))</f>
        <v>27697878.263696902</v>
      </c>
      <c r="AC771" s="193">
        <f>(((F771*'Appendix K'!$C$9*1000)-('Appendix K'!$E$35+'Appendix K'!$F$35+'Appendix K'!$H$35+'Appendix K'!$G$35))/((1+$Y$16)^AC$34))</f>
        <v>34353014.589510232</v>
      </c>
      <c r="AD771" s="193">
        <f>(((G771*'Appendix K'!$C$10*1000)-('Appendix K'!$E$36+'Appendix K'!$F$36+'Appendix K'!$H$36+'Appendix K'!$G$36))/((1+$Y$16)^AD$34))</f>
        <v>20851125.69813801</v>
      </c>
      <c r="AE771" s="193">
        <f>(((H771*'Appendix K'!$C$11*1000)-('Appendix K'!$E$37+'Appendix K'!$F$37+'Appendix K'!$H$37+'Appendix K'!$G$37))/((1+$Y$16)^AE$34))</f>
        <v>13327595.068382787</v>
      </c>
      <c r="AF771" s="193">
        <f>(((I771*'Appendix K'!$C$12*1000)-('Appendix K'!$E$38+'Appendix K'!$F$38+'Appendix K'!$H$38+'Appendix K'!$G$38))/((1+$Y$16)^AF$34))</f>
        <v>13079665.457447568</v>
      </c>
      <c r="AG771" s="193">
        <f>(((J771*'Appendix K'!$C$13*1000)-('Appendix K'!$E$39+'Appendix K'!$F$39+'Appendix K'!$H$39+'Appendix K'!$G$39))/((1+$Y$16)^AG$34))</f>
        <v>10562673.876512552</v>
      </c>
      <c r="AH771" s="193">
        <f>(((K771*'Appendix K'!$C$14*1000)-('Appendix K'!$E$40+'Appendix K'!$F$40+'Appendix K'!$H$40+'Appendix K'!$G$40))/((1+$Y$16)^AH$34))</f>
        <v>9488485.0155841373</v>
      </c>
      <c r="AI771" s="193">
        <f>(((L771*'Appendix K'!$C$15*1000)-('Appendix K'!$E$41+'Appendix K'!$F$41+'Appendix K'!$H$41+'Appendix K'!$G$41))/((1+$Y$16)^AI$34))</f>
        <v>9951980.1274874788</v>
      </c>
      <c r="AJ771" s="193">
        <f>(((M771*'Appendix K'!$C$16*1000)-('Appendix K'!$E$42+'Appendix K'!$F$42+'Appendix K'!$H$42+'Appendix K'!$G$42))/((1+$Y$16)^AJ$34))</f>
        <v>8639382.5302660316</v>
      </c>
      <c r="AK771" s="193">
        <f>(((N771*'Appendix K'!$C$17*1000)-('Appendix K'!$E$43+'Appendix K'!$F$43+'Appendix K'!$H$43))/((1+$Y$16)^AK$34))</f>
        <v>5009773.9573856527</v>
      </c>
      <c r="AL771" s="193">
        <f>(((O771*'Appendix K'!$C$18*1000)-('Appendix K'!$E$44+'Appendix K'!$F$44+'Appendix K'!$H$44+'Appendix K'!$G$44))/((1+$Y$16)^AL$34))</f>
        <v>4792058.0003928225</v>
      </c>
      <c r="AM771" s="193">
        <f>(((P771*'Appendix K'!$C$19*1000)-('Appendix K'!$E$45+'Appendix K'!$F$45+'Appendix K'!$H$45+'Appendix K'!$G$45))/((1+$Y$16)^AM$34))</f>
        <v>2528166.7175123091</v>
      </c>
      <c r="AN771" s="193">
        <f>(((Q771*'Appendix K'!$C$20*1000)-('Appendix K'!$E$46+'Appendix K'!$F$46+'Appendix K'!$H$46+'Appendix K'!$G$46))/((1+$Y$16)^AN$34))</f>
        <v>1551571.0323982518</v>
      </c>
      <c r="AO771" s="193">
        <f>(((R771*'Appendix K'!$C$21*1000)-('Appendix K'!$E$47+'Appendix K'!$F$47+'Appendix K'!$H$47+'Appendix K'!$G$47))/((1+$Y$16)^AO$34))</f>
        <v>1881241.4705931644</v>
      </c>
      <c r="AP771" s="193">
        <f>(((S771*'Appendix K'!$C$22*1000)-('Appendix K'!$E$48+'Appendix K'!$F$48+'Appendix K'!$H$48+'Appendix K'!$G$48))/((1+$Y$16)^AP$34))</f>
        <v>1630406.4380253027</v>
      </c>
      <c r="AQ771" s="193">
        <f>(((T771*'Appendix K'!$C$23*1000)-('Appendix K'!$E$49+'Appendix K'!$F$49+'Appendix K'!$H$49+'Appendix K'!$G$49))/((1+$Y$16)^AQ$34))</f>
        <v>1263386.3652054211</v>
      </c>
      <c r="AR771" s="193">
        <f>(((U771*'Appendix K'!$C$24*1000)-('Appendix K'!$E$50+'Appendix K'!$F$50+'Appendix K'!$H$50+'Appendix K'!$G$50))/((1+$Y$16)^AR$34))</f>
        <v>980725.14012097823</v>
      </c>
      <c r="AS771" s="209">
        <f t="shared" si="38"/>
        <v>193371330.35593253</v>
      </c>
      <c r="AU771" s="199">
        <f t="shared" si="37"/>
        <v>1.2384669434445976E-9</v>
      </c>
    </row>
    <row r="772" spans="1:47" x14ac:dyDescent="0.35">
      <c r="A772">
        <v>738</v>
      </c>
      <c r="B772" s="70">
        <v>56</v>
      </c>
      <c r="C772" s="70">
        <v>74.522681968009294</v>
      </c>
      <c r="D772" s="70">
        <v>34.495079201002845</v>
      </c>
      <c r="E772" s="70">
        <v>28.372177137587578</v>
      </c>
      <c r="F772" s="70">
        <v>30.353465424051699</v>
      </c>
      <c r="G772" s="70">
        <v>26.766554270567148</v>
      </c>
      <c r="H772" s="70">
        <v>29.442013549074595</v>
      </c>
      <c r="I772" s="70">
        <v>30.508556970244598</v>
      </c>
      <c r="J772" s="70">
        <v>56.168096672262088</v>
      </c>
      <c r="K772" s="70">
        <v>76.488504733181955</v>
      </c>
      <c r="L772" s="70">
        <v>79.764502170763961</v>
      </c>
      <c r="M772" s="70">
        <v>86.859127056756478</v>
      </c>
      <c r="N772" s="70">
        <v>106.6897046493149</v>
      </c>
      <c r="O772" s="70">
        <v>148.91586223901174</v>
      </c>
      <c r="P772" s="70">
        <v>178.12989276487875</v>
      </c>
      <c r="Q772" s="70">
        <v>232.06043892953085</v>
      </c>
      <c r="R772" s="70">
        <v>242.69258147117569</v>
      </c>
      <c r="S772" s="70">
        <v>297.52652624786742</v>
      </c>
      <c r="T772" s="70">
        <v>140.75361237808895</v>
      </c>
      <c r="U772" s="70">
        <v>141.15853546874487</v>
      </c>
      <c r="V772" s="70">
        <v>156.80629457220616</v>
      </c>
      <c r="X772" s="193">
        <f>((0-('Appendix K'!$I$30))/(1+$Y$16)^0)</f>
        <v>-33594902.4440751</v>
      </c>
      <c r="Y772" s="193">
        <f>(((B772*'Appendix K'!$C$5*1000)-('Appendix K'!$E$31+'Appendix K'!$F$31+'Appendix K'!$H$31+'Appendix K'!$G$31))/((1+$Y$16)^1))</f>
        <v>34971064.972647354</v>
      </c>
      <c r="Z772" s="193">
        <f>+(((C772*'Appendix K'!$C$6*1000)-('Appendix K'!$E$32+'Appendix K'!$F$32+'Appendix K'!$H$32+'Appendix K'!$G$32))/((1+$Y$16)^2))</f>
        <v>15338456.365909696</v>
      </c>
      <c r="AA772" s="193">
        <f>(((D772*'Appendix K'!$C$7*1000)-('Appendix K'!$E$33+'Appendix K'!$F$33+'Appendix K'!$H$33+'Appendix K'!$G$33))/((1+$Y$16)^3))</f>
        <v>1428908.2473015795</v>
      </c>
      <c r="AB772" s="193">
        <f>(((E772*'Appendix K'!$C$8*1000)-('Appendix K'!$E$34+'Appendix K'!$F$34+'Appendix K'!$H$34+'Appendix K'!$G$34))/((1+$Y$16)^4))</f>
        <v>2925713.6174213397</v>
      </c>
      <c r="AC772" s="193">
        <f>(((F772*'Appendix K'!$C$9*1000)-('Appendix K'!$E$35+'Appendix K'!$F$35+'Appendix K'!$H$35+'Appendix K'!$G$35))/((1+$Y$16)^AC$34))</f>
        <v>5083674.927059846</v>
      </c>
      <c r="AD772" s="193">
        <f>(((G772*'Appendix K'!$C$10*1000)-('Appendix K'!$E$36+'Appendix K'!$F$36+'Appendix K'!$H$36+'Appendix K'!$G$36))/((1+$Y$16)^AD$34))</f>
        <v>1687762.4733348936</v>
      </c>
      <c r="AE772" s="193">
        <f>(((H772*'Appendix K'!$C$11*1000)-('Appendix K'!$E$37+'Appendix K'!$F$37+'Appendix K'!$H$37+'Appendix K'!$G$37))/((1+$Y$16)^AE$34))</f>
        <v>716535.65416595549</v>
      </c>
      <c r="AF772" s="193">
        <f>(((I772*'Appendix K'!$C$12*1000)-('Appendix K'!$E$38+'Appendix K'!$F$38+'Appendix K'!$H$38+'Appendix K'!$G$38))/((1+$Y$16)^AF$34))</f>
        <v>6686.8854800485296</v>
      </c>
      <c r="AG772" s="193">
        <f>(((J772*'Appendix K'!$C$13*1000)-('Appendix K'!$E$39+'Appendix K'!$F$39+'Appendix K'!$H$39+'Appendix K'!$G$39))/((1+$Y$16)^AG$34))</f>
        <v>769851.98188318172</v>
      </c>
      <c r="AH772" s="193">
        <f>(((K772*'Appendix K'!$C$14*1000)-('Appendix K'!$E$40+'Appendix K'!$F$40+'Appendix K'!$H$40+'Appendix K'!$G$40))/((1+$Y$16)^AH$34))</f>
        <v>945420.67526757775</v>
      </c>
      <c r="AI772" s="193">
        <f>(((L772*'Appendix K'!$C$15*1000)-('Appendix K'!$E$41+'Appendix K'!$F$41+'Appendix K'!$H$41+'Appendix K'!$G$41))/((1+$Y$16)^AI$34))</f>
        <v>573497.76889345609</v>
      </c>
      <c r="AJ772" s="193">
        <f>(((M772*'Appendix K'!$C$16*1000)-('Appendix K'!$E$42+'Appendix K'!$F$42+'Appendix K'!$H$42+'Appendix K'!$G$42))/((1+$Y$16)^AJ$34))</f>
        <v>359268.11158429162</v>
      </c>
      <c r="AK772" s="193">
        <f>(((N772*'Appendix K'!$C$17*1000)-('Appendix K'!$E$43+'Appendix K'!$F$43+'Appendix K'!$H$43))/((1+$Y$16)^AK$34))</f>
        <v>634911.06616685668</v>
      </c>
      <c r="AL772" s="193">
        <f>(((O772*'Appendix K'!$C$18*1000)-('Appendix K'!$E$44+'Appendix K'!$F$44+'Appendix K'!$H$44+'Appendix K'!$G$44))/((1+$Y$16)^AL$34))</f>
        <v>630554.40825787478</v>
      </c>
      <c r="AM772" s="193">
        <f>(((P772*'Appendix K'!$C$19*1000)-('Appendix K'!$E$45+'Appendix K'!$F$45+'Appendix K'!$H$45+'Appendix K'!$G$45))/((1+$Y$16)^AM$34))</f>
        <v>624272.25811069983</v>
      </c>
      <c r="AN772" s="193">
        <f>(((Q772*'Appendix K'!$C$20*1000)-('Appendix K'!$E$46+'Appendix K'!$F$46+'Appendix K'!$H$46+'Appendix K'!$G$46))/((1+$Y$16)^AN$34))</f>
        <v>763530.82902321545</v>
      </c>
      <c r="AO772" s="193">
        <f>(((R772*'Appendix K'!$C$21*1000)-('Appendix K'!$E$47+'Appendix K'!$F$47+'Appendix K'!$H$47+'Appendix K'!$G$47))/((1+$Y$16)^AO$34))</f>
        <v>591341.04379981093</v>
      </c>
      <c r="AP772" s="193">
        <f>(((S772*'Appendix K'!$C$22*1000)-('Appendix K'!$E$48+'Appendix K'!$F$48+'Appendix K'!$H$48+'Appendix K'!$G$48))/((1+$Y$16)^AP$34))</f>
        <v>660615.32461661636</v>
      </c>
      <c r="AQ772" s="193">
        <f>(((T772*'Appendix K'!$C$23*1000)-('Appendix K'!$E$49+'Appendix K'!$F$49+'Appendix K'!$H$49+'Appendix K'!$G$49))/((1+$Y$16)^AQ$34))</f>
        <v>-142612.02651284554</v>
      </c>
      <c r="AR772" s="193">
        <f>(((U772*'Appendix K'!$C$24*1000)-('Appendix K'!$E$50+'Appendix K'!$F$50+'Appendix K'!$H$50+'Appendix K'!$G$50))/((1+$Y$16)^AR$34))</f>
        <v>-174754.42999790696</v>
      </c>
      <c r="AS772" s="209">
        <f t="shared" si="38"/>
        <v>35117164.166849189</v>
      </c>
      <c r="AU772" s="199">
        <f t="shared" si="37"/>
        <v>4.5825053643197958E-9</v>
      </c>
    </row>
    <row r="773" spans="1:47" x14ac:dyDescent="0.35">
      <c r="A773">
        <v>739</v>
      </c>
      <c r="B773" s="70">
        <v>56</v>
      </c>
      <c r="C773" s="70">
        <v>74.547300500749259</v>
      </c>
      <c r="D773" s="70">
        <v>66.848753669657867</v>
      </c>
      <c r="E773" s="70">
        <v>60.304724997318985</v>
      </c>
      <c r="F773" s="70">
        <v>61.598177701467179</v>
      </c>
      <c r="G773" s="70">
        <v>78.576689266887939</v>
      </c>
      <c r="H773" s="70">
        <v>82.963067353288992</v>
      </c>
      <c r="I773" s="70">
        <v>93.866273735764395</v>
      </c>
      <c r="J773" s="70">
        <v>109.0207151439014</v>
      </c>
      <c r="K773" s="70">
        <v>110.55078047402607</v>
      </c>
      <c r="L773" s="70">
        <v>132.43362422725821</v>
      </c>
      <c r="M773" s="70">
        <v>138.32911413370107</v>
      </c>
      <c r="N773" s="70">
        <v>166.1706442293079</v>
      </c>
      <c r="O773" s="70">
        <v>92.028209576433966</v>
      </c>
      <c r="P773" s="70">
        <v>105.33827447468799</v>
      </c>
      <c r="Q773" s="70">
        <v>114.04322362003413</v>
      </c>
      <c r="R773" s="70">
        <v>101.27314880355516</v>
      </c>
      <c r="S773" s="70">
        <v>74.115721895740052</v>
      </c>
      <c r="T773" s="70">
        <v>48.152368614935583</v>
      </c>
      <c r="U773" s="70">
        <v>64.149595737162301</v>
      </c>
      <c r="V773" s="70">
        <v>54.544102118887139</v>
      </c>
      <c r="X773" s="193">
        <f>((0-('Appendix K'!$I$30))/(1+$Y$16)^0)</f>
        <v>-33594902.4440751</v>
      </c>
      <c r="Y773" s="193">
        <f>(((B773*'Appendix K'!$C$5*1000)-('Appendix K'!$E$31+'Appendix K'!$F$31+'Appendix K'!$H$31+'Appendix K'!$G$31))/((1+$Y$16)^1))</f>
        <v>34971064.972647354</v>
      </c>
      <c r="Z773" s="193">
        <f>+(((C773*'Appendix K'!$C$6*1000)-('Appendix K'!$E$32+'Appendix K'!$F$32+'Appendix K'!$H$32+'Appendix K'!$G$32))/((1+$Y$16)^2))</f>
        <v>15344675.428333633</v>
      </c>
      <c r="AA773" s="193">
        <f>(((D773*'Appendix K'!$C$7*1000)-('Appendix K'!$E$33+'Appendix K'!$F$33+'Appendix K'!$H$33+'Appendix K'!$G$33))/((1+$Y$16)^3))</f>
        <v>5549953.40307381</v>
      </c>
      <c r="AB773" s="193">
        <f>(((E773*'Appendix K'!$C$8*1000)-('Appendix K'!$E$34+'Appendix K'!$F$34+'Appendix K'!$H$34+'Appendix K'!$G$34))/((1+$Y$16)^4))</f>
        <v>9925035.7939341664</v>
      </c>
      <c r="AC773" s="193">
        <f>(((F773*'Appendix K'!$C$9*1000)-('Appendix K'!$E$35+'Appendix K'!$F$35+'Appendix K'!$H$35+'Appendix K'!$G$35))/((1+$Y$16)^AC$34))</f>
        <v>13388470.387394249</v>
      </c>
      <c r="AD773" s="193">
        <f>(((G773*'Appendix K'!$C$10*1000)-('Appendix K'!$E$36+'Appendix K'!$F$36+'Appendix K'!$H$36+'Appendix K'!$G$36))/((1+$Y$16)^AD$34))</f>
        <v>9824230.8017509934</v>
      </c>
      <c r="AE773" s="193">
        <f>(((H773*'Appendix K'!$C$11*1000)-('Appendix K'!$E$37+'Appendix K'!$F$37+'Appendix K'!$H$37+'Appendix K'!$G$37))/((1+$Y$16)^AE$34))</f>
        <v>6054598.6534281336</v>
      </c>
      <c r="AF773" s="193">
        <f>(((I773*'Appendix K'!$C$12*1000)-('Appendix K'!$E$38+'Appendix K'!$F$38+'Appendix K'!$H$38+'Appendix K'!$G$38))/((1+$Y$16)^AF$34))</f>
        <v>4166908.3399560582</v>
      </c>
      <c r="AG773" s="193">
        <f>(((J773*'Appendix K'!$C$13*1000)-('Appendix K'!$E$39+'Appendix K'!$F$39+'Appendix K'!$H$39+'Appendix K'!$G$39))/((1+$Y$16)^AG$34))</f>
        <v>3202073.0670436965</v>
      </c>
      <c r="AH773" s="193">
        <f>(((K773*'Appendix K'!$C$14*1000)-('Appendix K'!$E$40+'Appendix K'!$F$40+'Appendix K'!$H$40+'Appendix K'!$G$40))/((1+$Y$16)^AH$34))</f>
        <v>2093541.6839018746</v>
      </c>
      <c r="AI773" s="193">
        <f>(((L773*'Appendix K'!$C$15*1000)-('Appendix K'!$E$41+'Appendix K'!$F$41+'Appendix K'!$H$41+'Appendix K'!$G$41))/((1+$Y$16)^AI$34))</f>
        <v>1953527.2585148066</v>
      </c>
      <c r="AJ773" s="193">
        <f>(((M773*'Appendix K'!$C$16*1000)-('Appendix K'!$E$42+'Appendix K'!$F$42+'Appendix K'!$H$42+'Appendix K'!$G$42))/((1+$Y$16)^AJ$34))</f>
        <v>1390822.7459371102</v>
      </c>
      <c r="AK773" s="193">
        <f>(((N773*'Appendix K'!$C$17*1000)-('Appendix K'!$E$43+'Appendix K'!$F$43+'Appendix K'!$H$43))/((1+$Y$16)^AK$34))</f>
        <v>1548770.1228543986</v>
      </c>
      <c r="AL773" s="193">
        <f>(((O773*'Appendix K'!$C$18*1000)-('Appendix K'!$E$44+'Appendix K'!$F$44+'Appendix K'!$H$44+'Appendix K'!$G$44))/((1+$Y$16)^AL$34))</f>
        <v>-43751.678064400869</v>
      </c>
      <c r="AM773" s="193">
        <f>(((P773*'Appendix K'!$C$19*1000)-('Appendix K'!$E$45+'Appendix K'!$F$45+'Appendix K'!$H$45+'Appendix K'!$G$45))/((1+$Y$16)^AM$34))</f>
        <v>-50413.728546562808</v>
      </c>
      <c r="AN773" s="193">
        <f>(((Q773*'Appendix K'!$C$20*1000)-('Appendix K'!$E$46+'Appendix K'!$F$46+'Appendix K'!$H$46+'Appendix K'!$G$46))/((1+$Y$16)^AN$34))</f>
        <v>-90467.337814577419</v>
      </c>
      <c r="AO773" s="193">
        <f>(((R773*'Appendix K'!$C$21*1000)-('Appendix K'!$E$47+'Appendix K'!$F$47+'Appendix K'!$H$47+'Appendix K'!$G$47))/((1+$Y$16)^AO$34))</f>
        <v>-244463.42729043768</v>
      </c>
      <c r="AP773" s="193">
        <f>(((S773*'Appendix K'!$C$22*1000)-('Appendix K'!$E$48+'Appendix K'!$F$48+'Appendix K'!$H$48+'Appendix K'!$G$48))/((1+$Y$16)^AP$34))</f>
        <v>-409459.7261301126</v>
      </c>
      <c r="AQ773" s="193">
        <f>(((T773*'Appendix K'!$C$23*1000)-('Appendix K'!$E$49+'Appendix K'!$F$49+'Appendix K'!$H$49+'Appendix K'!$G$49))/((1+$Y$16)^AQ$34))</f>
        <v>-505029.58807544323</v>
      </c>
      <c r="AR773" s="193">
        <f>(((U773*'Appendix K'!$C$24*1000)-('Appendix K'!$E$50+'Appendix K'!$F$50+'Appendix K'!$H$50+'Appendix K'!$G$50))/((1+$Y$16)^AR$34))</f>
        <v>-422725.37363619386</v>
      </c>
      <c r="AS773" s="209">
        <f t="shared" si="38"/>
        <v>75818770.214695185</v>
      </c>
      <c r="AU773" s="199">
        <f t="shared" si="37"/>
        <v>6.8793915731054374E-9</v>
      </c>
    </row>
    <row r="774" spans="1:47" x14ac:dyDescent="0.35">
      <c r="A774">
        <v>740</v>
      </c>
      <c r="B774" s="70">
        <v>56</v>
      </c>
      <c r="C774" s="70">
        <v>68.291601614100799</v>
      </c>
      <c r="D774" s="70">
        <v>84.552365242390948</v>
      </c>
      <c r="E774" s="70">
        <v>82.923912410187555</v>
      </c>
      <c r="F774" s="70">
        <v>98.975321973948326</v>
      </c>
      <c r="G774" s="70">
        <v>116.64680750154467</v>
      </c>
      <c r="H774" s="70">
        <v>113.82706564687405</v>
      </c>
      <c r="I774" s="70">
        <v>112.07874106013828</v>
      </c>
      <c r="J774" s="70">
        <v>140.37316370747095</v>
      </c>
      <c r="K774" s="70">
        <v>157.92397102939159</v>
      </c>
      <c r="L774" s="70">
        <v>92.255901109243723</v>
      </c>
      <c r="M774" s="70">
        <v>67.381101538310133</v>
      </c>
      <c r="N774" s="70">
        <v>85.436638999246995</v>
      </c>
      <c r="O774" s="70">
        <v>139.52261311942078</v>
      </c>
      <c r="P774" s="70">
        <v>135.683221013348</v>
      </c>
      <c r="Q774" s="70">
        <v>221.85138536699023</v>
      </c>
      <c r="R774" s="70">
        <v>228.59564358258334</v>
      </c>
      <c r="S774" s="70">
        <v>122.61483141273982</v>
      </c>
      <c r="T774" s="70">
        <v>85.305384891710318</v>
      </c>
      <c r="U774" s="70">
        <v>72.872087465254054</v>
      </c>
      <c r="V774" s="70">
        <v>84.774577013411886</v>
      </c>
      <c r="X774" s="193">
        <f>((0-('Appendix K'!$I$30))/(1+$Y$16)^0)</f>
        <v>-33594902.4440751</v>
      </c>
      <c r="Y774" s="193">
        <f>(((B774*'Appendix K'!$C$5*1000)-('Appendix K'!$E$31+'Appendix K'!$F$31+'Appendix K'!$H$31+'Appendix K'!$G$31))/((1+$Y$16)^1))</f>
        <v>34971064.972647354</v>
      </c>
      <c r="Z774" s="193">
        <f>+(((C774*'Appendix K'!$C$6*1000)-('Appendix K'!$E$32+'Appendix K'!$F$32+'Appendix K'!$H$32+'Appendix K'!$G$32))/((1+$Y$16)^2))</f>
        <v>13764378.897571931</v>
      </c>
      <c r="AA774" s="193">
        <f>(((D774*'Appendix K'!$C$7*1000)-('Appendix K'!$E$33+'Appendix K'!$F$33+'Appendix K'!$H$33+'Appendix K'!$G$33))/((1+$Y$16)^3))</f>
        <v>7804948.6674345126</v>
      </c>
      <c r="AB774" s="193">
        <f>(((E774*'Appendix K'!$C$8*1000)-('Appendix K'!$E$34+'Appendix K'!$F$34+'Appendix K'!$H$34+'Appendix K'!$G$34))/((1+$Y$16)^4))</f>
        <v>14882954.616103666</v>
      </c>
      <c r="AC774" s="193">
        <f>(((F774*'Appendix K'!$C$9*1000)-('Appendix K'!$E$35+'Appendix K'!$F$35+'Appendix K'!$H$35+'Appendix K'!$G$35))/((1+$Y$16)^AC$34))</f>
        <v>23323256.642370839</v>
      </c>
      <c r="AD774" s="193">
        <f>(((G774*'Appendix K'!$C$10*1000)-('Appendix K'!$E$36+'Appendix K'!$F$36+'Appendix K'!$H$36+'Appendix K'!$G$36))/((1+$Y$16)^AD$34))</f>
        <v>15802912.604014926</v>
      </c>
      <c r="AE774" s="193">
        <f>(((H774*'Appendix K'!$C$11*1000)-('Appendix K'!$E$37+'Appendix K'!$F$37+'Appendix K'!$H$37+'Appendix K'!$G$37))/((1+$Y$16)^AE$34))</f>
        <v>9132900.6596435681</v>
      </c>
      <c r="AF774" s="193">
        <f>(((I774*'Appendix K'!$C$12*1000)-('Appendix K'!$E$38+'Appendix K'!$F$38+'Appendix K'!$H$38+'Appendix K'!$G$38))/((1+$Y$16)^AF$34))</f>
        <v>5362783.1468436318</v>
      </c>
      <c r="AG774" s="193">
        <f>(((J774*'Appendix K'!$C$13*1000)-('Appendix K'!$E$39+'Appendix K'!$F$39+'Appendix K'!$H$39+'Appendix K'!$G$39))/((1+$Y$16)^AG$34))</f>
        <v>4644879.2831376689</v>
      </c>
      <c r="AH774" s="193">
        <f>(((K774*'Appendix K'!$C$14*1000)-('Appendix K'!$E$40+'Appendix K'!$F$40+'Appendix K'!$H$40+'Appendix K'!$G$40))/((1+$Y$16)^AH$34))</f>
        <v>3690327.3988807406</v>
      </c>
      <c r="AI774" s="193">
        <f>(((L774*'Appendix K'!$C$15*1000)-('Appendix K'!$E$41+'Appendix K'!$F$41+'Appendix K'!$H$41+'Appendix K'!$G$41))/((1+$Y$16)^AI$34))</f>
        <v>900795.78011218214</v>
      </c>
      <c r="AJ774" s="193">
        <f>(((M774*'Appendix K'!$C$16*1000)-('Appendix K'!$E$42+'Appendix K'!$F$42+'Appendix K'!$H$42+'Appendix K'!$G$42))/((1+$Y$16)^AJ$34))</f>
        <v>-31107.884849483802</v>
      </c>
      <c r="AK774" s="193">
        <f>(((N774*'Appendix K'!$C$17*1000)-('Appendix K'!$E$43+'Appendix K'!$F$43+'Appendix K'!$H$43))/((1+$Y$16)^AK$34))</f>
        <v>308381.14475279819</v>
      </c>
      <c r="AL774" s="193">
        <f>(((O774*'Appendix K'!$C$18*1000)-('Appendix K'!$E$44+'Appendix K'!$F$44+'Appendix K'!$H$44+'Appendix K'!$G$44))/((1+$Y$16)^AL$34))</f>
        <v>519213.4624598393</v>
      </c>
      <c r="AM774" s="193">
        <f>(((P774*'Appendix K'!$C$19*1000)-('Appendix K'!$E$45+'Appendix K'!$F$45+'Appendix K'!$H$45+'Appendix K'!$G$45))/((1+$Y$16)^AM$34))</f>
        <v>230845.44217112742</v>
      </c>
      <c r="AN774" s="193">
        <f>(((Q774*'Appendix K'!$C$20*1000)-('Appendix K'!$E$46+'Appendix K'!$F$46+'Appendix K'!$H$46+'Appendix K'!$G$46))/((1+$Y$16)^AN$34))</f>
        <v>689655.90319400909</v>
      </c>
      <c r="AO774" s="193">
        <f>(((R774*'Appendix K'!$C$21*1000)-('Appendix K'!$E$47+'Appendix K'!$F$47+'Appendix K'!$H$47+'Appendix K'!$G$47))/((1+$Y$16)^AO$34))</f>
        <v>508026.58344796504</v>
      </c>
      <c r="AP774" s="193">
        <f>(((S774*'Appendix K'!$C$22*1000)-('Appendix K'!$E$48+'Appendix K'!$F$48+'Appendix K'!$H$48+'Appendix K'!$G$48))/((1+$Y$16)^AP$34))</f>
        <v>-177162.60322205262</v>
      </c>
      <c r="AQ774" s="193">
        <f>(((T774*'Appendix K'!$C$23*1000)-('Appendix K'!$E$49+'Appendix K'!$F$49+'Appendix K'!$H$49+'Appendix K'!$G$49))/((1+$Y$16)^AQ$34))</f>
        <v>-359622.193784245</v>
      </c>
      <c r="AR774" s="193">
        <f>(((U774*'Appendix K'!$C$24*1000)-('Appendix K'!$E$50+'Appendix K'!$F$50+'Appendix K'!$H$50+'Appendix K'!$G$50))/((1+$Y$16)^AR$34))</f>
        <v>-394638.70587747626</v>
      </c>
      <c r="AS774" s="209">
        <f t="shared" si="38"/>
        <v>102942422.76071164</v>
      </c>
      <c r="AU774" s="199">
        <f t="shared" si="37"/>
        <v>6.7779727161065349E-9</v>
      </c>
    </row>
    <row r="775" spans="1:47" x14ac:dyDescent="0.35">
      <c r="A775">
        <v>741</v>
      </c>
      <c r="B775" s="70">
        <v>56</v>
      </c>
      <c r="C775" s="70">
        <v>55.807305868098155</v>
      </c>
      <c r="D775" s="70">
        <v>78.274650362587622</v>
      </c>
      <c r="E775" s="70">
        <v>39.92072977732672</v>
      </c>
      <c r="F775" s="70">
        <v>40.787371684471829</v>
      </c>
      <c r="G775" s="70">
        <v>47.110784866964366</v>
      </c>
      <c r="H775" s="70">
        <v>64.922771061860047</v>
      </c>
      <c r="I775" s="70">
        <v>84.695364217436477</v>
      </c>
      <c r="J775" s="70">
        <v>145.95441985157979</v>
      </c>
      <c r="K775" s="70">
        <v>47.576564555001568</v>
      </c>
      <c r="L775" s="70">
        <v>65.211285066308264</v>
      </c>
      <c r="M775" s="70">
        <v>41.845044988558243</v>
      </c>
      <c r="N775" s="70">
        <v>44.108059214591464</v>
      </c>
      <c r="O775" s="70">
        <v>54.735595519609703</v>
      </c>
      <c r="P775" s="70">
        <v>26.842711072799048</v>
      </c>
      <c r="Q775" s="70">
        <v>25.949724671803313</v>
      </c>
      <c r="R775" s="70">
        <v>36.320515873138376</v>
      </c>
      <c r="S775" s="70">
        <v>34.445663670363587</v>
      </c>
      <c r="T775" s="70">
        <v>26.964696260779803</v>
      </c>
      <c r="U775" s="70">
        <v>32.337267517582212</v>
      </c>
      <c r="V775" s="70">
        <v>35.65545494407143</v>
      </c>
      <c r="X775" s="193">
        <f>((0-('Appendix K'!$I$30))/(1+$Y$16)^0)</f>
        <v>-33594902.4440751</v>
      </c>
      <c r="Y775" s="193">
        <f>(((B775*'Appendix K'!$C$5*1000)-('Appendix K'!$E$31+'Appendix K'!$F$31+'Appendix K'!$H$31+'Appendix K'!$G$31))/((1+$Y$16)^1))</f>
        <v>34971064.972647354</v>
      </c>
      <c r="Z775" s="193">
        <f>+(((C775*'Appendix K'!$C$6*1000)-('Appendix K'!$E$32+'Appendix K'!$F$32+'Appendix K'!$H$32+'Appendix K'!$G$32))/((1+$Y$16)^2))</f>
        <v>10610632.271672392</v>
      </c>
      <c r="AA775" s="193">
        <f>(((D775*'Appendix K'!$C$7*1000)-('Appendix K'!$E$33+'Appendix K'!$F$33+'Appendix K'!$H$33+'Appendix K'!$G$33))/((1+$Y$16)^3))</f>
        <v>7005325.5359167326</v>
      </c>
      <c r="AB775" s="193">
        <f>(((E775*'Appendix K'!$C$8*1000)-('Appendix K'!$E$34+'Appendix K'!$F$34+'Appendix K'!$H$34+'Appendix K'!$G$34))/((1+$Y$16)^4))</f>
        <v>5457050.6392280236</v>
      </c>
      <c r="AC775" s="193">
        <f>(((F775*'Appendix K'!$C$9*1000)-('Appendix K'!$E$35+'Appendix K'!$F$35+'Appendix K'!$H$35+'Appendix K'!$G$35))/((1+$Y$16)^AC$34))</f>
        <v>7856990.8269065497</v>
      </c>
      <c r="AD775" s="193">
        <f>(((G775*'Appendix K'!$C$10*1000)-('Appendix K'!$E$36+'Appendix K'!$F$36+'Appendix K'!$H$36+'Appendix K'!$G$36))/((1+$Y$16)^AD$34))</f>
        <v>4882700.8367522955</v>
      </c>
      <c r="AE775" s="193">
        <f>(((H775*'Appendix K'!$C$11*1000)-('Appendix K'!$E$37+'Appendix K'!$F$37+'Appendix K'!$H$37+'Appendix K'!$G$37))/((1+$Y$16)^AE$34))</f>
        <v>4255302.2778134113</v>
      </c>
      <c r="AF775" s="193">
        <f>(((I775*'Appendix K'!$C$12*1000)-('Appendix K'!$E$38+'Appendix K'!$F$38+'Appendix K'!$H$38+'Appendix K'!$G$38))/((1+$Y$16)^AF$34))</f>
        <v>3564724.1628272287</v>
      </c>
      <c r="AG775" s="193">
        <f>(((J775*'Appendix K'!$C$13*1000)-('Appendix K'!$E$39+'Appendix K'!$F$39+'Appendix K'!$H$39+'Appendix K'!$G$39))/((1+$Y$16)^AG$34))</f>
        <v>4901722.7332435027</v>
      </c>
      <c r="AH775" s="193">
        <f>(((K775*'Appendix K'!$C$14*1000)-('Appendix K'!$E$40+'Appendix K'!$F$40+'Appendix K'!$H$40+'Appendix K'!$G$40))/((1+$Y$16)^AH$34))</f>
        <v>-29100.409920617258</v>
      </c>
      <c r="AI775" s="193">
        <f>(((L775*'Appendix K'!$C$15*1000)-('Appendix K'!$E$41+'Appendix K'!$F$41+'Appendix K'!$H$41+'Appendix K'!$G$41))/((1+$Y$16)^AI$34))</f>
        <v>192176.26610728417</v>
      </c>
      <c r="AJ775" s="193">
        <f>(((M775*'Appendix K'!$C$16*1000)-('Appendix K'!$E$42+'Appendix K'!$F$42+'Appendix K'!$H$42+'Appendix K'!$G$42))/((1+$Y$16)^AJ$34))</f>
        <v>-542898.13336096518</v>
      </c>
      <c r="AK775" s="193">
        <f>(((N775*'Appendix K'!$C$17*1000)-('Appendix K'!$E$43+'Appendix K'!$F$43+'Appendix K'!$H$43))/((1+$Y$16)^AK$34))</f>
        <v>-326586.91733452171</v>
      </c>
      <c r="AL775" s="193">
        <f>(((O775*'Appendix K'!$C$18*1000)-('Appendix K'!$E$44+'Appendix K'!$F$44+'Appendix K'!$H$44+'Appendix K'!$G$44))/((1+$Y$16)^AL$34))</f>
        <v>-485792.00591091084</v>
      </c>
      <c r="AM775" s="193">
        <f>(((P775*'Appendix K'!$C$19*1000)-('Appendix K'!$E$45+'Appendix K'!$F$45+'Appendix K'!$H$45+'Appendix K'!$G$45))/((1+$Y$16)^AM$34))</f>
        <v>-777968.05260200019</v>
      </c>
      <c r="AN775" s="193">
        <f>(((Q775*'Appendix K'!$C$20*1000)-('Appendix K'!$E$46+'Appendix K'!$F$46+'Appendix K'!$H$46+'Appendix K'!$G$46))/((1+$Y$16)^AN$34))</f>
        <v>-727931.00288092589</v>
      </c>
      <c r="AO775" s="193">
        <f>(((R775*'Appendix K'!$C$21*1000)-('Appendix K'!$E$47+'Appendix K'!$F$47+'Appendix K'!$H$47+'Appendix K'!$G$47))/((1+$Y$16)^AO$34))</f>
        <v>-628340.66387870058</v>
      </c>
      <c r="AP775" s="193">
        <f>(((S775*'Appendix K'!$C$22*1000)-('Appendix K'!$E$48+'Appendix K'!$F$48+'Appendix K'!$H$48+'Appendix K'!$G$48))/((1+$Y$16)^AP$34))</f>
        <v>-599468.17129795789</v>
      </c>
      <c r="AQ775" s="193">
        <f>(((T775*'Appendix K'!$C$23*1000)-('Appendix K'!$E$49+'Appendix K'!$F$49+'Appendix K'!$H$49+'Appendix K'!$G$49))/((1+$Y$16)^AQ$34))</f>
        <v>-587952.71348637692</v>
      </c>
      <c r="AR775" s="193">
        <f>(((U775*'Appendix K'!$C$24*1000)-('Appendix K'!$E$50+'Appendix K'!$F$50+'Appendix K'!$H$50+'Appendix K'!$G$50))/((1+$Y$16)^AR$34))</f>
        <v>-525161.96184836689</v>
      </c>
      <c r="AS775" s="209">
        <f t="shared" si="38"/>
        <v>50102788.079039671</v>
      </c>
      <c r="AU775" s="199">
        <f t="shared" si="37"/>
        <v>5.6500242191258687E-9</v>
      </c>
    </row>
    <row r="776" spans="1:47" x14ac:dyDescent="0.35">
      <c r="A776">
        <v>742</v>
      </c>
      <c r="B776" s="70">
        <v>56</v>
      </c>
      <c r="C776" s="70">
        <v>106.71077431817966</v>
      </c>
      <c r="D776" s="70">
        <v>183.59667828296713</v>
      </c>
      <c r="E776" s="70">
        <v>131.6384469162013</v>
      </c>
      <c r="F776" s="70">
        <v>100.9289666791568</v>
      </c>
      <c r="G776" s="70">
        <v>81.965163769495035</v>
      </c>
      <c r="H776" s="70">
        <v>58.387621239187446</v>
      </c>
      <c r="I776" s="70">
        <v>58.91535333883175</v>
      </c>
      <c r="J776" s="70">
        <v>53.97595610372418</v>
      </c>
      <c r="K776" s="70">
        <v>46.937729092485199</v>
      </c>
      <c r="L776" s="70">
        <v>26.205910040315079</v>
      </c>
      <c r="M776" s="70">
        <v>35.368111821109224</v>
      </c>
      <c r="N776" s="70">
        <v>52.517355618464109</v>
      </c>
      <c r="O776" s="70">
        <v>73.375725759814244</v>
      </c>
      <c r="P776" s="70">
        <v>87.06155020608098</v>
      </c>
      <c r="Q776" s="70">
        <v>118.59520172533428</v>
      </c>
      <c r="R776" s="70">
        <v>77.94328304151361</v>
      </c>
      <c r="S776" s="70">
        <v>95.767484136166146</v>
      </c>
      <c r="T776" s="70">
        <v>108.5502839161496</v>
      </c>
      <c r="U776" s="70">
        <v>101.83865077947191</v>
      </c>
      <c r="V776" s="70">
        <v>92.696190231906797</v>
      </c>
      <c r="X776" s="193">
        <f>((0-('Appendix K'!$I$30))/(1+$Y$16)^0)</f>
        <v>-33594902.4440751</v>
      </c>
      <c r="Y776" s="193">
        <f>(((B776*'Appendix K'!$C$5*1000)-('Appendix K'!$E$31+'Appendix K'!$F$31+'Appendix K'!$H$31+'Appendix K'!$G$31))/((1+$Y$16)^1))</f>
        <v>34971064.972647354</v>
      </c>
      <c r="Z776" s="193">
        <f>+(((C776*'Appendix K'!$C$6*1000)-('Appendix K'!$E$32+'Appendix K'!$F$32+'Appendix K'!$H$32+'Appendix K'!$G$32))/((1+$Y$16)^2))</f>
        <v>23469719.010500282</v>
      </c>
      <c r="AA776" s="193">
        <f>(((D776*'Appendix K'!$C$7*1000)-('Appendix K'!$E$33+'Appendix K'!$F$33+'Appendix K'!$H$33+'Appendix K'!$G$33))/((1+$Y$16)^3))</f>
        <v>20420705.39880966</v>
      </c>
      <c r="AB776" s="193">
        <f>(((E776*'Appendix K'!$C$8*1000)-('Appendix K'!$E$34+'Appendix K'!$F$34+'Appendix K'!$H$34+'Appendix K'!$G$34))/((1+$Y$16)^4))</f>
        <v>25560734.641180228</v>
      </c>
      <c r="AC776" s="193">
        <f>(((F776*'Appendix K'!$C$9*1000)-('Appendix K'!$E$35+'Appendix K'!$F$35+'Appendix K'!$H$35+'Appendix K'!$G$35))/((1+$Y$16)^AC$34))</f>
        <v>23842532.337242551</v>
      </c>
      <c r="AD776" s="193">
        <f>(((G776*'Appendix K'!$C$10*1000)-('Appendix K'!$E$36+'Appendix K'!$F$36+'Appendix K'!$H$36+'Appendix K'!$G$36))/((1+$Y$16)^AD$34))</f>
        <v>10356370.227252703</v>
      </c>
      <c r="AE776" s="193">
        <f>(((H776*'Appendix K'!$C$11*1000)-('Appendix K'!$E$37+'Appendix K'!$F$37+'Appendix K'!$H$37+'Appendix K'!$G$37))/((1+$Y$16)^AE$34))</f>
        <v>3603501.9304088829</v>
      </c>
      <c r="AF776" s="193">
        <f>(((I776*'Appendix K'!$C$12*1000)-('Appendix K'!$E$38+'Appendix K'!$F$38+'Appendix K'!$H$38+'Appendix K'!$G$38))/((1+$Y$16)^AF$34))</f>
        <v>1871946.0794452261</v>
      </c>
      <c r="AG776" s="193">
        <f>(((J776*'Appendix K'!$C$13*1000)-('Appendix K'!$E$39+'Appendix K'!$F$39+'Appendix K'!$H$39+'Appendix K'!$G$39))/((1+$Y$16)^AG$34))</f>
        <v>668972.01289366686</v>
      </c>
      <c r="AH776" s="193">
        <f>(((K776*'Appendix K'!$C$14*1000)-('Appendix K'!$E$40+'Appendix K'!$F$40+'Appendix K'!$H$40+'Appendix K'!$G$40))/((1+$Y$16)^AH$34))</f>
        <v>-50633.334530705841</v>
      </c>
      <c r="AI776" s="193">
        <f>(((L776*'Appendix K'!$C$15*1000)-('Appendix K'!$E$41+'Appendix K'!$F$41+'Appendix K'!$H$41+'Appendix K'!$G$41))/((1+$Y$16)^AI$34))</f>
        <v>-829837.49998270045</v>
      </c>
      <c r="AJ776" s="193">
        <f>(((M776*'Appendix K'!$C$16*1000)-('Appendix K'!$E$42+'Appendix K'!$F$42+'Appendix K'!$H$42+'Appendix K'!$G$42))/((1+$Y$16)^AJ$34))</f>
        <v>-672707.96632803685</v>
      </c>
      <c r="AK776" s="193">
        <f>(((N776*'Appendix K'!$C$17*1000)-('Appendix K'!$E$43+'Appendix K'!$F$43+'Appendix K'!$H$43))/((1+$Y$16)^AK$34))</f>
        <v>-197387.34965261025</v>
      </c>
      <c r="AL776" s="193">
        <f>(((O776*'Appendix K'!$C$18*1000)-('Appendix K'!$E$44+'Appendix K'!$F$44+'Appendix K'!$H$44+'Appendix K'!$G$44))/((1+$Y$16)^AL$34))</f>
        <v>-264845.05727581342</v>
      </c>
      <c r="AM776" s="193">
        <f>(((P776*'Appendix K'!$C$19*1000)-('Appendix K'!$E$45+'Appendix K'!$F$45+'Appendix K'!$H$45+'Appendix K'!$G$45))/((1+$Y$16)^AM$34))</f>
        <v>-219815.78383360073</v>
      </c>
      <c r="AN776" s="193">
        <f>(((Q776*'Appendix K'!$C$20*1000)-('Appendix K'!$E$46+'Appendix K'!$F$46+'Appendix K'!$H$46+'Appendix K'!$G$46))/((1+$Y$16)^AN$34))</f>
        <v>-57528.236962065879</v>
      </c>
      <c r="AO776" s="193">
        <f>(((R776*'Appendix K'!$C$21*1000)-('Appendix K'!$E$47+'Appendix K'!$F$47+'Appendix K'!$H$47+'Appendix K'!$G$47))/((1+$Y$16)^AO$34))</f>
        <v>-382345.51142861147</v>
      </c>
      <c r="AP776" s="193">
        <f>(((S776*'Appendix K'!$C$22*1000)-('Appendix K'!$E$48+'Appendix K'!$F$48+'Appendix K'!$H$48+'Appendix K'!$G$48))/((1+$Y$16)^AP$34))</f>
        <v>-305753.86174558452</v>
      </c>
      <c r="AQ776" s="193">
        <f>(((T776*'Appendix K'!$C$23*1000)-('Appendix K'!$E$49+'Appendix K'!$F$49+'Appendix K'!$H$49+'Appendix K'!$G$49))/((1+$Y$16)^AQ$34))</f>
        <v>-268647.60984935629</v>
      </c>
      <c r="AR776" s="193">
        <f>(((U776*'Appendix K'!$C$24*1000)-('Appendix K'!$E$50+'Appendix K'!$F$50+'Appendix K'!$H$50+'Appendix K'!$G$50))/((1+$Y$16)^AR$34))</f>
        <v>-301365.560395654</v>
      </c>
      <c r="AS776" s="209">
        <f t="shared" si="38"/>
        <v>111170644.16630545</v>
      </c>
      <c r="AU776" s="199">
        <f t="shared" si="37"/>
        <v>6.4495740710259383E-9</v>
      </c>
    </row>
    <row r="777" spans="1:47" x14ac:dyDescent="0.35">
      <c r="A777">
        <v>743</v>
      </c>
      <c r="B777" s="70">
        <v>56</v>
      </c>
      <c r="C777" s="70">
        <v>72.702761071447213</v>
      </c>
      <c r="D777" s="70">
        <v>102.07381447280892</v>
      </c>
      <c r="E777" s="70">
        <v>79.355121341556824</v>
      </c>
      <c r="F777" s="70">
        <v>105.15891439947407</v>
      </c>
      <c r="G777" s="70">
        <v>107.61726682767302</v>
      </c>
      <c r="H777" s="70">
        <v>131.45994343326353</v>
      </c>
      <c r="I777" s="70">
        <v>192.80996629725598</v>
      </c>
      <c r="J777" s="70">
        <v>127.11557922030848</v>
      </c>
      <c r="K777" s="70">
        <v>142.96997921253609</v>
      </c>
      <c r="L777" s="70">
        <v>146.87287919325857</v>
      </c>
      <c r="M777" s="70">
        <v>156.66660642101331</v>
      </c>
      <c r="N777" s="70">
        <v>176.16681441917626</v>
      </c>
      <c r="O777" s="70">
        <v>276.65262585166579</v>
      </c>
      <c r="P777" s="70">
        <v>239.32438942500815</v>
      </c>
      <c r="Q777" s="70">
        <v>305.07187052939975</v>
      </c>
      <c r="R777" s="70">
        <v>166.36468452923179</v>
      </c>
      <c r="S777" s="70">
        <v>142.59895683051292</v>
      </c>
      <c r="T777" s="70">
        <v>189.87456054768381</v>
      </c>
      <c r="U777" s="70">
        <v>172.93790762270237</v>
      </c>
      <c r="V777" s="70">
        <v>211.12944309229405</v>
      </c>
      <c r="X777" s="193">
        <f>((0-('Appendix K'!$I$30))/(1+$Y$16)^0)</f>
        <v>-33594902.4440751</v>
      </c>
      <c r="Y777" s="193">
        <f>(((B777*'Appendix K'!$C$5*1000)-('Appendix K'!$E$31+'Appendix K'!$F$31+'Appendix K'!$H$31+'Appendix K'!$G$31))/((1+$Y$16)^1))</f>
        <v>34971064.972647354</v>
      </c>
      <c r="Z777" s="193">
        <f>+(((C777*'Appendix K'!$C$6*1000)-('Appendix K'!$E$32+'Appendix K'!$F$32+'Appendix K'!$H$32+'Appendix K'!$G$32))/((1+$Y$16)^2))</f>
        <v>14878713.221105196</v>
      </c>
      <c r="AA777" s="193">
        <f>(((D777*'Appendix K'!$C$7*1000)-('Appendix K'!$E$33+'Appendix K'!$F$33+'Appendix K'!$H$33+'Appendix K'!$G$33))/((1+$Y$16)^3))</f>
        <v>10036741.026694311</v>
      </c>
      <c r="AB777" s="193">
        <f>(((E777*'Appendix K'!$C$8*1000)-('Appendix K'!$E$34+'Appendix K'!$F$34+'Appendix K'!$H$34+'Appendix K'!$G$34))/((1+$Y$16)^4))</f>
        <v>14100708.282997629</v>
      </c>
      <c r="AC777" s="193">
        <f>(((F777*'Appendix K'!$C$9*1000)-('Appendix K'!$E$35+'Appendix K'!$F$35+'Appendix K'!$H$35+'Appendix K'!$G$35))/((1+$Y$16)^AC$34))</f>
        <v>24966845.799093012</v>
      </c>
      <c r="AD777" s="193">
        <f>(((G777*'Appendix K'!$C$10*1000)-('Appendix K'!$E$36+'Appendix K'!$F$36+'Appendix K'!$H$36+'Appendix K'!$G$36))/((1+$Y$16)^AD$34))</f>
        <v>14384877.8562128</v>
      </c>
      <c r="AE777" s="193">
        <f>(((H777*'Appendix K'!$C$11*1000)-('Appendix K'!$E$37+'Appendix K'!$F$37+'Appendix K'!$H$37+'Appendix K'!$G$37))/((1+$Y$16)^AE$34))</f>
        <v>10891562.079621552</v>
      </c>
      <c r="AF777" s="193">
        <f>(((I777*'Appendix K'!$C$12*1000)-('Appendix K'!$E$38+'Appendix K'!$F$38+'Appendix K'!$H$38+'Appendix K'!$G$38))/((1+$Y$16)^AF$34))</f>
        <v>10663791.333748056</v>
      </c>
      <c r="AG777" s="193">
        <f>(((J777*'Appendix K'!$C$13*1000)-('Appendix K'!$E$39+'Appendix K'!$F$39+'Appendix K'!$H$39+'Appendix K'!$G$39))/((1+$Y$16)^AG$34))</f>
        <v>4034779.3966906732</v>
      </c>
      <c r="AH777" s="193">
        <f>(((K777*'Appendix K'!$C$14*1000)-('Appendix K'!$E$40+'Appendix K'!$F$40+'Appendix K'!$H$40+'Appendix K'!$G$40))/((1+$Y$16)^AH$34))</f>
        <v>3186280.2735945741</v>
      </c>
      <c r="AI777" s="193">
        <f>(((L777*'Appendix K'!$C$15*1000)-('Appendix K'!$E$41+'Appendix K'!$F$41+'Appendix K'!$H$41+'Appendix K'!$G$41))/((1+$Y$16)^AI$34))</f>
        <v>2331862.7401632052</v>
      </c>
      <c r="AJ777" s="193">
        <f>(((M777*'Appendix K'!$C$16*1000)-('Appendix K'!$E$42+'Appendix K'!$F$42+'Appendix K'!$H$42+'Appendix K'!$G$42))/((1+$Y$16)^AJ$34))</f>
        <v>1758340.3270685666</v>
      </c>
      <c r="AK777" s="193">
        <f>(((N777*'Appendix K'!$C$17*1000)-('Appendix K'!$E$43+'Appendix K'!$F$43+'Appendix K'!$H$43))/((1+$Y$16)^AK$34))</f>
        <v>1702350.2566704736</v>
      </c>
      <c r="AL777" s="193">
        <f>(((O777*'Appendix K'!$C$18*1000)-('Appendix K'!$E$44+'Appendix K'!$F$44+'Appendix K'!$H$44+'Appendix K'!$G$44))/((1+$Y$16)^AL$34))</f>
        <v>2144655.8541729301</v>
      </c>
      <c r="AM777" s="193">
        <f>(((P777*'Appendix K'!$C$19*1000)-('Appendix K'!$E$45+'Appendix K'!$F$45+'Appendix K'!$H$45+'Appendix K'!$G$45))/((1+$Y$16)^AM$34))</f>
        <v>1191467.6348165602</v>
      </c>
      <c r="AN777" s="193">
        <f>(((Q777*'Appendix K'!$C$20*1000)-('Appendix K'!$E$46+'Appendix K'!$F$46+'Appendix K'!$H$46+'Appendix K'!$G$46))/((1+$Y$16)^AN$34))</f>
        <v>1291857.383593882</v>
      </c>
      <c r="AO777" s="193">
        <f>(((R777*'Appendix K'!$C$21*1000)-('Appendix K'!$E$47+'Appendix K'!$F$47+'Appendix K'!$H$47+'Appendix K'!$G$47))/((1+$Y$16)^AO$34))</f>
        <v>140234.74016379711</v>
      </c>
      <c r="AP777" s="193">
        <f>(((S777*'Appendix K'!$C$22*1000)-('Appendix K'!$E$48+'Appendix K'!$F$48+'Appendix K'!$H$48+'Appendix K'!$G$48))/((1+$Y$16)^AP$34))</f>
        <v>-81444.251181891232</v>
      </c>
      <c r="AQ777" s="193">
        <f>(((T777*'Appendix K'!$C$23*1000)-('Appendix K'!$E$49+'Appendix K'!$F$49+'Appendix K'!$H$49+'Appendix K'!$G$49))/((1+$Y$16)^AQ$34))</f>
        <v>49634.789337709706</v>
      </c>
      <c r="AR777" s="193">
        <f>(((U777*'Appendix K'!$C$24*1000)-('Appendix K'!$E$50+'Appendix K'!$F$50+'Appendix K'!$H$50+'Appendix K'!$G$50))/((1+$Y$16)^AR$34))</f>
        <v>-72423.961240430013</v>
      </c>
      <c r="AS777" s="209">
        <f t="shared" si="38"/>
        <v>119130865.52431718</v>
      </c>
      <c r="AU777" s="199">
        <f t="shared" si="37"/>
        <v>6.0252693773220974E-9</v>
      </c>
    </row>
    <row r="778" spans="1:47" x14ac:dyDescent="0.35">
      <c r="A778">
        <v>744</v>
      </c>
      <c r="B778" s="70">
        <v>56</v>
      </c>
      <c r="C778" s="70">
        <v>73.900506247161573</v>
      </c>
      <c r="D778" s="70">
        <v>133.12031498319755</v>
      </c>
      <c r="E778" s="70">
        <v>187.28079915747765</v>
      </c>
      <c r="F778" s="70">
        <v>192.84552729974544</v>
      </c>
      <c r="G778" s="70">
        <v>263.32946612450132</v>
      </c>
      <c r="H778" s="70">
        <v>237.29307799415108</v>
      </c>
      <c r="I778" s="70">
        <v>297.82852759472769</v>
      </c>
      <c r="J778" s="70">
        <v>391.14365244749411</v>
      </c>
      <c r="K778" s="70">
        <v>500</v>
      </c>
      <c r="L778" s="70">
        <v>500</v>
      </c>
      <c r="M778" s="70">
        <v>470.77881953201745</v>
      </c>
      <c r="N778" s="70">
        <v>500</v>
      </c>
      <c r="O778" s="70">
        <v>500</v>
      </c>
      <c r="P778" s="70">
        <v>378.94455583555759</v>
      </c>
      <c r="Q778" s="70">
        <v>427.00567935442336</v>
      </c>
      <c r="R778" s="70">
        <v>344.261743119644</v>
      </c>
      <c r="S778" s="70">
        <v>355.88670777465074</v>
      </c>
      <c r="T778" s="70">
        <v>360.21361464928623</v>
      </c>
      <c r="U778" s="70">
        <v>332.82838582419936</v>
      </c>
      <c r="V778" s="70">
        <v>500</v>
      </c>
      <c r="X778" s="193">
        <f>((0-('Appendix K'!$I$30))/(1+$Y$16)^0)</f>
        <v>-33594902.4440751</v>
      </c>
      <c r="Y778" s="193">
        <f>(((B778*'Appendix K'!$C$5*1000)-('Appendix K'!$E$31+'Appendix K'!$F$31+'Appendix K'!$H$31+'Appendix K'!$G$31))/((1+$Y$16)^1))</f>
        <v>34971064.972647354</v>
      </c>
      <c r="Z778" s="193">
        <f>+(((C778*'Appendix K'!$C$6*1000)-('Appendix K'!$E$32+'Appendix K'!$F$32+'Appendix K'!$H$32+'Appendix K'!$G$32))/((1+$Y$16)^2))</f>
        <v>15181284.137675006</v>
      </c>
      <c r="AA778" s="193">
        <f>(((D778*'Appendix K'!$C$7*1000)-('Appendix K'!$E$33+'Appendix K'!$F$33+'Appendix K'!$H$33+'Appendix K'!$G$33))/((1+$Y$16)^3))</f>
        <v>13991285.066382051</v>
      </c>
      <c r="AB778" s="193">
        <f>(((E778*'Appendix K'!$C$8*1000)-('Appendix K'!$E$34+'Appendix K'!$F$34+'Appendix K'!$H$34+'Appendix K'!$G$34))/((1+$Y$16)^4))</f>
        <v>37757028.895758994</v>
      </c>
      <c r="AC778" s="193">
        <f>(((F778*'Appendix K'!$C$9*1000)-('Appendix K'!$E$35+'Appendix K'!$F$35+'Appendix K'!$H$35+'Appendix K'!$G$35))/((1+$Y$16)^AC$34))</f>
        <v>48273809.815293945</v>
      </c>
      <c r="AD778" s="193">
        <f>(((G778*'Appendix K'!$C$10*1000)-('Appendix K'!$E$36+'Appendix K'!$F$36+'Appendix K'!$H$36+'Appendix K'!$G$36))/((1+$Y$16)^AD$34))</f>
        <v>38838536.933083184</v>
      </c>
      <c r="AE778" s="193">
        <f>(((H778*'Appendix K'!$C$11*1000)-('Appendix K'!$E$37+'Appendix K'!$F$37+'Appendix K'!$H$37+'Appendix K'!$G$37))/((1+$Y$16)^AE$34))</f>
        <v>21447107.973056931</v>
      </c>
      <c r="AF778" s="193">
        <f>(((I778*'Appendix K'!$C$12*1000)-('Appendix K'!$E$38+'Appendix K'!$F$38+'Appendix K'!$H$38+'Appendix K'!$G$38))/((1+$Y$16)^AF$34))</f>
        <v>17559564.952688083</v>
      </c>
      <c r="AG778" s="193">
        <f>(((J778*'Appendix K'!$C$13*1000)-('Appendix K'!$E$39+'Appendix K'!$F$39+'Appendix K'!$H$39+'Appendix K'!$G$39))/((1+$Y$16)^AG$34))</f>
        <v>16185069.492952522</v>
      </c>
      <c r="AH778" s="193">
        <f>(((K778*'Appendix K'!$C$14*1000)-('Appendix K'!$E$40+'Appendix K'!$F$40+'Appendix K'!$H$40+'Appendix K'!$G$40))/((1+$Y$16)^AH$34))</f>
        <v>15220522.22201786</v>
      </c>
      <c r="AI778" s="193">
        <f>(((L778*'Appendix K'!$C$15*1000)-('Appendix K'!$E$41+'Appendix K'!$F$41+'Appendix K'!$H$41+'Appendix K'!$G$41))/((1+$Y$16)^AI$34))</f>
        <v>11584453.656253781</v>
      </c>
      <c r="AJ778" s="193">
        <f>(((M778*'Appendix K'!$C$16*1000)-('Appendix K'!$E$42+'Appendix K'!$F$42+'Appendix K'!$H$42+'Appendix K'!$G$42))/((1+$Y$16)^AJ$34))</f>
        <v>8053735.5183881177</v>
      </c>
      <c r="AK778" s="193">
        <f>(((N778*'Appendix K'!$C$17*1000)-('Appendix K'!$E$43+'Appendix K'!$F$43+'Appendix K'!$H$43))/((1+$Y$16)^AK$34))</f>
        <v>6677690.1149291173</v>
      </c>
      <c r="AL778" s="193">
        <f>(((O778*'Appendix K'!$C$18*1000)-('Appendix K'!$E$44+'Appendix K'!$F$44+'Appendix K'!$H$44+'Appendix K'!$G$44))/((1+$Y$16)^AL$34))</f>
        <v>4792058.0003928225</v>
      </c>
      <c r="AM778" s="193">
        <f>(((P778*'Appendix K'!$C$19*1000)-('Appendix K'!$E$45+'Appendix K'!$F$45+'Appendix K'!$H$45+'Appendix K'!$G$45))/((1+$Y$16)^AM$34))</f>
        <v>2485569.5100684101</v>
      </c>
      <c r="AN778" s="193">
        <f>(((Q778*'Appendix K'!$C$20*1000)-('Appendix K'!$E$46+'Appendix K'!$F$46+'Appendix K'!$H$46+'Appendix K'!$G$46))/((1+$Y$16)^AN$34))</f>
        <v>2174196.8705834611</v>
      </c>
      <c r="AO778" s="193">
        <f>(((R778*'Appendix K'!$C$21*1000)-('Appendix K'!$E$47+'Appendix K'!$F$47+'Appendix K'!$H$47+'Appendix K'!$G$47))/((1+$Y$16)^AO$34))</f>
        <v>1191626.0105073245</v>
      </c>
      <c r="AP778" s="193">
        <f>(((S778*'Appendix K'!$C$22*1000)-('Appendix K'!$E$48+'Appendix K'!$F$48+'Appendix K'!$H$48+'Appendix K'!$G$48))/((1+$Y$16)^AP$34))</f>
        <v>940144.2148596826</v>
      </c>
      <c r="AQ778" s="193">
        <f>(((T778*'Appendix K'!$C$23*1000)-('Appendix K'!$E$49+'Appendix K'!$F$49+'Appendix K'!$H$49+'Appendix K'!$G$49))/((1+$Y$16)^AQ$34))</f>
        <v>716298.23917515611</v>
      </c>
      <c r="AR778" s="193">
        <f>(((U778*'Appendix K'!$C$24*1000)-('Appendix K'!$E$50+'Appendix K'!$F$50+'Appendix K'!$H$50+'Appendix K'!$G$50))/((1+$Y$16)^AR$34))</f>
        <v>442427.85851708578</v>
      </c>
      <c r="AS778" s="209">
        <f t="shared" si="38"/>
        <v>264888572.01115578</v>
      </c>
      <c r="AU778" s="199">
        <f t="shared" si="37"/>
        <v>5.3477528538845614E-11</v>
      </c>
    </row>
    <row r="779" spans="1:47" x14ac:dyDescent="0.35">
      <c r="A779">
        <v>745</v>
      </c>
      <c r="B779" s="70">
        <v>56</v>
      </c>
      <c r="C779" s="70">
        <v>56.739800075904938</v>
      </c>
      <c r="D779" s="70">
        <v>61.201536643268739</v>
      </c>
      <c r="E779" s="70">
        <v>66.27083743894805</v>
      </c>
      <c r="F779" s="70">
        <v>67.027412853553713</v>
      </c>
      <c r="G779" s="70">
        <v>83.459342353379583</v>
      </c>
      <c r="H779" s="70">
        <v>113.3923474471415</v>
      </c>
      <c r="I779" s="70">
        <v>154.48088348455329</v>
      </c>
      <c r="J779" s="70">
        <v>105.87562678086709</v>
      </c>
      <c r="K779" s="70">
        <v>122.57328724736735</v>
      </c>
      <c r="L779" s="70">
        <v>118.97753208026528</v>
      </c>
      <c r="M779" s="70">
        <v>134.37019331894697</v>
      </c>
      <c r="N779" s="70">
        <v>147.23243603008862</v>
      </c>
      <c r="O779" s="70">
        <v>125.06495557706853</v>
      </c>
      <c r="P779" s="70">
        <v>135.76769976713533</v>
      </c>
      <c r="Q779" s="70">
        <v>156.39877779924007</v>
      </c>
      <c r="R779" s="70">
        <v>218.04844300433254</v>
      </c>
      <c r="S779" s="70">
        <v>153.9789171669816</v>
      </c>
      <c r="T779" s="70">
        <v>172.09823067970686</v>
      </c>
      <c r="U779" s="70">
        <v>175.43080551478579</v>
      </c>
      <c r="V779" s="70">
        <v>268.60231453702738</v>
      </c>
      <c r="X779" s="193">
        <f>((0-('Appendix K'!$I$30))/(1+$Y$16)^0)</f>
        <v>-33594902.4440751</v>
      </c>
      <c r="Y779" s="193">
        <f>(((B779*'Appendix K'!$C$5*1000)-('Appendix K'!$E$31+'Appendix K'!$F$31+'Appendix K'!$H$31+'Appendix K'!$G$31))/((1+$Y$16)^1))</f>
        <v>34971064.972647354</v>
      </c>
      <c r="Z779" s="193">
        <f>+(((C779*'Appendix K'!$C$6*1000)-('Appendix K'!$E$32+'Appendix K'!$F$32+'Appendix K'!$H$32+'Appendix K'!$G$32))/((1+$Y$16)^2))</f>
        <v>10846196.257128535</v>
      </c>
      <c r="AA779" s="193">
        <f>(((D779*'Appendix K'!$C$7*1000)-('Appendix K'!$E$33+'Appendix K'!$F$33+'Appendix K'!$H$33+'Appendix K'!$G$33))/((1+$Y$16)^3))</f>
        <v>4830639.8551569497</v>
      </c>
      <c r="AB779" s="193">
        <f>(((E779*'Appendix K'!$C$8*1000)-('Appendix K'!$E$34+'Appendix K'!$F$34+'Appendix K'!$H$34+'Appendix K'!$G$34))/((1+$Y$16)^4))</f>
        <v>11232753.02663652</v>
      </c>
      <c r="AC779" s="193">
        <f>(((F779*'Appendix K'!$C$9*1000)-('Appendix K'!$E$35+'Appendix K'!$F$35+'Appendix K'!$H$35+'Appendix K'!$G$35))/((1+$Y$16)^AC$34))</f>
        <v>14831552.565389775</v>
      </c>
      <c r="AD779" s="193">
        <f>(((G779*'Appendix K'!$C$10*1000)-('Appendix K'!$E$36+'Appendix K'!$F$36+'Appendix K'!$H$36+'Appendix K'!$G$36))/((1+$Y$16)^AD$34))</f>
        <v>10591021.936336989</v>
      </c>
      <c r="AE779" s="193">
        <f>(((H779*'Appendix K'!$C$11*1000)-('Appendix K'!$E$37+'Appendix K'!$F$37+'Appendix K'!$H$37+'Appendix K'!$G$37))/((1+$Y$16)^AE$34))</f>
        <v>9089542.8971901815</v>
      </c>
      <c r="AF779" s="193">
        <f>(((I779*'Appendix K'!$C$12*1000)-('Appendix K'!$E$38+'Appendix K'!$F$38+'Appendix K'!$H$38+'Appendix K'!$G$38))/((1+$Y$16)^AF$34))</f>
        <v>8147010.7300857017</v>
      </c>
      <c r="AG779" s="193">
        <f>(((J779*'Appendix K'!$C$13*1000)-('Appendix K'!$E$39+'Appendix K'!$F$39+'Appendix K'!$H$39+'Appendix K'!$G$39))/((1+$Y$16)^AG$34))</f>
        <v>3057339.457764342</v>
      </c>
      <c r="AH779" s="193">
        <f>(((K779*'Appendix K'!$C$14*1000)-('Appendix K'!$E$40+'Appendix K'!$F$40+'Appendix K'!$H$40+'Appendix K'!$G$40))/((1+$Y$16)^AH$34))</f>
        <v>2498778.6301335595</v>
      </c>
      <c r="AI779" s="193">
        <f>(((L779*'Appendix K'!$C$15*1000)-('Appendix K'!$E$41+'Appendix K'!$F$41+'Appendix K'!$H$41+'Appendix K'!$G$41))/((1+$Y$16)^AI$34))</f>
        <v>1600952.4812478905</v>
      </c>
      <c r="AJ779" s="193">
        <f>(((M779*'Appendix K'!$C$16*1000)-('Appendix K'!$E$42+'Appendix K'!$F$42+'Appendix K'!$H$42+'Appendix K'!$G$42))/((1+$Y$16)^AJ$34))</f>
        <v>1311478.5815915791</v>
      </c>
      <c r="AK779" s="193">
        <f>(((N779*'Appendix K'!$C$17*1000)-('Appendix K'!$E$43+'Appendix K'!$F$43+'Appendix K'!$H$43))/((1+$Y$16)^AK$34))</f>
        <v>1257805.4339557693</v>
      </c>
      <c r="AL779" s="193">
        <f>(((O779*'Appendix K'!$C$18*1000)-('Appendix K'!$E$44+'Appendix K'!$F$44+'Appendix K'!$H$44+'Appendix K'!$G$44))/((1+$Y$16)^AL$34))</f>
        <v>347842.59341386886</v>
      </c>
      <c r="AM779" s="193">
        <f>(((P779*'Appendix K'!$C$19*1000)-('Appendix K'!$E$45+'Appendix K'!$F$45+'Appendix K'!$H$45+'Appendix K'!$G$45))/((1+$Y$16)^AM$34))</f>
        <v>231628.45308212785</v>
      </c>
      <c r="AN779" s="193">
        <f>(((Q779*'Appendix K'!$C$20*1000)-('Appendix K'!$E$46+'Appendix K'!$F$46+'Appendix K'!$H$46+'Appendix K'!$G$46))/((1+$Y$16)^AN$34))</f>
        <v>216026.63875978766</v>
      </c>
      <c r="AO779" s="193">
        <f>(((R779*'Appendix K'!$C$21*1000)-('Appendix K'!$E$47+'Appendix K'!$F$47+'Appendix K'!$H$47+'Appendix K'!$G$47))/((1+$Y$16)^AO$34))</f>
        <v>445691.46277535858</v>
      </c>
      <c r="AP779" s="193">
        <f>(((S779*'Appendix K'!$C$22*1000)-('Appendix K'!$E$48+'Appendix K'!$F$48+'Appendix K'!$H$48+'Appendix K'!$G$48))/((1+$Y$16)^AP$34))</f>
        <v>-26937.435050701984</v>
      </c>
      <c r="AQ779" s="193">
        <f>(((T779*'Appendix K'!$C$23*1000)-('Appendix K'!$E$49+'Appendix K'!$F$49+'Appendix K'!$H$49+'Appendix K'!$G$49))/((1+$Y$16)^AQ$34))</f>
        <v>-19937.214908394046</v>
      </c>
      <c r="AR779" s="193">
        <f>(((U779*'Appendix K'!$C$24*1000)-('Appendix K'!$E$50+'Appendix K'!$F$50+'Appendix K'!$H$50+'Appendix K'!$G$50))/((1+$Y$16)^AR$34))</f>
        <v>-64396.760179767924</v>
      </c>
      <c r="AS779" s="209">
        <f t="shared" si="38"/>
        <v>81912423.529221207</v>
      </c>
      <c r="AU779" s="199">
        <f t="shared" si="37"/>
        <v>6.9942486378304141E-9</v>
      </c>
    </row>
    <row r="780" spans="1:47" x14ac:dyDescent="0.35">
      <c r="A780">
        <v>746</v>
      </c>
      <c r="B780" s="70">
        <v>56</v>
      </c>
      <c r="C780" s="70">
        <v>47.412056782157094</v>
      </c>
      <c r="D780" s="70">
        <v>37.037671172986528</v>
      </c>
      <c r="E780" s="70">
        <v>28.282674389367152</v>
      </c>
      <c r="F780" s="70">
        <v>21.511458615181066</v>
      </c>
      <c r="G780" s="70">
        <v>20.582023515409627</v>
      </c>
      <c r="H780" s="70">
        <v>25.641522571504254</v>
      </c>
      <c r="I780" s="70">
        <v>31.578486100866428</v>
      </c>
      <c r="J780" s="70">
        <v>46.768063661089805</v>
      </c>
      <c r="K780" s="70">
        <v>62.639665654486706</v>
      </c>
      <c r="L780" s="70">
        <v>72.217080459089516</v>
      </c>
      <c r="M780" s="70">
        <v>55.558393055028276</v>
      </c>
      <c r="N780" s="70">
        <v>63.223404572583235</v>
      </c>
      <c r="O780" s="70">
        <v>66.594090658879949</v>
      </c>
      <c r="P780" s="70">
        <v>62.223002769479898</v>
      </c>
      <c r="Q780" s="70">
        <v>74.419384825250319</v>
      </c>
      <c r="R780" s="70">
        <v>63.657819117719789</v>
      </c>
      <c r="S780" s="70">
        <v>83.646463707655769</v>
      </c>
      <c r="T780" s="70">
        <v>64.133777907794595</v>
      </c>
      <c r="U780" s="70">
        <v>84.335845572964686</v>
      </c>
      <c r="V780" s="70">
        <v>71.603919535122955</v>
      </c>
      <c r="X780" s="193">
        <f>((0-('Appendix K'!$I$30))/(1+$Y$16)^0)</f>
        <v>-33594902.4440751</v>
      </c>
      <c r="Y780" s="193">
        <f>(((B780*'Appendix K'!$C$5*1000)-('Appendix K'!$E$31+'Appendix K'!$F$31+'Appendix K'!$H$31+'Appendix K'!$G$31))/((1+$Y$16)^1))</f>
        <v>34971064.972647354</v>
      </c>
      <c r="Z780" s="193">
        <f>+(((C780*'Appendix K'!$C$6*1000)-('Appendix K'!$E$32+'Appendix K'!$F$32+'Appendix K'!$H$32+'Appendix K'!$G$32))/((1+$Y$16)^2))</f>
        <v>8489848.7675768342</v>
      </c>
      <c r="AA780" s="193">
        <f>(((D780*'Appendix K'!$C$7*1000)-('Appendix K'!$E$33+'Appendix K'!$F$33+'Appendix K'!$H$33+'Appendix K'!$G$33))/((1+$Y$16)^3))</f>
        <v>1752770.5751926566</v>
      </c>
      <c r="AB780" s="193">
        <f>(((E780*'Appendix K'!$C$8*1000)-('Appendix K'!$E$34+'Appendix K'!$F$34+'Appendix K'!$H$34+'Appendix K'!$G$34))/((1+$Y$16)^4))</f>
        <v>2906095.4343302231</v>
      </c>
      <c r="AC780" s="193">
        <f>(((F780*'Appendix K'!$C$9*1000)-('Appendix K'!$E$35+'Appendix K'!$F$35+'Appendix K'!$H$35+'Appendix K'!$G$35))/((1+$Y$16)^AC$34))</f>
        <v>2733483.4017042848</v>
      </c>
      <c r="AD780" s="193">
        <f>(((G780*'Appendix K'!$C$10*1000)-('Appendix K'!$E$36+'Appendix K'!$F$36+'Appendix K'!$H$36+'Appendix K'!$G$36))/((1+$Y$16)^AD$34))</f>
        <v>716519.32527075743</v>
      </c>
      <c r="AE780" s="193">
        <f>(((H780*'Appendix K'!$C$11*1000)-('Appendix K'!$E$37+'Appendix K'!$F$37+'Appendix K'!$H$37+'Appendix K'!$G$37))/((1+$Y$16)^AE$34))</f>
        <v>337483.69564864144</v>
      </c>
      <c r="AF780" s="193">
        <f>(((I780*'Appendix K'!$C$12*1000)-('Appendix K'!$E$38+'Appendix K'!$F$38+'Appendix K'!$H$38+'Appendix K'!$G$38))/((1+$Y$16)^AF$34))</f>
        <v>76941.028956446535</v>
      </c>
      <c r="AG780" s="193">
        <f>(((J780*'Appendix K'!$C$13*1000)-('Appendix K'!$E$39+'Appendix K'!$F$39+'Appendix K'!$H$39+'Appendix K'!$G$39))/((1+$Y$16)^AG$34))</f>
        <v>337272.49666342203</v>
      </c>
      <c r="AH780" s="193">
        <f>(((K780*'Appendix K'!$C$14*1000)-('Appendix K'!$E$40+'Appendix K'!$F$40+'Appendix K'!$H$40+'Appendix K'!$G$40))/((1+$Y$16)^AH$34))</f>
        <v>478624.41031984898</v>
      </c>
      <c r="AI780" s="193">
        <f>(((L780*'Appendix K'!$C$15*1000)-('Appendix K'!$E$41+'Appendix K'!$F$41+'Appendix K'!$H$41+'Appendix K'!$G$41))/((1+$Y$16)^AI$34))</f>
        <v>375741.20629977761</v>
      </c>
      <c r="AJ780" s="193">
        <f>(((M780*'Appendix K'!$C$16*1000)-('Appendix K'!$E$42+'Appendix K'!$F$42+'Appendix K'!$H$42+'Appendix K'!$G$42))/((1+$Y$16)^AJ$34))</f>
        <v>-268057.03559047438</v>
      </c>
      <c r="AK780" s="193">
        <f>(((N780*'Appendix K'!$C$17*1000)-('Appendix K'!$E$43+'Appendix K'!$F$43+'Appendix K'!$H$43))/((1+$Y$16)^AK$34))</f>
        <v>-32900.71129169171</v>
      </c>
      <c r="AL780" s="193">
        <f>(((O780*'Appendix K'!$C$18*1000)-('Appendix K'!$E$44+'Appendix K'!$F$44+'Appendix K'!$H$44+'Appendix K'!$G$44))/((1+$Y$16)^AL$34))</f>
        <v>-345229.77363773406</v>
      </c>
      <c r="AM780" s="193">
        <f>(((P780*'Appendix K'!$C$19*1000)-('Appendix K'!$E$45+'Appendix K'!$F$45+'Appendix K'!$H$45+'Appendix K'!$G$45))/((1+$Y$16)^AM$34))</f>
        <v>-450037.6181330962</v>
      </c>
      <c r="AN780" s="193">
        <f>(((Q780*'Appendix K'!$C$20*1000)-('Appendix K'!$E$46+'Appendix K'!$F$46+'Appendix K'!$H$46+'Appendix K'!$G$46))/((1+$Y$16)^AN$34))</f>
        <v>-377194.02938309673</v>
      </c>
      <c r="AO780" s="193">
        <f>(((R780*'Appendix K'!$C$21*1000)-('Appendix K'!$E$47+'Appendix K'!$F$47+'Appendix K'!$H$47+'Appendix K'!$G$47))/((1+$Y$16)^AO$34))</f>
        <v>-466774.18147686194</v>
      </c>
      <c r="AP780" s="193">
        <f>(((S780*'Appendix K'!$C$22*1000)-('Appendix K'!$E$48+'Appendix K'!$F$48+'Appendix K'!$H$48+'Appendix K'!$G$48))/((1+$Y$16)^AP$34))</f>
        <v>-363810.14773297647</v>
      </c>
      <c r="AQ780" s="193">
        <f>(((T780*'Appendix K'!$C$23*1000)-('Appendix K'!$E$49+'Appendix K'!$F$49+'Appendix K'!$H$49+'Appendix K'!$G$49))/((1+$Y$16)^AQ$34))</f>
        <v>-442482.44344889926</v>
      </c>
      <c r="AR780" s="193">
        <f>(((U780*'Appendix K'!$C$24*1000)-('Appendix K'!$E$50+'Appendix K'!$F$50+'Appendix K'!$H$50+'Appendix K'!$G$50))/((1+$Y$16)^AR$34))</f>
        <v>-357725.08356923098</v>
      </c>
      <c r="AS780" s="209">
        <f t="shared" si="38"/>
        <v>19580942.870535143</v>
      </c>
      <c r="AU780" s="199">
        <f t="shared" si="37"/>
        <v>3.4264371092359173E-9</v>
      </c>
    </row>
    <row r="781" spans="1:47" x14ac:dyDescent="0.35">
      <c r="A781">
        <v>747</v>
      </c>
      <c r="B781" s="70">
        <v>56</v>
      </c>
      <c r="C781" s="70">
        <v>53.359368793544384</v>
      </c>
      <c r="D781" s="70">
        <v>78.653540124492167</v>
      </c>
      <c r="E781" s="70">
        <v>97.918690263304853</v>
      </c>
      <c r="F781" s="70">
        <v>200.553962954225</v>
      </c>
      <c r="G781" s="70">
        <v>362.24147777895416</v>
      </c>
      <c r="H781" s="70">
        <v>262.30772570418378</v>
      </c>
      <c r="I781" s="70">
        <v>299.01580909135691</v>
      </c>
      <c r="J781" s="70">
        <v>294.97428717564287</v>
      </c>
      <c r="K781" s="70">
        <v>379.18692493784152</v>
      </c>
      <c r="L781" s="70">
        <v>396.32479030596238</v>
      </c>
      <c r="M781" s="70">
        <v>378.35644080265672</v>
      </c>
      <c r="N781" s="70">
        <v>484.8703703578351</v>
      </c>
      <c r="O781" s="70">
        <v>403.24241660459438</v>
      </c>
      <c r="P781" s="70">
        <v>396.80582340150954</v>
      </c>
      <c r="Q781" s="70">
        <v>459.04662014263329</v>
      </c>
      <c r="R781" s="70">
        <v>500</v>
      </c>
      <c r="S781" s="70">
        <v>500</v>
      </c>
      <c r="T781" s="70">
        <v>404.32961050193393</v>
      </c>
      <c r="U781" s="70">
        <v>403.32050524680096</v>
      </c>
      <c r="V781" s="70">
        <v>500</v>
      </c>
      <c r="X781" s="193">
        <f>((0-('Appendix K'!$I$30))/(1+$Y$16)^0)</f>
        <v>-33594902.4440751</v>
      </c>
      <c r="Y781" s="193">
        <f>(((B781*'Appendix K'!$C$5*1000)-('Appendix K'!$E$31+'Appendix K'!$F$31+'Appendix K'!$H$31+'Appendix K'!$G$31))/((1+$Y$16)^1))</f>
        <v>34971064.972647354</v>
      </c>
      <c r="Z781" s="193">
        <f>+(((C781*'Appendix K'!$C$6*1000)-('Appendix K'!$E$32+'Appendix K'!$F$32+'Appendix K'!$H$32+'Appendix K'!$G$32))/((1+$Y$16)^2))</f>
        <v>9992241.4992685691</v>
      </c>
      <c r="AA781" s="193">
        <f>(((D781*'Appendix K'!$C$7*1000)-('Appendix K'!$E$33+'Appendix K'!$F$33+'Appendix K'!$H$33+'Appendix K'!$G$33))/((1+$Y$16)^3))</f>
        <v>7053586.5709772538</v>
      </c>
      <c r="AB781" s="193">
        <f>(((E781*'Appendix K'!$C$8*1000)-('Appendix K'!$E$34+'Appendix K'!$F$34+'Appendix K'!$H$34+'Appendix K'!$G$34))/((1+$Y$16)^4))</f>
        <v>18169672.657527439</v>
      </c>
      <c r="AC781" s="193">
        <f>(((F781*'Appendix K'!$C$9*1000)-('Appendix K'!$E$35+'Appendix K'!$F$35+'Appendix K'!$H$35+'Appendix K'!$G$35))/((1+$Y$16)^AC$34))</f>
        <v>50322699.907838494</v>
      </c>
      <c r="AD781" s="193">
        <f>(((G781*'Appendix K'!$C$10*1000)-('Appendix K'!$E$36+'Appendix K'!$F$36+'Appendix K'!$H$36+'Appendix K'!$G$36))/((1+$Y$16)^AD$34))</f>
        <v>54372070.095726565</v>
      </c>
      <c r="AE781" s="193">
        <f>(((H781*'Appendix K'!$C$11*1000)-('Appendix K'!$E$37+'Appendix K'!$F$37+'Appendix K'!$H$37+'Appendix K'!$G$37))/((1+$Y$16)^AE$34))</f>
        <v>23942009.621835556</v>
      </c>
      <c r="AF781" s="193">
        <f>(((I781*'Appendix K'!$C$12*1000)-('Appendix K'!$E$38+'Appendix K'!$F$38+'Appendix K'!$H$38+'Appendix K'!$G$38))/((1+$Y$16)^AF$34))</f>
        <v>17637524.737335302</v>
      </c>
      <c r="AG781" s="193">
        <f>(((J781*'Appendix K'!$C$13*1000)-('Appendix K'!$E$39+'Appendix K'!$F$39+'Appendix K'!$H$39+'Appendix K'!$G$39))/((1+$Y$16)^AG$34))</f>
        <v>11759457.957996817</v>
      </c>
      <c r="AH781" s="193">
        <f>(((K781*'Appendix K'!$C$14*1000)-('Appendix K'!$E$40+'Appendix K'!$F$40+'Appendix K'!$H$40+'Appendix K'!$G$40))/((1+$Y$16)^AH$34))</f>
        <v>11148333.074941834</v>
      </c>
      <c r="AI781" s="193">
        <f>(((L781*'Appendix K'!$C$15*1000)-('Appendix K'!$E$41+'Appendix K'!$F$41+'Appendix K'!$H$41+'Appendix K'!$G$41))/((1+$Y$16)^AI$34))</f>
        <v>8867969.2886772044</v>
      </c>
      <c r="AJ781" s="193">
        <f>(((M781*'Appendix K'!$C$16*1000)-('Appendix K'!$E$42+'Appendix K'!$F$42+'Appendix K'!$H$42+'Appendix K'!$G$42))/((1+$Y$16)^AJ$34))</f>
        <v>6201418.498108753</v>
      </c>
      <c r="AK781" s="193">
        <f>(((N781*'Appendix K'!$C$17*1000)-('Appendix K'!$E$43+'Appendix K'!$F$43+'Appendix K'!$H$43))/((1+$Y$16)^AK$34))</f>
        <v>6445240.0364594208</v>
      </c>
      <c r="AL781" s="193">
        <f>(((O781*'Appendix K'!$C$18*1000)-('Appendix K'!$E$44+'Appendix K'!$F$44+'Appendix K'!$H$44+'Appendix K'!$G$44))/((1+$Y$16)^AL$34))</f>
        <v>3645161.8932824573</v>
      </c>
      <c r="AM781" s="193">
        <f>(((P781*'Appendix K'!$C$19*1000)-('Appendix K'!$E$45+'Appendix K'!$F$45+'Appendix K'!$H$45+'Appendix K'!$G$45))/((1+$Y$16)^AM$34))</f>
        <v>2651120.8086072369</v>
      </c>
      <c r="AN781" s="193">
        <f>(((Q781*'Appendix K'!$C$20*1000)-('Appendix K'!$E$46+'Appendix K'!$F$46+'Appendix K'!$H$46+'Appendix K'!$G$46))/((1+$Y$16)^AN$34))</f>
        <v>2406052.0675149523</v>
      </c>
      <c r="AO781" s="193">
        <f>(((R781*'Appendix K'!$C$21*1000)-('Appendix K'!$E$47+'Appendix K'!$F$47+'Appendix K'!$H$47+'Appendix K'!$G$47))/((1+$Y$16)^AO$34))</f>
        <v>2112056.3146391152</v>
      </c>
      <c r="AP781" s="193">
        <f>(((S781*'Appendix K'!$C$22*1000)-('Appendix K'!$E$48+'Appendix K'!$F$48+'Appendix K'!$H$48+'Appendix K'!$G$48))/((1+$Y$16)^AP$34))</f>
        <v>1630406.4380253027</v>
      </c>
      <c r="AQ781" s="193">
        <f>(((T781*'Appendix K'!$C$23*1000)-('Appendix K'!$E$49+'Appendix K'!$F$49+'Appendix K'!$H$49+'Appendix K'!$G$49))/((1+$Y$16)^AQ$34))</f>
        <v>888956.95295783365</v>
      </c>
      <c r="AR781" s="193">
        <f>(((U781*'Appendix K'!$C$24*1000)-('Appendix K'!$E$50+'Appendix K'!$F$50+'Appendix K'!$H$50+'Appendix K'!$G$50))/((1+$Y$16)^AR$34))</f>
        <v>669414.4581665874</v>
      </c>
      <c r="AS781" s="209">
        <f t="shared" si="38"/>
        <v>241291555.40845889</v>
      </c>
      <c r="AU781" s="199">
        <f t="shared" si="37"/>
        <v>1.7976127112351634E-10</v>
      </c>
    </row>
    <row r="782" spans="1:47" x14ac:dyDescent="0.35">
      <c r="A782">
        <v>748</v>
      </c>
      <c r="B782" s="70">
        <v>56</v>
      </c>
      <c r="C782" s="70">
        <v>69.359009126620606</v>
      </c>
      <c r="D782" s="70">
        <v>69.656743118135267</v>
      </c>
      <c r="E782" s="70">
        <v>76.988989096033805</v>
      </c>
      <c r="F782" s="70">
        <v>55.385236092608856</v>
      </c>
      <c r="G782" s="70">
        <v>76.356928071883047</v>
      </c>
      <c r="H782" s="70">
        <v>110.46039895623038</v>
      </c>
      <c r="I782" s="70">
        <v>124.85047006624148</v>
      </c>
      <c r="J782" s="70">
        <v>114.72850935627912</v>
      </c>
      <c r="K782" s="70">
        <v>163.56663163730298</v>
      </c>
      <c r="L782" s="70">
        <v>241.45158804971652</v>
      </c>
      <c r="M782" s="70">
        <v>294.11657574811994</v>
      </c>
      <c r="N782" s="70">
        <v>277.6289212037164</v>
      </c>
      <c r="O782" s="70">
        <v>315.49111033474367</v>
      </c>
      <c r="P782" s="70">
        <v>289.65218490520294</v>
      </c>
      <c r="Q782" s="70">
        <v>477.90687871352714</v>
      </c>
      <c r="R782" s="70">
        <v>500</v>
      </c>
      <c r="S782" s="70">
        <v>380.14753187834162</v>
      </c>
      <c r="T782" s="70">
        <v>230.59695558277758</v>
      </c>
      <c r="U782" s="70">
        <v>243.98128063900194</v>
      </c>
      <c r="V782" s="70">
        <v>193.18236102041502</v>
      </c>
      <c r="X782" s="193">
        <f>((0-('Appendix K'!$I$30))/(1+$Y$16)^0)</f>
        <v>-33594902.4440751</v>
      </c>
      <c r="Y782" s="193">
        <f>(((B782*'Appendix K'!$C$5*1000)-('Appendix K'!$E$31+'Appendix K'!$F$31+'Appendix K'!$H$31+'Appendix K'!$G$31))/((1+$Y$16)^1))</f>
        <v>34971064.972647354</v>
      </c>
      <c r="Z782" s="193">
        <f>+(((C782*'Appendix K'!$C$6*1000)-('Appendix K'!$E$32+'Appendix K'!$F$32+'Appendix K'!$H$32+'Appendix K'!$G$32))/((1+$Y$16)^2))</f>
        <v>14034024.291237568</v>
      </c>
      <c r="AA782" s="193">
        <f>(((D782*'Appendix K'!$C$7*1000)-('Appendix K'!$E$33+'Appendix K'!$F$33+'Appendix K'!$H$33+'Appendix K'!$G$33))/((1+$Y$16)^3))</f>
        <v>5907620.7006575326</v>
      </c>
      <c r="AB782" s="193">
        <f>(((E782*'Appendix K'!$C$8*1000)-('Appendix K'!$E$34+'Appendix K'!$F$34+'Appendix K'!$H$34+'Appendix K'!$G$34))/((1+$Y$16)^4))</f>
        <v>13582073.754634921</v>
      </c>
      <c r="AC782" s="193">
        <f>(((F782*'Appendix K'!$C$9*1000)-('Appendix K'!$E$35+'Appendix K'!$F$35+'Appendix K'!$H$35+'Appendix K'!$G$35))/((1+$Y$16)^AC$34))</f>
        <v>11737080.26382876</v>
      </c>
      <c r="AD782" s="193">
        <f>(((G782*'Appendix K'!$C$10*1000)-('Appendix K'!$E$36+'Appendix K'!$F$36+'Appendix K'!$H$36+'Appendix K'!$G$36))/((1+$Y$16)^AD$34))</f>
        <v>9475630.7322648428</v>
      </c>
      <c r="AE782" s="193">
        <f>(((H782*'Appendix K'!$C$11*1000)-('Appendix K'!$E$37+'Appendix K'!$F$37+'Appendix K'!$H$37+'Appendix K'!$G$37))/((1+$Y$16)^AE$34))</f>
        <v>8797117.3068359978</v>
      </c>
      <c r="AF782" s="193">
        <f>(((I782*'Appendix K'!$C$12*1000)-('Appendix K'!$E$38+'Appendix K'!$F$38+'Appendix K'!$H$38+'Appendix K'!$G$38))/((1+$Y$16)^AF$34))</f>
        <v>6201405.8708692538</v>
      </c>
      <c r="AG782" s="193">
        <f>(((J782*'Appendix K'!$C$13*1000)-('Appendix K'!$E$39+'Appendix K'!$F$39+'Appendix K'!$H$39+'Appendix K'!$G$39))/((1+$Y$16)^AG$34))</f>
        <v>3464739.6639796952</v>
      </c>
      <c r="AH782" s="193">
        <f>(((K782*'Appendix K'!$C$14*1000)-('Appendix K'!$E$40+'Appendix K'!$F$40+'Appendix K'!$H$40+'Appendix K'!$G$40))/((1+$Y$16)^AH$34))</f>
        <v>3880521.8896372071</v>
      </c>
      <c r="AI782" s="193">
        <f>(((L782*'Appendix K'!$C$15*1000)-('Appendix K'!$E$41+'Appendix K'!$F$41+'Appendix K'!$H$41+'Appendix K'!$G$41))/((1+$Y$16)^AI$34))</f>
        <v>4810001.7752552144</v>
      </c>
      <c r="AJ782" s="193">
        <f>(((M782*'Appendix K'!$C$16*1000)-('Appendix K'!$E$42+'Appendix K'!$F$42+'Appendix K'!$H$42+'Appendix K'!$G$42))/((1+$Y$16)^AJ$34))</f>
        <v>4513094.3284454485</v>
      </c>
      <c r="AK782" s="193">
        <f>(((N782*'Appendix K'!$C$17*1000)-('Appendix K'!$E$43+'Appendix K'!$F$43+'Appendix K'!$H$43))/((1+$Y$16)^AK$34))</f>
        <v>3261203.6616499489</v>
      </c>
      <c r="AL782" s="193">
        <f>(((O782*'Appendix K'!$C$18*1000)-('Appendix K'!$E$44+'Appendix K'!$F$44+'Appendix K'!$H$44+'Appendix K'!$G$44))/((1+$Y$16)^AL$34))</f>
        <v>2605019.8390574832</v>
      </c>
      <c r="AM782" s="193">
        <f>(((P782*'Appendix K'!$C$19*1000)-('Appendix K'!$E$45+'Appendix K'!$F$45+'Appendix K'!$H$45+'Appendix K'!$G$45))/((1+$Y$16)^AM$34))</f>
        <v>1657942.4728188347</v>
      </c>
      <c r="AN782" s="193">
        <f>(((Q782*'Appendix K'!$C$20*1000)-('Appendix K'!$E$46+'Appendix K'!$F$46+'Appendix K'!$H$46+'Appendix K'!$G$46))/((1+$Y$16)^AN$34))</f>
        <v>2542528.989152113</v>
      </c>
      <c r="AO782" s="193">
        <f>(((R782*'Appendix K'!$C$21*1000)-('Appendix K'!$E$47+'Appendix K'!$F$47+'Appendix K'!$H$47+'Appendix K'!$G$47))/((1+$Y$16)^AO$34))</f>
        <v>2112056.3146391152</v>
      </c>
      <c r="AP782" s="193">
        <f>(((S782*'Appendix K'!$C$22*1000)-('Appendix K'!$E$48+'Appendix K'!$F$48+'Appendix K'!$H$48+'Appendix K'!$G$48))/((1+$Y$16)^AP$34))</f>
        <v>1056346.7533143421</v>
      </c>
      <c r="AQ782" s="193">
        <f>(((T782*'Appendix K'!$C$23*1000)-('Appendix K'!$E$49+'Appendix K'!$F$49+'Appendix K'!$H$49+'Appendix K'!$G$49))/((1+$Y$16)^AQ$34))</f>
        <v>209011.81830457141</v>
      </c>
      <c r="AR782" s="193">
        <f>(((U782*'Appendix K'!$C$24*1000)-('Appendix K'!$E$50+'Appendix K'!$F$50+'Appendix K'!$H$50+'Appendix K'!$G$50))/((1+$Y$16)^AR$34))</f>
        <v>156337.69042627557</v>
      </c>
      <c r="AS782" s="209">
        <f t="shared" si="38"/>
        <v>101379920.64558139</v>
      </c>
      <c r="AU782" s="199">
        <f t="shared" si="37"/>
        <v>6.8259672490616154E-9</v>
      </c>
    </row>
    <row r="783" spans="1:47" x14ac:dyDescent="0.35">
      <c r="A783">
        <v>749</v>
      </c>
      <c r="B783" s="70">
        <v>56</v>
      </c>
      <c r="C783" s="70">
        <v>25.76453199115268</v>
      </c>
      <c r="D783" s="70">
        <v>34.205524665845587</v>
      </c>
      <c r="E783" s="70">
        <v>44.698675087269073</v>
      </c>
      <c r="F783" s="70">
        <v>52.841414899352486</v>
      </c>
      <c r="G783" s="70">
        <v>76.000113607409389</v>
      </c>
      <c r="H783" s="70">
        <v>103.07532125992414</v>
      </c>
      <c r="I783" s="70">
        <v>121.66541651035314</v>
      </c>
      <c r="J783" s="70">
        <v>103.72454425043728</v>
      </c>
      <c r="K783" s="70">
        <v>108.6809921362204</v>
      </c>
      <c r="L783" s="70">
        <v>152.39682356845847</v>
      </c>
      <c r="M783" s="70">
        <v>121.1254775783718</v>
      </c>
      <c r="N783" s="70">
        <v>78.465608134450008</v>
      </c>
      <c r="O783" s="70">
        <v>49.515823145728433</v>
      </c>
      <c r="P783" s="70">
        <v>45.57395720470565</v>
      </c>
      <c r="Q783" s="70">
        <v>52.78240177122666</v>
      </c>
      <c r="R783" s="70">
        <v>70.093423313342129</v>
      </c>
      <c r="S783" s="70">
        <v>50.573285510141361</v>
      </c>
      <c r="T783" s="70">
        <v>50.847249347080009</v>
      </c>
      <c r="U783" s="70">
        <v>48.264733697960395</v>
      </c>
      <c r="V783" s="70">
        <v>41.427079005579408</v>
      </c>
      <c r="X783" s="193">
        <f>((0-('Appendix K'!$I$30))/(1+$Y$16)^0)</f>
        <v>-33594902.4440751</v>
      </c>
      <c r="Y783" s="193">
        <f>(((B783*'Appendix K'!$C$5*1000)-('Appendix K'!$E$31+'Appendix K'!$F$31+'Appendix K'!$H$31+'Appendix K'!$G$31))/((1+$Y$16)^1))</f>
        <v>34971064.972647354</v>
      </c>
      <c r="Z783" s="193">
        <f>+(((C783*'Appendix K'!$C$6*1000)-('Appendix K'!$E$32+'Appendix K'!$F$32+'Appendix K'!$H$32+'Appendix K'!$G$32))/((1+$Y$16)^2))</f>
        <v>3021313.7650664658</v>
      </c>
      <c r="AA783" s="193">
        <f>(((D783*'Appendix K'!$C$7*1000)-('Appendix K'!$E$33+'Appendix K'!$F$33+'Appendix K'!$H$33+'Appendix K'!$G$33))/((1+$Y$16)^3))</f>
        <v>1392026.2753451096</v>
      </c>
      <c r="AB783" s="193">
        <f>(((E783*'Appendix K'!$C$8*1000)-('Appendix K'!$E$34+'Appendix K'!$F$34+'Appendix K'!$H$34+'Appendix K'!$G$34))/((1+$Y$16)^4))</f>
        <v>6504332.5132878628</v>
      </c>
      <c r="AC783" s="193">
        <f>(((F783*'Appendix K'!$C$9*1000)-('Appendix K'!$E$35+'Appendix K'!$F$35+'Appendix K'!$H$35+'Appendix K'!$G$35))/((1+$Y$16)^AC$34))</f>
        <v>11060936.585177306</v>
      </c>
      <c r="AD783" s="193">
        <f>(((G783*'Appendix K'!$C$10*1000)-('Appendix K'!$E$36+'Appendix K'!$F$36+'Appendix K'!$H$36+'Appendix K'!$G$36))/((1+$Y$16)^AD$34))</f>
        <v>9419595.1788057182</v>
      </c>
      <c r="AE783" s="193">
        <f>(((H783*'Appendix K'!$C$11*1000)-('Appendix K'!$E$37+'Appendix K'!$F$37+'Appendix K'!$H$37+'Appendix K'!$G$37))/((1+$Y$16)^AE$34))</f>
        <v>8060547.1686332179</v>
      </c>
      <c r="AF783" s="193">
        <f>(((I783*'Appendix K'!$C$12*1000)-('Appendix K'!$E$38+'Appendix K'!$F$38+'Appendix K'!$H$38+'Appendix K'!$G$38))/((1+$Y$16)^AF$34))</f>
        <v>5992267.5241403049</v>
      </c>
      <c r="AG783" s="193">
        <f>(((J783*'Appendix K'!$C$13*1000)-('Appendix K'!$E$39+'Appendix K'!$F$39+'Appendix K'!$H$39+'Appendix K'!$G$39))/((1+$Y$16)^AG$34))</f>
        <v>2958348.9358616434</v>
      </c>
      <c r="AH783" s="193">
        <f>(((K783*'Appendix K'!$C$14*1000)-('Appendix K'!$E$40+'Appendix K'!$F$40+'Appendix K'!$H$40+'Appendix K'!$G$40))/((1+$Y$16)^AH$34))</f>
        <v>2030517.6132652811</v>
      </c>
      <c r="AI783" s="193">
        <f>(((L783*'Appendix K'!$C$15*1000)-('Appendix K'!$E$41+'Appendix K'!$F$41+'Appendix K'!$H$41+'Appendix K'!$G$41))/((1+$Y$16)^AI$34))</f>
        <v>2476600.4126200764</v>
      </c>
      <c r="AJ783" s="193">
        <f>(((M783*'Appendix K'!$C$16*1000)-('Appendix K'!$E$42+'Appendix K'!$F$42+'Appendix K'!$H$42+'Appendix K'!$G$42))/((1+$Y$16)^AJ$34))</f>
        <v>1046029.7505582399</v>
      </c>
      <c r="AK783" s="193">
        <f>(((N783*'Appendix K'!$C$17*1000)-('Appendix K'!$E$43+'Appendix K'!$F$43+'Appendix K'!$H$43))/((1+$Y$16)^AK$34))</f>
        <v>201278.94133727052</v>
      </c>
      <c r="AL783" s="193">
        <f>(((O783*'Appendix K'!$C$18*1000)-('Appendix K'!$E$44+'Appendix K'!$F$44+'Appendix K'!$H$44+'Appendix K'!$G$44))/((1+$Y$16)^AL$34))</f>
        <v>-547663.50378764386</v>
      </c>
      <c r="AM783" s="193">
        <f>(((P783*'Appendix K'!$C$19*1000)-('Appendix K'!$E$45+'Appendix K'!$F$45+'Appendix K'!$H$45+'Appendix K'!$G$45))/((1+$Y$16)^AM$34))</f>
        <v>-604353.15607031435</v>
      </c>
      <c r="AN783" s="193">
        <f>(((Q783*'Appendix K'!$C$20*1000)-('Appendix K'!$E$46+'Appendix K'!$F$46+'Appendix K'!$H$46+'Appendix K'!$G$46))/((1+$Y$16)^AN$34))</f>
        <v>-533763.93162641535</v>
      </c>
      <c r="AO783" s="193">
        <f>(((R783*'Appendix K'!$C$21*1000)-('Appendix K'!$E$47+'Appendix K'!$F$47+'Appendix K'!$H$47+'Appendix K'!$G$47))/((1+$Y$16)^AO$34))</f>
        <v>-428739.04967492347</v>
      </c>
      <c r="AP783" s="193">
        <f>(((S783*'Appendix K'!$C$22*1000)-('Appendix K'!$E$48+'Appendix K'!$F$48+'Appendix K'!$H$48+'Appendix K'!$G$48))/((1+$Y$16)^AP$34))</f>
        <v>-522221.38903659728</v>
      </c>
      <c r="AQ783" s="193">
        <f>(((T783*'Appendix K'!$C$23*1000)-('Appendix K'!$E$49+'Appendix K'!$F$49+'Appendix K'!$H$49+'Appendix K'!$G$49))/((1+$Y$16)^AQ$34))</f>
        <v>-494482.5147969909</v>
      </c>
      <c r="AR783" s="193">
        <f>(((U783*'Appendix K'!$C$24*1000)-('Appendix K'!$E$50+'Appendix K'!$F$50+'Appendix K'!$H$50+'Appendix K'!$G$50))/((1+$Y$16)^AR$34))</f>
        <v>-473875.07447812683</v>
      </c>
      <c r="AS783" s="209">
        <f t="shared" si="38"/>
        <v>55539957.192670755</v>
      </c>
      <c r="AU783" s="199">
        <f t="shared" si="37"/>
        <v>5.9918591981710025E-9</v>
      </c>
    </row>
    <row r="784" spans="1:47" x14ac:dyDescent="0.35">
      <c r="A784">
        <v>750</v>
      </c>
      <c r="B784" s="70">
        <v>56</v>
      </c>
      <c r="C784" s="70">
        <v>65.165654608823857</v>
      </c>
      <c r="D784" s="70">
        <v>76.100723856925612</v>
      </c>
      <c r="E784" s="70">
        <v>58.522292230207881</v>
      </c>
      <c r="F784" s="70">
        <v>49.967755980519094</v>
      </c>
      <c r="G784" s="70">
        <v>70.793859863556463</v>
      </c>
      <c r="H784" s="70">
        <v>84.827878620824265</v>
      </c>
      <c r="I784" s="70">
        <v>89.219337395661654</v>
      </c>
      <c r="J784" s="70">
        <v>86.518913896064788</v>
      </c>
      <c r="K784" s="70">
        <v>130.47039287685334</v>
      </c>
      <c r="L784" s="70">
        <v>175.62180636003092</v>
      </c>
      <c r="M784" s="70">
        <v>241.09844312286668</v>
      </c>
      <c r="N784" s="70">
        <v>139.79685820069551</v>
      </c>
      <c r="O784" s="70">
        <v>133.03060465570999</v>
      </c>
      <c r="P784" s="70">
        <v>138.76671280309031</v>
      </c>
      <c r="Q784" s="70">
        <v>186.96353648811777</v>
      </c>
      <c r="R784" s="70">
        <v>197.76095014293304</v>
      </c>
      <c r="S784" s="70">
        <v>227.57543862399652</v>
      </c>
      <c r="T784" s="70">
        <v>251.58896288953699</v>
      </c>
      <c r="U784" s="70">
        <v>218.11414941439466</v>
      </c>
      <c r="V784" s="70">
        <v>239.68261151497722</v>
      </c>
      <c r="X784" s="193">
        <f>((0-('Appendix K'!$I$30))/(1+$Y$16)^0)</f>
        <v>-33594902.4440751</v>
      </c>
      <c r="Y784" s="193">
        <f>(((B784*'Appendix K'!$C$5*1000)-('Appendix K'!$E$31+'Appendix K'!$F$31+'Appendix K'!$H$31+'Appendix K'!$G$31))/((1+$Y$16)^1))</f>
        <v>34971064.972647354</v>
      </c>
      <c r="Z784" s="193">
        <f>+(((C784*'Appendix K'!$C$6*1000)-('Appendix K'!$E$32+'Appendix K'!$F$32+'Appendix K'!$H$32+'Appendix K'!$G$32))/((1+$Y$16)^2))</f>
        <v>12974711.220579457</v>
      </c>
      <c r="AA784" s="193">
        <f>(((D784*'Appendix K'!$C$7*1000)-('Appendix K'!$E$33+'Appendix K'!$F$33+'Appendix K'!$H$33+'Appendix K'!$G$33))/((1+$Y$16)^3))</f>
        <v>6728421.9247413529</v>
      </c>
      <c r="AB784" s="193">
        <f>(((E784*'Appendix K'!$C$8*1000)-('Appendix K'!$E$34+'Appendix K'!$F$34+'Appendix K'!$H$34+'Appendix K'!$G$34))/((1+$Y$16)^4))</f>
        <v>9534342.8479849156</v>
      </c>
      <c r="AC784" s="193">
        <f>(((F784*'Appendix K'!$C$9*1000)-('Appendix K'!$E$35+'Appendix K'!$F$35+'Appendix K'!$H$35+'Appendix K'!$G$35))/((1+$Y$16)^AC$34))</f>
        <v>10297122.557005653</v>
      </c>
      <c r="AD784" s="193">
        <f>(((G784*'Appendix K'!$C$10*1000)-('Appendix K'!$E$36+'Appendix K'!$F$36+'Appendix K'!$H$36+'Appendix K'!$G$36))/((1+$Y$16)^AD$34))</f>
        <v>8601984.518274432</v>
      </c>
      <c r="AE784" s="193">
        <f>(((H784*'Appendix K'!$C$11*1000)-('Appendix K'!$E$37+'Appendix K'!$F$37+'Appendix K'!$H$37+'Appendix K'!$G$37))/((1+$Y$16)^AE$34))</f>
        <v>6240590.5074796602</v>
      </c>
      <c r="AF784" s="193">
        <f>(((I784*'Appendix K'!$C$12*1000)-('Appendix K'!$E$38+'Appendix K'!$F$38+'Appendix K'!$H$38+'Appendix K'!$G$38))/((1+$Y$16)^AF$34))</f>
        <v>3861779.2215690059</v>
      </c>
      <c r="AG784" s="193">
        <f>(((J784*'Appendix K'!$C$13*1000)-('Appendix K'!$E$39+'Appendix K'!$F$39+'Appendix K'!$H$39+'Appendix K'!$G$39))/((1+$Y$16)^AG$34))</f>
        <v>2166564.192900646</v>
      </c>
      <c r="AH784" s="193">
        <f>(((K784*'Appendix K'!$C$14*1000)-('Appendix K'!$E$40+'Appendix K'!$F$40+'Appendix K'!$H$40+'Appendix K'!$G$40))/((1+$Y$16)^AH$34))</f>
        <v>2764962.6323300125</v>
      </c>
      <c r="AI784" s="193">
        <f>(((L784*'Appendix K'!$C$15*1000)-('Appendix K'!$E$41+'Appendix K'!$F$41+'Appendix K'!$H$41+'Appendix K'!$G$41))/((1+$Y$16)^AI$34))</f>
        <v>3085138.3926900593</v>
      </c>
      <c r="AJ784" s="193">
        <f>(((M784*'Appendix K'!$C$16*1000)-('Appendix K'!$E$42+'Appendix K'!$F$42+'Appendix K'!$H$42+'Appendix K'!$G$42))/((1+$Y$16)^AJ$34))</f>
        <v>3450511.9669509265</v>
      </c>
      <c r="AK784" s="193">
        <f>(((N784*'Appendix K'!$C$17*1000)-('Appendix K'!$E$43+'Appendix K'!$F$43+'Appendix K'!$H$43))/((1+$Y$16)^AK$34))</f>
        <v>1143565.9786096138</v>
      </c>
      <c r="AL784" s="193">
        <f>(((O784*'Appendix K'!$C$18*1000)-('Appendix K'!$E$44+'Appendix K'!$F$44+'Appendix K'!$H$44+'Appendix K'!$G$44))/((1+$Y$16)^AL$34))</f>
        <v>442261.77585218276</v>
      </c>
      <c r="AM784" s="193">
        <f>(((P784*'Appendix K'!$C$19*1000)-('Appendix K'!$E$45+'Appendix K'!$F$45+'Appendix K'!$H$45+'Appendix K'!$G$45))/((1+$Y$16)^AM$34))</f>
        <v>259425.50055392383</v>
      </c>
      <c r="AN784" s="193">
        <f>(((Q784*'Appendix K'!$C$20*1000)-('Appendix K'!$E$46+'Appendix K'!$F$46+'Appendix K'!$H$46+'Appendix K'!$G$46))/((1+$Y$16)^AN$34))</f>
        <v>437199.86185006867</v>
      </c>
      <c r="AO784" s="193">
        <f>(((R784*'Appendix K'!$C$21*1000)-('Appendix K'!$E$47+'Appendix K'!$F$47+'Appendix K'!$H$47+'Appendix K'!$G$47))/((1+$Y$16)^AO$34))</f>
        <v>325790.1386014598</v>
      </c>
      <c r="AP784" s="193">
        <f>(((S784*'Appendix K'!$C$22*1000)-('Appendix K'!$E$48+'Appendix K'!$F$48+'Appendix K'!$H$48+'Appendix K'!$G$48))/((1+$Y$16)^AP$34))</f>
        <v>325569.24725267821</v>
      </c>
      <c r="AQ784" s="193">
        <f>(((T784*'Appendix K'!$C$23*1000)-('Appendix K'!$E$49+'Appendix K'!$F$49+'Appendix K'!$H$49+'Appendix K'!$G$49))/((1+$Y$16)^AQ$34))</f>
        <v>291169.16081153235</v>
      </c>
      <c r="AR784" s="193">
        <f>(((U784*'Appendix K'!$C$24*1000)-('Appendix K'!$E$50+'Appendix K'!$F$50+'Appendix K'!$H$50+'Appendix K'!$G$50))/((1+$Y$16)^AR$34))</f>
        <v>73044.803115548639</v>
      </c>
      <c r="AS784" s="209">
        <f t="shared" si="38"/>
        <v>74380318.977725357</v>
      </c>
      <c r="AU784" s="199">
        <f t="shared" si="37"/>
        <v>6.8410385946692475E-9</v>
      </c>
    </row>
    <row r="785" spans="1:47" x14ac:dyDescent="0.35">
      <c r="A785">
        <v>751</v>
      </c>
      <c r="B785" s="70">
        <v>56</v>
      </c>
      <c r="C785" s="70">
        <v>71.290092767632771</v>
      </c>
      <c r="D785" s="70">
        <v>72.808153401139876</v>
      </c>
      <c r="E785" s="70">
        <v>96.806844716584024</v>
      </c>
      <c r="F785" s="70">
        <v>108.77999291043969</v>
      </c>
      <c r="G785" s="70">
        <v>137.80500004608288</v>
      </c>
      <c r="H785" s="70">
        <v>83.170485418357657</v>
      </c>
      <c r="I785" s="70">
        <v>104.30748674223095</v>
      </c>
      <c r="J785" s="70">
        <v>171.66406757352647</v>
      </c>
      <c r="K785" s="70">
        <v>229.24556727689998</v>
      </c>
      <c r="L785" s="70">
        <v>226.66099909574478</v>
      </c>
      <c r="M785" s="70">
        <v>310.72765297550512</v>
      </c>
      <c r="N785" s="70">
        <v>272.41963878523779</v>
      </c>
      <c r="O785" s="70">
        <v>338.10710972321999</v>
      </c>
      <c r="P785" s="70">
        <v>500</v>
      </c>
      <c r="Q785" s="70">
        <v>500</v>
      </c>
      <c r="R785" s="70">
        <v>500</v>
      </c>
      <c r="S785" s="70">
        <v>500</v>
      </c>
      <c r="T785" s="70">
        <v>193.88339301067595</v>
      </c>
      <c r="U785" s="70">
        <v>333.68734785578397</v>
      </c>
      <c r="V785" s="70">
        <v>480.60391368828812</v>
      </c>
      <c r="X785" s="193">
        <f>((0-('Appendix K'!$I$30))/(1+$Y$16)^0)</f>
        <v>-33594902.4440751</v>
      </c>
      <c r="Y785" s="193">
        <f>(((B785*'Appendix K'!$C$5*1000)-('Appendix K'!$E$31+'Appendix K'!$F$31+'Appendix K'!$H$31+'Appendix K'!$G$31))/((1+$Y$16)^1))</f>
        <v>34971064.972647354</v>
      </c>
      <c r="Z785" s="193">
        <f>+(((C785*'Appendix K'!$C$6*1000)-('Appendix K'!$E$32+'Appendix K'!$F$32+'Appendix K'!$H$32+'Appendix K'!$G$32))/((1+$Y$16)^2))</f>
        <v>14521849.046520375</v>
      </c>
      <c r="AA785" s="193">
        <f>(((D785*'Appendix K'!$C$7*1000)-('Appendix K'!$E$33+'Appendix K'!$F$33+'Appendix K'!$H$33+'Appendix K'!$G$33))/((1+$Y$16)^3))</f>
        <v>6309031.1832043957</v>
      </c>
      <c r="AB785" s="193">
        <f>(((E785*'Appendix K'!$C$8*1000)-('Appendix K'!$E$34+'Appendix K'!$F$34+'Appendix K'!$H$34+'Appendix K'!$G$34))/((1+$Y$16)^4))</f>
        <v>17925966.291652579</v>
      </c>
      <c r="AC785" s="193">
        <f>(((F785*'Appendix K'!$C$9*1000)-('Appendix K'!$E$35+'Appendix K'!$F$35+'Appendix K'!$H$35+'Appendix K'!$G$35))/((1+$Y$16)^AC$34))</f>
        <v>25929322.781194039</v>
      </c>
      <c r="AD785" s="193">
        <f>(((G785*'Appendix K'!$C$10*1000)-('Appendix K'!$E$36+'Appendix K'!$F$36+'Appendix K'!$H$36+'Appendix K'!$G$36))/((1+$Y$16)^AD$34))</f>
        <v>19125678.768152311</v>
      </c>
      <c r="AE785" s="193">
        <f>(((H785*'Appendix K'!$C$11*1000)-('Appendix K'!$E$37+'Appendix K'!$F$37+'Appendix K'!$H$37+'Appendix K'!$G$37))/((1+$Y$16)^AE$34))</f>
        <v>6075286.0394159341</v>
      </c>
      <c r="AF785" s="193">
        <f>(((I785*'Appendix K'!$C$12*1000)-('Appendix K'!$E$38+'Appendix K'!$F$38+'Appendix K'!$H$38+'Appendix K'!$G$38))/((1+$Y$16)^AF$34))</f>
        <v>4852503.7271922277</v>
      </c>
      <c r="AG785" s="193">
        <f>(((J785*'Appendix K'!$C$13*1000)-('Appendix K'!$E$39+'Appendix K'!$F$39+'Appendix K'!$H$39+'Appendix K'!$G$39))/((1+$Y$16)^AG$34))</f>
        <v>6084853.277947207</v>
      </c>
      <c r="AH785" s="193">
        <f>(((K785*'Appendix K'!$C$14*1000)-('Appendix K'!$E$40+'Appendix K'!$F$40+'Appendix K'!$H$40+'Appendix K'!$G$40))/((1+$Y$16)^AH$34))</f>
        <v>6094330.6910890769</v>
      </c>
      <c r="AI785" s="193">
        <f>(((L785*'Appendix K'!$C$15*1000)-('Appendix K'!$E$41+'Appendix K'!$F$41+'Appendix K'!$H$41+'Appendix K'!$G$41))/((1+$Y$16)^AI$34))</f>
        <v>4422460.6861241879</v>
      </c>
      <c r="AJ785" s="193">
        <f>(((M785*'Appendix K'!$C$16*1000)-('Appendix K'!$E$42+'Appendix K'!$F$42+'Appendix K'!$H$42+'Appendix K'!$G$42))/((1+$Y$16)^AJ$34))</f>
        <v>4846011.3285971219</v>
      </c>
      <c r="AK785" s="193">
        <f>(((N785*'Appendix K'!$C$17*1000)-('Appendix K'!$E$43+'Appendix K'!$F$43+'Appendix K'!$H$43))/((1+$Y$16)^AK$34))</f>
        <v>3181168.7807185934</v>
      </c>
      <c r="AL785" s="193">
        <f>(((O785*'Appendix K'!$C$18*1000)-('Appendix K'!$E$44+'Appendix K'!$F$44+'Appendix K'!$H$44+'Appendix K'!$G$44))/((1+$Y$16)^AL$34))</f>
        <v>2873093.934614996</v>
      </c>
      <c r="AM785" s="193">
        <f>(((P785*'Appendix K'!$C$19*1000)-('Appendix K'!$E$45+'Appendix K'!$F$45+'Appendix K'!$H$45+'Appendix K'!$G$45))/((1+$Y$16)^AM$34))</f>
        <v>3607599.9540230581</v>
      </c>
      <c r="AN785" s="193">
        <f>(((Q785*'Appendix K'!$C$20*1000)-('Appendix K'!$E$46+'Appendix K'!$F$46+'Appendix K'!$H$46+'Appendix K'!$G$46))/((1+$Y$16)^AN$34))</f>
        <v>2702399.606577659</v>
      </c>
      <c r="AO785" s="193">
        <f>(((R785*'Appendix K'!$C$21*1000)-('Appendix K'!$E$47+'Appendix K'!$F$47+'Appendix K'!$H$47+'Appendix K'!$G$47))/((1+$Y$16)^AO$34))</f>
        <v>2112056.3146391152</v>
      </c>
      <c r="AP785" s="193">
        <f>(((S785*'Appendix K'!$C$22*1000)-('Appendix K'!$E$48+'Appendix K'!$F$48+'Appendix K'!$H$48+'Appendix K'!$G$48))/((1+$Y$16)^AP$34))</f>
        <v>1630406.4380253027</v>
      </c>
      <c r="AQ785" s="193">
        <f>(((T785*'Appendix K'!$C$23*1000)-('Appendix K'!$E$49+'Appendix K'!$F$49+'Appendix K'!$H$49+'Appendix K'!$G$49))/((1+$Y$16)^AQ$34))</f>
        <v>65324.333310429945</v>
      </c>
      <c r="AR785" s="193">
        <f>(((U785*'Appendix K'!$C$24*1000)-('Appendix K'!$E$50+'Appendix K'!$F$50+'Appendix K'!$H$50+'Appendix K'!$G$50))/((1+$Y$16)^AR$34))</f>
        <v>445193.74032592383</v>
      </c>
      <c r="AS785" s="209">
        <f t="shared" si="38"/>
        <v>134180699.45189679</v>
      </c>
      <c r="AU785" s="199">
        <f t="shared" si="37"/>
        <v>5.020552229260875E-9</v>
      </c>
    </row>
    <row r="786" spans="1:47" x14ac:dyDescent="0.35">
      <c r="A786">
        <v>752</v>
      </c>
      <c r="B786" s="70">
        <v>56</v>
      </c>
      <c r="C786" s="70">
        <v>62.917408570794862</v>
      </c>
      <c r="D786" s="70">
        <v>59.345808368088335</v>
      </c>
      <c r="E786" s="70">
        <v>86.866211169190365</v>
      </c>
      <c r="F786" s="70">
        <v>68.166918328973935</v>
      </c>
      <c r="G786" s="70">
        <v>96.856821883585511</v>
      </c>
      <c r="H786" s="70">
        <v>124.13522491483997</v>
      </c>
      <c r="I786" s="70">
        <v>139.09241010312832</v>
      </c>
      <c r="J786" s="70">
        <v>87.75620339133927</v>
      </c>
      <c r="K786" s="70">
        <v>117.49871569646757</v>
      </c>
      <c r="L786" s="70">
        <v>158.65288743424756</v>
      </c>
      <c r="M786" s="70">
        <v>113.07805598475436</v>
      </c>
      <c r="N786" s="70">
        <v>105.5012673534607</v>
      </c>
      <c r="O786" s="70">
        <v>65.359754026946334</v>
      </c>
      <c r="P786" s="70">
        <v>71.596026817433042</v>
      </c>
      <c r="Q786" s="70">
        <v>49.21952237812323</v>
      </c>
      <c r="R786" s="70">
        <v>70.012030498790722</v>
      </c>
      <c r="S786" s="70">
        <v>53.469050094957311</v>
      </c>
      <c r="T786" s="70">
        <v>73.608728884703524</v>
      </c>
      <c r="U786" s="70">
        <v>76.778483011276364</v>
      </c>
      <c r="V786" s="70">
        <v>92.20736080736576</v>
      </c>
      <c r="X786" s="193">
        <f>((0-('Appendix K'!$I$30))/(1+$Y$16)^0)</f>
        <v>-33594902.4440751</v>
      </c>
      <c r="Y786" s="193">
        <f>(((B786*'Appendix K'!$C$5*1000)-('Appendix K'!$E$31+'Appendix K'!$F$31+'Appendix K'!$H$31+'Appendix K'!$G$31))/((1+$Y$16)^1))</f>
        <v>34971064.972647354</v>
      </c>
      <c r="Z786" s="193">
        <f>+(((C786*'Appendix K'!$C$6*1000)-('Appendix K'!$E$32+'Appendix K'!$F$32+'Appendix K'!$H$32+'Appendix K'!$G$32))/((1+$Y$16)^2))</f>
        <v>12406765.819342367</v>
      </c>
      <c r="AA786" s="193">
        <f>(((D786*'Appendix K'!$C$7*1000)-('Appendix K'!$E$33+'Appendix K'!$F$33+'Appendix K'!$H$33+'Appendix K'!$G$33))/((1+$Y$16)^3))</f>
        <v>4594266.7029738529</v>
      </c>
      <c r="AB786" s="193">
        <f>(((E786*'Appendix K'!$C$8*1000)-('Appendix K'!$E$34+'Appendix K'!$F$34+'Appendix K'!$H$34+'Appendix K'!$G$34))/((1+$Y$16)^4))</f>
        <v>15747070.415805453</v>
      </c>
      <c r="AC786" s="193">
        <f>(((F786*'Appendix K'!$C$9*1000)-('Appendix K'!$E$35+'Appendix K'!$F$35+'Appendix K'!$H$35+'Appendix K'!$G$35))/((1+$Y$16)^AC$34))</f>
        <v>15134431.331411775</v>
      </c>
      <c r="AD786" s="193">
        <f>(((G786*'Appendix K'!$C$10*1000)-('Appendix K'!$E$36+'Appendix K'!$F$36+'Appendix K'!$H$36+'Appendix K'!$G$36))/((1+$Y$16)^AD$34))</f>
        <v>12695015.062119514</v>
      </c>
      <c r="AE786" s="193">
        <f>(((H786*'Appendix K'!$C$11*1000)-('Appendix K'!$E$37+'Appendix K'!$F$37+'Appendix K'!$H$37+'Appendix K'!$G$37))/((1+$Y$16)^AE$34))</f>
        <v>10161012.022699308</v>
      </c>
      <c r="AF786" s="193">
        <f>(((I786*'Appendix K'!$C$12*1000)-('Appendix K'!$E$38+'Appendix K'!$F$38+'Appendix K'!$H$38+'Appendix K'!$G$38))/((1+$Y$16)^AF$34))</f>
        <v>7136566.2194356984</v>
      </c>
      <c r="AG786" s="193">
        <f>(((J786*'Appendix K'!$C$13*1000)-('Appendix K'!$E$39+'Appendix K'!$F$39+'Appendix K'!$H$39+'Appendix K'!$G$39))/((1+$Y$16)^AG$34))</f>
        <v>2223502.9347430971</v>
      </c>
      <c r="AH786" s="193">
        <f>(((K786*'Appendix K'!$C$14*1000)-('Appendix K'!$E$40+'Appendix K'!$F$40+'Appendix K'!$H$40+'Appendix K'!$G$40))/((1+$Y$16)^AH$34))</f>
        <v>2327732.448377132</v>
      </c>
      <c r="AI786" s="193">
        <f>(((L786*'Appendix K'!$C$15*1000)-('Appendix K'!$E$41+'Appendix K'!$F$41+'Appendix K'!$H$41+'Appendix K'!$G$41))/((1+$Y$16)^AI$34))</f>
        <v>2640520.9848005455</v>
      </c>
      <c r="AJ786" s="193">
        <f>(((M786*'Appendix K'!$C$16*1000)-('Appendix K'!$E$42+'Appendix K'!$F$42+'Appendix K'!$H$42+'Appendix K'!$G$42))/((1+$Y$16)^AJ$34))</f>
        <v>884744.39746349386</v>
      </c>
      <c r="AK786" s="193">
        <f>(((N786*'Appendix K'!$C$17*1000)-('Appendix K'!$E$43+'Appendix K'!$F$43+'Appendix K'!$H$43))/((1+$Y$16)^AK$34))</f>
        <v>616652.03741259454</v>
      </c>
      <c r="AL786" s="193">
        <f>(((O786*'Appendix K'!$C$18*1000)-('Appendix K'!$E$44+'Appendix K'!$F$44+'Appendix K'!$H$44+'Appendix K'!$G$44))/((1+$Y$16)^AL$34))</f>
        <v>-359860.72894222144</v>
      </c>
      <c r="AM786" s="193">
        <f>(((P786*'Appendix K'!$C$19*1000)-('Appendix K'!$E$45+'Appendix K'!$F$45+'Appendix K'!$H$45+'Appendix K'!$G$45))/((1+$Y$16)^AM$34))</f>
        <v>-363161.57215009723</v>
      </c>
      <c r="AN786" s="193">
        <f>(((Q786*'Appendix K'!$C$20*1000)-('Appendix K'!$E$46+'Appendix K'!$F$46+'Appendix K'!$H$46+'Appendix K'!$G$46))/((1+$Y$16)^AN$34))</f>
        <v>-559545.69967097661</v>
      </c>
      <c r="AO786" s="193">
        <f>(((R786*'Appendix K'!$C$21*1000)-('Appendix K'!$E$47+'Appendix K'!$F$47+'Appendix K'!$H$47+'Appendix K'!$G$47))/((1+$Y$16)^AO$34))</f>
        <v>-429220.09020120365</v>
      </c>
      <c r="AP786" s="193">
        <f>(((S786*'Appendix K'!$C$22*1000)-('Appendix K'!$E$48+'Appendix K'!$F$48+'Appendix K'!$H$48+'Appendix K'!$G$48))/((1+$Y$16)^AP$34))</f>
        <v>-508351.48939573858</v>
      </c>
      <c r="AQ786" s="193">
        <f>(((T786*'Appendix K'!$C$23*1000)-('Appendix K'!$E$49+'Appendix K'!$F$49+'Appendix K'!$H$49+'Appendix K'!$G$49))/((1+$Y$16)^AQ$34))</f>
        <v>-405399.91097493644</v>
      </c>
      <c r="AR786" s="193">
        <f>(((U786*'Appendix K'!$C$24*1000)-('Appendix K'!$E$50+'Appendix K'!$F$50+'Appendix K'!$H$50+'Appendix K'!$G$50))/((1+$Y$16)^AR$34))</f>
        <v>-382060.0027665401</v>
      </c>
      <c r="AS786" s="209">
        <f t="shared" si="38"/>
        <v>87944442.905157089</v>
      </c>
      <c r="AU786" s="199">
        <f t="shared" si="37"/>
        <v>7.0295566960501804E-9</v>
      </c>
    </row>
    <row r="787" spans="1:47" x14ac:dyDescent="0.35">
      <c r="A787">
        <v>753</v>
      </c>
      <c r="B787" s="70">
        <v>56</v>
      </c>
      <c r="C787" s="70">
        <v>38.717054296543949</v>
      </c>
      <c r="D787" s="70">
        <v>26.544462209710694</v>
      </c>
      <c r="E787" s="70">
        <v>39.514794961627516</v>
      </c>
      <c r="F787" s="70">
        <v>27.578532405013867</v>
      </c>
      <c r="G787" s="70">
        <v>36.001849683083449</v>
      </c>
      <c r="H787" s="70">
        <v>48.030430254968309</v>
      </c>
      <c r="I787" s="70">
        <v>75.260524809378069</v>
      </c>
      <c r="J787" s="70">
        <v>109.77108992793434</v>
      </c>
      <c r="K787" s="70">
        <v>128.68990831077986</v>
      </c>
      <c r="L787" s="70">
        <v>91.010461752560218</v>
      </c>
      <c r="M787" s="70">
        <v>92.444953022963333</v>
      </c>
      <c r="N787" s="70">
        <v>153.70997645306255</v>
      </c>
      <c r="O787" s="70">
        <v>119.85657403465443</v>
      </c>
      <c r="P787" s="70">
        <v>72.864800797470153</v>
      </c>
      <c r="Q787" s="70">
        <v>111.33798285467083</v>
      </c>
      <c r="R787" s="70">
        <v>137.48759049421278</v>
      </c>
      <c r="S787" s="70">
        <v>133.85017805189574</v>
      </c>
      <c r="T787" s="70">
        <v>161.17989847647829</v>
      </c>
      <c r="U787" s="70">
        <v>243.73456659401359</v>
      </c>
      <c r="V787" s="70">
        <v>245.40365858152251</v>
      </c>
      <c r="X787" s="193">
        <f>((0-('Appendix K'!$I$30))/(1+$Y$16)^0)</f>
        <v>-33594902.4440751</v>
      </c>
      <c r="Y787" s="193">
        <f>(((B787*'Appendix K'!$C$5*1000)-('Appendix K'!$E$31+'Appendix K'!$F$31+'Appendix K'!$H$31+'Appendix K'!$G$31))/((1+$Y$16)^1))</f>
        <v>34971064.972647354</v>
      </c>
      <c r="Z787" s="193">
        <f>+(((C787*'Appendix K'!$C$6*1000)-('Appendix K'!$E$32+'Appendix K'!$F$32+'Appendix K'!$H$32+'Appendix K'!$G$32))/((1+$Y$16)^2))</f>
        <v>6293342.4280045126</v>
      </c>
      <c r="AA787" s="193">
        <f>(((D787*'Appendix K'!$C$7*1000)-('Appendix K'!$E$33+'Appendix K'!$F$33+'Appendix K'!$H$33+'Appendix K'!$G$33))/((1+$Y$16)^3))</f>
        <v>416199.42286470614</v>
      </c>
      <c r="AB787" s="193">
        <f>(((E787*'Appendix K'!$C$8*1000)-('Appendix K'!$E$34+'Appendix K'!$F$34+'Appendix K'!$H$34+'Appendix K'!$G$34))/((1+$Y$16)^4))</f>
        <v>5368073.4436023338</v>
      </c>
      <c r="AC787" s="193">
        <f>(((F787*'Appendix K'!$C$9*1000)-('Appendix K'!$E$35+'Appendix K'!$F$35+'Appendix K'!$H$35+'Appendix K'!$G$35))/((1+$Y$16)^AC$34))</f>
        <v>4346102.0880263709</v>
      </c>
      <c r="AD787" s="193">
        <f>(((G787*'Appendix K'!$C$10*1000)-('Appendix K'!$E$36+'Appendix K'!$F$36+'Appendix K'!$H$36+'Appendix K'!$G$36))/((1+$Y$16)^AD$34))</f>
        <v>3138109.758336979</v>
      </c>
      <c r="AE787" s="193">
        <f>(((H787*'Appendix K'!$C$11*1000)-('Appendix K'!$E$37+'Appendix K'!$F$37+'Appendix K'!$H$37+'Appendix K'!$G$37))/((1+$Y$16)^AE$34))</f>
        <v>2570500.2602362651</v>
      </c>
      <c r="AF787" s="193">
        <f>(((I787*'Appendix K'!$C$12*1000)-('Appendix K'!$E$38+'Appendix K'!$F$38+'Appendix K'!$H$38+'Appendix K'!$G$38))/((1+$Y$16)^AF$34))</f>
        <v>2945209.7085705479</v>
      </c>
      <c r="AG787" s="193">
        <f>(((J787*'Appendix K'!$C$13*1000)-('Appendix K'!$E$39+'Appendix K'!$F$39+'Appendix K'!$H$39+'Appendix K'!$G$39))/((1+$Y$16)^AG$34))</f>
        <v>3236604.5136261773</v>
      </c>
      <c r="AH787" s="193">
        <f>(((K787*'Appendix K'!$C$14*1000)-('Appendix K'!$E$40+'Appendix K'!$F$40+'Appendix K'!$H$40+'Appendix K'!$G$40))/((1+$Y$16)^AH$34))</f>
        <v>2704948.6816647355</v>
      </c>
      <c r="AI787" s="193">
        <f>(((L787*'Appendix K'!$C$15*1000)-('Appendix K'!$E$41+'Appendix K'!$F$41+'Appendix K'!$H$41+'Appendix K'!$G$41))/((1+$Y$16)^AI$34))</f>
        <v>868162.93998405698</v>
      </c>
      <c r="AJ787" s="193">
        <f>(((M787*'Appendix K'!$C$16*1000)-('Appendix K'!$E$42+'Appendix K'!$F$42+'Appendix K'!$H$42+'Appendix K'!$G$42))/((1+$Y$16)^AJ$34))</f>
        <v>471218.49256097642</v>
      </c>
      <c r="AK787" s="193">
        <f>(((N787*'Appendix K'!$C$17*1000)-('Appendix K'!$E$43+'Appendix K'!$F$43+'Appendix K'!$H$43))/((1+$Y$16)^AK$34))</f>
        <v>1357325.7008243427</v>
      </c>
      <c r="AL787" s="193">
        <f>(((O787*'Appendix K'!$C$18*1000)-('Appendix K'!$E$44+'Appendix K'!$F$44+'Appendix K'!$H$44+'Appendix K'!$G$44))/((1+$Y$16)^AL$34))</f>
        <v>286106.11441429221</v>
      </c>
      <c r="AM787" s="193">
        <f>(((P787*'Appendix K'!$C$19*1000)-('Appendix K'!$E$45+'Appendix K'!$F$45+'Appendix K'!$H$45+'Appendix K'!$G$45))/((1+$Y$16)^AM$34))</f>
        <v>-351401.64642411907</v>
      </c>
      <c r="AN787" s="193">
        <f>(((Q787*'Appendix K'!$C$20*1000)-('Appendix K'!$E$46+'Appendix K'!$F$46+'Appendix K'!$H$46+'Appendix K'!$G$46))/((1+$Y$16)^AN$34))</f>
        <v>-110043.04673481018</v>
      </c>
      <c r="AO787" s="193">
        <f>(((R787*'Appendix K'!$C$21*1000)-('Appendix K'!$E$47+'Appendix K'!$F$47+'Appendix K'!$H$47+'Appendix K'!$G$47))/((1+$Y$16)^AO$34))</f>
        <v>-30432.075925676152</v>
      </c>
      <c r="AP787" s="193">
        <f>(((S787*'Appendix K'!$C$22*1000)-('Appendix K'!$E$48+'Appendix K'!$F$48+'Appendix K'!$H$48+'Appendix K'!$G$48))/((1+$Y$16)^AP$34))</f>
        <v>-123348.44611395487</v>
      </c>
      <c r="AQ787" s="193">
        <f>(((T787*'Appendix K'!$C$23*1000)-('Appendix K'!$E$49+'Appendix K'!$F$49+'Appendix K'!$H$49+'Appendix K'!$G$49))/((1+$Y$16)^AQ$34))</f>
        <v>-62668.771987101325</v>
      </c>
      <c r="AR787" s="193">
        <f>(((U787*'Appendix K'!$C$24*1000)-('Appendix K'!$E$50+'Appendix K'!$F$50+'Appendix K'!$H$50+'Appendix K'!$G$50))/((1+$Y$16)^AR$34))</f>
        <v>155543.2642887671</v>
      </c>
      <c r="AS787" s="209">
        <f t="shared" si="38"/>
        <v>35533609.345577307</v>
      </c>
      <c r="AU787" s="199">
        <f t="shared" si="37"/>
        <v>4.6135947673390033E-9</v>
      </c>
    </row>
    <row r="788" spans="1:47" x14ac:dyDescent="0.35">
      <c r="A788">
        <v>754</v>
      </c>
      <c r="B788" s="70">
        <v>56</v>
      </c>
      <c r="C788" s="70">
        <v>70.519131556574791</v>
      </c>
      <c r="D788" s="70">
        <v>60.860011193692202</v>
      </c>
      <c r="E788" s="70">
        <v>81.352577800772949</v>
      </c>
      <c r="F788" s="70">
        <v>110.33142259040673</v>
      </c>
      <c r="G788" s="70">
        <v>52.059999825177911</v>
      </c>
      <c r="H788" s="70">
        <v>49.214470946421898</v>
      </c>
      <c r="I788" s="70">
        <v>74.200517120378819</v>
      </c>
      <c r="J788" s="70">
        <v>99.256387823980518</v>
      </c>
      <c r="K788" s="70">
        <v>71.878644049945933</v>
      </c>
      <c r="L788" s="70">
        <v>84.035712973263955</v>
      </c>
      <c r="M788" s="70">
        <v>132.20138839518893</v>
      </c>
      <c r="N788" s="70">
        <v>66.590504179140325</v>
      </c>
      <c r="O788" s="70">
        <v>82.272189448125673</v>
      </c>
      <c r="P788" s="70">
        <v>78.729562448677044</v>
      </c>
      <c r="Q788" s="70">
        <v>87.295864303795</v>
      </c>
      <c r="R788" s="70">
        <v>85.267673253488894</v>
      </c>
      <c r="S788" s="70">
        <v>140.28633607742728</v>
      </c>
      <c r="T788" s="70">
        <v>152.57436018130247</v>
      </c>
      <c r="U788" s="70">
        <v>127.19645534438638</v>
      </c>
      <c r="V788" s="70">
        <v>80.739237732579795</v>
      </c>
      <c r="X788" s="193">
        <f>((0-('Appendix K'!$I$30))/(1+$Y$16)^0)</f>
        <v>-33594902.4440751</v>
      </c>
      <c r="Y788" s="193">
        <f>(((B788*'Appendix K'!$C$5*1000)-('Appendix K'!$E$31+'Appendix K'!$F$31+'Appendix K'!$H$31+'Appendix K'!$G$31))/((1+$Y$16)^1))</f>
        <v>34971064.972647354</v>
      </c>
      <c r="Z788" s="193">
        <f>+(((C788*'Appendix K'!$C$6*1000)-('Appendix K'!$E$32+'Appendix K'!$F$32+'Appendix K'!$H$32+'Appendix K'!$G$32))/((1+$Y$16)^2))</f>
        <v>14327091.05876187</v>
      </c>
      <c r="AA788" s="193">
        <f>(((D788*'Appendix K'!$C$7*1000)-('Appendix K'!$E$33+'Appendix K'!$F$33+'Appendix K'!$H$33+'Appendix K'!$G$33))/((1+$Y$16)^3))</f>
        <v>4787138.0946099702</v>
      </c>
      <c r="AB788" s="193">
        <f>(((E788*'Appendix K'!$C$8*1000)-('Appendix K'!$E$34+'Appendix K'!$F$34+'Appendix K'!$H$34+'Appendix K'!$G$34))/((1+$Y$16)^4))</f>
        <v>14538532.453903852</v>
      </c>
      <c r="AC788" s="193">
        <f>(((F788*'Appendix K'!$C$9*1000)-('Appendix K'!$E$35+'Appendix K'!$F$35+'Appendix K'!$H$35+'Appendix K'!$G$35))/((1+$Y$16)^AC$34))</f>
        <v>26341690.353947513</v>
      </c>
      <c r="AD788" s="193">
        <f>(((G788*'Appendix K'!$C$10*1000)-('Appendix K'!$E$36+'Appendix K'!$F$36+'Appendix K'!$H$36+'Appendix K'!$G$36))/((1+$Y$16)^AD$34))</f>
        <v>5659945.1106938189</v>
      </c>
      <c r="AE788" s="193">
        <f>(((H788*'Appendix K'!$C$11*1000)-('Appendix K'!$E$37+'Appendix K'!$F$37+'Appendix K'!$H$37+'Appendix K'!$G$37))/((1+$Y$16)^AE$34))</f>
        <v>2688593.6712477561</v>
      </c>
      <c r="AF788" s="193">
        <f>(((I788*'Appendix K'!$C$12*1000)-('Appendix K'!$E$38+'Appendix K'!$F$38+'Appendix K'!$H$38+'Appendix K'!$G$38))/((1+$Y$16)^AF$34))</f>
        <v>2875607.0310308142</v>
      </c>
      <c r="AG788" s="193">
        <f>(((J788*'Appendix K'!$C$13*1000)-('Appendix K'!$E$39+'Appendix K'!$F$39+'Appendix K'!$H$39+'Appendix K'!$G$39))/((1+$Y$16)^AG$34))</f>
        <v>2752729.1465969896</v>
      </c>
      <c r="AH788" s="193">
        <f>(((K788*'Appendix K'!$C$14*1000)-('Appendix K'!$E$40+'Appendix K'!$F$40+'Appendix K'!$H$40+'Appendix K'!$G$40))/((1+$Y$16)^AH$34))</f>
        <v>790038.28280593501</v>
      </c>
      <c r="AI788" s="193">
        <f>(((L788*'Appendix K'!$C$15*1000)-('Appendix K'!$E$41+'Appendix K'!$F$41+'Appendix K'!$H$41+'Appendix K'!$G$41))/((1+$Y$16)^AI$34))</f>
        <v>685411.47912232217</v>
      </c>
      <c r="AJ788" s="193">
        <f>(((M788*'Appendix K'!$C$16*1000)-('Appendix K'!$E$42+'Appendix K'!$F$42+'Appendix K'!$H$42+'Appendix K'!$G$42))/((1+$Y$16)^AJ$34))</f>
        <v>1268011.6818085024</v>
      </c>
      <c r="AK788" s="193">
        <f>(((N788*'Appendix K'!$C$17*1000)-('Appendix K'!$E$43+'Appendix K'!$F$43+'Appendix K'!$H$43))/((1+$Y$16)^AK$34))</f>
        <v>18831.06180989269</v>
      </c>
      <c r="AL788" s="193">
        <f>(((O788*'Appendix K'!$C$18*1000)-('Appendix K'!$E$44+'Appendix K'!$F$44+'Appendix K'!$H$44+'Appendix K'!$G$44))/((1+$Y$16)^AL$34))</f>
        <v>-159392.65537490346</v>
      </c>
      <c r="AM788" s="193">
        <f>(((P788*'Appendix K'!$C$19*1000)-('Appendix K'!$E$45+'Appendix K'!$F$45+'Appendix K'!$H$45+'Appendix K'!$G$45))/((1+$Y$16)^AM$34))</f>
        <v>-297042.74365347659</v>
      </c>
      <c r="AN788" s="193">
        <f>(((Q788*'Appendix K'!$C$20*1000)-('Appendix K'!$E$46+'Appendix K'!$F$46+'Appendix K'!$H$46+'Appendix K'!$G$46))/((1+$Y$16)^AN$34))</f>
        <v>-284017.03108531749</v>
      </c>
      <c r="AO788" s="193">
        <f>(((R788*'Appendix K'!$C$21*1000)-('Appendix K'!$E$47+'Appendix K'!$F$47+'Appendix K'!$H$47+'Appendix K'!$G$47))/((1+$Y$16)^AO$34))</f>
        <v>-339057.55607691221</v>
      </c>
      <c r="AP788" s="193">
        <f>(((S788*'Appendix K'!$C$22*1000)-('Appendix K'!$E$48+'Appendix K'!$F$48+'Appendix K'!$H$48+'Appendix K'!$G$48))/((1+$Y$16)^AP$34))</f>
        <v>-92521.055532926999</v>
      </c>
      <c r="AQ788" s="193">
        <f>(((T788*'Appendix K'!$C$23*1000)-('Appendix K'!$E$49+'Appendix K'!$F$49+'Appendix K'!$H$49+'Appendix K'!$G$49))/((1+$Y$16)^AQ$34))</f>
        <v>-96348.645800115526</v>
      </c>
      <c r="AR788" s="193">
        <f>(((U788*'Appendix K'!$C$24*1000)-('Appendix K'!$E$50+'Appendix K'!$F$50+'Appendix K'!$H$50+'Appendix K'!$G$50))/((1+$Y$16)^AR$34))</f>
        <v>-219712.71919988972</v>
      </c>
      <c r="AS788" s="209">
        <f t="shared" si="38"/>
        <v>78109781.95491147</v>
      </c>
      <c r="AU788" s="199">
        <f t="shared" si="37"/>
        <v>6.9317198014079752E-9</v>
      </c>
    </row>
    <row r="789" spans="1:47" x14ac:dyDescent="0.35">
      <c r="A789">
        <v>755</v>
      </c>
      <c r="B789" s="70">
        <v>56</v>
      </c>
      <c r="C789" s="70">
        <v>78.123909965395285</v>
      </c>
      <c r="D789" s="70">
        <v>118.13990852520575</v>
      </c>
      <c r="E789" s="70">
        <v>86.0232835475488</v>
      </c>
      <c r="F789" s="70">
        <v>64.001215358838877</v>
      </c>
      <c r="G789" s="70">
        <v>57.090158380191745</v>
      </c>
      <c r="H789" s="70">
        <v>79.005124506119088</v>
      </c>
      <c r="I789" s="70">
        <v>74.268355690247205</v>
      </c>
      <c r="J789" s="70">
        <v>130.56907892295703</v>
      </c>
      <c r="K789" s="70">
        <v>213.99701471230628</v>
      </c>
      <c r="L789" s="70">
        <v>245.47147982461797</v>
      </c>
      <c r="M789" s="70">
        <v>311.98421572372939</v>
      </c>
      <c r="N789" s="70">
        <v>431.97317684692666</v>
      </c>
      <c r="O789" s="70">
        <v>500</v>
      </c>
      <c r="P789" s="70">
        <v>500</v>
      </c>
      <c r="Q789" s="70">
        <v>500</v>
      </c>
      <c r="R789" s="70">
        <v>500</v>
      </c>
      <c r="S789" s="70">
        <v>500</v>
      </c>
      <c r="T789" s="70">
        <v>500</v>
      </c>
      <c r="U789" s="70">
        <v>500</v>
      </c>
      <c r="V789" s="70">
        <v>500</v>
      </c>
      <c r="X789" s="193">
        <f>((0-('Appendix K'!$I$30))/(1+$Y$16)^0)</f>
        <v>-33594902.4440751</v>
      </c>
      <c r="Y789" s="193">
        <f>(((B789*'Appendix K'!$C$5*1000)-('Appendix K'!$E$31+'Appendix K'!$F$31+'Appendix K'!$H$31+'Appendix K'!$G$31))/((1+$Y$16)^1))</f>
        <v>34971064.972647354</v>
      </c>
      <c r="Z789" s="193">
        <f>+(((C789*'Appendix K'!$C$6*1000)-('Appendix K'!$E$32+'Appendix K'!$F$32+'Appendix K'!$H$32+'Appendix K'!$G$32))/((1+$Y$16)^2))</f>
        <v>16248188.150298702</v>
      </c>
      <c r="AA789" s="193">
        <f>(((D789*'Appendix K'!$C$7*1000)-('Appendix K'!$E$33+'Appendix K'!$F$33+'Appendix K'!$H$33+'Appendix K'!$G$33))/((1+$Y$16)^3))</f>
        <v>12083157.705917435</v>
      </c>
      <c r="AB789" s="193">
        <f>(((E789*'Appendix K'!$C$8*1000)-('Appendix K'!$E$34+'Appendix K'!$F$34+'Appendix K'!$H$34+'Appendix K'!$G$34))/((1+$Y$16)^4))</f>
        <v>15562308.397401307</v>
      </c>
      <c r="AC789" s="193">
        <f>(((F789*'Appendix K'!$C$9*1000)-('Appendix K'!$E$35+'Appendix K'!$F$35+'Appendix K'!$H$35+'Appendix K'!$G$35))/((1+$Y$16)^AC$34))</f>
        <v>14027194.023277381</v>
      </c>
      <c r="AD789" s="193">
        <f>(((G789*'Appendix K'!$C$10*1000)-('Appendix K'!$E$36+'Appendix K'!$F$36+'Appendix K'!$H$36+'Appendix K'!$G$36))/((1+$Y$16)^AD$34))</f>
        <v>6449901.0869268058</v>
      </c>
      <c r="AE789" s="193">
        <f>(((H789*'Appendix K'!$C$11*1000)-('Appendix K'!$E$37+'Appendix K'!$F$37+'Appendix K'!$H$37+'Appendix K'!$G$37))/((1+$Y$16)^AE$34))</f>
        <v>5659842.818781089</v>
      </c>
      <c r="AF789" s="193">
        <f>(((I789*'Appendix K'!$C$12*1000)-('Appendix K'!$E$38+'Appendix K'!$F$38+'Appendix K'!$H$38+'Appendix K'!$G$38))/((1+$Y$16)^AF$34))</f>
        <v>2880061.4761752295</v>
      </c>
      <c r="AG789" s="193">
        <f>(((J789*'Appendix K'!$C$13*1000)-('Appendix K'!$E$39+'Appendix K'!$F$39+'Appendix K'!$H$39+'Appendix K'!$G$39))/((1+$Y$16)^AG$34))</f>
        <v>4193705.7666090275</v>
      </c>
      <c r="AH789" s="193">
        <f>(((K789*'Appendix K'!$C$14*1000)-('Appendix K'!$E$40+'Appendix K'!$F$40+'Appendix K'!$H$40+'Appendix K'!$G$40))/((1+$Y$16)^AH$34))</f>
        <v>5580354.9460779605</v>
      </c>
      <c r="AI789" s="193">
        <f>(((L789*'Appendix K'!$C$15*1000)-('Appendix K'!$E$41+'Appendix K'!$F$41+'Appendix K'!$H$41+'Appendix K'!$G$41))/((1+$Y$16)^AI$34))</f>
        <v>4915330.456992114</v>
      </c>
      <c r="AJ789" s="193">
        <f>(((M789*'Appendix K'!$C$16*1000)-('Appendix K'!$E$42+'Appendix K'!$F$42+'Appendix K'!$H$42+'Appendix K'!$G$42))/((1+$Y$16)^AJ$34))</f>
        <v>4871195.1920464765</v>
      </c>
      <c r="AK789" s="193">
        <f>(((N789*'Appendix K'!$C$17*1000)-('Appendix K'!$E$43+'Appendix K'!$F$43+'Appendix K'!$H$43))/((1+$Y$16)^AK$34))</f>
        <v>5632532.9792972468</v>
      </c>
      <c r="AL789" s="193">
        <f>(((O789*'Appendix K'!$C$18*1000)-('Appendix K'!$E$44+'Appendix K'!$F$44+'Appendix K'!$H$44+'Appendix K'!$G$44))/((1+$Y$16)^AL$34))</f>
        <v>4792058.0003928225</v>
      </c>
      <c r="AM789" s="193">
        <f>(((P789*'Appendix K'!$C$19*1000)-('Appendix K'!$E$45+'Appendix K'!$F$45+'Appendix K'!$H$45+'Appendix K'!$G$45))/((1+$Y$16)^AM$34))</f>
        <v>3607599.9540230581</v>
      </c>
      <c r="AN789" s="193">
        <f>(((Q789*'Appendix K'!$C$20*1000)-('Appendix K'!$E$46+'Appendix K'!$F$46+'Appendix K'!$H$46+'Appendix K'!$G$46))/((1+$Y$16)^AN$34))</f>
        <v>2702399.606577659</v>
      </c>
      <c r="AO789" s="193">
        <f>(((R789*'Appendix K'!$C$21*1000)-('Appendix K'!$E$47+'Appendix K'!$F$47+'Appendix K'!$H$47+'Appendix K'!$G$47))/((1+$Y$16)^AO$34))</f>
        <v>2112056.3146391152</v>
      </c>
      <c r="AP789" s="193">
        <f>(((S789*'Appendix K'!$C$22*1000)-('Appendix K'!$E$48+'Appendix K'!$F$48+'Appendix K'!$H$48+'Appendix K'!$G$48))/((1+$Y$16)^AP$34))</f>
        <v>1630406.4380253027</v>
      </c>
      <c r="AQ789" s="193">
        <f>(((T789*'Appendix K'!$C$23*1000)-('Appendix K'!$E$49+'Appendix K'!$F$49+'Appendix K'!$H$49+'Appendix K'!$G$49))/((1+$Y$16)^AQ$34))</f>
        <v>1263386.3652054211</v>
      </c>
      <c r="AR789" s="193">
        <f>(((U789*'Appendix K'!$C$24*1000)-('Appendix K'!$E$50+'Appendix K'!$F$50+'Appendix K'!$H$50+'Appendix K'!$G$50))/((1+$Y$16)^AR$34))</f>
        <v>980725.14012097823</v>
      </c>
      <c r="AS789" s="209">
        <f t="shared" si="38"/>
        <v>116568567.34735739</v>
      </c>
      <c r="AU789" s="199">
        <f t="shared" si="37"/>
        <v>6.1719478602888278E-9</v>
      </c>
    </row>
    <row r="790" spans="1:47" x14ac:dyDescent="0.35">
      <c r="A790">
        <v>756</v>
      </c>
      <c r="B790" s="70">
        <v>56</v>
      </c>
      <c r="C790" s="70">
        <v>34.296868032109899</v>
      </c>
      <c r="D790" s="70">
        <v>42.26644973331581</v>
      </c>
      <c r="E790" s="70">
        <v>39.195322410568636</v>
      </c>
      <c r="F790" s="70">
        <v>47.888947486219372</v>
      </c>
      <c r="G790" s="70">
        <v>49.041818087755679</v>
      </c>
      <c r="H790" s="70">
        <v>61.2581712449119</v>
      </c>
      <c r="I790" s="70">
        <v>75.099543525073543</v>
      </c>
      <c r="J790" s="70">
        <v>83.011824124150166</v>
      </c>
      <c r="K790" s="70">
        <v>99.794370849906528</v>
      </c>
      <c r="L790" s="70">
        <v>92.354577162084439</v>
      </c>
      <c r="M790" s="70">
        <v>61.109031694910001</v>
      </c>
      <c r="N790" s="70">
        <v>53.469244096040512</v>
      </c>
      <c r="O790" s="70">
        <v>47.051303011101375</v>
      </c>
      <c r="P790" s="70">
        <v>57.285476039611957</v>
      </c>
      <c r="Q790" s="70">
        <v>46.333455856040878</v>
      </c>
      <c r="R790" s="70">
        <v>66.803715922549856</v>
      </c>
      <c r="S790" s="70">
        <v>55.313647085196514</v>
      </c>
      <c r="T790" s="70">
        <v>40.54755188624658</v>
      </c>
      <c r="U790" s="70">
        <v>32.653844391456829</v>
      </c>
      <c r="V790" s="70">
        <v>38.986679250827038</v>
      </c>
      <c r="X790" s="193">
        <f>((0-('Appendix K'!$I$30))/(1+$Y$16)^0)</f>
        <v>-33594902.4440751</v>
      </c>
      <c r="Y790" s="193">
        <f>(((B790*'Appendix K'!$C$5*1000)-('Appendix K'!$E$31+'Appendix K'!$F$31+'Appendix K'!$H$31+'Appendix K'!$G$31))/((1+$Y$16)^1))</f>
        <v>34971064.972647354</v>
      </c>
      <c r="Z790" s="193">
        <f>+(((C790*'Appendix K'!$C$6*1000)-('Appendix K'!$E$32+'Appendix K'!$F$32+'Appendix K'!$H$32+'Appendix K'!$G$32))/((1+$Y$16)^2))</f>
        <v>5176727.7786143096</v>
      </c>
      <c r="AA790" s="193">
        <f>(((D790*'Appendix K'!$C$7*1000)-('Appendix K'!$E$33+'Appendix K'!$F$33+'Appendix K'!$H$33+'Appendix K'!$G$33))/((1+$Y$16)^3))</f>
        <v>2418785.576905272</v>
      </c>
      <c r="AB790" s="193">
        <f>(((E790*'Appendix K'!$C$8*1000)-('Appendix K'!$E$34+'Appendix K'!$F$34+'Appendix K'!$H$34+'Appendix K'!$G$34))/((1+$Y$16)^4))</f>
        <v>5298047.9848999484</v>
      </c>
      <c r="AC790" s="193">
        <f>(((F790*'Appendix K'!$C$9*1000)-('Appendix K'!$E$35+'Appendix K'!$F$35+'Appendix K'!$H$35+'Appendix K'!$G$35))/((1+$Y$16)^AC$34))</f>
        <v>9744578.5235359054</v>
      </c>
      <c r="AD790" s="193">
        <f>(((G790*'Appendix K'!$C$10*1000)-('Appendix K'!$E$36+'Appendix K'!$F$36+'Appendix K'!$H$36+'Appendix K'!$G$36))/((1+$Y$16)^AD$34))</f>
        <v>5185957.9242546456</v>
      </c>
      <c r="AE790" s="193">
        <f>(((H790*'Appendix K'!$C$11*1000)-('Appendix K'!$E$37+'Appendix K'!$F$37+'Appendix K'!$H$37+'Appendix K'!$G$37))/((1+$Y$16)^AE$34))</f>
        <v>3889803.781436393</v>
      </c>
      <c r="AF790" s="193">
        <f>(((I790*'Appendix K'!$C$12*1000)-('Appendix K'!$E$38+'Appendix K'!$F$38+'Appendix K'!$H$38+'Appendix K'!$G$38))/((1+$Y$16)^AF$34))</f>
        <v>2934639.2867352501</v>
      </c>
      <c r="AG790" s="193">
        <f>(((J790*'Appendix K'!$C$13*1000)-('Appendix K'!$E$39+'Appendix K'!$F$39+'Appendix K'!$H$39+'Appendix K'!$G$39))/((1+$Y$16)^AG$34))</f>
        <v>2005171.6651987555</v>
      </c>
      <c r="AH790" s="193">
        <f>(((K790*'Appendix K'!$C$14*1000)-('Appendix K'!$E$40+'Appendix K'!$F$40+'Appendix K'!$H$40+'Appendix K'!$G$40))/((1+$Y$16)^AH$34))</f>
        <v>1730980.4751063245</v>
      </c>
      <c r="AI790" s="193">
        <f>(((L790*'Appendix K'!$C$15*1000)-('Appendix K'!$E$41+'Appendix K'!$F$41+'Appendix K'!$H$41+'Appendix K'!$G$41))/((1+$Y$16)^AI$34))</f>
        <v>903381.27722173254</v>
      </c>
      <c r="AJ790" s="193">
        <f>(((M790*'Appendix K'!$C$16*1000)-('Appendix K'!$E$42+'Appendix K'!$F$42+'Appendix K'!$H$42+'Appendix K'!$G$42))/((1+$Y$16)^AJ$34))</f>
        <v>-156811.87432730736</v>
      </c>
      <c r="AK790" s="193">
        <f>(((N790*'Appendix K'!$C$17*1000)-('Appendix K'!$E$43+'Appendix K'!$F$43+'Appendix K'!$H$43))/((1+$Y$16)^AK$34))</f>
        <v>-182762.63268727323</v>
      </c>
      <c r="AL790" s="193">
        <f>(((O790*'Appendix K'!$C$18*1000)-('Appendix K'!$E$44+'Appendix K'!$F$44+'Appendix K'!$H$44+'Appendix K'!$G$44))/((1+$Y$16)^AL$34))</f>
        <v>-576876.18613366771</v>
      </c>
      <c r="AM790" s="193">
        <f>(((P790*'Appendix K'!$C$19*1000)-('Appendix K'!$E$45+'Appendix K'!$F$45+'Appendix K'!$H$45+'Appendix K'!$G$45))/((1+$Y$16)^AM$34))</f>
        <v>-495802.22910941893</v>
      </c>
      <c r="AN790" s="193">
        <f>(((Q790*'Appendix K'!$C$20*1000)-('Appendix K'!$E$46+'Appendix K'!$F$46+'Appendix K'!$H$46+'Appendix K'!$G$46))/((1+$Y$16)^AN$34))</f>
        <v>-580429.90298628656</v>
      </c>
      <c r="AO790" s="193">
        <f>(((R790*'Appendix K'!$C$21*1000)-('Appendix K'!$E$47+'Appendix K'!$F$47+'Appendix K'!$H$47+'Appendix K'!$G$47))/((1+$Y$16)^AO$34))</f>
        <v>-448181.5838015108</v>
      </c>
      <c r="AP790" s="193">
        <f>(((S790*'Appendix K'!$C$22*1000)-('Appendix K'!$E$48+'Appendix K'!$F$48+'Appendix K'!$H$48+'Appendix K'!$G$48))/((1+$Y$16)^AP$34))</f>
        <v>-499516.38751397637</v>
      </c>
      <c r="AQ790" s="193">
        <f>(((T790*'Appendix K'!$C$23*1000)-('Appendix K'!$E$49+'Appendix K'!$F$49+'Appendix K'!$H$49+'Appendix K'!$G$49))/((1+$Y$16)^AQ$34))</f>
        <v>-534792.89386851934</v>
      </c>
      <c r="AR790" s="193">
        <f>(((U790*'Appendix K'!$C$24*1000)-('Appendix K'!$E$50+'Appendix K'!$F$50+'Appendix K'!$H$50+'Appendix K'!$G$50))/((1+$Y$16)^AR$34))</f>
        <v>-524142.57544436795</v>
      </c>
      <c r="AS790" s="209">
        <f t="shared" si="38"/>
        <v>40664236.802480809</v>
      </c>
      <c r="AU790" s="199">
        <f t="shared" si="37"/>
        <v>4.9922692554593986E-9</v>
      </c>
    </row>
    <row r="791" spans="1:47" x14ac:dyDescent="0.35">
      <c r="A791">
        <v>757</v>
      </c>
      <c r="B791" s="70">
        <v>56</v>
      </c>
      <c r="C791" s="70">
        <v>80.657531479349643</v>
      </c>
      <c r="D791" s="70">
        <v>103.12606226440482</v>
      </c>
      <c r="E791" s="70">
        <v>124.12272280830676</v>
      </c>
      <c r="F791" s="70">
        <v>75.397393089499246</v>
      </c>
      <c r="G791" s="70">
        <v>65.130166612738222</v>
      </c>
      <c r="H791" s="70">
        <v>53.584376562545273</v>
      </c>
      <c r="I791" s="70">
        <v>50.660813099691822</v>
      </c>
      <c r="J791" s="70">
        <v>44.177529970488159</v>
      </c>
      <c r="K791" s="70">
        <v>32.210991184138848</v>
      </c>
      <c r="L791" s="70">
        <v>9.6829498622615446</v>
      </c>
      <c r="M791" s="70">
        <v>12.880929463979005</v>
      </c>
      <c r="N791" s="70">
        <v>16.31076863194129</v>
      </c>
      <c r="O791" s="70">
        <v>11.324376017938498</v>
      </c>
      <c r="P791" s="70">
        <v>16.231778733827817</v>
      </c>
      <c r="Q791" s="70">
        <v>11.930157251393766</v>
      </c>
      <c r="R791" s="70">
        <v>11.073339688420651</v>
      </c>
      <c r="S791" s="70">
        <v>10.723757423139473</v>
      </c>
      <c r="T791" s="70">
        <v>9.7280660724249444</v>
      </c>
      <c r="U791" s="70">
        <v>9.9321206117263845</v>
      </c>
      <c r="V791" s="70">
        <v>5.1734937260833176</v>
      </c>
      <c r="X791" s="193">
        <f>((0-('Appendix K'!$I$30))/(1+$Y$16)^0)</f>
        <v>-33594902.4440751</v>
      </c>
      <c r="Y791" s="193">
        <f>(((B791*'Appendix K'!$C$5*1000)-('Appendix K'!$E$31+'Appendix K'!$F$31+'Appendix K'!$H$31+'Appendix K'!$G$31))/((1+$Y$16)^1))</f>
        <v>34971064.972647354</v>
      </c>
      <c r="Z791" s="193">
        <f>+(((C791*'Appendix K'!$C$6*1000)-('Appendix K'!$E$32+'Appendix K'!$F$32+'Appendix K'!$H$32+'Appendix K'!$G$32))/((1+$Y$16)^2))</f>
        <v>16888224.277566709</v>
      </c>
      <c r="AA791" s="193">
        <f>(((D791*'Appendix K'!$C$7*1000)-('Appendix K'!$E$33+'Appendix K'!$F$33+'Appendix K'!$H$33+'Appendix K'!$G$33))/((1+$Y$16)^3))</f>
        <v>10170770.954838313</v>
      </c>
      <c r="AB791" s="193">
        <f>(((E791*'Appendix K'!$C$8*1000)-('Appendix K'!$E$34+'Appendix K'!$F$34+'Appendix K'!$H$34+'Appendix K'!$G$34))/((1+$Y$16)^4))</f>
        <v>23913356.716561943</v>
      </c>
      <c r="AC791" s="193">
        <f>(((F791*'Appendix K'!$C$9*1000)-('Appendix K'!$E$35+'Appendix K'!$F$35+'Appendix K'!$H$35+'Appendix K'!$G$35))/((1+$Y$16)^AC$34))</f>
        <v>17056280.168876577</v>
      </c>
      <c r="AD791" s="193">
        <f>(((G791*'Appendix K'!$C$10*1000)-('Appendix K'!$E$36+'Appendix K'!$F$36+'Appendix K'!$H$36+'Appendix K'!$G$36))/((1+$Y$16)^AD$34))</f>
        <v>7712535.7499896316</v>
      </c>
      <c r="AE791" s="193">
        <f>(((H791*'Appendix K'!$C$11*1000)-('Appendix K'!$E$37+'Appendix K'!$F$37+'Appendix K'!$H$37+'Appendix K'!$G$37))/((1+$Y$16)^AE$34))</f>
        <v>3124437.6956391325</v>
      </c>
      <c r="AF791" s="193">
        <f>(((I791*'Appendix K'!$C$12*1000)-('Appendix K'!$E$38+'Appendix K'!$F$38+'Appendix K'!$H$38+'Appendix K'!$G$38))/((1+$Y$16)^AF$34))</f>
        <v>1329932.9332518929</v>
      </c>
      <c r="AG791" s="193">
        <f>(((J791*'Appendix K'!$C$13*1000)-('Appendix K'!$E$39+'Appendix K'!$F$39+'Appendix K'!$H$39+'Appendix K'!$G$39))/((1+$Y$16)^AG$34))</f>
        <v>218058.90145657363</v>
      </c>
      <c r="AH791" s="193">
        <f>(((K791*'Appendix K'!$C$14*1000)-('Appendix K'!$E$40+'Appendix K'!$F$40+'Appendix K'!$H$40+'Appendix K'!$G$40))/((1+$Y$16)^AH$34))</f>
        <v>-547020.51986926654</v>
      </c>
      <c r="AI791" s="193">
        <f>(((L791*'Appendix K'!$C$15*1000)-('Appendix K'!$E$41+'Appendix K'!$F$41+'Appendix K'!$H$41+'Appendix K'!$G$41))/((1+$Y$16)^AI$34))</f>
        <v>-1262769.9547347452</v>
      </c>
      <c r="AJ791" s="193">
        <f>(((M791*'Appendix K'!$C$16*1000)-('Appendix K'!$E$42+'Appendix K'!$F$42+'Appendix K'!$H$42+'Appendix K'!$G$42))/((1+$Y$16)^AJ$34))</f>
        <v>-1123393.0838384964</v>
      </c>
      <c r="AK791" s="193">
        <f>(((N791*'Appendix K'!$C$17*1000)-('Appendix K'!$E$43+'Appendix K'!$F$43+'Appendix K'!$H$43))/((1+$Y$16)^AK$34))</f>
        <v>-753661.63958512095</v>
      </c>
      <c r="AL791" s="193">
        <f>(((O791*'Appendix K'!$C$18*1000)-('Appendix K'!$E$44+'Appendix K'!$F$44+'Appendix K'!$H$44+'Appendix K'!$G$44))/((1+$Y$16)^AL$34))</f>
        <v>-1000357.9645078519</v>
      </c>
      <c r="AM791" s="193">
        <f>(((P791*'Appendix K'!$C$19*1000)-('Appendix K'!$E$45+'Appendix K'!$F$45+'Appendix K'!$H$45+'Appendix K'!$G$45))/((1+$Y$16)^AM$34))</f>
        <v>-876317.9385178762</v>
      </c>
      <c r="AN791" s="193">
        <f>(((Q791*'Appendix K'!$C$20*1000)-('Appendix K'!$E$46+'Appendix K'!$F$46+'Appendix K'!$H$46+'Appendix K'!$G$46))/((1+$Y$16)^AN$34))</f>
        <v>-829379.63345139462</v>
      </c>
      <c r="AO791" s="193">
        <f>(((R791*'Appendix K'!$C$21*1000)-('Appendix K'!$E$47+'Appendix K'!$F$47+'Appendix K'!$H$47+'Appendix K'!$G$47))/((1+$Y$16)^AO$34))</f>
        <v>-777554.26443942299</v>
      </c>
      <c r="AP791" s="193">
        <f>(((S791*'Appendix K'!$C$22*1000)-('Appendix K'!$E$48+'Appendix K'!$F$48+'Appendix K'!$H$48+'Appendix K'!$G$48))/((1+$Y$16)^AP$34))</f>
        <v>-713089.44447191933</v>
      </c>
      <c r="AQ791" s="193">
        <f>(((T791*'Appendix K'!$C$23*1000)-('Appendix K'!$E$49+'Appendix K'!$F$49+'Appendix K'!$H$49+'Appendix K'!$G$49))/((1+$Y$16)^AQ$34))</f>
        <v>-655412.47135310096</v>
      </c>
      <c r="AR791" s="193">
        <f>(((U791*'Appendix K'!$C$24*1000)-('Appendix K'!$E$50+'Appendix K'!$F$50+'Appendix K'!$H$50+'Appendix K'!$G$50))/((1+$Y$16)^AR$34))</f>
        <v>-597307.16265186504</v>
      </c>
      <c r="AS791" s="209">
        <f t="shared" si="38"/>
        <v>81789759.926753014</v>
      </c>
      <c r="AU791" s="199">
        <f t="shared" si="37"/>
        <v>6.9927128564021534E-9</v>
      </c>
    </row>
    <row r="792" spans="1:47" x14ac:dyDescent="0.35">
      <c r="A792">
        <v>758</v>
      </c>
      <c r="B792" s="70">
        <v>56</v>
      </c>
      <c r="C792" s="70">
        <v>54.213906814328347</v>
      </c>
      <c r="D792" s="70">
        <v>23.091474638263481</v>
      </c>
      <c r="E792" s="70">
        <v>17.977899197127741</v>
      </c>
      <c r="F792" s="70">
        <v>23.873970247014825</v>
      </c>
      <c r="G792" s="70">
        <v>32.468546372103361</v>
      </c>
      <c r="H792" s="70">
        <v>34.657345939462843</v>
      </c>
      <c r="I792" s="70">
        <v>29.10754527074409</v>
      </c>
      <c r="J792" s="70">
        <v>31.298424331379117</v>
      </c>
      <c r="K792" s="70">
        <v>27.345408991057944</v>
      </c>
      <c r="L792" s="70">
        <v>26.639363813279644</v>
      </c>
      <c r="M792" s="70">
        <v>37.403314274764256</v>
      </c>
      <c r="N792" s="70">
        <v>37.169417024643082</v>
      </c>
      <c r="O792" s="70">
        <v>42.284444464947825</v>
      </c>
      <c r="P792" s="70">
        <v>29.365177878777679</v>
      </c>
      <c r="Q792" s="70">
        <v>34.932111491158821</v>
      </c>
      <c r="R792" s="70">
        <v>40.858458639042233</v>
      </c>
      <c r="S792" s="70">
        <v>46.278344944137793</v>
      </c>
      <c r="T792" s="70">
        <v>27.000611617117887</v>
      </c>
      <c r="U792" s="70">
        <v>23.019893511262378</v>
      </c>
      <c r="V792" s="70">
        <v>23.701264079333768</v>
      </c>
      <c r="X792" s="193">
        <f>((0-('Appendix K'!$I$30))/(1+$Y$16)^0)</f>
        <v>-33594902.4440751</v>
      </c>
      <c r="Y792" s="193">
        <f>(((B792*'Appendix K'!$C$5*1000)-('Appendix K'!$E$31+'Appendix K'!$F$31+'Appendix K'!$H$31+'Appendix K'!$G$31))/((1+$Y$16)^1))</f>
        <v>34971064.972647354</v>
      </c>
      <c r="Z792" s="193">
        <f>+(((C792*'Appendix K'!$C$6*1000)-('Appendix K'!$E$32+'Appendix K'!$F$32+'Appendix K'!$H$32+'Appendix K'!$G$32))/((1+$Y$16)^2))</f>
        <v>10208112.418588405</v>
      </c>
      <c r="AA792" s="193">
        <f>(((D792*'Appendix K'!$C$7*1000)-('Appendix K'!$E$33+'Appendix K'!$F$33+'Appendix K'!$H$33+'Appendix K'!$G$33))/((1+$Y$16)^3))</f>
        <v>-23624.428303745044</v>
      </c>
      <c r="AB792" s="193">
        <f>(((E792*'Appendix K'!$C$8*1000)-('Appendix K'!$E$34+'Appendix K'!$F$34+'Appendix K'!$H$34+'Appendix K'!$G$34))/((1+$Y$16)^4))</f>
        <v>647383.0433288241</v>
      </c>
      <c r="AC792" s="193">
        <f>(((F792*'Appendix K'!$C$9*1000)-('Appendix K'!$E$35+'Appendix K'!$F$35+'Appendix K'!$H$35+'Appendix K'!$G$35))/((1+$Y$16)^AC$34))</f>
        <v>3361435.2836367111</v>
      </c>
      <c r="AD792" s="193">
        <f>(((G792*'Appendix K'!$C$10*1000)-('Appendix K'!$E$36+'Appendix K'!$F$36+'Appendix K'!$H$36+'Appendix K'!$G$36))/((1+$Y$16)^AD$34))</f>
        <v>2583225.844474976</v>
      </c>
      <c r="AE792" s="193">
        <f>(((H792*'Appendix K'!$C$11*1000)-('Appendix K'!$E$37+'Appendix K'!$F$37+'Appendix K'!$H$37+'Appendix K'!$G$37))/((1+$Y$16)^AE$34))</f>
        <v>1236700.5403773868</v>
      </c>
      <c r="AF792" s="193">
        <f>(((I792*'Appendix K'!$C$12*1000)-('Appendix K'!$E$38+'Appendix K'!$F$38+'Appendix K'!$H$38+'Appendix K'!$G$38))/((1+$Y$16)^AF$34))</f>
        <v>-85306.943019242855</v>
      </c>
      <c r="AG792" s="193">
        <f>(((J792*'Appendix K'!$C$13*1000)-('Appendix K'!$E$39+'Appendix K'!$F$39+'Appendix K'!$H$39+'Appendix K'!$G$39))/((1+$Y$16)^AG$34))</f>
        <v>-374623.79240578576</v>
      </c>
      <c r="AH792" s="193">
        <f>(((K792*'Appendix K'!$C$14*1000)-('Appendix K'!$E$40+'Appendix K'!$F$40+'Appendix K'!$H$40+'Appendix K'!$G$40))/((1+$Y$16)^AH$34))</f>
        <v>-711022.39624462009</v>
      </c>
      <c r="AI792" s="193">
        <f>(((L792*'Appendix K'!$C$15*1000)-('Appendix K'!$E$41+'Appendix K'!$F$41+'Appendix K'!$H$41+'Appendix K'!$G$41))/((1+$Y$16)^AI$34))</f>
        <v>-818480.20056849881</v>
      </c>
      <c r="AJ792" s="193">
        <f>(((M792*'Appendix K'!$C$16*1000)-('Appendix K'!$E$42+'Appendix K'!$F$42+'Appendix K'!$H$42+'Appendix K'!$G$42))/((1+$Y$16)^AJ$34))</f>
        <v>-631918.70947868959</v>
      </c>
      <c r="AK792" s="193">
        <f>(((N792*'Appendix K'!$C$17*1000)-('Appendix K'!$E$43+'Appendix K'!$F$43+'Appendix K'!$H$43))/((1+$Y$16)^AK$34))</f>
        <v>-433191.50447072508</v>
      </c>
      <c r="AL792" s="193">
        <f>(((O792*'Appendix K'!$C$18*1000)-('Appendix K'!$E$44+'Appendix K'!$F$44+'Appendix K'!$H$44+'Appendix K'!$G$44))/((1+$Y$16)^AL$34))</f>
        <v>-633379.16313948738</v>
      </c>
      <c r="AM792" s="193">
        <f>(((P792*'Appendix K'!$C$19*1000)-('Appendix K'!$E$45+'Appendix K'!$F$45+'Appendix K'!$H$45+'Appendix K'!$G$45))/((1+$Y$16)^AM$34))</f>
        <v>-754587.98432247352</v>
      </c>
      <c r="AN792" s="193">
        <f>(((Q792*'Appendix K'!$C$20*1000)-('Appendix K'!$E$46+'Appendix K'!$F$46+'Appendix K'!$H$46+'Appendix K'!$G$46))/((1+$Y$16)^AN$34))</f>
        <v>-662932.50365824276</v>
      </c>
      <c r="AO792" s="193">
        <f>(((R792*'Appendix K'!$C$21*1000)-('Appendix K'!$E$47+'Appendix K'!$F$47+'Appendix K'!$H$47+'Appendix K'!$G$47))/((1+$Y$16)^AO$34))</f>
        <v>-601520.92078010936</v>
      </c>
      <c r="AP792" s="193">
        <f>(((S792*'Appendix K'!$C$22*1000)-('Appendix K'!$E$48+'Appendix K'!$F$48+'Appendix K'!$H$48+'Appendix K'!$G$48))/((1+$Y$16)^AP$34))</f>
        <v>-542792.9489369709</v>
      </c>
      <c r="AQ792" s="193">
        <f>(((T792*'Appendix K'!$C$23*1000)-('Appendix K'!$E$49+'Appendix K'!$F$49+'Appendix K'!$H$49+'Appendix K'!$G$49))/((1+$Y$16)^AQ$34))</f>
        <v>-587812.14997623663</v>
      </c>
      <c r="AR792" s="193">
        <f>(((U792*'Appendix K'!$C$24*1000)-('Appendix K'!$E$50+'Appendix K'!$F$50+'Appendix K'!$H$50+'Appendix K'!$G$50))/((1+$Y$16)^AR$34))</f>
        <v>-555164.16721090127</v>
      </c>
      <c r="AS792" s="209">
        <f t="shared" si="38"/>
        <v>19413019.658978559</v>
      </c>
      <c r="AU792" s="199">
        <f t="shared" si="37"/>
        <v>3.4142890292192836E-9</v>
      </c>
    </row>
    <row r="793" spans="1:47" x14ac:dyDescent="0.35">
      <c r="A793">
        <v>759</v>
      </c>
      <c r="B793" s="70">
        <v>56</v>
      </c>
      <c r="C793" s="70">
        <v>50.095180513044617</v>
      </c>
      <c r="D793" s="70">
        <v>44.690794812855501</v>
      </c>
      <c r="E793" s="70">
        <v>36.151956860274112</v>
      </c>
      <c r="F793" s="70">
        <v>40.854749851328506</v>
      </c>
      <c r="G793" s="70">
        <v>63.74827032428572</v>
      </c>
      <c r="H793" s="70">
        <v>50.174270810910087</v>
      </c>
      <c r="I793" s="70">
        <v>48.481938213713008</v>
      </c>
      <c r="J793" s="70">
        <v>54.907394989154454</v>
      </c>
      <c r="K793" s="70">
        <v>79.462188865672545</v>
      </c>
      <c r="L793" s="70">
        <v>93.076460949508515</v>
      </c>
      <c r="M793" s="70">
        <v>109.89493837724618</v>
      </c>
      <c r="N793" s="70">
        <v>70.622281992927114</v>
      </c>
      <c r="O793" s="70">
        <v>87.133895613642878</v>
      </c>
      <c r="P793" s="70">
        <v>87.302854993556096</v>
      </c>
      <c r="Q793" s="70">
        <v>107.0178010598797</v>
      </c>
      <c r="R793" s="70">
        <v>120.35428566207815</v>
      </c>
      <c r="S793" s="70">
        <v>110.94390659535776</v>
      </c>
      <c r="T793" s="70">
        <v>98.79457386769171</v>
      </c>
      <c r="U793" s="70">
        <v>161.93880223494745</v>
      </c>
      <c r="V793" s="70">
        <v>202.50733681563975</v>
      </c>
      <c r="X793" s="193">
        <f>((0-('Appendix K'!$I$30))/(1+$Y$16)^0)</f>
        <v>-33594902.4440751</v>
      </c>
      <c r="Y793" s="193">
        <f>(((B793*'Appendix K'!$C$5*1000)-('Appendix K'!$E$31+'Appendix K'!$F$31+'Appendix K'!$H$31+'Appendix K'!$G$31))/((1+$Y$16)^1))</f>
        <v>34971064.972647354</v>
      </c>
      <c r="Z793" s="193">
        <f>+(((C793*'Appendix K'!$C$6*1000)-('Appendix K'!$E$32+'Appendix K'!$F$32+'Appendix K'!$H$32+'Appendix K'!$G$32))/((1+$Y$16)^2))</f>
        <v>9167651.7117971294</v>
      </c>
      <c r="AA793" s="193">
        <f>(((D793*'Appendix K'!$C$7*1000)-('Appendix K'!$E$33+'Appendix K'!$F$33+'Appendix K'!$H$33+'Appendix K'!$G$33))/((1+$Y$16)^3))</f>
        <v>2727586.2219645102</v>
      </c>
      <c r="AB793" s="193">
        <f>(((E793*'Appendix K'!$C$8*1000)-('Appendix K'!$E$34+'Appendix K'!$F$34+'Appendix K'!$H$34+'Appendix K'!$G$34))/((1+$Y$16)^4))</f>
        <v>4630970.1156055303</v>
      </c>
      <c r="AC793" s="193">
        <f>(((F793*'Appendix K'!$C$9*1000)-('Appendix K'!$E$35+'Appendix K'!$F$35+'Appendix K'!$H$35+'Appendix K'!$G$35))/((1+$Y$16)^AC$34))</f>
        <v>7874899.8378543453</v>
      </c>
      <c r="AD793" s="193">
        <f>(((G793*'Appendix K'!$C$10*1000)-('Appendix K'!$E$36+'Appendix K'!$F$36+'Appendix K'!$H$36+'Appendix K'!$G$36))/((1+$Y$16)^AD$34))</f>
        <v>7495517.2962653171</v>
      </c>
      <c r="AE793" s="193">
        <f>(((H793*'Appendix K'!$C$11*1000)-('Appendix K'!$E$37+'Appendix K'!$F$37+'Appendix K'!$H$37+'Appendix K'!$G$37))/((1+$Y$16)^AE$34))</f>
        <v>2784321.8338893862</v>
      </c>
      <c r="AF793" s="193">
        <f>(((I793*'Appendix K'!$C$12*1000)-('Appendix K'!$E$38+'Appendix K'!$F$38+'Appendix K'!$H$38+'Appendix K'!$G$38))/((1+$Y$16)^AF$34))</f>
        <v>1186862.7200241161</v>
      </c>
      <c r="AG793" s="193">
        <f>(((J793*'Appendix K'!$C$13*1000)-('Appendix K'!$E$39+'Appendix K'!$F$39+'Appendix K'!$H$39+'Appendix K'!$G$39))/((1+$Y$16)^AG$34))</f>
        <v>711835.83614771359</v>
      </c>
      <c r="AH793" s="193">
        <f>(((K793*'Appendix K'!$C$14*1000)-('Appendix K'!$E$40+'Appendix K'!$F$40+'Appendix K'!$H$40+'Appendix K'!$G$40))/((1+$Y$16)^AH$34))</f>
        <v>1045653.2390437261</v>
      </c>
      <c r="AI793" s="193">
        <f>(((L793*'Appendix K'!$C$15*1000)-('Appendix K'!$E$41+'Appendix K'!$F$41+'Appendix K'!$H$41+'Appendix K'!$G$41))/((1+$Y$16)^AI$34))</f>
        <v>922295.98238154524</v>
      </c>
      <c r="AJ793" s="193">
        <f>(((M793*'Appendix K'!$C$16*1000)-('Appendix K'!$E$42+'Appendix K'!$F$42+'Appendix K'!$H$42+'Appendix K'!$G$42))/((1+$Y$16)^AJ$34))</f>
        <v>820948.77779865114</v>
      </c>
      <c r="AK793" s="193">
        <f>(((N793*'Appendix K'!$C$17*1000)-('Appendix K'!$E$43+'Appendix K'!$F$43+'Appendix K'!$H$43))/((1+$Y$16)^AK$34))</f>
        <v>80774.882732995058</v>
      </c>
      <c r="AL793" s="193">
        <f>(((O793*'Appendix K'!$C$18*1000)-('Appendix K'!$E$44+'Appendix K'!$F$44+'Appendix K'!$H$44+'Appendix K'!$G$44))/((1+$Y$16)^AL$34))</f>
        <v>-101765.42162765264</v>
      </c>
      <c r="AM793" s="193">
        <f>(((P793*'Appendix K'!$C$19*1000)-('Appendix K'!$E$45+'Appendix K'!$F$45+'Appendix K'!$H$45+'Appendix K'!$G$45))/((1+$Y$16)^AM$34))</f>
        <v>-217579.19447830255</v>
      </c>
      <c r="AN793" s="193">
        <f>(((Q793*'Appendix K'!$C$20*1000)-('Appendix K'!$E$46+'Appendix K'!$F$46+'Appendix K'!$H$46+'Appendix K'!$G$46))/((1+$Y$16)^AN$34))</f>
        <v>-141304.81920997152</v>
      </c>
      <c r="AO793" s="193">
        <f>(((R793*'Appendix K'!$C$21*1000)-('Appendix K'!$E$47+'Appendix K'!$F$47+'Appendix K'!$H$47+'Appendix K'!$G$47))/((1+$Y$16)^AO$34))</f>
        <v>-131691.80037179895</v>
      </c>
      <c r="AP793" s="193">
        <f>(((S793*'Appendix K'!$C$22*1000)-('Appendix K'!$E$48+'Appendix K'!$F$48+'Appendix K'!$H$48+'Appendix K'!$G$48))/((1+$Y$16)^AP$34))</f>
        <v>-233063.05755521581</v>
      </c>
      <c r="AQ793" s="193">
        <f>(((T793*'Appendix K'!$C$23*1000)-('Appendix K'!$E$49+'Appendix K'!$F$49+'Appendix K'!$H$49+'Appendix K'!$G$49))/((1+$Y$16)^AQ$34))</f>
        <v>-306828.96145319619</v>
      </c>
      <c r="AR793" s="193">
        <f>(((U793*'Appendix K'!$C$24*1000)-('Appendix K'!$E$50+'Appendix K'!$F$50+'Appendix K'!$H$50+'Appendix K'!$G$50))/((1+$Y$16)^AR$34))</f>
        <v>-107841.38877137915</v>
      </c>
      <c r="AS793" s="209">
        <f t="shared" si="38"/>
        <v>40825480.984077238</v>
      </c>
      <c r="AU793" s="199">
        <f t="shared" si="37"/>
        <v>5.0039981480169452E-9</v>
      </c>
    </row>
    <row r="794" spans="1:47" x14ac:dyDescent="0.35">
      <c r="A794">
        <v>760</v>
      </c>
      <c r="B794" s="70">
        <v>56</v>
      </c>
      <c r="C794" s="70">
        <v>86.76536484788403</v>
      </c>
      <c r="D794" s="70">
        <v>95.076116178025089</v>
      </c>
      <c r="E794" s="70">
        <v>136.12299738320039</v>
      </c>
      <c r="F794" s="70">
        <v>199.0609814099231</v>
      </c>
      <c r="G794" s="70">
        <v>183.9586493406087</v>
      </c>
      <c r="H794" s="70">
        <v>174.03186747708207</v>
      </c>
      <c r="I794" s="70">
        <v>242.79190505219839</v>
      </c>
      <c r="J794" s="70">
        <v>241.45538912967586</v>
      </c>
      <c r="K794" s="70">
        <v>374.78710103112087</v>
      </c>
      <c r="L794" s="70">
        <v>386.52678688555739</v>
      </c>
      <c r="M794" s="70">
        <v>500</v>
      </c>
      <c r="N794" s="70">
        <v>471.73356767399525</v>
      </c>
      <c r="O794" s="70">
        <v>407.89482799230979</v>
      </c>
      <c r="P794" s="70">
        <v>276.17150252873665</v>
      </c>
      <c r="Q794" s="70">
        <v>198.92530105763825</v>
      </c>
      <c r="R794" s="70">
        <v>218.15470924842083</v>
      </c>
      <c r="S794" s="70">
        <v>267.19753099379983</v>
      </c>
      <c r="T794" s="70">
        <v>182.2234697808976</v>
      </c>
      <c r="U794" s="70">
        <v>155.11333611348499</v>
      </c>
      <c r="V794" s="70">
        <v>193.20140658574991</v>
      </c>
      <c r="X794" s="193">
        <f>((0-('Appendix K'!$I$30))/(1+$Y$16)^0)</f>
        <v>-33594902.4440751</v>
      </c>
      <c r="Y794" s="193">
        <f>(((B794*'Appendix K'!$C$5*1000)-('Appendix K'!$E$31+'Appendix K'!$F$31+'Appendix K'!$H$31+'Appendix K'!$G$31))/((1+$Y$16)^1))</f>
        <v>34971064.972647354</v>
      </c>
      <c r="Z794" s="193">
        <f>+(((C794*'Appendix K'!$C$6*1000)-('Appendix K'!$E$32+'Appendix K'!$F$32+'Appendix K'!$H$32+'Appendix K'!$G$32))/((1+$Y$16)^2))</f>
        <v>18431167.449490495</v>
      </c>
      <c r="AA794" s="193">
        <f>(((D794*'Appendix K'!$C$7*1000)-('Appendix K'!$E$33+'Appendix K'!$F$33+'Appendix K'!$H$33+'Appendix K'!$G$33))/((1+$Y$16)^3))</f>
        <v>9145410.0995931774</v>
      </c>
      <c r="AB794" s="193">
        <f>(((E794*'Appendix K'!$C$8*1000)-('Appendix K'!$E$34+'Appendix K'!$F$34+'Appendix K'!$H$34+'Appendix K'!$G$34))/((1+$Y$16)^4))</f>
        <v>26543707.051438179</v>
      </c>
      <c r="AC794" s="193">
        <f>(((F794*'Appendix K'!$C$9*1000)-('Appendix K'!$E$35+'Appendix K'!$F$35+'Appendix K'!$H$35+'Appendix K'!$G$35))/((1+$Y$16)^AC$34))</f>
        <v>49925867.757764779</v>
      </c>
      <c r="AD794" s="193">
        <f>(((G794*'Appendix K'!$C$10*1000)-('Appendix K'!$E$36+'Appendix K'!$F$36+'Appendix K'!$H$36+'Appendix K'!$G$36))/((1+$Y$16)^AD$34))</f>
        <v>26373830.230262972</v>
      </c>
      <c r="AE794" s="193">
        <f>(((H794*'Appendix K'!$C$11*1000)-('Appendix K'!$E$37+'Appendix K'!$F$37+'Appendix K'!$H$37+'Appendix K'!$G$37))/((1+$Y$16)^AE$34))</f>
        <v>15137584.838758875</v>
      </c>
      <c r="AF794" s="193">
        <f>(((I794*'Appendix K'!$C$12*1000)-('Appendix K'!$E$38+'Appendix K'!$F$38+'Appendix K'!$H$38+'Appendix K'!$G$38))/((1+$Y$16)^AF$34))</f>
        <v>13945726.74051415</v>
      </c>
      <c r="AG794" s="193">
        <f>(((J794*'Appendix K'!$C$13*1000)-('Appendix K'!$E$39+'Appendix K'!$F$39+'Appendix K'!$H$39+'Appendix K'!$G$39))/((1+$Y$16)^AG$34))</f>
        <v>9296575.3980380166</v>
      </c>
      <c r="AH794" s="193">
        <f>(((K794*'Appendix K'!$C$14*1000)-('Appendix K'!$E$40+'Appendix K'!$F$40+'Appendix K'!$H$40+'Appendix K'!$G$40))/((1+$Y$16)^AH$34))</f>
        <v>11000030.292707583</v>
      </c>
      <c r="AI794" s="193">
        <f>(((L794*'Appendix K'!$C$15*1000)-('Appendix K'!$E$41+'Appendix K'!$F$41+'Appendix K'!$H$41+'Appendix K'!$G$41))/((1+$Y$16)^AI$34))</f>
        <v>8611243.2767063547</v>
      </c>
      <c r="AJ794" s="193">
        <f>(((M794*'Appendix K'!$C$16*1000)-('Appendix K'!$E$42+'Appendix K'!$F$42+'Appendix K'!$H$42+'Appendix K'!$G$42))/((1+$Y$16)^AJ$34))</f>
        <v>8639382.5302660316</v>
      </c>
      <c r="AK794" s="193">
        <f>(((N794*'Appendix K'!$C$17*1000)-('Appendix K'!$E$43+'Appendix K'!$F$43+'Appendix K'!$H$43))/((1+$Y$16)^AK$34))</f>
        <v>6243407.5470381817</v>
      </c>
      <c r="AL794" s="193">
        <f>(((O794*'Appendix K'!$C$18*1000)-('Appendix K'!$E$44+'Appendix K'!$F$44+'Appendix K'!$H$44+'Appendix K'!$G$44))/((1+$Y$16)^AL$34))</f>
        <v>3700308.2944429899</v>
      </c>
      <c r="AM794" s="193">
        <f>(((P794*'Appendix K'!$C$19*1000)-('Appendix K'!$E$45+'Appendix K'!$F$45+'Appendix K'!$H$45+'Appendix K'!$G$45))/((1+$Y$16)^AM$34))</f>
        <v>1532993.6434945527</v>
      </c>
      <c r="AN794" s="193">
        <f>(((Q794*'Appendix K'!$C$20*1000)-('Appendix K'!$E$46+'Appendix K'!$F$46+'Appendix K'!$H$46+'Appendix K'!$G$46))/((1+$Y$16)^AN$34))</f>
        <v>523757.78467282269</v>
      </c>
      <c r="AO794" s="193">
        <f>(((R794*'Appendix K'!$C$21*1000)-('Appendix K'!$E$47+'Appendix K'!$F$47+'Appendix K'!$H$47+'Appendix K'!$G$47))/((1+$Y$16)^AO$34))</f>
        <v>446319.50801821915</v>
      </c>
      <c r="AP794" s="193">
        <f>(((S794*'Appendix K'!$C$22*1000)-('Appendix K'!$E$48+'Appendix K'!$F$48+'Appendix K'!$H$48+'Appendix K'!$G$48))/((1+$Y$16)^AP$34))</f>
        <v>515347.94943434425</v>
      </c>
      <c r="AQ794" s="193">
        <f>(((T794*'Appendix K'!$C$23*1000)-('Appendix K'!$E$49+'Appendix K'!$F$49+'Appendix K'!$H$49+'Appendix K'!$G$49))/((1+$Y$16)^AQ$34))</f>
        <v>19690.378805978595</v>
      </c>
      <c r="AR794" s="193">
        <f>(((U794*'Appendix K'!$C$24*1000)-('Appendix K'!$E$50+'Appendix K'!$F$50+'Appendix K'!$H$50+'Appendix K'!$G$50))/((1+$Y$16)^AR$34))</f>
        <v>-129819.58092425816</v>
      </c>
      <c r="AS794" s="209">
        <f t="shared" si="38"/>
        <v>211408513.30001995</v>
      </c>
      <c r="AU794" s="199">
        <f t="shared" si="37"/>
        <v>6.512253010158515E-10</v>
      </c>
    </row>
    <row r="795" spans="1:47" x14ac:dyDescent="0.35">
      <c r="A795">
        <v>761</v>
      </c>
      <c r="B795" s="70">
        <v>56</v>
      </c>
      <c r="C795" s="70">
        <v>53.171151941671994</v>
      </c>
      <c r="D795" s="70">
        <v>54.958338172481106</v>
      </c>
      <c r="E795" s="70">
        <v>58.728041972956554</v>
      </c>
      <c r="F795" s="70">
        <v>85.565105080560471</v>
      </c>
      <c r="G795" s="70">
        <v>73.949903347948663</v>
      </c>
      <c r="H795" s="70">
        <v>105.00283415090161</v>
      </c>
      <c r="I795" s="70">
        <v>49.66107976928437</v>
      </c>
      <c r="J795" s="70">
        <v>78.940280005059563</v>
      </c>
      <c r="K795" s="70">
        <v>100.32504819725978</v>
      </c>
      <c r="L795" s="70">
        <v>117.14846709571661</v>
      </c>
      <c r="M795" s="70">
        <v>76.214080069558108</v>
      </c>
      <c r="N795" s="70">
        <v>43.272633041806721</v>
      </c>
      <c r="O795" s="70">
        <v>72.143307884842386</v>
      </c>
      <c r="P795" s="70">
        <v>104.35098917514091</v>
      </c>
      <c r="Q795" s="70">
        <v>170.0012071921048</v>
      </c>
      <c r="R795" s="70">
        <v>174.21646043080398</v>
      </c>
      <c r="S795" s="70">
        <v>191.48125430785018</v>
      </c>
      <c r="T795" s="70">
        <v>147.58747391473943</v>
      </c>
      <c r="U795" s="70">
        <v>116.9495083838148</v>
      </c>
      <c r="V795" s="70">
        <v>144.85618420838662</v>
      </c>
      <c r="X795" s="193">
        <f>((0-('Appendix K'!$I$30))/(1+$Y$16)^0)</f>
        <v>-33594902.4440751</v>
      </c>
      <c r="Y795" s="193">
        <f>(((B795*'Appendix K'!$C$5*1000)-('Appendix K'!$E$31+'Appendix K'!$F$31+'Appendix K'!$H$31+'Appendix K'!$G$31))/((1+$Y$16)^1))</f>
        <v>34971064.972647354</v>
      </c>
      <c r="Z795" s="193">
        <f>+(((C795*'Appendix K'!$C$6*1000)-('Appendix K'!$E$32+'Appendix K'!$F$32+'Appendix K'!$H$32+'Appendix K'!$G$32))/((1+$Y$16)^2))</f>
        <v>9944694.7033894323</v>
      </c>
      <c r="AA795" s="193">
        <f>(((D795*'Appendix K'!$C$7*1000)-('Appendix K'!$E$33+'Appendix K'!$F$33+'Appendix K'!$H$33+'Appendix K'!$G$33))/((1+$Y$16)^3))</f>
        <v>4035413.2468318171</v>
      </c>
      <c r="AB795" s="193">
        <f>(((E795*'Appendix K'!$C$8*1000)-('Appendix K'!$E$34+'Appendix K'!$F$34+'Appendix K'!$H$34+'Appendix K'!$G$34))/((1+$Y$16)^4))</f>
        <v>9579441.3081378136</v>
      </c>
      <c r="AC795" s="193">
        <f>(((F795*'Appendix K'!$C$9*1000)-('Appendix K'!$E$35+'Appendix K'!$F$35+'Appendix K'!$H$35+'Appendix K'!$G$35))/((1+$Y$16)^AC$34))</f>
        <v>19758842.049927689</v>
      </c>
      <c r="AD795" s="193">
        <f>(((G795*'Appendix K'!$C$10*1000)-('Appendix K'!$E$36+'Appendix K'!$F$36+'Appendix K'!$H$36+'Appendix K'!$G$36))/((1+$Y$16)^AD$34))</f>
        <v>9097622.0582207125</v>
      </c>
      <c r="AE795" s="193">
        <f>(((H795*'Appendix K'!$C$11*1000)-('Appendix K'!$E$37+'Appendix K'!$F$37+'Appendix K'!$H$37+'Appendix K'!$G$37))/((1+$Y$16)^AE$34))</f>
        <v>8252792.7339310655</v>
      </c>
      <c r="AF795" s="193">
        <f>(((I795*'Appendix K'!$C$12*1000)-('Appendix K'!$E$38+'Appendix K'!$F$38+'Appendix K'!$H$38+'Appendix K'!$G$38))/((1+$Y$16)^AF$34))</f>
        <v>1264288.0163855192</v>
      </c>
      <c r="AG795" s="193">
        <f>(((J795*'Appendix K'!$C$13*1000)-('Appendix K'!$E$39+'Appendix K'!$F$39+'Appendix K'!$H$39+'Appendix K'!$G$39))/((1+$Y$16)^AG$34))</f>
        <v>1817803.5509599627</v>
      </c>
      <c r="AH795" s="193">
        <f>(((K795*'Appendix K'!$C$14*1000)-('Appendix K'!$E$40+'Appendix K'!$F$40+'Appendix K'!$H$40+'Appendix K'!$G$40))/((1+$Y$16)^AH$34))</f>
        <v>1748867.765313773</v>
      </c>
      <c r="AI795" s="193">
        <f>(((L795*'Appendix K'!$C$15*1000)-('Appendix K'!$E$41+'Appendix K'!$F$41+'Appendix K'!$H$41+'Appendix K'!$G$41))/((1+$Y$16)^AI$34))</f>
        <v>1553027.5582844224</v>
      </c>
      <c r="AJ795" s="193">
        <f>(((M795*'Appendix K'!$C$16*1000)-('Appendix K'!$E$42+'Appendix K'!$F$42+'Appendix K'!$H$42+'Appendix K'!$G$42))/((1+$Y$16)^AJ$34))</f>
        <v>145921.4958928572</v>
      </c>
      <c r="AK795" s="193">
        <f>(((N795*'Appendix K'!$C$17*1000)-('Appendix K'!$E$43+'Appendix K'!$F$43+'Appendix K'!$H$43))/((1+$Y$16)^AK$34))</f>
        <v>-339422.31939077878</v>
      </c>
      <c r="AL795" s="193">
        <f>(((O795*'Appendix K'!$C$18*1000)-('Appendix K'!$E$44+'Appendix K'!$F$44+'Appendix K'!$H$44+'Appendix K'!$G$44))/((1+$Y$16)^AL$34))</f>
        <v>-279453.26898943476</v>
      </c>
      <c r="AM795" s="193">
        <f>(((P795*'Appendix K'!$C$19*1000)-('Appendix K'!$E$45+'Appendix K'!$F$45+'Appendix K'!$H$45+'Appendix K'!$G$45))/((1+$Y$16)^AM$34))</f>
        <v>-59564.611190518117</v>
      </c>
      <c r="AN795" s="193">
        <f>(((Q795*'Appendix K'!$C$20*1000)-('Appendix K'!$E$46+'Appendix K'!$F$46+'Appendix K'!$H$46+'Appendix K'!$G$46))/((1+$Y$16)^AN$34))</f>
        <v>314456.76808950613</v>
      </c>
      <c r="AO795" s="193">
        <f>(((R795*'Appendix K'!$C$21*1000)-('Appendix K'!$E$47+'Appendix K'!$F$47+'Appendix K'!$H$47+'Appendix K'!$G$47))/((1+$Y$16)^AO$34))</f>
        <v>186639.60320660635</v>
      </c>
      <c r="AP795" s="193">
        <f>(((S795*'Appendix K'!$C$22*1000)-('Appendix K'!$E$48+'Appendix K'!$F$48+'Appendix K'!$H$48+'Appendix K'!$G$48))/((1+$Y$16)^AP$34))</f>
        <v>152688.23451129795</v>
      </c>
      <c r="AQ795" s="193">
        <f>(((T795*'Appendix K'!$C$23*1000)-('Appendix K'!$E$49+'Appendix K'!$F$49+'Appendix K'!$H$49+'Appendix K'!$G$49))/((1+$Y$16)^AQ$34))</f>
        <v>-115866.04197181725</v>
      </c>
      <c r="AR795" s="193">
        <f>(((U795*'Appendix K'!$C$24*1000)-('Appendix K'!$E$50+'Appendix K'!$F$50+'Appendix K'!$H$50+'Appendix K'!$G$50))/((1+$Y$16)^AR$34))</f>
        <v>-252708.17552068789</v>
      </c>
      <c r="AS795" s="209">
        <f t="shared" si="38"/>
        <v>69228661.621654719</v>
      </c>
      <c r="AU795" s="199">
        <f t="shared" si="37"/>
        <v>6.6701786840383815E-9</v>
      </c>
    </row>
    <row r="796" spans="1:47" x14ac:dyDescent="0.35">
      <c r="A796">
        <v>762</v>
      </c>
      <c r="B796" s="70">
        <v>56</v>
      </c>
      <c r="C796" s="70">
        <v>59.010751921534926</v>
      </c>
      <c r="D796" s="70">
        <v>85.937612560505784</v>
      </c>
      <c r="E796" s="70">
        <v>100.07305244928921</v>
      </c>
      <c r="F796" s="70">
        <v>110.34473455877009</v>
      </c>
      <c r="G796" s="70">
        <v>56.092971710644534</v>
      </c>
      <c r="H796" s="70">
        <v>57.28961235061093</v>
      </c>
      <c r="I796" s="70">
        <v>61.497169943112652</v>
      </c>
      <c r="J796" s="70">
        <v>81.36289295224509</v>
      </c>
      <c r="K796" s="70">
        <v>77.125760720915693</v>
      </c>
      <c r="L796" s="70">
        <v>61.788201465350646</v>
      </c>
      <c r="M796" s="70">
        <v>80.611467823006492</v>
      </c>
      <c r="N796" s="70">
        <v>73.578545609570909</v>
      </c>
      <c r="O796" s="70">
        <v>78.523718654430894</v>
      </c>
      <c r="P796" s="70">
        <v>72.156840129224108</v>
      </c>
      <c r="Q796" s="70">
        <v>56.249722205993749</v>
      </c>
      <c r="R796" s="70">
        <v>96.279393708999748</v>
      </c>
      <c r="S796" s="70">
        <v>92.606266029946966</v>
      </c>
      <c r="T796" s="70">
        <v>142.00501085875433</v>
      </c>
      <c r="U796" s="70">
        <v>151.96847461303415</v>
      </c>
      <c r="V796" s="70">
        <v>156.12269973333835</v>
      </c>
      <c r="X796" s="193">
        <f>((0-('Appendix K'!$I$30))/(1+$Y$16)^0)</f>
        <v>-33594902.4440751</v>
      </c>
      <c r="Y796" s="193">
        <f>(((B796*'Appendix K'!$C$5*1000)-('Appendix K'!$E$31+'Appendix K'!$F$31+'Appendix K'!$H$31+'Appendix K'!$G$31))/((1+$Y$16)^1))</f>
        <v>34971064.972647354</v>
      </c>
      <c r="Z796" s="193">
        <f>+(((C796*'Appendix K'!$C$6*1000)-('Appendix K'!$E$32+'Appendix K'!$F$32+'Appendix K'!$H$32+'Appendix K'!$G$32))/((1+$Y$16)^2))</f>
        <v>11419877.533705875</v>
      </c>
      <c r="AA796" s="193">
        <f>(((D796*'Appendix K'!$C$7*1000)-('Appendix K'!$E$33+'Appendix K'!$F$33+'Appendix K'!$H$33+'Appendix K'!$G$33))/((1+$Y$16)^3))</f>
        <v>7981394.3677642932</v>
      </c>
      <c r="AB796" s="193">
        <f>(((E796*'Appendix K'!$C$8*1000)-('Appendix K'!$E$34+'Appendix K'!$F$34+'Appendix K'!$H$34+'Appendix K'!$G$34))/((1+$Y$16)^4))</f>
        <v>18641889.127407577</v>
      </c>
      <c r="AC796" s="193">
        <f>(((F796*'Appendix K'!$C$9*1000)-('Appendix K'!$E$35+'Appendix K'!$F$35+'Appendix K'!$H$35+'Appendix K'!$G$35))/((1+$Y$16)^AC$34))</f>
        <v>26345228.654234949</v>
      </c>
      <c r="AD796" s="193">
        <f>(((G796*'Appendix K'!$C$10*1000)-('Appendix K'!$E$36+'Appendix K'!$F$36+'Appendix K'!$H$36+'Appendix K'!$G$36))/((1+$Y$16)^AD$34))</f>
        <v>6293298.9519417137</v>
      </c>
      <c r="AE796" s="193">
        <f>(((H796*'Appendix K'!$C$11*1000)-('Appendix K'!$E$37+'Appendix K'!$F$37+'Appendix K'!$H$37+'Appendix K'!$G$37))/((1+$Y$16)^AE$34))</f>
        <v>3493989.1274208785</v>
      </c>
      <c r="AF796" s="193">
        <f>(((I796*'Appendix K'!$C$12*1000)-('Appendix K'!$E$38+'Appendix K'!$F$38+'Appendix K'!$H$38+'Appendix K'!$G$38))/((1+$Y$16)^AF$34))</f>
        <v>2041474.4238519988</v>
      </c>
      <c r="AG796" s="193">
        <f>(((J796*'Appendix K'!$C$13*1000)-('Appendix K'!$E$39+'Appendix K'!$F$39+'Appendix K'!$H$39+'Appendix K'!$G$39))/((1+$Y$16)^AG$34))</f>
        <v>1929289.6127998186</v>
      </c>
      <c r="AH796" s="193">
        <f>(((K796*'Appendix K'!$C$14*1000)-('Appendix K'!$E$40+'Appendix K'!$F$40+'Appendix K'!$H$40+'Appendix K'!$G$40))/((1+$Y$16)^AH$34))</f>
        <v>966900.36126864527</v>
      </c>
      <c r="AI796" s="193">
        <f>(((L796*'Appendix K'!$C$15*1000)-('Appendix K'!$E$41+'Appendix K'!$F$41+'Appendix K'!$H$41+'Appendix K'!$G$41))/((1+$Y$16)^AI$34))</f>
        <v>102485.07456447229</v>
      </c>
      <c r="AJ796" s="193">
        <f>(((M796*'Appendix K'!$C$16*1000)-('Appendix K'!$E$42+'Appendix K'!$F$42+'Appendix K'!$H$42+'Appendix K'!$G$42))/((1+$Y$16)^AJ$34))</f>
        <v>234053.35629792677</v>
      </c>
      <c r="AK796" s="193">
        <f>(((N796*'Appendix K'!$C$17*1000)-('Appendix K'!$E$43+'Appendix K'!$F$43+'Appendix K'!$H$43))/((1+$Y$16)^AK$34))</f>
        <v>126194.61381159612</v>
      </c>
      <c r="AL796" s="193">
        <f>(((O796*'Appendix K'!$C$18*1000)-('Appendix K'!$E$44+'Appendix K'!$F$44+'Appendix K'!$H$44+'Appendix K'!$G$44))/((1+$Y$16)^AL$34))</f>
        <v>-203824.3826880682</v>
      </c>
      <c r="AM796" s="193">
        <f>(((P796*'Appendix K'!$C$19*1000)-('Appendix K'!$E$45+'Appendix K'!$F$45+'Appendix K'!$H$45+'Appendix K'!$G$45))/((1+$Y$16)^AM$34))</f>
        <v>-357963.54397756967</v>
      </c>
      <c r="AN796" s="193">
        <f>(((Q796*'Appendix K'!$C$20*1000)-('Appendix K'!$E$46+'Appendix K'!$F$46+'Appendix K'!$H$46+'Appendix K'!$G$46))/((1+$Y$16)^AN$34))</f>
        <v>-508673.64893024304</v>
      </c>
      <c r="AO796" s="193">
        <f>(((R796*'Appendix K'!$C$21*1000)-('Appendix K'!$E$47+'Appendix K'!$F$47+'Appendix K'!$H$47+'Appendix K'!$G$47))/((1+$Y$16)^AO$34))</f>
        <v>-273977.07160952402</v>
      </c>
      <c r="AP796" s="193">
        <f>(((S796*'Appendix K'!$C$22*1000)-('Appendix K'!$E$48+'Appendix K'!$F$48+'Appendix K'!$H$48+'Appendix K'!$G$48))/((1+$Y$16)^AP$34))</f>
        <v>-320895.20925222657</v>
      </c>
      <c r="AQ796" s="193">
        <f>(((T796*'Appendix K'!$C$23*1000)-('Appendix K'!$E$49+'Appendix K'!$F$49+'Appendix K'!$H$49+'Appendix K'!$G$49))/((1+$Y$16)^AQ$34))</f>
        <v>-137714.37322574839</v>
      </c>
      <c r="AR796" s="193">
        <f>(((U796*'Appendix K'!$C$24*1000)-('Appendix K'!$E$50+'Appendix K'!$F$50+'Appendix K'!$H$50+'Appendix K'!$G$50))/((1+$Y$16)^AR$34))</f>
        <v>-139946.1230711395</v>
      </c>
      <c r="AS796" s="209">
        <f t="shared" si="38"/>
        <v>80952237.733641982</v>
      </c>
      <c r="AU796" s="199">
        <f t="shared" si="37"/>
        <v>6.9813642161216195E-9</v>
      </c>
    </row>
    <row r="797" spans="1:47" x14ac:dyDescent="0.35">
      <c r="A797">
        <v>763</v>
      </c>
      <c r="B797" s="70">
        <v>56</v>
      </c>
      <c r="C797" s="70">
        <v>65.455206646147872</v>
      </c>
      <c r="D797" s="70">
        <v>34.951791175773167</v>
      </c>
      <c r="E797" s="70">
        <v>27.960196353456912</v>
      </c>
      <c r="F797" s="70">
        <v>35.040288384701213</v>
      </c>
      <c r="G797" s="70">
        <v>40.576635530548813</v>
      </c>
      <c r="H797" s="70">
        <v>34.115412657479808</v>
      </c>
      <c r="I797" s="70">
        <v>36.431310794071678</v>
      </c>
      <c r="J797" s="70">
        <v>36.082591146751554</v>
      </c>
      <c r="K797" s="70">
        <v>38.439991410248361</v>
      </c>
      <c r="L797" s="70">
        <v>33.479491447015214</v>
      </c>
      <c r="M797" s="70">
        <v>24.648797280745878</v>
      </c>
      <c r="N797" s="70">
        <v>25.313165447769517</v>
      </c>
      <c r="O797" s="70">
        <v>18.110161269176061</v>
      </c>
      <c r="P797" s="70">
        <v>19.275801512270352</v>
      </c>
      <c r="Q797" s="70">
        <v>13.188316263633881</v>
      </c>
      <c r="R797" s="70">
        <v>15.621363304049193</v>
      </c>
      <c r="S797" s="70">
        <v>17.871171289922639</v>
      </c>
      <c r="T797" s="70">
        <v>19.457243637567064</v>
      </c>
      <c r="U797" s="70">
        <v>26.28624993583523</v>
      </c>
      <c r="V797" s="70">
        <v>27.802305058173516</v>
      </c>
      <c r="X797" s="193">
        <f>((0-('Appendix K'!$I$30))/(1+$Y$16)^0)</f>
        <v>-33594902.4440751</v>
      </c>
      <c r="Y797" s="193">
        <f>(((B797*'Appendix K'!$C$5*1000)-('Appendix K'!$E$31+'Appendix K'!$F$31+'Appendix K'!$H$31+'Appendix K'!$G$31))/((1+$Y$16)^1))</f>
        <v>34971064.972647354</v>
      </c>
      <c r="Z797" s="193">
        <f>+(((C797*'Appendix K'!$C$6*1000)-('Appendix K'!$E$32+'Appendix K'!$F$32+'Appendix K'!$H$32+'Appendix K'!$G$32))/((1+$Y$16)^2))</f>
        <v>13047857.017451929</v>
      </c>
      <c r="AA797" s="193">
        <f>(((D797*'Appendix K'!$C$7*1000)-('Appendix K'!$E$33+'Appendix K'!$F$33+'Appendix K'!$H$33+'Appendix K'!$G$33))/((1+$Y$16)^3))</f>
        <v>1487081.8767925312</v>
      </c>
      <c r="AB797" s="193">
        <f>(((E797*'Appendix K'!$C$8*1000)-('Appendix K'!$E$34+'Appendix K'!$F$34+'Appendix K'!$H$34+'Appendix K'!$G$34))/((1+$Y$16)^4))</f>
        <v>2835411.2008609856</v>
      </c>
      <c r="AC797" s="193">
        <f>(((F797*'Appendix K'!$C$9*1000)-('Appendix K'!$E$35+'Appendix K'!$F$35+'Appendix K'!$H$35+'Appendix K'!$G$35))/((1+$Y$16)^AC$34))</f>
        <v>6329425.1103677526</v>
      </c>
      <c r="AD797" s="193">
        <f>(((G797*'Appendix K'!$C$10*1000)-('Appendix K'!$E$36+'Appendix K'!$F$36+'Appendix K'!$H$36+'Appendix K'!$G$36))/((1+$Y$16)^AD$34))</f>
        <v>3856552.2051638677</v>
      </c>
      <c r="AE797" s="193">
        <f>(((H797*'Appendix K'!$C$11*1000)-('Appendix K'!$E$37+'Appendix K'!$F$37+'Appendix K'!$H$37+'Appendix K'!$G$37))/((1+$Y$16)^AE$34))</f>
        <v>1182649.399844826</v>
      </c>
      <c r="AF797" s="193">
        <f>(((I797*'Appendix K'!$C$12*1000)-('Appendix K'!$E$38+'Appendix K'!$F$38+'Appendix K'!$H$38+'Appendix K'!$G$38))/((1+$Y$16)^AF$34))</f>
        <v>395589.27630728035</v>
      </c>
      <c r="AG797" s="193">
        <f>(((J797*'Appendix K'!$C$13*1000)-('Appendix K'!$E$39+'Appendix K'!$F$39+'Appendix K'!$H$39+'Appendix K'!$G$39))/((1+$Y$16)^AG$34))</f>
        <v>-154461.54236479636</v>
      </c>
      <c r="AH797" s="193">
        <f>(((K797*'Appendix K'!$C$14*1000)-('Appendix K'!$E$40+'Appendix K'!$F$40+'Appendix K'!$H$40+'Appendix K'!$G$40))/((1+$Y$16)^AH$34))</f>
        <v>-337062.55708380957</v>
      </c>
      <c r="AI797" s="193">
        <f>(((L797*'Appendix K'!$C$15*1000)-('Appendix K'!$E$41+'Appendix K'!$F$41+'Appendix K'!$H$41+'Appendix K'!$G$41))/((1+$Y$16)^AI$34))</f>
        <v>-639256.06546323048</v>
      </c>
      <c r="AJ797" s="193">
        <f>(((M797*'Appendix K'!$C$16*1000)-('Appendix K'!$E$42+'Appendix K'!$F$42+'Appendix K'!$H$42+'Appendix K'!$G$42))/((1+$Y$16)^AJ$34))</f>
        <v>-887543.04244078102</v>
      </c>
      <c r="AK797" s="193">
        <f>(((N797*'Appendix K'!$C$17*1000)-('Appendix K'!$E$43+'Appendix K'!$F$43+'Appendix K'!$H$43))/((1+$Y$16)^AK$34))</f>
        <v>-615349.73798888386</v>
      </c>
      <c r="AL797" s="193">
        <f>(((O797*'Appendix K'!$C$18*1000)-('Appendix K'!$E$44+'Appendix K'!$F$44+'Appendix K'!$H$44+'Appendix K'!$G$44))/((1+$Y$16)^AL$34))</f>
        <v>-919924.05519319605</v>
      </c>
      <c r="AM797" s="193">
        <f>(((P797*'Appendix K'!$C$19*1000)-('Appendix K'!$E$45+'Appendix K'!$F$45+'Appendix K'!$H$45+'Appendix K'!$G$45))/((1+$Y$16)^AM$34))</f>
        <v>-848103.70781492384</v>
      </c>
      <c r="AN797" s="193">
        <f>(((Q797*'Appendix K'!$C$20*1000)-('Appendix K'!$E$46+'Appendix K'!$F$46+'Appendix K'!$H$46+'Appendix K'!$G$46))/((1+$Y$16)^AN$34))</f>
        <v>-820275.32195560343</v>
      </c>
      <c r="AO797" s="193">
        <f>(((R797*'Appendix K'!$C$21*1000)-('Appendix K'!$E$47+'Appendix K'!$F$47+'Appendix K'!$H$47+'Appendix K'!$G$47))/((1+$Y$16)^AO$34))</f>
        <v>-750674.94240522629</v>
      </c>
      <c r="AP797" s="193">
        <f>(((S797*'Appendix K'!$C$22*1000)-('Appendix K'!$E$48+'Appendix K'!$F$48+'Appendix K'!$H$48+'Appendix K'!$G$48))/((1+$Y$16)^AP$34))</f>
        <v>-678855.33803116228</v>
      </c>
      <c r="AQ797" s="193">
        <f>(((T797*'Appendix K'!$C$23*1000)-('Appendix K'!$E$49+'Appendix K'!$F$49+'Appendix K'!$H$49+'Appendix K'!$G$49))/((1+$Y$16)^AQ$34))</f>
        <v>-617334.9610964692</v>
      </c>
      <c r="AR797" s="193">
        <f>(((U797*'Appendix K'!$C$24*1000)-('Appendix K'!$E$50+'Appendix K'!$F$50+'Appendix K'!$H$50+'Appendix K'!$G$50))/((1+$Y$16)^AR$34))</f>
        <v>-544646.40800419799</v>
      </c>
      <c r="AS797" s="209">
        <f t="shared" si="38"/>
        <v>30510728.615361415</v>
      </c>
      <c r="AU797" s="199">
        <f t="shared" si="37"/>
        <v>4.2370326325069894E-9</v>
      </c>
    </row>
    <row r="798" spans="1:47" x14ac:dyDescent="0.35">
      <c r="A798">
        <v>764</v>
      </c>
      <c r="B798" s="70">
        <v>56</v>
      </c>
      <c r="C798" s="70">
        <v>61.502696121143664</v>
      </c>
      <c r="D798" s="70">
        <v>70.39106877108793</v>
      </c>
      <c r="E798" s="70">
        <v>110.70968648068543</v>
      </c>
      <c r="F798" s="70">
        <v>111.68729317171697</v>
      </c>
      <c r="G798" s="70">
        <v>161.99703998533619</v>
      </c>
      <c r="H798" s="70">
        <v>160.81409654151025</v>
      </c>
      <c r="I798" s="70">
        <v>208.84334497342721</v>
      </c>
      <c r="J798" s="70">
        <v>244.70817788902968</v>
      </c>
      <c r="K798" s="70">
        <v>258.91561497572724</v>
      </c>
      <c r="L798" s="70">
        <v>244.23031433484289</v>
      </c>
      <c r="M798" s="70">
        <v>256.63984702537891</v>
      </c>
      <c r="N798" s="70">
        <v>314.3362520020043</v>
      </c>
      <c r="O798" s="70">
        <v>495.85804522045771</v>
      </c>
      <c r="P798" s="70">
        <v>413.33687917230941</v>
      </c>
      <c r="Q798" s="70">
        <v>500</v>
      </c>
      <c r="R798" s="70">
        <v>500</v>
      </c>
      <c r="S798" s="70">
        <v>500</v>
      </c>
      <c r="T798" s="70">
        <v>432.32569191259881</v>
      </c>
      <c r="U798" s="70">
        <v>433.36969896105529</v>
      </c>
      <c r="V798" s="70">
        <v>412.77847542367476</v>
      </c>
      <c r="X798" s="193">
        <f>((0-('Appendix K'!$I$30))/(1+$Y$16)^0)</f>
        <v>-33594902.4440751</v>
      </c>
      <c r="Y798" s="193">
        <f>(((B798*'Appendix K'!$C$5*1000)-('Appendix K'!$E$31+'Appendix K'!$F$31+'Appendix K'!$H$31+'Appendix K'!$G$31))/((1+$Y$16)^1))</f>
        <v>34971064.972647354</v>
      </c>
      <c r="Z798" s="193">
        <f>+(((C798*'Appendix K'!$C$6*1000)-('Appendix K'!$E$32+'Appendix K'!$F$32+'Appendix K'!$H$32+'Appendix K'!$G$32))/((1+$Y$16)^2))</f>
        <v>12049385.258557905</v>
      </c>
      <c r="AA798" s="193">
        <f>(((D798*'Appendix K'!$C$7*1000)-('Appendix K'!$E$33+'Appendix K'!$F$33+'Appendix K'!$H$33+'Appendix K'!$G$33))/((1+$Y$16)^3))</f>
        <v>6001155.3369719237</v>
      </c>
      <c r="AB798" s="193">
        <f>(((E798*'Appendix K'!$C$8*1000)-('Appendix K'!$E$34+'Appendix K'!$F$34+'Appendix K'!$H$34+'Appendix K'!$G$34))/((1+$Y$16)^4))</f>
        <v>20973341.93807688</v>
      </c>
      <c r="AC798" s="193">
        <f>(((F798*'Appendix K'!$C$9*1000)-('Appendix K'!$E$35+'Appendix K'!$F$35+'Appendix K'!$H$35+'Appendix K'!$G$35))/((1+$Y$16)^AC$34))</f>
        <v>26702078.625360899</v>
      </c>
      <c r="AD798" s="193">
        <f>(((G798*'Appendix K'!$C$10*1000)-('Appendix K'!$E$36+'Appendix K'!$F$36+'Appendix K'!$H$36+'Appendix K'!$G$36))/((1+$Y$16)^AD$34))</f>
        <v>22924892.315453239</v>
      </c>
      <c r="AE798" s="193">
        <f>(((H798*'Appendix K'!$C$11*1000)-('Appendix K'!$E$37+'Appendix K'!$F$37+'Appendix K'!$H$37+'Appendix K'!$G$37))/((1+$Y$16)^AE$34))</f>
        <v>13819275.707141159</v>
      </c>
      <c r="AF798" s="193">
        <f>(((I798*'Appendix K'!$C$12*1000)-('Appendix K'!$E$38+'Appendix K'!$F$38+'Appendix K'!$H$38+'Appendix K'!$G$38))/((1+$Y$16)^AF$34))</f>
        <v>11716581.891261427</v>
      </c>
      <c r="AG798" s="193">
        <f>(((J798*'Appendix K'!$C$13*1000)-('Appendix K'!$E$39+'Appendix K'!$F$39+'Appendix K'!$H$39+'Appendix K'!$G$39))/((1+$Y$16)^AG$34))</f>
        <v>9446265.2645924762</v>
      </c>
      <c r="AH798" s="193">
        <f>(((K798*'Appendix K'!$C$14*1000)-('Appendix K'!$E$40+'Appendix K'!$F$40+'Appendix K'!$H$40+'Appendix K'!$G$40))/((1+$Y$16)^AH$34))</f>
        <v>7094404.947705999</v>
      </c>
      <c r="AI798" s="193">
        <f>(((L798*'Appendix K'!$C$15*1000)-('Appendix K'!$E$41+'Appendix K'!$F$41+'Appendix K'!$H$41+'Appendix K'!$G$41))/((1+$Y$16)^AI$34))</f>
        <v>4882809.6001691595</v>
      </c>
      <c r="AJ798" s="193">
        <f>(((M798*'Appendix K'!$C$16*1000)-('Appendix K'!$E$42+'Appendix K'!$F$42+'Appendix K'!$H$42+'Appendix K'!$G$42))/((1+$Y$16)^AJ$34))</f>
        <v>3761990.7166156359</v>
      </c>
      <c r="AK798" s="193">
        <f>(((N798*'Appendix K'!$C$17*1000)-('Appendix K'!$E$43+'Appendix K'!$F$43+'Appendix K'!$H$43))/((1+$Y$16)^AK$34))</f>
        <v>3825171.3281614617</v>
      </c>
      <c r="AL798" s="193">
        <f>(((O798*'Appendix K'!$C$18*1000)-('Appendix K'!$E$44+'Appendix K'!$F$44+'Appendix K'!$H$44+'Appendix K'!$G$44))/((1+$Y$16)^AL$34))</f>
        <v>4742962.1916119084</v>
      </c>
      <c r="AM798" s="193">
        <f>(((P798*'Appendix K'!$C$19*1000)-('Appendix K'!$E$45+'Appendix K'!$F$45+'Appendix K'!$H$45+'Appendix K'!$G$45))/((1+$Y$16)^AM$34))</f>
        <v>2804342.7307898807</v>
      </c>
      <c r="AN798" s="193">
        <f>(((Q798*'Appendix K'!$C$20*1000)-('Appendix K'!$E$46+'Appendix K'!$F$46+'Appendix K'!$H$46+'Appendix K'!$G$46))/((1+$Y$16)^AN$34))</f>
        <v>2702399.606577659</v>
      </c>
      <c r="AO798" s="193">
        <f>(((R798*'Appendix K'!$C$21*1000)-('Appendix K'!$E$47+'Appendix K'!$F$47+'Appendix K'!$H$47+'Appendix K'!$G$47))/((1+$Y$16)^AO$34))</f>
        <v>2112056.3146391152</v>
      </c>
      <c r="AP798" s="193">
        <f>(((S798*'Appendix K'!$C$22*1000)-('Appendix K'!$E$48+'Appendix K'!$F$48+'Appendix K'!$H$48+'Appendix K'!$G$48))/((1+$Y$16)^AP$34))</f>
        <v>1630406.4380253027</v>
      </c>
      <c r="AQ798" s="193">
        <f>(((T798*'Appendix K'!$C$23*1000)-('Appendix K'!$E$49+'Appendix K'!$F$49+'Appendix K'!$H$49+'Appendix K'!$G$49))/((1+$Y$16)^AQ$34))</f>
        <v>998526.44841852423</v>
      </c>
      <c r="AR798" s="193">
        <f>(((U798*'Appendix K'!$C$24*1000)-('Appendix K'!$E$50+'Appendix K'!$F$50+'Appendix K'!$H$50+'Appendix K'!$G$50))/((1+$Y$16)^AR$34))</f>
        <v>766173.70387059497</v>
      </c>
      <c r="AS798" s="209">
        <f t="shared" si="38"/>
        <v>160330382.89257336</v>
      </c>
      <c r="AU798" s="199">
        <f t="shared" si="37"/>
        <v>3.0935495736322161E-9</v>
      </c>
    </row>
    <row r="799" spans="1:47" x14ac:dyDescent="0.35">
      <c r="A799">
        <v>765</v>
      </c>
      <c r="B799" s="70">
        <v>56</v>
      </c>
      <c r="C799" s="70">
        <v>84.249843176897059</v>
      </c>
      <c r="D799" s="70">
        <v>98.511599753367179</v>
      </c>
      <c r="E799" s="70">
        <v>164.66292318362537</v>
      </c>
      <c r="F799" s="70">
        <v>122.70405189504947</v>
      </c>
      <c r="G799" s="70">
        <v>137.26622238562379</v>
      </c>
      <c r="H799" s="70">
        <v>115.07409791826109</v>
      </c>
      <c r="I799" s="70">
        <v>38.088807226092314</v>
      </c>
      <c r="J799" s="70">
        <v>57.912430569939652</v>
      </c>
      <c r="K799" s="70">
        <v>82.196301300324706</v>
      </c>
      <c r="L799" s="70">
        <v>78.667996638213182</v>
      </c>
      <c r="M799" s="70">
        <v>47.575479318705327</v>
      </c>
      <c r="N799" s="70">
        <v>46.832447461259832</v>
      </c>
      <c r="O799" s="70">
        <v>28.408305343538963</v>
      </c>
      <c r="P799" s="70">
        <v>18.578407376148348</v>
      </c>
      <c r="Q799" s="70">
        <v>29.814671686191229</v>
      </c>
      <c r="R799" s="70">
        <v>29.722515776340771</v>
      </c>
      <c r="S799" s="70">
        <v>42.346541993076997</v>
      </c>
      <c r="T799" s="70">
        <v>39.949299954055036</v>
      </c>
      <c r="U799" s="70">
        <v>42.504101433619169</v>
      </c>
      <c r="V799" s="70">
        <v>53.504743505239034</v>
      </c>
      <c r="X799" s="193">
        <f>((0-('Appendix K'!$I$30))/(1+$Y$16)^0)</f>
        <v>-33594902.4440751</v>
      </c>
      <c r="Y799" s="193">
        <f>(((B799*'Appendix K'!$C$5*1000)-('Appendix K'!$E$31+'Appendix K'!$F$31+'Appendix K'!$H$31+'Appendix K'!$G$31))/((1+$Y$16)^1))</f>
        <v>34971064.972647354</v>
      </c>
      <c r="Z799" s="193">
        <f>+(((C799*'Appendix K'!$C$6*1000)-('Appendix K'!$E$32+'Appendix K'!$F$32+'Appendix K'!$H$32+'Appendix K'!$G$32))/((1+$Y$16)^2))</f>
        <v>17795703.652119905</v>
      </c>
      <c r="AA799" s="193">
        <f>(((D799*'Appendix K'!$C$7*1000)-('Appendix K'!$E$33+'Appendix K'!$F$33+'Appendix K'!$H$33+'Appendix K'!$G$33))/((1+$Y$16)^3))</f>
        <v>9583004.3814919759</v>
      </c>
      <c r="AB799" s="193">
        <f>(((E799*'Appendix K'!$C$8*1000)-('Appendix K'!$E$34+'Appendix K'!$F$34+'Appendix K'!$H$34+'Appendix K'!$G$34))/((1+$Y$16)^4))</f>
        <v>32799397.529016793</v>
      </c>
      <c r="AC799" s="193">
        <f>(((F799*'Appendix K'!$C$9*1000)-('Appendix K'!$E$35+'Appendix K'!$F$35+'Appendix K'!$H$35+'Appendix K'!$G$35))/((1+$Y$16)^AC$34))</f>
        <v>29630315.794607099</v>
      </c>
      <c r="AD799" s="193">
        <f>(((G799*'Appendix K'!$C$10*1000)-('Appendix K'!$E$36+'Appendix K'!$F$36+'Appendix K'!$H$36+'Appendix K'!$G$36))/((1+$Y$16)^AD$34))</f>
        <v>19041066.995365094</v>
      </c>
      <c r="AE799" s="193">
        <f>(((H799*'Appendix K'!$C$11*1000)-('Appendix K'!$E$37+'Appendix K'!$F$37+'Appendix K'!$H$37+'Appendix K'!$G$37))/((1+$Y$16)^AE$34))</f>
        <v>9257276.7014742848</v>
      </c>
      <c r="AF799" s="193">
        <f>(((I799*'Appendix K'!$C$12*1000)-('Appendix K'!$E$38+'Appendix K'!$F$38+'Appendix K'!$H$38+'Appendix K'!$G$38))/((1+$Y$16)^AF$34))</f>
        <v>504424.51484230219</v>
      </c>
      <c r="AG799" s="193">
        <f>(((J799*'Appendix K'!$C$13*1000)-('Appendix K'!$E$39+'Appendix K'!$F$39+'Appendix K'!$H$39+'Appendix K'!$G$39))/((1+$Y$16)^AG$34))</f>
        <v>850124.36588565423</v>
      </c>
      <c r="AH799" s="193">
        <f>(((K799*'Appendix K'!$C$14*1000)-('Appendix K'!$E$40+'Appendix K'!$F$40+'Appendix K'!$H$40+'Appendix K'!$G$40))/((1+$Y$16)^AH$34))</f>
        <v>1137810.6729766654</v>
      </c>
      <c r="AI799" s="193">
        <f>(((L799*'Appendix K'!$C$15*1000)-('Appendix K'!$E$41+'Appendix K'!$F$41+'Appendix K'!$H$41+'Appendix K'!$G$41))/((1+$Y$16)^AI$34))</f>
        <v>544767.27346522536</v>
      </c>
      <c r="AJ799" s="193">
        <f>(((M799*'Appendix K'!$C$16*1000)-('Appendix K'!$E$42+'Appendix K'!$F$42+'Appendix K'!$H$42+'Appendix K'!$G$42))/((1+$Y$16)^AJ$34))</f>
        <v>-428049.53079029161</v>
      </c>
      <c r="AK799" s="193">
        <f>(((N799*'Appendix K'!$C$17*1000)-('Appendix K'!$E$43+'Appendix K'!$F$43+'Appendix K'!$H$43))/((1+$Y$16)^AK$34))</f>
        <v>-284729.6956643312</v>
      </c>
      <c r="AL799" s="193">
        <f>(((O799*'Appendix K'!$C$18*1000)-('Appendix K'!$E$44+'Appendix K'!$F$44+'Appendix K'!$H$44+'Appendix K'!$G$44))/((1+$Y$16)^AL$34))</f>
        <v>-797857.12322898442</v>
      </c>
      <c r="AM799" s="193">
        <f>(((P799*'Appendix K'!$C$19*1000)-('Appendix K'!$E$45+'Appendix K'!$F$45+'Appendix K'!$H$45+'Appendix K'!$G$45))/((1+$Y$16)^AM$34))</f>
        <v>-854567.66701614228</v>
      </c>
      <c r="AN799" s="193">
        <f>(((Q799*'Appendix K'!$C$20*1000)-('Appendix K'!$E$46+'Appendix K'!$F$46+'Appendix K'!$H$46+'Appendix K'!$G$46))/((1+$Y$16)^AN$34))</f>
        <v>-699963.40801303659</v>
      </c>
      <c r="AO799" s="193">
        <f>(((R799*'Appendix K'!$C$21*1000)-('Appendix K'!$E$47+'Appendix K'!$F$47+'Appendix K'!$H$47+'Appendix K'!$G$47))/((1+$Y$16)^AO$34))</f>
        <v>-667335.57339809055</v>
      </c>
      <c r="AP799" s="193">
        <f>(((S799*'Appendix K'!$C$22*1000)-('Appendix K'!$E$48+'Appendix K'!$F$48+'Appendix K'!$H$48+'Appendix K'!$G$48))/((1+$Y$16)^AP$34))</f>
        <v>-561625.18157935992</v>
      </c>
      <c r="AQ799" s="193">
        <f>(((T799*'Appendix K'!$C$23*1000)-('Appendix K'!$E$49+'Appendix K'!$F$49+'Appendix K'!$H$49+'Appendix K'!$G$49))/((1+$Y$16)^AQ$34))</f>
        <v>-537134.29877469467</v>
      </c>
      <c r="AR799" s="193">
        <f>(((U799*'Appendix K'!$C$24*1000)-('Appendix K'!$E$50+'Appendix K'!$F$50+'Appendix K'!$H$50+'Appendix K'!$G$50))/((1+$Y$16)^AR$34))</f>
        <v>-492424.47177564632</v>
      </c>
      <c r="AS799" s="209">
        <f t="shared" si="38"/>
        <v>122520054.40981722</v>
      </c>
      <c r="AU799" s="199">
        <f t="shared" si="37"/>
        <v>5.8183484152700575E-9</v>
      </c>
    </row>
    <row r="800" spans="1:47" x14ac:dyDescent="0.35">
      <c r="A800">
        <v>766</v>
      </c>
      <c r="B800" s="70">
        <v>56</v>
      </c>
      <c r="C800" s="70">
        <v>42.35461920852962</v>
      </c>
      <c r="D800" s="70">
        <v>38.411110646943477</v>
      </c>
      <c r="E800" s="70">
        <v>51.391223887408145</v>
      </c>
      <c r="F800" s="70">
        <v>69.610762762860944</v>
      </c>
      <c r="G800" s="70">
        <v>83.455742740122631</v>
      </c>
      <c r="H800" s="70">
        <v>86.900621936886438</v>
      </c>
      <c r="I800" s="70">
        <v>130.94945244496125</v>
      </c>
      <c r="J800" s="70">
        <v>190.5077513713133</v>
      </c>
      <c r="K800" s="70">
        <v>94.89381995158675</v>
      </c>
      <c r="L800" s="70">
        <v>115.90110912104964</v>
      </c>
      <c r="M800" s="70">
        <v>154.24081306484226</v>
      </c>
      <c r="N800" s="70">
        <v>177.2483032266498</v>
      </c>
      <c r="O800" s="70">
        <v>162.78410043328591</v>
      </c>
      <c r="P800" s="70">
        <v>196.57300238384073</v>
      </c>
      <c r="Q800" s="70">
        <v>211.33240474062643</v>
      </c>
      <c r="R800" s="70">
        <v>269.72145505451908</v>
      </c>
      <c r="S800" s="70">
        <v>304.98215164381361</v>
      </c>
      <c r="T800" s="70">
        <v>373.87811159498648</v>
      </c>
      <c r="U800" s="70">
        <v>332.11776937738961</v>
      </c>
      <c r="V800" s="70">
        <v>301.8847752734527</v>
      </c>
      <c r="X800" s="193">
        <f>((0-('Appendix K'!$I$30))/(1+$Y$16)^0)</f>
        <v>-33594902.4440751</v>
      </c>
      <c r="Y800" s="193">
        <f>(((B800*'Appendix K'!$C$5*1000)-('Appendix K'!$E$31+'Appendix K'!$F$31+'Appendix K'!$H$31+'Appendix K'!$G$31))/((1+$Y$16)^1))</f>
        <v>34971064.972647354</v>
      </c>
      <c r="Z800" s="193">
        <f>+(((C800*'Appendix K'!$C$6*1000)-('Appendix K'!$E$32+'Appendix K'!$F$32+'Appendix K'!$H$32+'Appendix K'!$G$32))/((1+$Y$16)^2))</f>
        <v>7212253.5384961544</v>
      </c>
      <c r="AA800" s="193">
        <f>(((D800*'Appendix K'!$C$7*1000)-('Appendix K'!$E$33+'Appendix K'!$F$33+'Appendix K'!$H$33+'Appendix K'!$G$33))/((1+$Y$16)^3))</f>
        <v>1927712.2528799993</v>
      </c>
      <c r="AB800" s="193">
        <f>(((E800*'Appendix K'!$C$8*1000)-('Appendix K'!$E$34+'Appendix K'!$F$34+'Appendix K'!$H$34+'Appendix K'!$G$34))/((1+$Y$16)^4))</f>
        <v>7971277.9458908001</v>
      </c>
      <c r="AC800" s="193">
        <f>(((F800*'Appendix K'!$C$9*1000)-('Appendix K'!$E$35+'Appendix K'!$F$35+'Appendix K'!$H$35+'Appendix K'!$G$35))/((1+$Y$16)^AC$34))</f>
        <v>15518202.914696323</v>
      </c>
      <c r="AD800" s="193">
        <f>(((G800*'Appendix K'!$C$10*1000)-('Appendix K'!$E$36+'Appendix K'!$F$36+'Appendix K'!$H$36+'Appendix K'!$G$36))/((1+$Y$16)^AD$34))</f>
        <v>10590456.638847189</v>
      </c>
      <c r="AE800" s="193">
        <f>(((H800*'Appendix K'!$C$11*1000)-('Appendix K'!$E$37+'Appendix K'!$F$37+'Appendix K'!$H$37+'Appendix K'!$G$37))/((1+$Y$16)^AE$34))</f>
        <v>6447321.0110103693</v>
      </c>
      <c r="AF800" s="193">
        <f>(((I800*'Appendix K'!$C$12*1000)-('Appendix K'!$E$38+'Appendix K'!$F$38+'Appendix K'!$H$38+'Appendix K'!$G$38))/((1+$Y$16)^AF$34))</f>
        <v>6601879.8563243235</v>
      </c>
      <c r="AG800" s="193">
        <f>(((J800*'Appendix K'!$C$13*1000)-('Appendix K'!$E$39+'Appendix K'!$F$39+'Appendix K'!$H$39+'Appendix K'!$G$39))/((1+$Y$16)^AG$34))</f>
        <v>6952019.4918533005</v>
      </c>
      <c r="AH800" s="193">
        <f>(((K800*'Appendix K'!$C$14*1000)-('Appendix K'!$E$40+'Appendix K'!$F$40+'Appendix K'!$H$40+'Appendix K'!$G$40))/((1+$Y$16)^AH$34))</f>
        <v>1565799.9251322087</v>
      </c>
      <c r="AI800" s="193">
        <f>(((L800*'Appendix K'!$C$15*1000)-('Appendix K'!$E$41+'Appendix K'!$F$41+'Appendix K'!$H$41+'Appendix K'!$G$41))/((1+$Y$16)^AI$34))</f>
        <v>1520344.446777297</v>
      </c>
      <c r="AJ800" s="193">
        <f>(((M800*'Appendix K'!$C$16*1000)-('Appendix K'!$E$42+'Appendix K'!$F$42+'Appendix K'!$H$42+'Appendix K'!$G$42))/((1+$Y$16)^AJ$34))</f>
        <v>1709722.899308196</v>
      </c>
      <c r="AK800" s="193">
        <f>(((N800*'Appendix K'!$C$17*1000)-('Appendix K'!$E$43+'Appendix K'!$F$43+'Appendix K'!$H$43))/((1+$Y$16)^AK$34))</f>
        <v>1718966.1398154725</v>
      </c>
      <c r="AL800" s="193">
        <f>(((O800*'Appendix K'!$C$18*1000)-('Appendix K'!$E$44+'Appendix K'!$F$44+'Appendix K'!$H$44+'Appendix K'!$G$44))/((1+$Y$16)^AL$34))</f>
        <v>794938.71633317997</v>
      </c>
      <c r="AM800" s="193">
        <f>(((P800*'Appendix K'!$C$19*1000)-('Appendix K'!$E$45+'Appendix K'!$F$45+'Appendix K'!$H$45+'Appendix K'!$G$45))/((1+$Y$16)^AM$34))</f>
        <v>795216.49458434118</v>
      </c>
      <c r="AN800" s="193">
        <f>(((Q800*'Appendix K'!$C$20*1000)-('Appendix K'!$E$46+'Appendix K'!$F$46+'Appendix K'!$H$46+'Appendix K'!$G$46))/((1+$Y$16)^AN$34))</f>
        <v>613538.27791062323</v>
      </c>
      <c r="AO800" s="193">
        <f>(((R800*'Appendix K'!$C$21*1000)-('Appendix K'!$E$47+'Appendix K'!$F$47+'Appendix K'!$H$47+'Appendix K'!$G$47))/((1+$Y$16)^AO$34))</f>
        <v>751084.67282841133</v>
      </c>
      <c r="AP800" s="193">
        <f>(((S800*'Appendix K'!$C$22*1000)-('Appendix K'!$E$48+'Appendix K'!$F$48+'Appendix K'!$H$48+'Appendix K'!$G$48))/((1+$Y$16)^AP$34))</f>
        <v>696325.67777993565</v>
      </c>
      <c r="AQ800" s="193">
        <f>(((T800*'Appendix K'!$C$23*1000)-('Appendix K'!$E$49+'Appendix K'!$F$49+'Appendix K'!$H$49+'Appendix K'!$G$49))/((1+$Y$16)^AQ$34))</f>
        <v>769777.58201969333</v>
      </c>
      <c r="AR800" s="193">
        <f>(((U800*'Appendix K'!$C$24*1000)-('Appendix K'!$E$50+'Appendix K'!$F$50+'Appendix K'!$H$50+'Appendix K'!$G$50))/((1+$Y$16)^AR$34))</f>
        <v>440139.6536476966</v>
      </c>
      <c r="AS800" s="209">
        <f t="shared" si="38"/>
        <v>75973140.66470775</v>
      </c>
      <c r="AU800" s="199">
        <f t="shared" si="37"/>
        <v>6.8832575022465776E-9</v>
      </c>
    </row>
    <row r="801" spans="1:47" x14ac:dyDescent="0.35">
      <c r="A801">
        <v>767</v>
      </c>
      <c r="B801" s="70">
        <v>56</v>
      </c>
      <c r="C801" s="70">
        <v>37.393067162953287</v>
      </c>
      <c r="D801" s="70">
        <v>49.855740159199712</v>
      </c>
      <c r="E801" s="70">
        <v>48.491871848373393</v>
      </c>
      <c r="F801" s="70">
        <v>37.683011588127833</v>
      </c>
      <c r="G801" s="70">
        <v>30.876539383582333</v>
      </c>
      <c r="H801" s="70">
        <v>38.586555844062659</v>
      </c>
      <c r="I801" s="70">
        <v>64.947524334717713</v>
      </c>
      <c r="J801" s="70">
        <v>85.864695262356094</v>
      </c>
      <c r="K801" s="70">
        <v>91.60400042393195</v>
      </c>
      <c r="L801" s="70">
        <v>102.68991341496096</v>
      </c>
      <c r="M801" s="70">
        <v>75.331575381510504</v>
      </c>
      <c r="N801" s="70">
        <v>47.586005573870402</v>
      </c>
      <c r="O801" s="70">
        <v>67.136927649252655</v>
      </c>
      <c r="P801" s="70">
        <v>66.290600083828352</v>
      </c>
      <c r="Q801" s="70">
        <v>58.260316270138873</v>
      </c>
      <c r="R801" s="70">
        <v>57.273544029909438</v>
      </c>
      <c r="S801" s="70">
        <v>35.944515610431857</v>
      </c>
      <c r="T801" s="70">
        <v>54.483562421481984</v>
      </c>
      <c r="U801" s="70">
        <v>87.273824140034151</v>
      </c>
      <c r="V801" s="70">
        <v>77.926329418666043</v>
      </c>
      <c r="X801" s="193">
        <f>((0-('Appendix K'!$I$30))/(1+$Y$16)^0)</f>
        <v>-33594902.4440751</v>
      </c>
      <c r="Y801" s="193">
        <f>(((B801*'Appendix K'!$C$5*1000)-('Appendix K'!$E$31+'Appendix K'!$F$31+'Appendix K'!$H$31+'Appendix K'!$G$31))/((1+$Y$16)^1))</f>
        <v>34971064.972647354</v>
      </c>
      <c r="Z801" s="193">
        <f>+(((C801*'Appendix K'!$C$6*1000)-('Appendix K'!$E$32+'Appendix K'!$F$32+'Appendix K'!$H$32+'Appendix K'!$G$32))/((1+$Y$16)^2))</f>
        <v>5958880.6337432787</v>
      </c>
      <c r="AA801" s="193">
        <f>(((D801*'Appendix K'!$C$7*1000)-('Appendix K'!$E$33+'Appendix K'!$F$33+'Appendix K'!$H$33+'Appendix K'!$G$33))/((1+$Y$16)^3))</f>
        <v>3385470.4761935472</v>
      </c>
      <c r="AB801" s="193">
        <f>(((E801*'Appendix K'!$C$8*1000)-('Appendix K'!$E$34+'Appendix K'!$F$34+'Appendix K'!$H$34+'Appendix K'!$G$34))/((1+$Y$16)^4))</f>
        <v>7335766.5199477179</v>
      </c>
      <c r="AC801" s="193">
        <f>(((F801*'Appendix K'!$C$9*1000)-('Appendix K'!$E$35+'Appendix K'!$F$35+'Appendix K'!$H$35+'Appendix K'!$G$35))/((1+$Y$16)^AC$34))</f>
        <v>7031856.7880184343</v>
      </c>
      <c r="AD801" s="193">
        <f>(((G801*'Appendix K'!$C$10*1000)-('Appendix K'!$E$36+'Appendix K'!$F$36+'Appendix K'!$H$36+'Appendix K'!$G$36))/((1+$Y$16)^AD$34))</f>
        <v>2333210.7761560399</v>
      </c>
      <c r="AE801" s="193">
        <f>(((H801*'Appendix K'!$C$11*1000)-('Appendix K'!$E$37+'Appendix K'!$F$37+'Appendix K'!$H$37+'Appendix K'!$G$37))/((1+$Y$16)^AE$34))</f>
        <v>1628590.6194629963</v>
      </c>
      <c r="AF801" s="193">
        <f>(((I801*'Appendix K'!$C$12*1000)-('Appendix K'!$E$38+'Appendix K'!$F$38+'Appendix K'!$H$38+'Appendix K'!$G$38))/((1+$Y$16)^AF$34))</f>
        <v>2268033.0673495922</v>
      </c>
      <c r="AG801" s="193">
        <f>(((J801*'Appendix K'!$C$13*1000)-('Appendix K'!$E$39+'Appendix K'!$F$39+'Appendix K'!$H$39+'Appendix K'!$G$39))/((1+$Y$16)^AG$34))</f>
        <v>2136457.7497153385</v>
      </c>
      <c r="AH801" s="193">
        <f>(((K801*'Appendix K'!$C$14*1000)-('Appendix K'!$E$40+'Appendix K'!$F$40+'Appendix K'!$H$40+'Appendix K'!$G$40))/((1+$Y$16)^AH$34))</f>
        <v>1454911.5352003903</v>
      </c>
      <c r="AI801" s="193">
        <f>(((L801*'Appendix K'!$C$15*1000)-('Appendix K'!$E$41+'Appendix K'!$F$41+'Appendix K'!$H$41+'Appendix K'!$G$41))/((1+$Y$16)^AI$34))</f>
        <v>1174186.4142206612</v>
      </c>
      <c r="AJ801" s="193">
        <f>(((M801*'Appendix K'!$C$16*1000)-('Appendix K'!$E$42+'Appendix K'!$F$42+'Appendix K'!$H$42+'Appendix K'!$G$42))/((1+$Y$16)^AJ$34))</f>
        <v>128234.45432759177</v>
      </c>
      <c r="AK801" s="193">
        <f>(((N801*'Appendix K'!$C$17*1000)-('Appendix K'!$E$43+'Appendix K'!$F$43+'Appendix K'!$H$43))/((1+$Y$16)^AK$34))</f>
        <v>-273152.10609005392</v>
      </c>
      <c r="AL801" s="193">
        <f>(((O801*'Appendix K'!$C$18*1000)-('Appendix K'!$E$44+'Appendix K'!$F$44+'Appendix K'!$H$44+'Appendix K'!$G$44))/((1+$Y$16)^AL$34))</f>
        <v>-338795.36705990782</v>
      </c>
      <c r="AM801" s="193">
        <f>(((P801*'Appendix K'!$C$19*1000)-('Appendix K'!$E$45+'Appendix K'!$F$45+'Appendix K'!$H$45+'Appendix K'!$G$45))/((1+$Y$16)^AM$34))</f>
        <v>-412336.14958743204</v>
      </c>
      <c r="AN801" s="193">
        <f>(((Q801*'Appendix K'!$C$20*1000)-('Appendix K'!$E$46+'Appendix K'!$F$46+'Appendix K'!$H$46+'Appendix K'!$G$46))/((1+$Y$16)^AN$34))</f>
        <v>-494124.5542025629</v>
      </c>
      <c r="AO801" s="193">
        <f>(((R801*'Appendix K'!$C$21*1000)-('Appendix K'!$E$47+'Appendix K'!$F$47+'Appendix K'!$H$47+'Appendix K'!$G$47))/((1+$Y$16)^AO$34))</f>
        <v>-504505.95258078974</v>
      </c>
      <c r="AP801" s="193">
        <f>(((S801*'Appendix K'!$C$22*1000)-('Appendix K'!$E$48+'Appendix K'!$F$48+'Appendix K'!$H$48+'Appendix K'!$G$48))/((1+$Y$16)^AP$34))</f>
        <v>-592289.0911702913</v>
      </c>
      <c r="AQ801" s="193">
        <f>(((T801*'Appendix K'!$C$23*1000)-('Appendix K'!$E$49+'Appendix K'!$F$49+'Appendix K'!$H$49+'Appendix K'!$G$49))/((1+$Y$16)^AQ$34))</f>
        <v>-480250.91634380317</v>
      </c>
      <c r="AR801" s="193">
        <f>(((U801*'Appendix K'!$C$24*1000)-('Appendix K'!$E$50+'Appendix K'!$F$50+'Appendix K'!$H$50+'Appendix K'!$G$50))/((1+$Y$16)^AR$34))</f>
        <v>-348264.71026446135</v>
      </c>
      <c r="AS801" s="209">
        <f t="shared" si="38"/>
        <v>36211761.562907837</v>
      </c>
      <c r="AU801" s="199">
        <f t="shared" si="37"/>
        <v>4.6641362262519615E-9</v>
      </c>
    </row>
    <row r="802" spans="1:47" x14ac:dyDescent="0.35">
      <c r="A802">
        <v>768</v>
      </c>
      <c r="B802" s="70">
        <v>56</v>
      </c>
      <c r="C802" s="70">
        <v>44.905642451274204</v>
      </c>
      <c r="D802" s="70">
        <v>45.565263811981545</v>
      </c>
      <c r="E802" s="70">
        <v>40.282266383974587</v>
      </c>
      <c r="F802" s="70">
        <v>85.52504062301783</v>
      </c>
      <c r="G802" s="70">
        <v>79.117480890901433</v>
      </c>
      <c r="H802" s="70">
        <v>45.017308651502063</v>
      </c>
      <c r="I802" s="70">
        <v>43.890044609967376</v>
      </c>
      <c r="J802" s="70">
        <v>46.005785311986045</v>
      </c>
      <c r="K802" s="70">
        <v>64.184825831348206</v>
      </c>
      <c r="L802" s="70">
        <v>73.936275809502234</v>
      </c>
      <c r="M802" s="70">
        <v>78.862545290287784</v>
      </c>
      <c r="N802" s="70">
        <v>81.267804264057858</v>
      </c>
      <c r="O802" s="70">
        <v>42.976938067403275</v>
      </c>
      <c r="P802" s="70">
        <v>44.471958434904437</v>
      </c>
      <c r="Q802" s="70">
        <v>50.186444060157825</v>
      </c>
      <c r="R802" s="70">
        <v>41.582287941376279</v>
      </c>
      <c r="S802" s="70">
        <v>53.785782441990428</v>
      </c>
      <c r="T802" s="70">
        <v>81.832212864365772</v>
      </c>
      <c r="U802" s="70">
        <v>93.059017224466388</v>
      </c>
      <c r="V802" s="70">
        <v>56.595151826271149</v>
      </c>
      <c r="X802" s="193">
        <f>((0-('Appendix K'!$I$30))/(1+$Y$16)^0)</f>
        <v>-33594902.4440751</v>
      </c>
      <c r="Y802" s="193">
        <f>(((B802*'Appendix K'!$C$5*1000)-('Appendix K'!$E$31+'Appendix K'!$F$31+'Appendix K'!$H$31+'Appendix K'!$G$31))/((1+$Y$16)^1))</f>
        <v>34971064.972647354</v>
      </c>
      <c r="Z802" s="193">
        <f>+(((C802*'Appendix K'!$C$6*1000)-('Appendix K'!$E$32+'Appendix K'!$F$32+'Appendix K'!$H$32+'Appendix K'!$G$32))/((1+$Y$16)^2))</f>
        <v>7856685.6400805032</v>
      </c>
      <c r="AA802" s="193">
        <f>(((D802*'Appendix K'!$C$7*1000)-('Appendix K'!$E$33+'Appendix K'!$F$33+'Appendix K'!$H$33+'Appendix K'!$G$33))/((1+$Y$16)^3))</f>
        <v>2838971.599109624</v>
      </c>
      <c r="AB802" s="193">
        <f>(((E802*'Appendix K'!$C$8*1000)-('Appendix K'!$E$34+'Appendix K'!$F$34+'Appendix K'!$H$34+'Appendix K'!$G$34))/((1+$Y$16)^4))</f>
        <v>5536296.1538561471</v>
      </c>
      <c r="AC802" s="193">
        <f>(((F802*'Appendix K'!$C$9*1000)-('Appendix K'!$E$35+'Appendix K'!$F$35+'Appendix K'!$H$35+'Appendix K'!$G$35))/((1+$Y$16)^AC$34))</f>
        <v>19748192.980025351</v>
      </c>
      <c r="AD802" s="193">
        <f>(((G802*'Appendix K'!$C$10*1000)-('Appendix K'!$E$36+'Appendix K'!$F$36+'Appendix K'!$H$36+'Appendix K'!$G$36))/((1+$Y$16)^AD$34))</f>
        <v>9909158.8553330023</v>
      </c>
      <c r="AE802" s="193">
        <f>(((H802*'Appendix K'!$C$11*1000)-('Appendix K'!$E$37+'Appendix K'!$F$37+'Appendix K'!$H$37+'Appendix K'!$G$37))/((1+$Y$16)^AE$34))</f>
        <v>2269978.6561105601</v>
      </c>
      <c r="AF802" s="193">
        <f>(((I802*'Appendix K'!$C$12*1000)-('Appendix K'!$E$38+'Appendix K'!$F$38+'Appendix K'!$H$38+'Appendix K'!$G$38))/((1+$Y$16)^AF$34))</f>
        <v>885347.84129714058</v>
      </c>
      <c r="AG802" s="193">
        <f>(((J802*'Appendix K'!$C$13*1000)-('Appendix K'!$E$39+'Appendix K'!$F$39+'Appendix K'!$H$39+'Appendix K'!$G$39))/((1+$Y$16)^AG$34))</f>
        <v>302193.2607227015</v>
      </c>
      <c r="AH802" s="193">
        <f>(((K802*'Appendix K'!$C$14*1000)-('Appendix K'!$E$40+'Appendix K'!$F$40+'Appendix K'!$H$40+'Appendix K'!$G$40))/((1+$Y$16)^AH$34))</f>
        <v>530706.39316377661</v>
      </c>
      <c r="AI802" s="193">
        <f>(((L802*'Appendix K'!$C$15*1000)-('Appendix K'!$E$41+'Appendix K'!$F$41+'Appendix K'!$H$41+'Appendix K'!$G$41))/((1+$Y$16)^AI$34))</f>
        <v>420787.33939166053</v>
      </c>
      <c r="AJ802" s="193">
        <f>(((M802*'Appendix K'!$C$16*1000)-('Appendix K'!$E$42+'Appendix K'!$F$42+'Appendix K'!$H$42+'Appendix K'!$G$42))/((1+$Y$16)^AJ$34))</f>
        <v>199001.68354244283</v>
      </c>
      <c r="AK802" s="193">
        <f>(((N802*'Appendix K'!$C$17*1000)-('Appendix K'!$E$43+'Appendix K'!$F$43+'Appendix K'!$H$43))/((1+$Y$16)^AK$34))</f>
        <v>244331.59534272738</v>
      </c>
      <c r="AL802" s="193">
        <f>(((O802*'Appendix K'!$C$18*1000)-('Appendix K'!$E$44+'Appendix K'!$F$44+'Appendix K'!$H$44+'Appendix K'!$G$44))/((1+$Y$16)^AL$34))</f>
        <v>-625170.83270186826</v>
      </c>
      <c r="AM802" s="193">
        <f>(((P802*'Appendix K'!$C$19*1000)-('Appendix K'!$E$45+'Appendix K'!$F$45+'Appendix K'!$H$45+'Appendix K'!$G$45))/((1+$Y$16)^AM$34))</f>
        <v>-614567.28710301605</v>
      </c>
      <c r="AN802" s="193">
        <f>(((Q802*'Appendix K'!$C$20*1000)-('Appendix K'!$E$46+'Appendix K'!$F$46+'Appendix K'!$H$46+'Appendix K'!$G$46))/((1+$Y$16)^AN$34))</f>
        <v>-552548.84466327482</v>
      </c>
      <c r="AO802" s="193">
        <f>(((R802*'Appendix K'!$C$21*1000)-('Appendix K'!$E$47+'Appendix K'!$F$47+'Appendix K'!$H$47+'Appendix K'!$G$47))/((1+$Y$16)^AO$34))</f>
        <v>-597243.00963462482</v>
      </c>
      <c r="AP802" s="193">
        <f>(((S802*'Appendix K'!$C$22*1000)-('Appendix K'!$E$48+'Appendix K'!$F$48+'Appendix K'!$H$48+'Appendix K'!$G$48))/((1+$Y$16)^AP$34))</f>
        <v>-506834.4303470169</v>
      </c>
      <c r="AQ802" s="193">
        <f>(((T802*'Appendix K'!$C$23*1000)-('Appendix K'!$E$49+'Appendix K'!$F$49+'Appendix K'!$H$49+'Appendix K'!$G$49))/((1+$Y$16)^AQ$34))</f>
        <v>-373215.29994442919</v>
      </c>
      <c r="AR802" s="193">
        <f>(((U802*'Appendix K'!$C$24*1000)-('Appendix K'!$E$50+'Appendix K'!$F$50+'Appendix K'!$H$50+'Appendix K'!$G$50))/((1+$Y$16)^AR$34))</f>
        <v>-329636.22643808264</v>
      </c>
      <c r="AS802" s="209">
        <f t="shared" si="38"/>
        <v>52117814.526547872</v>
      </c>
      <c r="AU802" s="199">
        <f t="shared" si="37"/>
        <v>5.7805581360438E-9</v>
      </c>
    </row>
    <row r="803" spans="1:47" x14ac:dyDescent="0.35">
      <c r="A803">
        <v>769</v>
      </c>
      <c r="B803" s="70">
        <v>56</v>
      </c>
      <c r="C803" s="70">
        <v>41.42995497062978</v>
      </c>
      <c r="D803" s="70">
        <v>42.412446543546821</v>
      </c>
      <c r="E803" s="70">
        <v>29.345666301134578</v>
      </c>
      <c r="F803" s="70">
        <v>41.346981719464679</v>
      </c>
      <c r="G803" s="70">
        <v>42.423284318420585</v>
      </c>
      <c r="H803" s="70">
        <v>63.878111923119796</v>
      </c>
      <c r="I803" s="70">
        <v>83.109307385706288</v>
      </c>
      <c r="J803" s="70">
        <v>82.709683423241145</v>
      </c>
      <c r="K803" s="70">
        <v>77.191931486436317</v>
      </c>
      <c r="L803" s="70">
        <v>71.682943785453503</v>
      </c>
      <c r="M803" s="70">
        <v>81.14309301547155</v>
      </c>
      <c r="N803" s="70">
        <v>71.878637858637802</v>
      </c>
      <c r="O803" s="70">
        <v>86.783858825413233</v>
      </c>
      <c r="P803" s="70">
        <v>66.253659125534824</v>
      </c>
      <c r="Q803" s="70">
        <v>68.889140903154413</v>
      </c>
      <c r="R803" s="70">
        <v>55.315024128026693</v>
      </c>
      <c r="S803" s="70">
        <v>84.597240879714619</v>
      </c>
      <c r="T803" s="70">
        <v>104.78973018741586</v>
      </c>
      <c r="U803" s="70">
        <v>125.08073557230711</v>
      </c>
      <c r="V803" s="70">
        <v>131.82486662237875</v>
      </c>
      <c r="X803" s="193">
        <f>((0-('Appendix K'!$I$30))/(1+$Y$16)^0)</f>
        <v>-33594902.4440751</v>
      </c>
      <c r="Y803" s="193">
        <f>(((B803*'Appendix K'!$C$5*1000)-('Appendix K'!$E$31+'Appendix K'!$F$31+'Appendix K'!$H$31+'Appendix K'!$G$31))/((1+$Y$16)^1))</f>
        <v>34971064.972647354</v>
      </c>
      <c r="Z803" s="193">
        <f>+(((C803*'Appendix K'!$C$6*1000)-('Appendix K'!$E$32+'Appendix K'!$F$32+'Appendix K'!$H$32+'Appendix K'!$G$32))/((1+$Y$16)^2))</f>
        <v>6978667.5373554556</v>
      </c>
      <c r="AA803" s="193">
        <f>(((D803*'Appendix K'!$C$7*1000)-('Appendix K'!$E$33+'Appendix K'!$F$33+'Appendix K'!$H$33+'Appendix K'!$G$33))/((1+$Y$16)^3))</f>
        <v>2437381.9019731898</v>
      </c>
      <c r="AB803" s="193">
        <f>(((E803*'Appendix K'!$C$8*1000)-('Appendix K'!$E$34+'Appendix K'!$F$34+'Appendix K'!$H$34+'Appendix K'!$G$34))/((1+$Y$16)^4))</f>
        <v>3139093.5306352787</v>
      </c>
      <c r="AC803" s="193">
        <f>(((F803*'Appendix K'!$C$9*1000)-('Appendix K'!$E$35+'Appendix K'!$F$35+'Appendix K'!$H$35+'Appendix K'!$G$35))/((1+$Y$16)^AC$34))</f>
        <v>8005734.2954622041</v>
      </c>
      <c r="AD803" s="193">
        <f>(((G803*'Appendix K'!$C$10*1000)-('Appendix K'!$E$36+'Appendix K'!$F$36+'Appendix K'!$H$36+'Appendix K'!$G$36))/((1+$Y$16)^AD$34))</f>
        <v>4146557.2278740695</v>
      </c>
      <c r="AE803" s="193">
        <f>(((H803*'Appendix K'!$C$11*1000)-('Appendix K'!$E$37+'Appendix K'!$F$37+'Appendix K'!$H$37+'Appendix K'!$G$37))/((1+$Y$16)^AE$34))</f>
        <v>4151110.4523730953</v>
      </c>
      <c r="AF803" s="193">
        <f>(((I803*'Appendix K'!$C$12*1000)-('Appendix K'!$E$38+'Appendix K'!$F$38+'Appendix K'!$H$38+'Appendix K'!$G$38))/((1+$Y$16)^AF$34))</f>
        <v>3460579.8218339761</v>
      </c>
      <c r="AG803" s="193">
        <f>(((J803*'Appendix K'!$C$13*1000)-('Appendix K'!$E$39+'Appendix K'!$F$39+'Appendix K'!$H$39+'Appendix K'!$G$39))/((1+$Y$16)^AG$34))</f>
        <v>1991267.4726594503</v>
      </c>
      <c r="AH803" s="193">
        <f>(((K803*'Appendix K'!$C$14*1000)-('Appendix K'!$E$40+'Appendix K'!$F$40+'Appendix K'!$H$40+'Appendix K'!$G$40))/((1+$Y$16)^AH$34))</f>
        <v>969130.74794714118</v>
      </c>
      <c r="AI803" s="193">
        <f>(((L803*'Appendix K'!$C$15*1000)-('Appendix K'!$E$41+'Appendix K'!$F$41+'Appendix K'!$H$41+'Appendix K'!$G$41))/((1+$Y$16)^AI$34))</f>
        <v>361745.82661003678</v>
      </c>
      <c r="AJ803" s="193">
        <f>(((M803*'Appendix K'!$C$16*1000)-('Appendix K'!$E$42+'Appendix K'!$F$42+'Appendix K'!$H$42+'Appendix K'!$G$42))/((1+$Y$16)^AJ$34))</f>
        <v>244708.11768743722</v>
      </c>
      <c r="AK803" s="193">
        <f>(((N803*'Appendix K'!$C$17*1000)-('Appendix K'!$E$43+'Appendix K'!$F$43+'Appendix K'!$H$43))/((1+$Y$16)^AK$34))</f>
        <v>100077.40543034014</v>
      </c>
      <c r="AL803" s="193">
        <f>(((O803*'Appendix K'!$C$18*1000)-('Appendix K'!$E$44+'Appendix K'!$F$44+'Appendix K'!$H$44+'Appendix K'!$G$44))/((1+$Y$16)^AL$34))</f>
        <v>-105914.5106776078</v>
      </c>
      <c r="AM803" s="193">
        <f>(((P803*'Appendix K'!$C$19*1000)-('Appendix K'!$E$45+'Appendix K'!$F$45+'Appendix K'!$H$45+'Appendix K'!$G$45))/((1+$Y$16)^AM$34))</f>
        <v>-412678.54542200424</v>
      </c>
      <c r="AN803" s="193">
        <f>(((Q803*'Appendix K'!$C$20*1000)-('Appendix K'!$E$46+'Appendix K'!$F$46+'Appendix K'!$H$46+'Appendix K'!$G$46))/((1+$Y$16)^AN$34))</f>
        <v>-417212.07386288117</v>
      </c>
      <c r="AO803" s="193">
        <f>(((R803*'Appendix K'!$C$21*1000)-('Appendix K'!$E$47+'Appendix K'!$F$47+'Appendix K'!$H$47+'Appendix K'!$G$47))/((1+$Y$16)^AO$34))</f>
        <v>-516081.02157827438</v>
      </c>
      <c r="AP803" s="193">
        <f>(((S803*'Appendix K'!$C$22*1000)-('Appendix K'!$E$48+'Appendix K'!$F$48+'Appendix K'!$H$48+'Appendix K'!$G$48))/((1+$Y$16)^AP$34))</f>
        <v>-359256.19192233396</v>
      </c>
      <c r="AQ803" s="193">
        <f>(((T803*'Appendix K'!$C$23*1000)-('Appendix K'!$E$49+'Appendix K'!$F$49+'Appendix K'!$H$49+'Appendix K'!$G$49))/((1+$Y$16)^AQ$34))</f>
        <v>-283365.45441717538</v>
      </c>
      <c r="AR803" s="193">
        <f>(((U803*'Appendix K'!$C$24*1000)-('Appendix K'!$E$50+'Appendix K'!$F$50+'Appendix K'!$H$50+'Appendix K'!$G$50))/((1+$Y$16)^AR$34))</f>
        <v>-226525.39614603797</v>
      </c>
      <c r="AS803" s="209">
        <f t="shared" si="38"/>
        <v>37362216.866413943</v>
      </c>
      <c r="AU803" s="199">
        <f t="shared" ref="AU803:AU866" si="39">_xlfn.NORM.DIST(AS803,$Y$17,$Y$19,FALSE)</f>
        <v>4.7495957215562843E-9</v>
      </c>
    </row>
    <row r="804" spans="1:47" x14ac:dyDescent="0.35">
      <c r="A804">
        <v>770</v>
      </c>
      <c r="B804" s="70">
        <v>56</v>
      </c>
      <c r="C804" s="70">
        <v>59.220415866453848</v>
      </c>
      <c r="D804" s="70">
        <v>47.128081477933392</v>
      </c>
      <c r="E804" s="70">
        <v>46.175115132212397</v>
      </c>
      <c r="F804" s="70">
        <v>63.717652449427675</v>
      </c>
      <c r="G804" s="70">
        <v>71.685962721045328</v>
      </c>
      <c r="H804" s="70">
        <v>65.362242644552097</v>
      </c>
      <c r="I804" s="70">
        <v>62.265194339910806</v>
      </c>
      <c r="J804" s="70">
        <v>77.359013844284704</v>
      </c>
      <c r="K804" s="70">
        <v>53.741190225958022</v>
      </c>
      <c r="L804" s="70">
        <v>48.165993341229182</v>
      </c>
      <c r="M804" s="70">
        <v>37.699833665406075</v>
      </c>
      <c r="N804" s="70">
        <v>23.205572713677604</v>
      </c>
      <c r="O804" s="70">
        <v>25.210495637832626</v>
      </c>
      <c r="P804" s="70">
        <v>32.370842468020761</v>
      </c>
      <c r="Q804" s="70">
        <v>42.355294661112239</v>
      </c>
      <c r="R804" s="70">
        <v>45.768047018769117</v>
      </c>
      <c r="S804" s="70">
        <v>51.681014213885938</v>
      </c>
      <c r="T804" s="70">
        <v>61.660882387964143</v>
      </c>
      <c r="U804" s="70">
        <v>46.077276504202466</v>
      </c>
      <c r="V804" s="70">
        <v>60.268035464162793</v>
      </c>
      <c r="X804" s="193">
        <f>((0-('Appendix K'!$I$30))/(1+$Y$16)^0)</f>
        <v>-33594902.4440751</v>
      </c>
      <c r="Y804" s="193">
        <f>(((B804*'Appendix K'!$C$5*1000)-('Appendix K'!$E$31+'Appendix K'!$F$31+'Appendix K'!$H$31+'Appendix K'!$G$31))/((1+$Y$16)^1))</f>
        <v>34971064.972647354</v>
      </c>
      <c r="Z804" s="193">
        <f>+(((C804*'Appendix K'!$C$6*1000)-('Appendix K'!$E$32+'Appendix K'!$F$32+'Appendix K'!$H$32+'Appendix K'!$G$32))/((1+$Y$16)^2))</f>
        <v>11472842.232100861</v>
      </c>
      <c r="AA804" s="193">
        <f>(((D804*'Appendix K'!$C$7*1000)-('Appendix K'!$E$33+'Appendix K'!$F$33+'Appendix K'!$H$33+'Appendix K'!$G$33))/((1+$Y$16)^3))</f>
        <v>3038035.2998297932</v>
      </c>
      <c r="AB804" s="193">
        <f>(((E804*'Appendix K'!$C$8*1000)-('Appendix K'!$E$34+'Appendix K'!$F$34+'Appendix K'!$H$34+'Appendix K'!$G$34))/((1+$Y$16)^4))</f>
        <v>6827954.6556316977</v>
      </c>
      <c r="AC804" s="193">
        <f>(((F804*'Appendix K'!$C$9*1000)-('Appendix K'!$E$35+'Appendix K'!$F$35+'Appendix K'!$H$35+'Appendix K'!$G$35))/((1+$Y$16)^AC$34))</f>
        <v>13951823.447229555</v>
      </c>
      <c r="AD804" s="193">
        <f>(((G804*'Appendix K'!$C$10*1000)-('Appendix K'!$E$36+'Appendix K'!$F$36+'Appendix K'!$H$36+'Appendix K'!$G$36))/((1+$Y$16)^AD$34))</f>
        <v>8742083.8761734832</v>
      </c>
      <c r="AE804" s="193">
        <f>(((H804*'Appendix K'!$C$11*1000)-('Appendix K'!$E$37+'Appendix K'!$F$37+'Appendix K'!$H$37+'Appendix K'!$G$37))/((1+$Y$16)^AE$34))</f>
        <v>4299134.1314121336</v>
      </c>
      <c r="AF804" s="193">
        <f>(((I804*'Appendix K'!$C$12*1000)-('Appendix K'!$E$38+'Appendix K'!$F$38+'Appendix K'!$H$38+'Appendix K'!$G$38))/((1+$Y$16)^AF$34))</f>
        <v>2091904.7697709599</v>
      </c>
      <c r="AG804" s="193">
        <f>(((J804*'Appendix K'!$C$13*1000)-('Appendix K'!$E$39+'Appendix K'!$F$39+'Appendix K'!$H$39+'Appendix K'!$G$39))/((1+$Y$16)^AG$34))</f>
        <v>1745035.3701450198</v>
      </c>
      <c r="AH804" s="193">
        <f>(((K804*'Appendix K'!$C$14*1000)-('Appendix K'!$E$40+'Appendix K'!$F$40+'Appendix K'!$H$40+'Appendix K'!$G$40))/((1+$Y$16)^AH$34))</f>
        <v>178687.7101991575</v>
      </c>
      <c r="AI804" s="193">
        <f>(((L804*'Appendix K'!$C$15*1000)-('Appendix K'!$E$41+'Appendix K'!$F$41+'Appendix K'!$H$41+'Appendix K'!$G$41))/((1+$Y$16)^AI$34))</f>
        <v>-254442.25194161278</v>
      </c>
      <c r="AJ804" s="193">
        <f>(((M804*'Appendix K'!$C$16*1000)-('Appendix K'!$E$42+'Appendix K'!$F$42+'Appendix K'!$H$42+'Appendix K'!$G$42))/((1+$Y$16)^AJ$34))</f>
        <v>-625975.90729506395</v>
      </c>
      <c r="AK804" s="193">
        <f>(((N804*'Appendix K'!$C$17*1000)-('Appendix K'!$E$43+'Appendix K'!$F$43+'Appendix K'!$H$43))/((1+$Y$16)^AK$34))</f>
        <v>-647730.57664844312</v>
      </c>
      <c r="AL804" s="193">
        <f>(((O804*'Appendix K'!$C$18*1000)-('Appendix K'!$E$44+'Appendix K'!$F$44+'Appendix K'!$H$44+'Appendix K'!$G$44))/((1+$Y$16)^AL$34))</f>
        <v>-835761.70263302617</v>
      </c>
      <c r="AM804" s="193">
        <f>(((P804*'Appendix K'!$C$19*1000)-('Appendix K'!$E$45+'Appendix K'!$F$45+'Appendix K'!$H$45+'Appendix K'!$G$45))/((1+$Y$16)^AM$34))</f>
        <v>-726729.28538724827</v>
      </c>
      <c r="AN804" s="193">
        <f>(((Q804*'Appendix K'!$C$20*1000)-('Appendix K'!$E$46+'Appendix K'!$F$46+'Appendix K'!$H$46+'Appendix K'!$G$46))/((1+$Y$16)^AN$34))</f>
        <v>-609216.74021969247</v>
      </c>
      <c r="AO804" s="193">
        <f>(((R804*'Appendix K'!$C$21*1000)-('Appendix K'!$E$47+'Appendix K'!$F$47+'Appendix K'!$H$47+'Appendix K'!$G$47))/((1+$Y$16)^AO$34))</f>
        <v>-572504.71104440186</v>
      </c>
      <c r="AP804" s="193">
        <f>(((S804*'Appendix K'!$C$22*1000)-('Appendix K'!$E$48+'Appendix K'!$F$48+'Appendix K'!$H$48+'Appendix K'!$G$48))/((1+$Y$16)^AP$34))</f>
        <v>-516915.67943893239</v>
      </c>
      <c r="AQ804" s="193">
        <f>(((T804*'Appendix K'!$C$23*1000)-('Appendix K'!$E$49+'Appendix K'!$F$49+'Appendix K'!$H$49+'Appendix K'!$G$49))/((1+$Y$16)^AQ$34))</f>
        <v>-452160.72343602666</v>
      </c>
      <c r="AR804" s="193">
        <f>(((U804*'Appendix K'!$C$24*1000)-('Appendix K'!$E$50+'Appendix K'!$F$50+'Appendix K'!$H$50+'Appendix K'!$G$50))/((1+$Y$16)^AR$34))</f>
        <v>-480918.74793208117</v>
      </c>
      <c r="AS804" s="209">
        <f t="shared" ref="AS804:AS867" si="40">SUMIF(Y804:AR804,"&gt;0")+X804</f>
        <v>53723664.02106493</v>
      </c>
      <c r="AU804" s="199">
        <f t="shared" si="39"/>
        <v>5.8814299603053465E-9</v>
      </c>
    </row>
    <row r="805" spans="1:47" x14ac:dyDescent="0.35">
      <c r="A805">
        <v>771</v>
      </c>
      <c r="B805" s="70">
        <v>56</v>
      </c>
      <c r="C805" s="70">
        <v>26.502801399037075</v>
      </c>
      <c r="D805" s="70">
        <v>27.18455052373028</v>
      </c>
      <c r="E805" s="70">
        <v>33.321340918685493</v>
      </c>
      <c r="F805" s="70">
        <v>24.306431904102549</v>
      </c>
      <c r="G805" s="70">
        <v>34.2934221506667</v>
      </c>
      <c r="H805" s="70">
        <v>30.244514351082522</v>
      </c>
      <c r="I805" s="70">
        <v>44.574835110531318</v>
      </c>
      <c r="J805" s="70">
        <v>25.753603091791486</v>
      </c>
      <c r="K805" s="70">
        <v>22.543816211831174</v>
      </c>
      <c r="L805" s="70">
        <v>12.81242736228586</v>
      </c>
      <c r="M805" s="70">
        <v>15.043668732043281</v>
      </c>
      <c r="N805" s="70">
        <v>15.991927226231917</v>
      </c>
      <c r="O805" s="70">
        <v>16.296689981306798</v>
      </c>
      <c r="P805" s="70">
        <v>20.166550375850555</v>
      </c>
      <c r="Q805" s="70">
        <v>18.010938972125849</v>
      </c>
      <c r="R805" s="70">
        <v>23.781011000751917</v>
      </c>
      <c r="S805" s="70">
        <v>23.868746613488984</v>
      </c>
      <c r="T805" s="70">
        <v>38.430136278558038</v>
      </c>
      <c r="U805" s="70">
        <v>42.986597724883424</v>
      </c>
      <c r="V805" s="70">
        <v>33.184747874691681</v>
      </c>
      <c r="X805" s="193">
        <f>((0-('Appendix K'!$I$30))/(1+$Y$16)^0)</f>
        <v>-33594902.4440751</v>
      </c>
      <c r="Y805" s="193">
        <f>(((B805*'Appendix K'!$C$5*1000)-('Appendix K'!$E$31+'Appendix K'!$F$31+'Appendix K'!$H$31+'Appendix K'!$G$31))/((1+$Y$16)^1))</f>
        <v>34971064.972647354</v>
      </c>
      <c r="Z805" s="193">
        <f>+(((C805*'Appendix K'!$C$6*1000)-('Appendix K'!$E$32+'Appendix K'!$F$32+'Appendix K'!$H$32+'Appendix K'!$G$32))/((1+$Y$16)^2))</f>
        <v>3207813.2442113552</v>
      </c>
      <c r="AA805" s="193">
        <f>(((D805*'Appendix K'!$C$7*1000)-('Appendix K'!$E$33+'Appendix K'!$F$33+'Appendix K'!$H$33+'Appendix K'!$G$33))/((1+$Y$16)^3))</f>
        <v>497730.59016109514</v>
      </c>
      <c r="AB805" s="193">
        <f>(((E805*'Appendix K'!$C$8*1000)-('Appendix K'!$E$34+'Appendix K'!$F$34+'Appendix K'!$H$34+'Appendix K'!$G$34))/((1+$Y$16)^4))</f>
        <v>4010525.0130042317</v>
      </c>
      <c r="AC805" s="193">
        <f>(((F805*'Appendix K'!$C$9*1000)-('Appendix K'!$E$35+'Appendix K'!$F$35+'Appendix K'!$H$35+'Appendix K'!$G$35))/((1+$Y$16)^AC$34))</f>
        <v>3476382.9130039643</v>
      </c>
      <c r="AD805" s="193">
        <f>(((G805*'Appendix K'!$C$10*1000)-('Appendix K'!$E$36+'Appendix K'!$F$36+'Appendix K'!$H$36+'Appendix K'!$G$36))/((1+$Y$16)^AD$34))</f>
        <v>2869811.5477669807</v>
      </c>
      <c r="AE805" s="193">
        <f>(((H805*'Appendix K'!$C$11*1000)-('Appendix K'!$E$37+'Appendix K'!$F$37+'Appendix K'!$H$37+'Appendix K'!$G$37))/((1+$Y$16)^AE$34))</f>
        <v>796575.18129760236</v>
      </c>
      <c r="AF805" s="193">
        <f>(((I805*'Appendix K'!$C$12*1000)-('Appendix K'!$E$38+'Appendix K'!$F$38+'Appendix K'!$H$38+'Appendix K'!$G$38))/((1+$Y$16)^AF$34))</f>
        <v>930312.8475774473</v>
      </c>
      <c r="AG805" s="193">
        <f>(((J805*'Appendix K'!$C$13*1000)-('Appendix K'!$E$39+'Appendix K'!$F$39+'Appendix K'!$H$39+'Appendix K'!$G$39))/((1+$Y$16)^AG$34))</f>
        <v>-629790.54709756328</v>
      </c>
      <c r="AH805" s="193">
        <f>(((K805*'Appendix K'!$C$14*1000)-('Appendix K'!$E$40+'Appendix K'!$F$40+'Appendix K'!$H$40+'Appendix K'!$G$40))/((1+$Y$16)^AH$34))</f>
        <v>-872867.41172978876</v>
      </c>
      <c r="AI805" s="193">
        <f>(((L805*'Appendix K'!$C$15*1000)-('Appendix K'!$E$41+'Appendix K'!$F$41+'Appendix K'!$H$41+'Appendix K'!$G$41))/((1+$Y$16)^AI$34))</f>
        <v>-1180771.7920824871</v>
      </c>
      <c r="AJ805" s="193">
        <f>(((M805*'Appendix K'!$C$16*1000)-('Appendix K'!$E$42+'Appendix K'!$F$42+'Appendix K'!$H$42+'Appendix K'!$G$42))/((1+$Y$16)^AJ$34))</f>
        <v>-1080047.7511199678</v>
      </c>
      <c r="AK805" s="193">
        <f>(((N805*'Appendix K'!$C$17*1000)-('Appendix K'!$E$43+'Appendix K'!$F$43+'Appendix K'!$H$43))/((1+$Y$16)^AK$34))</f>
        <v>-758560.28624927858</v>
      </c>
      <c r="AL805" s="193">
        <f>(((O805*'Appendix K'!$C$18*1000)-('Appendix K'!$E$44+'Appendix K'!$F$44+'Appendix K'!$H$44+'Appendix K'!$G$44))/((1+$Y$16)^AL$34))</f>
        <v>-941419.66398609232</v>
      </c>
      <c r="AM805" s="193">
        <f>(((P805*'Appendix K'!$C$19*1000)-('Appendix K'!$E$45+'Appendix K'!$F$45+'Appendix K'!$H$45+'Appendix K'!$G$45))/((1+$Y$16)^AM$34))</f>
        <v>-839847.59550412744</v>
      </c>
      <c r="AN805" s="193">
        <f>(((Q805*'Appendix K'!$C$20*1000)-('Appendix K'!$E$46+'Appendix K'!$F$46+'Appendix K'!$H$46+'Appendix K'!$G$46))/((1+$Y$16)^AN$34))</f>
        <v>-785377.77805404831</v>
      </c>
      <c r="AO805" s="193">
        <f>(((R805*'Appendix K'!$C$21*1000)-('Appendix K'!$E$47+'Appendix K'!$F$47+'Appendix K'!$H$47+'Appendix K'!$G$47))/((1+$Y$16)^AO$34))</f>
        <v>-702450.52303950745</v>
      </c>
      <c r="AP805" s="193">
        <f>(((S805*'Appendix K'!$C$22*1000)-('Appendix K'!$E$48+'Appendix K'!$F$48+'Appendix K'!$H$48+'Appendix K'!$G$48))/((1+$Y$16)^AP$34))</f>
        <v>-650128.63550066552</v>
      </c>
      <c r="AQ805" s="193">
        <f>(((T805*'Appendix K'!$C$23*1000)-('Appendix K'!$E$49+'Appendix K'!$F$49+'Appendix K'!$H$49+'Appendix K'!$G$49))/((1+$Y$16)^AQ$34))</f>
        <v>-543079.91648471472</v>
      </c>
      <c r="AR805" s="193">
        <f>(((U805*'Appendix K'!$C$24*1000)-('Appendix K'!$E$50+'Appendix K'!$F$50+'Appendix K'!$H$50+'Appendix K'!$G$50))/((1+$Y$16)^AR$34))</f>
        <v>-490870.82019878004</v>
      </c>
      <c r="AS805" s="209">
        <f t="shared" si="40"/>
        <v>17165313.865594923</v>
      </c>
      <c r="AU805" s="199">
        <f t="shared" si="39"/>
        <v>3.2530263821441335E-9</v>
      </c>
    </row>
    <row r="806" spans="1:47" x14ac:dyDescent="0.35">
      <c r="A806">
        <v>772</v>
      </c>
      <c r="B806" s="70">
        <v>56</v>
      </c>
      <c r="C806" s="70">
        <v>42.485174235561388</v>
      </c>
      <c r="D806" s="70">
        <v>43.545015798527992</v>
      </c>
      <c r="E806" s="70">
        <v>40.234114127895403</v>
      </c>
      <c r="F806" s="70">
        <v>52.346495615394687</v>
      </c>
      <c r="G806" s="70">
        <v>74.759894846871276</v>
      </c>
      <c r="H806" s="70">
        <v>91.120410862584194</v>
      </c>
      <c r="I806" s="70">
        <v>80.467062639760002</v>
      </c>
      <c r="J806" s="70">
        <v>136.11239670197017</v>
      </c>
      <c r="K806" s="70">
        <v>112.32330278050168</v>
      </c>
      <c r="L806" s="70">
        <v>86.891272658250671</v>
      </c>
      <c r="M806" s="70">
        <v>72.571574478499542</v>
      </c>
      <c r="N806" s="70">
        <v>85.032648702293116</v>
      </c>
      <c r="O806" s="70">
        <v>96.583632178932064</v>
      </c>
      <c r="P806" s="70">
        <v>76.102122925432653</v>
      </c>
      <c r="Q806" s="70">
        <v>69.591424269523685</v>
      </c>
      <c r="R806" s="70">
        <v>67.554068859296549</v>
      </c>
      <c r="S806" s="70">
        <v>59.85305701564576</v>
      </c>
      <c r="T806" s="70">
        <v>86.68772715446147</v>
      </c>
      <c r="U806" s="70">
        <v>86.815347066772119</v>
      </c>
      <c r="V806" s="70">
        <v>89.980523326347353</v>
      </c>
      <c r="X806" s="193">
        <f>((0-('Appendix K'!$I$30))/(1+$Y$16)^0)</f>
        <v>-33594902.4440751</v>
      </c>
      <c r="Y806" s="193">
        <f>(((B806*'Appendix K'!$C$5*1000)-('Appendix K'!$E$31+'Appendix K'!$F$31+'Appendix K'!$H$31+'Appendix K'!$G$31))/((1+$Y$16)^1))</f>
        <v>34971064.972647354</v>
      </c>
      <c r="Z806" s="193">
        <f>+(((C806*'Appendix K'!$C$6*1000)-('Appendix K'!$E$32+'Appendix K'!$F$32+'Appendix K'!$H$32+'Appendix K'!$G$32))/((1+$Y$16)^2))</f>
        <v>7245233.9712232063</v>
      </c>
      <c r="AA806" s="193">
        <f>(((D806*'Appendix K'!$C$7*1000)-('Appendix K'!$E$33+'Appendix K'!$F$33+'Appendix K'!$H$33+'Appendix K'!$G$33))/((1+$Y$16)^3))</f>
        <v>2581642.7662635371</v>
      </c>
      <c r="AB806" s="193">
        <f>(((E806*'Appendix K'!$C$8*1000)-('Appendix K'!$E$34+'Appendix K'!$F$34+'Appendix K'!$H$34+'Appendix K'!$G$34))/((1+$Y$16)^4))</f>
        <v>5525741.6201150687</v>
      </c>
      <c r="AC806" s="193">
        <f>(((F806*'Appendix K'!$C$9*1000)-('Appendix K'!$E$35+'Appendix K'!$F$35+'Appendix K'!$H$35+'Appendix K'!$G$35))/((1+$Y$16)^AC$34))</f>
        <v>10929387.816664062</v>
      </c>
      <c r="AD806" s="193">
        <f>(((G806*'Appendix K'!$C$10*1000)-('Appendix K'!$E$36+'Appendix K'!$F$36+'Appendix K'!$H$36+'Appendix K'!$G$36))/((1+$Y$16)^AD$34))</f>
        <v>9224826.3239061423</v>
      </c>
      <c r="AE806" s="193">
        <f>(((H806*'Appendix K'!$C$11*1000)-('Appendix K'!$E$37+'Appendix K'!$F$37+'Appendix K'!$H$37+'Appendix K'!$G$37))/((1+$Y$16)^AE$34))</f>
        <v>6868192.7526499126</v>
      </c>
      <c r="AF806" s="193">
        <f>(((I806*'Appendix K'!$C$12*1000)-('Appendix K'!$E$38+'Appendix K'!$F$38+'Appendix K'!$H$38+'Appendix K'!$G$38))/((1+$Y$16)^AF$34))</f>
        <v>3287083.6189839952</v>
      </c>
      <c r="AG806" s="193">
        <f>(((J806*'Appendix K'!$C$13*1000)-('Appendix K'!$E$39+'Appendix K'!$F$39+'Appendix K'!$H$39+'Appendix K'!$G$39))/((1+$Y$16)^AG$34))</f>
        <v>4448803.3336500181</v>
      </c>
      <c r="AH806" s="193">
        <f>(((K806*'Appendix K'!$C$14*1000)-('Appendix K'!$E$40+'Appendix K'!$F$40+'Appendix K'!$H$40+'Appendix K'!$G$40))/((1+$Y$16)^AH$34))</f>
        <v>2153287.2544509759</v>
      </c>
      <c r="AI806" s="193">
        <f>(((L806*'Appendix K'!$C$15*1000)-('Appendix K'!$E$41+'Appendix K'!$F$41+'Appendix K'!$H$41+'Appendix K'!$G$41))/((1+$Y$16)^AI$34))</f>
        <v>760232.4827917692</v>
      </c>
      <c r="AJ806" s="193">
        <f>(((M806*'Appendix K'!$C$16*1000)-('Appendix K'!$E$42+'Appendix K'!$F$42+'Appendix K'!$H$42+'Appendix K'!$G$42))/((1+$Y$16)^AJ$34))</f>
        <v>72918.883370430165</v>
      </c>
      <c r="AK806" s="193">
        <f>(((N806*'Appendix K'!$C$17*1000)-('Appendix K'!$E$43+'Appendix K'!$F$43+'Appendix K'!$H$43))/((1+$Y$16)^AK$34))</f>
        <v>302174.27925450396</v>
      </c>
      <c r="AL806" s="193">
        <f>(((O806*'Appendix K'!$C$18*1000)-('Appendix K'!$E$44+'Appendix K'!$F$44+'Appendix K'!$H$44+'Appendix K'!$G$44))/((1+$Y$16)^AL$34))</f>
        <v>10245.086485794947</v>
      </c>
      <c r="AM806" s="193">
        <f>(((P806*'Appendix K'!$C$19*1000)-('Appendix K'!$E$45+'Appendix K'!$F$45+'Appendix K'!$H$45+'Appendix K'!$G$45))/((1+$Y$16)^AM$34))</f>
        <v>-321395.77589484543</v>
      </c>
      <c r="AN806" s="193">
        <f>(((Q806*'Appendix K'!$C$20*1000)-('Appendix K'!$E$46+'Appendix K'!$F$46+'Appendix K'!$H$46+'Appendix K'!$G$46))/((1+$Y$16)^AN$34))</f>
        <v>-412130.19910497236</v>
      </c>
      <c r="AO806" s="193">
        <f>(((R806*'Appendix K'!$C$21*1000)-('Appendix K'!$E$47+'Appendix K'!$F$47+'Appendix K'!$H$47+'Appendix K'!$G$47))/((1+$Y$16)^AO$34))</f>
        <v>-443746.91504631523</v>
      </c>
      <c r="AP806" s="193">
        <f>(((S806*'Appendix K'!$C$22*1000)-('Appendix K'!$E$48+'Appendix K'!$F$48+'Appendix K'!$H$48+'Appendix K'!$G$48))/((1+$Y$16)^AP$34))</f>
        <v>-477773.88797026785</v>
      </c>
      <c r="AQ806" s="193">
        <f>(((T806*'Appendix K'!$C$23*1000)-('Appendix K'!$E$49+'Appendix K'!$F$49+'Appendix K'!$H$49+'Appendix K'!$G$49))/((1+$Y$16)^AQ$34))</f>
        <v>-354212.06005653221</v>
      </c>
      <c r="AR806" s="193">
        <f>(((U806*'Appendix K'!$C$24*1000)-('Appendix K'!$E$50+'Appendix K'!$F$50+'Appendix K'!$H$50+'Appendix K'!$G$50))/((1+$Y$16)^AR$34))</f>
        <v>-349741.01928636932</v>
      </c>
      <c r="AS806" s="209">
        <f t="shared" si="40"/>
        <v>54785932.718381681</v>
      </c>
      <c r="AU806" s="199">
        <f t="shared" si="39"/>
        <v>5.9465049709129792E-9</v>
      </c>
    </row>
    <row r="807" spans="1:47" x14ac:dyDescent="0.35">
      <c r="A807">
        <v>773</v>
      </c>
      <c r="B807" s="70">
        <v>56</v>
      </c>
      <c r="C807" s="70">
        <v>95.35091603936263</v>
      </c>
      <c r="D807" s="70">
        <v>127.99212676579836</v>
      </c>
      <c r="E807" s="70">
        <v>87.137742552876645</v>
      </c>
      <c r="F807" s="70">
        <v>129.83829635284937</v>
      </c>
      <c r="G807" s="70">
        <v>110.4107730961708</v>
      </c>
      <c r="H807" s="70">
        <v>104.41219398898002</v>
      </c>
      <c r="I807" s="70">
        <v>75.945811304073402</v>
      </c>
      <c r="J807" s="70">
        <v>92.98252456448941</v>
      </c>
      <c r="K807" s="70">
        <v>62.598314124270729</v>
      </c>
      <c r="L807" s="70">
        <v>36.330719581225992</v>
      </c>
      <c r="M807" s="70">
        <v>45.712255153787282</v>
      </c>
      <c r="N807" s="70">
        <v>47.553569255775081</v>
      </c>
      <c r="O807" s="70">
        <v>26.162802145739484</v>
      </c>
      <c r="P807" s="70">
        <v>27.619013453304309</v>
      </c>
      <c r="Q807" s="70">
        <v>29.131426179506189</v>
      </c>
      <c r="R807" s="70">
        <v>22.767516192319199</v>
      </c>
      <c r="S807" s="70">
        <v>18.621535715593275</v>
      </c>
      <c r="T807" s="70">
        <v>26.065533206879689</v>
      </c>
      <c r="U807" s="70">
        <v>29.130905069325099</v>
      </c>
      <c r="V807" s="70">
        <v>44.0040327737659</v>
      </c>
      <c r="X807" s="193">
        <f>((0-('Appendix K'!$I$30))/(1+$Y$16)^0)</f>
        <v>-33594902.4440751</v>
      </c>
      <c r="Y807" s="193">
        <f>(((B807*'Appendix K'!$C$5*1000)-('Appendix K'!$E$31+'Appendix K'!$F$31+'Appendix K'!$H$31+'Appendix K'!$G$31))/((1+$Y$16)^1))</f>
        <v>34971064.972647354</v>
      </c>
      <c r="Z807" s="193">
        <f>+(((C807*'Appendix K'!$C$6*1000)-('Appendix K'!$E$32+'Appendix K'!$F$32+'Appendix K'!$H$32+'Appendix K'!$G$32))/((1+$Y$16)^2))</f>
        <v>20600024.52020536</v>
      </c>
      <c r="AA807" s="193">
        <f>(((D807*'Appendix K'!$C$7*1000)-('Appendix K'!$E$33+'Appendix K'!$F$33+'Appendix K'!$H$33+'Appendix K'!$G$33))/((1+$Y$16)^3))</f>
        <v>13338082.746760648</v>
      </c>
      <c r="AB807" s="193">
        <f>(((E807*'Appendix K'!$C$8*1000)-('Appendix K'!$E$34+'Appendix K'!$F$34+'Appendix K'!$H$34+'Appendix K'!$G$34))/((1+$Y$16)^4))</f>
        <v>15806587.609478911</v>
      </c>
      <c r="AC807" s="193">
        <f>(((F807*'Appendix K'!$C$9*1000)-('Appendix K'!$E$35+'Appendix K'!$F$35+'Appendix K'!$H$35+'Appendix K'!$G$35))/((1+$Y$16)^AC$34))</f>
        <v>31526586.768716171</v>
      </c>
      <c r="AD807" s="193">
        <f>(((G807*'Appendix K'!$C$10*1000)-('Appendix K'!$E$36+'Appendix K'!$F$36+'Appendix K'!$H$36+'Appendix K'!$G$36))/((1+$Y$16)^AD$34))</f>
        <v>14823581.119203299</v>
      </c>
      <c r="AE807" s="193">
        <f>(((H807*'Appendix K'!$C$11*1000)-('Appendix K'!$E$37+'Appendix K'!$F$37+'Appendix K'!$H$37+'Appendix K'!$G$37))/((1+$Y$16)^AE$34))</f>
        <v>8193883.68468541</v>
      </c>
      <c r="AF807" s="193">
        <f>(((I807*'Appendix K'!$C$12*1000)-('Appendix K'!$E$38+'Appendix K'!$F$38+'Appendix K'!$H$38+'Appendix K'!$G$38))/((1+$Y$16)^AF$34))</f>
        <v>2990207.2830293179</v>
      </c>
      <c r="AG807" s="193">
        <f>(((J807*'Appendix K'!$C$13*1000)-('Appendix K'!$E$39+'Appendix K'!$F$39+'Appendix K'!$H$39+'Appendix K'!$G$39))/((1+$Y$16)^AG$34))</f>
        <v>2464012.656356561</v>
      </c>
      <c r="AH807" s="193">
        <f>(((K807*'Appendix K'!$C$14*1000)-('Appendix K'!$E$40+'Appendix K'!$F$40+'Appendix K'!$H$40+'Appendix K'!$G$40))/((1+$Y$16)^AH$34))</f>
        <v>477230.59386021621</v>
      </c>
      <c r="AI807" s="193">
        <f>(((L807*'Appendix K'!$C$15*1000)-('Appendix K'!$E$41+'Appendix K'!$F$41+'Appendix K'!$H$41+'Appendix K'!$G$41))/((1+$Y$16)^AI$34))</f>
        <v>-564548.55652415229</v>
      </c>
      <c r="AJ807" s="193">
        <f>(((M807*'Appendix K'!$C$16*1000)-('Appendix K'!$E$42+'Appendix K'!$F$42+'Appendix K'!$H$42+'Appendix K'!$G$42))/((1+$Y$16)^AJ$34))</f>
        <v>-465392.02165367693</v>
      </c>
      <c r="AK807" s="193">
        <f>(((N807*'Appendix K'!$C$17*1000)-('Appendix K'!$E$43+'Appendix K'!$F$43+'Appendix K'!$H$43))/((1+$Y$16)^AK$34))</f>
        <v>-273650.4543553355</v>
      </c>
      <c r="AL807" s="193">
        <f>(((O807*'Appendix K'!$C$18*1000)-('Appendix K'!$E$44+'Appendix K'!$F$44+'Appendix K'!$H$44+'Appendix K'!$G$44))/((1+$Y$16)^AL$34))</f>
        <v>-824473.73337659147</v>
      </c>
      <c r="AM807" s="193">
        <f>(((P807*'Appendix K'!$C$19*1000)-('Appendix K'!$E$45+'Appendix K'!$F$45+'Appendix K'!$H$45+'Appendix K'!$G$45))/((1+$Y$16)^AM$34))</f>
        <v>-770772.71404739411</v>
      </c>
      <c r="AN807" s="193">
        <f>(((Q807*'Appendix K'!$C$20*1000)-('Appendix K'!$E$46+'Appendix K'!$F$46+'Appendix K'!$H$46+'Appendix K'!$G$46))/((1+$Y$16)^AN$34))</f>
        <v>-704907.52068913204</v>
      </c>
      <c r="AO807" s="193">
        <f>(((R807*'Appendix K'!$C$21*1000)-('Appendix K'!$E$47+'Appendix K'!$F$47+'Appendix K'!$H$47+'Appendix K'!$G$47))/((1+$Y$16)^AO$34))</f>
        <v>-708440.38932829199</v>
      </c>
      <c r="AP807" s="193">
        <f>(((S807*'Appendix K'!$C$22*1000)-('Appendix K'!$E$48+'Appendix K'!$F$48+'Appendix K'!$H$48+'Appendix K'!$G$48))/((1+$Y$16)^AP$34))</f>
        <v>-675261.30302821542</v>
      </c>
      <c r="AQ807" s="193">
        <f>(((T807*'Appendix K'!$C$23*1000)-('Appendix K'!$E$49+'Appendix K'!$F$49+'Appendix K'!$H$49+'Appendix K'!$G$49))/((1+$Y$16)^AQ$34))</f>
        <v>-591471.80748769653</v>
      </c>
      <c r="AR807" s="193">
        <f>(((U807*'Appendix K'!$C$24*1000)-('Appendix K'!$E$50+'Appendix K'!$F$50+'Appendix K'!$H$50+'Appendix K'!$G$50))/((1+$Y$16)^AR$34))</f>
        <v>-535486.53877037077</v>
      </c>
      <c r="AS807" s="209">
        <f t="shared" si="40"/>
        <v>111596359.51086816</v>
      </c>
      <c r="AU807" s="199">
        <f t="shared" si="39"/>
        <v>6.4293446600261461E-9</v>
      </c>
    </row>
    <row r="808" spans="1:47" x14ac:dyDescent="0.35">
      <c r="A808">
        <v>774</v>
      </c>
      <c r="B808" s="70">
        <v>56</v>
      </c>
      <c r="C808" s="70">
        <v>64.847606261648068</v>
      </c>
      <c r="D808" s="70">
        <v>37.726619708293654</v>
      </c>
      <c r="E808" s="70">
        <v>41.246183872575529</v>
      </c>
      <c r="F808" s="70">
        <v>42.394649218623989</v>
      </c>
      <c r="G808" s="70">
        <v>32.468446148491665</v>
      </c>
      <c r="H808" s="70">
        <v>38.417241366963914</v>
      </c>
      <c r="I808" s="70">
        <v>18.106863549237076</v>
      </c>
      <c r="J808" s="70">
        <v>13.162025705009389</v>
      </c>
      <c r="K808" s="70">
        <v>15.56964225477406</v>
      </c>
      <c r="L808" s="70">
        <v>13.68360594539141</v>
      </c>
      <c r="M808" s="70">
        <v>9.4130024544135722</v>
      </c>
      <c r="N808" s="70">
        <v>10.062018162824652</v>
      </c>
      <c r="O808" s="70">
        <v>8.2560137303115653</v>
      </c>
      <c r="P808" s="70">
        <v>13.904285063312674</v>
      </c>
      <c r="Q808" s="70">
        <v>15.719566723275474</v>
      </c>
      <c r="R808" s="70">
        <v>34.152116551674844</v>
      </c>
      <c r="S808" s="70">
        <v>40.938824697371771</v>
      </c>
      <c r="T808" s="70">
        <v>44.225165462640994</v>
      </c>
      <c r="U808" s="70">
        <v>47.007656043911446</v>
      </c>
      <c r="V808" s="70">
        <v>67.110839772482393</v>
      </c>
      <c r="X808" s="193">
        <f>((0-('Appendix K'!$I$30))/(1+$Y$16)^0)</f>
        <v>-33594902.4440751</v>
      </c>
      <c r="Y808" s="193">
        <f>(((B808*'Appendix K'!$C$5*1000)-('Appendix K'!$E$31+'Appendix K'!$F$31+'Appendix K'!$H$31+'Appendix K'!$G$31))/((1+$Y$16)^1))</f>
        <v>34971064.972647354</v>
      </c>
      <c r="Z808" s="193">
        <f>+(((C808*'Appendix K'!$C$6*1000)-('Appendix K'!$E$32+'Appendix K'!$F$32+'Appendix K'!$H$32+'Appendix K'!$G$32))/((1+$Y$16)^2))</f>
        <v>12894366.768462507</v>
      </c>
      <c r="AA808" s="193">
        <f>(((D808*'Appendix K'!$C$7*1000)-('Appendix K'!$E$33+'Appendix K'!$F$33+'Appendix K'!$H$33+'Appendix K'!$G$33))/((1+$Y$16)^3))</f>
        <v>1840525.3069389528</v>
      </c>
      <c r="AB808" s="193">
        <f>(((E808*'Appendix K'!$C$8*1000)-('Appendix K'!$E$34+'Appendix K'!$F$34+'Appendix K'!$H$34+'Appendix K'!$G$34))/((1+$Y$16)^4))</f>
        <v>5747578.0435421607</v>
      </c>
      <c r="AC808" s="193">
        <f>(((F808*'Appendix K'!$C$9*1000)-('Appendix K'!$E$35+'Appendix K'!$F$35+'Appendix K'!$H$35+'Appendix K'!$G$35))/((1+$Y$16)^AC$34))</f>
        <v>8284202.6716055544</v>
      </c>
      <c r="AD808" s="193">
        <f>(((G808*'Appendix K'!$C$10*1000)-('Appendix K'!$E$36+'Appendix K'!$F$36+'Appendix K'!$H$36+'Appendix K'!$G$36))/((1+$Y$16)^AD$34))</f>
        <v>2583210.1049629594</v>
      </c>
      <c r="AE808" s="193">
        <f>(((H808*'Appendix K'!$C$11*1000)-('Appendix K'!$E$37+'Appendix K'!$F$37+'Appendix K'!$H$37+'Appendix K'!$G$37))/((1+$Y$16)^AE$34))</f>
        <v>1611703.5949894791</v>
      </c>
      <c r="AF808" s="193">
        <f>(((I808*'Appendix K'!$C$12*1000)-('Appendix K'!$E$38+'Appendix K'!$F$38+'Appendix K'!$H$38+'Appendix K'!$G$38))/((1+$Y$16)^AF$34))</f>
        <v>-807638.40393738169</v>
      </c>
      <c r="AG808" s="193">
        <f>(((J808*'Appendix K'!$C$13*1000)-('Appendix K'!$E$39+'Appendix K'!$F$39+'Appendix K'!$H$39+'Appendix K'!$G$39))/((1+$Y$16)^AG$34))</f>
        <v>-1209241.4977064792</v>
      </c>
      <c r="AH808" s="193">
        <f>(((K808*'Appendix K'!$C$14*1000)-('Appendix K'!$E$40+'Appendix K'!$F$40+'Appendix K'!$H$40+'Appendix K'!$G$40))/((1+$Y$16)^AH$34))</f>
        <v>-1107942.5928154148</v>
      </c>
      <c r="AI808" s="193">
        <f>(((L808*'Appendix K'!$C$15*1000)-('Appendix K'!$E$41+'Appendix K'!$F$41+'Appendix K'!$H$41+'Appendix K'!$G$41))/((1+$Y$16)^AI$34))</f>
        <v>-1157945.284093183</v>
      </c>
      <c r="AJ808" s="193">
        <f>(((M808*'Appendix K'!$C$16*1000)-('Appendix K'!$E$42+'Appendix K'!$F$42+'Appendix K'!$H$42+'Appendix K'!$G$42))/((1+$Y$16)^AJ$34))</f>
        <v>-1192896.8156534394</v>
      </c>
      <c r="AK808" s="193">
        <f>(((N808*'Appendix K'!$C$17*1000)-('Appendix K'!$E$43+'Appendix K'!$F$43+'Appendix K'!$H$43))/((1+$Y$16)^AK$34))</f>
        <v>-849666.80106215214</v>
      </c>
      <c r="AL808" s="193">
        <f>(((O808*'Appendix K'!$C$18*1000)-('Appendix K'!$E$44+'Appendix K'!$F$44+'Appendix K'!$H$44+'Appendix K'!$G$44))/((1+$Y$16)^AL$34))</f>
        <v>-1036728.1655752205</v>
      </c>
      <c r="AM808" s="193">
        <f>(((P808*'Appendix K'!$C$19*1000)-('Appendix K'!$E$45+'Appendix K'!$F$45+'Appendix K'!$H$45+'Appendix K'!$G$45))/((1+$Y$16)^AM$34))</f>
        <v>-897890.85309809307</v>
      </c>
      <c r="AN808" s="193">
        <f>(((Q808*'Appendix K'!$C$20*1000)-('Appendix K'!$E$46+'Appendix K'!$F$46+'Appendix K'!$H$46+'Appendix K'!$G$46))/((1+$Y$16)^AN$34))</f>
        <v>-801958.64462448459</v>
      </c>
      <c r="AO808" s="193">
        <f>(((R808*'Appendix K'!$C$21*1000)-('Appendix K'!$E$47+'Appendix K'!$F$47+'Appendix K'!$H$47+'Appendix K'!$G$47))/((1+$Y$16)^AO$34))</f>
        <v>-641156.14343339438</v>
      </c>
      <c r="AP808" s="193">
        <f>(((S808*'Appendix K'!$C$22*1000)-('Appendix K'!$E$48+'Appendix K'!$F$48+'Appendix K'!$H$48+'Appendix K'!$G$48))/((1+$Y$16)^AP$34))</f>
        <v>-568367.75233822339</v>
      </c>
      <c r="AQ808" s="193">
        <f>(((T808*'Appendix K'!$C$23*1000)-('Appendix K'!$E$49+'Appendix K'!$F$49+'Appendix K'!$H$49+'Appendix K'!$G$49))/((1+$Y$16)^AQ$34))</f>
        <v>-520399.6558237329</v>
      </c>
      <c r="AR808" s="193">
        <f>(((U808*'Appendix K'!$C$24*1000)-('Appendix K'!$E$50+'Appendix K'!$F$50+'Appendix K'!$H$50+'Appendix K'!$G$50))/((1+$Y$16)^AR$34))</f>
        <v>-477922.89974604547</v>
      </c>
      <c r="AS808" s="209">
        <f t="shared" si="40"/>
        <v>34337749.019073881</v>
      </c>
      <c r="AU808" s="199">
        <f t="shared" si="39"/>
        <v>4.5242258780726783E-9</v>
      </c>
    </row>
    <row r="809" spans="1:47" x14ac:dyDescent="0.35">
      <c r="A809">
        <v>775</v>
      </c>
      <c r="B809" s="70">
        <v>56</v>
      </c>
      <c r="C809" s="70">
        <v>52.195406467582565</v>
      </c>
      <c r="D809" s="70">
        <v>39.529869932385523</v>
      </c>
      <c r="E809" s="70">
        <v>49.84823476691458</v>
      </c>
      <c r="F809" s="70">
        <v>68.742425127235236</v>
      </c>
      <c r="G809" s="70">
        <v>95.898944705752356</v>
      </c>
      <c r="H809" s="70">
        <v>129.66451672203118</v>
      </c>
      <c r="I809" s="70">
        <v>179.43702420893729</v>
      </c>
      <c r="J809" s="70">
        <v>214.71853996560242</v>
      </c>
      <c r="K809" s="70">
        <v>113.68290585801431</v>
      </c>
      <c r="L809" s="70">
        <v>133.60937622554647</v>
      </c>
      <c r="M809" s="70">
        <v>165.1032580619179</v>
      </c>
      <c r="N809" s="70">
        <v>74.125781169453049</v>
      </c>
      <c r="O809" s="70">
        <v>106.63778774145342</v>
      </c>
      <c r="P809" s="70">
        <v>191.91115686810292</v>
      </c>
      <c r="Q809" s="70">
        <v>264.24016919022603</v>
      </c>
      <c r="R809" s="70">
        <v>351.14590369341659</v>
      </c>
      <c r="S809" s="70">
        <v>337.46925118121544</v>
      </c>
      <c r="T809" s="70">
        <v>370.05609319197902</v>
      </c>
      <c r="U809" s="70">
        <v>495.47071426871094</v>
      </c>
      <c r="V809" s="70">
        <v>500</v>
      </c>
      <c r="X809" s="193">
        <f>((0-('Appendix K'!$I$30))/(1+$Y$16)^0)</f>
        <v>-33594902.4440751</v>
      </c>
      <c r="Y809" s="193">
        <f>(((B809*'Appendix K'!$C$5*1000)-('Appendix K'!$E$31+'Appendix K'!$F$31+'Appendix K'!$H$31+'Appendix K'!$G$31))/((1+$Y$16)^1))</f>
        <v>34971064.972647354</v>
      </c>
      <c r="Z809" s="193">
        <f>+(((C809*'Appendix K'!$C$6*1000)-('Appendix K'!$E$32+'Appendix K'!$F$32+'Appendix K'!$H$32+'Appendix K'!$G$32))/((1+$Y$16)^2))</f>
        <v>9698204.7083385233</v>
      </c>
      <c r="AA809" s="193">
        <f>(((D809*'Appendix K'!$C$7*1000)-('Appendix K'!$E$33+'Appendix K'!$F$33+'Appendix K'!$H$33+'Appendix K'!$G$33))/((1+$Y$16)^3))</f>
        <v>2070214.0740630256</v>
      </c>
      <c r="AB809" s="193">
        <f>(((E809*'Appendix K'!$C$8*1000)-('Appendix K'!$E$34+'Appendix K'!$F$34+'Appendix K'!$H$34+'Appendix K'!$G$34))/((1+$Y$16)^4))</f>
        <v>7633068.8553845016</v>
      </c>
      <c r="AC809" s="193">
        <f>(((F809*'Appendix K'!$C$9*1000)-('Appendix K'!$E$35+'Appendix K'!$F$35+'Appendix K'!$H$35+'Appendix K'!$G$35))/((1+$Y$16)^AC$34))</f>
        <v>15287400.134681785</v>
      </c>
      <c r="AD809" s="193">
        <f>(((G809*'Appendix K'!$C$10*1000)-('Appendix K'!$E$36+'Appendix K'!$F$36+'Appendix K'!$H$36+'Appendix K'!$G$36))/((1+$Y$16)^AD$34))</f>
        <v>12544586.245045295</v>
      </c>
      <c r="AE809" s="193">
        <f>(((H809*'Appendix K'!$C$11*1000)-('Appendix K'!$E$37+'Appendix K'!$F$37+'Appendix K'!$H$37+'Appendix K'!$G$37))/((1+$Y$16)^AE$34))</f>
        <v>10712490.476693552</v>
      </c>
      <c r="AF809" s="193">
        <f>(((I809*'Appendix K'!$C$12*1000)-('Appendix K'!$E$38+'Appendix K'!$F$38+'Appendix K'!$H$38+'Appendix K'!$G$38))/((1+$Y$16)^AF$34))</f>
        <v>9785691.4995765444</v>
      </c>
      <c r="AG809" s="193">
        <f>(((J809*'Appendix K'!$C$13*1000)-('Appendix K'!$E$39+'Appendix K'!$F$39+'Appendix K'!$H$39+'Appendix K'!$G$39))/((1+$Y$16)^AG$34))</f>
        <v>8066174.1394417053</v>
      </c>
      <c r="AH809" s="193">
        <f>(((K809*'Appendix K'!$C$14*1000)-('Appendix K'!$E$40+'Appendix K'!$F$40+'Appendix K'!$H$40+'Appendix K'!$G$40))/((1+$Y$16)^AH$34))</f>
        <v>2199114.7519609071</v>
      </c>
      <c r="AI809" s="193">
        <f>(((L809*'Appendix K'!$C$15*1000)-('Appendix K'!$E$41+'Appendix K'!$F$41+'Appendix K'!$H$41+'Appendix K'!$G$41))/((1+$Y$16)^AI$34))</f>
        <v>1984334.1595369775</v>
      </c>
      <c r="AJ809" s="193">
        <f>(((M809*'Appendix K'!$C$16*1000)-('Appendix K'!$E$42+'Appendix K'!$F$42+'Appendix K'!$H$42+'Appendix K'!$G$42))/((1+$Y$16)^AJ$34))</f>
        <v>1927426.5769948617</v>
      </c>
      <c r="AK809" s="193">
        <f>(((N809*'Appendix K'!$C$17*1000)-('Appendix K'!$E$43+'Appendix K'!$F$43+'Appendix K'!$H$43))/((1+$Y$16)^AK$34))</f>
        <v>134602.28484152688</v>
      </c>
      <c r="AL809" s="193">
        <f>(((O809*'Appendix K'!$C$18*1000)-('Appendix K'!$E$44+'Appendix K'!$F$44+'Appendix K'!$H$44+'Appendix K'!$G$44))/((1+$Y$16)^AL$34))</f>
        <v>129419.95082501034</v>
      </c>
      <c r="AM809" s="193">
        <f>(((P809*'Appendix K'!$C$19*1000)-('Appendix K'!$E$45+'Appendix K'!$F$45+'Appendix K'!$H$45+'Appendix K'!$G$45))/((1+$Y$16)^AM$34))</f>
        <v>752007.09884195856</v>
      </c>
      <c r="AN809" s="193">
        <f>(((Q809*'Appendix K'!$C$20*1000)-('Appendix K'!$E$46+'Appendix K'!$F$46+'Appendix K'!$H$46+'Appendix K'!$G$46))/((1+$Y$16)^AN$34))</f>
        <v>996390.33667978121</v>
      </c>
      <c r="AO809" s="193">
        <f>(((R809*'Appendix K'!$C$21*1000)-('Appendix K'!$E$47+'Appendix K'!$F$47+'Appendix K'!$H$47+'Appendix K'!$G$47))/((1+$Y$16)^AO$34))</f>
        <v>1232312.1600606574</v>
      </c>
      <c r="AP809" s="193">
        <f>(((S809*'Appendix K'!$C$22*1000)-('Appendix K'!$E$48+'Appendix K'!$F$48+'Appendix K'!$H$48+'Appendix K'!$G$48))/((1+$Y$16)^AP$34))</f>
        <v>851929.76678946638</v>
      </c>
      <c r="AQ809" s="193">
        <f>(((T809*'Appendix K'!$C$23*1000)-('Appendix K'!$E$49+'Appendix K'!$F$49+'Appendix K'!$H$49+'Appendix K'!$G$49))/((1+$Y$16)^AQ$34))</f>
        <v>754819.18045212713</v>
      </c>
      <c r="AR809" s="193">
        <f>(((U809*'Appendix K'!$C$24*1000)-('Appendix K'!$E$50+'Appendix K'!$F$50+'Appendix K'!$H$50+'Appendix K'!$G$50))/((1+$Y$16)^AR$34))</f>
        <v>966140.71316081134</v>
      </c>
      <c r="AS809" s="209">
        <f t="shared" si="40"/>
        <v>89102489.641941249</v>
      </c>
      <c r="AU809" s="199">
        <f t="shared" si="39"/>
        <v>7.0272659870214248E-9</v>
      </c>
    </row>
    <row r="810" spans="1:47" x14ac:dyDescent="0.35">
      <c r="A810">
        <v>776</v>
      </c>
      <c r="B810" s="70">
        <v>56</v>
      </c>
      <c r="C810" s="70">
        <v>86.510936402918801</v>
      </c>
      <c r="D810" s="70">
        <v>83.857966924026968</v>
      </c>
      <c r="E810" s="70">
        <v>107.96765577088112</v>
      </c>
      <c r="F810" s="70">
        <v>109.55203236579435</v>
      </c>
      <c r="G810" s="70">
        <v>102.85077858199104</v>
      </c>
      <c r="H810" s="70">
        <v>104.53049437316577</v>
      </c>
      <c r="I810" s="70">
        <v>160.16014755921816</v>
      </c>
      <c r="J810" s="70">
        <v>197.02826027275586</v>
      </c>
      <c r="K810" s="70">
        <v>216.77657465326814</v>
      </c>
      <c r="L810" s="70">
        <v>173.29204268981169</v>
      </c>
      <c r="M810" s="70">
        <v>212.74779018134501</v>
      </c>
      <c r="N810" s="70">
        <v>289.72349146604182</v>
      </c>
      <c r="O810" s="70">
        <v>289.08336427438098</v>
      </c>
      <c r="P810" s="70">
        <v>342.23351180888494</v>
      </c>
      <c r="Q810" s="70">
        <v>421.55698991449503</v>
      </c>
      <c r="R810" s="70">
        <v>473.62559451321079</v>
      </c>
      <c r="S810" s="70">
        <v>500</v>
      </c>
      <c r="T810" s="70">
        <v>500</v>
      </c>
      <c r="U810" s="70">
        <v>440.1359542184918</v>
      </c>
      <c r="V810" s="70">
        <v>424.13840824750099</v>
      </c>
      <c r="X810" s="193">
        <f>((0-('Appendix K'!$I$30))/(1+$Y$16)^0)</f>
        <v>-33594902.4440751</v>
      </c>
      <c r="Y810" s="193">
        <f>(((B810*'Appendix K'!$C$5*1000)-('Appendix K'!$E$31+'Appendix K'!$F$31+'Appendix K'!$H$31+'Appendix K'!$G$31))/((1+$Y$16)^1))</f>
        <v>34971064.972647354</v>
      </c>
      <c r="Z810" s="193">
        <f>+(((C810*'Appendix K'!$C$6*1000)-('Appendix K'!$E$32+'Appendix K'!$F$32+'Appendix K'!$H$32+'Appendix K'!$G$32))/((1+$Y$16)^2))</f>
        <v>18366894.472771008</v>
      </c>
      <c r="AA810" s="193">
        <f>(((D810*'Appendix K'!$C$7*1000)-('Appendix K'!$E$33+'Appendix K'!$F$33+'Appendix K'!$H$33+'Appendix K'!$G$33))/((1+$Y$16)^3))</f>
        <v>7716499.7702669697</v>
      </c>
      <c r="AB810" s="193">
        <f>(((E810*'Appendix K'!$C$8*1000)-('Appendix K'!$E$34+'Appendix K'!$F$34+'Appendix K'!$H$34+'Appendix K'!$G$34))/((1+$Y$16)^4))</f>
        <v>20372313.907362949</v>
      </c>
      <c r="AC810" s="193">
        <f>(((F810*'Appendix K'!$C$9*1000)-('Appendix K'!$E$35+'Appendix K'!$F$35+'Appendix K'!$H$35+'Appendix K'!$G$35))/((1+$Y$16)^AC$34))</f>
        <v>26134529.656107813</v>
      </c>
      <c r="AD810" s="193">
        <f>(((G810*'Appendix K'!$C$10*1000)-('Appendix K'!$E$36+'Appendix K'!$F$36+'Appendix K'!$H$36+'Appendix K'!$G$36))/((1+$Y$16)^AD$34))</f>
        <v>13636329.707254823</v>
      </c>
      <c r="AE810" s="193">
        <f>(((H810*'Appendix K'!$C$11*1000)-('Appendix K'!$E$37+'Appendix K'!$F$37+'Appendix K'!$H$37+'Appendix K'!$G$37))/((1+$Y$16)^AE$34))</f>
        <v>8205682.684494542</v>
      </c>
      <c r="AF810" s="193">
        <f>(((I810*'Appendix K'!$C$12*1000)-('Appendix K'!$E$38+'Appendix K'!$F$38+'Appendix K'!$H$38+'Appendix K'!$G$38))/((1+$Y$16)^AF$34))</f>
        <v>8519924.9930238184</v>
      </c>
      <c r="AG810" s="193">
        <f>(((J810*'Appendix K'!$C$13*1000)-('Appendix K'!$E$39+'Appendix K'!$F$39+'Appendix K'!$H$39+'Appendix K'!$G$39))/((1+$Y$16)^AG$34))</f>
        <v>7252086.3512573531</v>
      </c>
      <c r="AH810" s="193">
        <f>(((K810*'Appendix K'!$C$14*1000)-('Appendix K'!$E$40+'Appendix K'!$F$40+'Appendix K'!$H$40+'Appendix K'!$G$40))/((1+$Y$16)^AH$34))</f>
        <v>5674044.2575983284</v>
      </c>
      <c r="AI810" s="193">
        <f>(((L810*'Appendix K'!$C$15*1000)-('Appendix K'!$E$41+'Appendix K'!$F$41+'Appendix K'!$H$41+'Appendix K'!$G$41))/((1+$Y$16)^AI$34))</f>
        <v>3024094.2278508893</v>
      </c>
      <c r="AJ810" s="193">
        <f>(((M810*'Appendix K'!$C$16*1000)-('Appendix K'!$E$42+'Appendix K'!$F$42+'Appendix K'!$H$42+'Appendix K'!$G$42))/((1+$Y$16)^AJ$34))</f>
        <v>2882311.9519589832</v>
      </c>
      <c r="AK810" s="193">
        <f>(((N810*'Appendix K'!$C$17*1000)-('Appendix K'!$E$43+'Appendix K'!$F$43+'Appendix K'!$H$43))/((1+$Y$16)^AK$34))</f>
        <v>3447023.3990148176</v>
      </c>
      <c r="AL810" s="193">
        <f>(((O810*'Appendix K'!$C$18*1000)-('Appendix K'!$E$44+'Appendix K'!$F$44+'Appendix K'!$H$44+'Appendix K'!$G$44))/((1+$Y$16)^AL$34))</f>
        <v>2292001.0544685824</v>
      </c>
      <c r="AM810" s="193">
        <f>(((P810*'Appendix K'!$C$19*1000)-('Appendix K'!$E$45+'Appendix K'!$F$45+'Appendix K'!$H$45+'Appendix K'!$G$45))/((1+$Y$16)^AM$34))</f>
        <v>2145304.6891708705</v>
      </c>
      <c r="AN810" s="193">
        <f>(((Q810*'Appendix K'!$C$20*1000)-('Appendix K'!$E$46+'Appendix K'!$F$46+'Appendix K'!$H$46+'Appendix K'!$G$46))/((1+$Y$16)^AN$34))</f>
        <v>2134768.9720250652</v>
      </c>
      <c r="AO810" s="193">
        <f>(((R810*'Appendix K'!$C$21*1000)-('Appendix K'!$E$47+'Appendix K'!$F$47+'Appendix K'!$H$47+'Appendix K'!$G$47))/((1+$Y$16)^AO$34))</f>
        <v>1956180.664366811</v>
      </c>
      <c r="AP810" s="193">
        <f>(((S810*'Appendix K'!$C$22*1000)-('Appendix K'!$E$48+'Appendix K'!$F$48+'Appendix K'!$H$48+'Appendix K'!$G$48))/((1+$Y$16)^AP$34))</f>
        <v>1630406.4380253027</v>
      </c>
      <c r="AQ810" s="193">
        <f>(((T810*'Appendix K'!$C$23*1000)-('Appendix K'!$E$49+'Appendix K'!$F$49+'Appendix K'!$H$49+'Appendix K'!$G$49))/((1+$Y$16)^AQ$34))</f>
        <v>1263386.3652054211</v>
      </c>
      <c r="AR810" s="193">
        <f>(((U810*'Appendix K'!$C$24*1000)-('Appendix K'!$E$50+'Appendix K'!$F$50+'Appendix K'!$H$50+'Appendix K'!$G$50))/((1+$Y$16)^AR$34))</f>
        <v>787961.23538228963</v>
      </c>
      <c r="AS810" s="209">
        <f t="shared" si="40"/>
        <v>138817907.32617888</v>
      </c>
      <c r="AU810" s="199">
        <f t="shared" si="39"/>
        <v>4.6793466431383165E-9</v>
      </c>
    </row>
    <row r="811" spans="1:47" x14ac:dyDescent="0.35">
      <c r="A811">
        <v>777</v>
      </c>
      <c r="B811" s="70">
        <v>56</v>
      </c>
      <c r="C811" s="70">
        <v>39.808457724425892</v>
      </c>
      <c r="D811" s="70">
        <v>27.840102678338702</v>
      </c>
      <c r="E811" s="70">
        <v>35.027509839289856</v>
      </c>
      <c r="F811" s="70">
        <v>33.260958682052078</v>
      </c>
      <c r="G811" s="70">
        <v>45.790539890169839</v>
      </c>
      <c r="H811" s="70">
        <v>55.508820965474293</v>
      </c>
      <c r="I811" s="70">
        <v>43.393853294105654</v>
      </c>
      <c r="J811" s="70">
        <v>38.775185151413353</v>
      </c>
      <c r="K811" s="70">
        <v>27.667587336647344</v>
      </c>
      <c r="L811" s="70">
        <v>28.861691848321055</v>
      </c>
      <c r="M811" s="70">
        <v>41.826094982841902</v>
      </c>
      <c r="N811" s="70">
        <v>27.4492395557617</v>
      </c>
      <c r="O811" s="70">
        <v>25.196741739984674</v>
      </c>
      <c r="P811" s="70">
        <v>24.82026304733516</v>
      </c>
      <c r="Q811" s="70">
        <v>15.558162416955994</v>
      </c>
      <c r="R811" s="70">
        <v>21.884364939153109</v>
      </c>
      <c r="S811" s="70">
        <v>18.141062628615913</v>
      </c>
      <c r="T811" s="70">
        <v>22.722761366366882</v>
      </c>
      <c r="U811" s="70">
        <v>18.720214094578076</v>
      </c>
      <c r="V811" s="70">
        <v>20.813114962079258</v>
      </c>
      <c r="X811" s="193">
        <f>((0-('Appendix K'!$I$30))/(1+$Y$16)^0)</f>
        <v>-33594902.4440751</v>
      </c>
      <c r="Y811" s="193">
        <f>(((B811*'Appendix K'!$C$5*1000)-('Appendix K'!$E$31+'Appendix K'!$F$31+'Appendix K'!$H$31+'Appendix K'!$G$31))/((1+$Y$16)^1))</f>
        <v>34971064.972647354</v>
      </c>
      <c r="Z811" s="193">
        <f>+(((C811*'Appendix K'!$C$6*1000)-('Appendix K'!$E$32+'Appendix K'!$F$32+'Appendix K'!$H$32+'Appendix K'!$G$32))/((1+$Y$16)^2))</f>
        <v>6569049.6002957476</v>
      </c>
      <c r="AA811" s="193">
        <f>(((D811*'Appendix K'!$C$7*1000)-('Appendix K'!$E$33+'Appendix K'!$F$33+'Appendix K'!$H$33+'Appendix K'!$G$33))/((1+$Y$16)^3))</f>
        <v>581231.46217865963</v>
      </c>
      <c r="AB811" s="193">
        <f>(((E811*'Appendix K'!$C$8*1000)-('Appendix K'!$E$34+'Appendix K'!$F$34+'Appendix K'!$H$34+'Appendix K'!$G$34))/((1+$Y$16)^4))</f>
        <v>4384501.6219275231</v>
      </c>
      <c r="AC811" s="193">
        <f>(((F811*'Appendix K'!$C$9*1000)-('Appendix K'!$E$35+'Appendix K'!$F$35+'Appendix K'!$H$35+'Appendix K'!$G$35))/((1+$Y$16)^AC$34))</f>
        <v>5856482.0694526378</v>
      </c>
      <c r="AD811" s="193">
        <f>(((G811*'Appendix K'!$C$10*1000)-('Appendix K'!$E$36+'Appendix K'!$F$36+'Appendix K'!$H$36+'Appendix K'!$G$36))/((1+$Y$16)^AD$34))</f>
        <v>4675364.3486269126</v>
      </c>
      <c r="AE811" s="193">
        <f>(((H811*'Appendix K'!$C$11*1000)-('Appendix K'!$E$37+'Appendix K'!$F$37+'Appendix K'!$H$37+'Appendix K'!$G$37))/((1+$Y$16)^AE$34))</f>
        <v>3316377.2172149145</v>
      </c>
      <c r="AF811" s="193">
        <f>(((I811*'Appendix K'!$C$12*1000)-('Appendix K'!$E$38+'Appendix K'!$F$38+'Appendix K'!$H$38+'Appendix K'!$G$38))/((1+$Y$16)^AF$34))</f>
        <v>852766.71522196627</v>
      </c>
      <c r="AG811" s="193">
        <f>(((J811*'Appendix K'!$C$13*1000)-('Appendix K'!$E$39+'Appendix K'!$F$39+'Appendix K'!$H$39+'Appendix K'!$G$39))/((1+$Y$16)^AG$34))</f>
        <v>-30551.240447978209</v>
      </c>
      <c r="AH811" s="193">
        <f>(((K811*'Appendix K'!$C$14*1000)-('Appendix K'!$E$40+'Appendix K'!$F$40+'Appendix K'!$H$40+'Appendix K'!$G$40))/((1+$Y$16)^AH$34))</f>
        <v>-700162.88321875711</v>
      </c>
      <c r="AI811" s="193">
        <f>(((L811*'Appendix K'!$C$15*1000)-('Appendix K'!$E$41+'Appendix K'!$F$41+'Appendix K'!$H$41+'Appendix K'!$G$41))/((1+$Y$16)^AI$34))</f>
        <v>-760251.05027661042</v>
      </c>
      <c r="AJ811" s="193">
        <f>(((M811*'Appendix K'!$C$16*1000)-('Appendix K'!$E$42+'Appendix K'!$F$42+'Appendix K'!$H$42+'Appendix K'!$G$42))/((1+$Y$16)^AJ$34))</f>
        <v>-543277.9268547633</v>
      </c>
      <c r="AK811" s="193">
        <f>(((N811*'Appendix K'!$C$17*1000)-('Appendix K'!$E$43+'Appendix K'!$F$43+'Appendix K'!$H$43))/((1+$Y$16)^AK$34))</f>
        <v>-582531.31442112615</v>
      </c>
      <c r="AL811" s="193">
        <f>(((O811*'Appendix K'!$C$18*1000)-('Appendix K'!$E$44+'Appendix K'!$F$44+'Appendix K'!$H$44+'Appendix K'!$G$44))/((1+$Y$16)^AL$34))</f>
        <v>-835924.73163133173</v>
      </c>
      <c r="AM811" s="193">
        <f>(((P811*'Appendix K'!$C$19*1000)-('Appendix K'!$E$45+'Appendix K'!$F$45+'Appendix K'!$H$45+'Appendix K'!$G$45))/((1+$Y$16)^AM$34))</f>
        <v>-796713.58091383614</v>
      </c>
      <c r="AN811" s="193">
        <f>(((Q811*'Appendix K'!$C$20*1000)-('Appendix K'!$E$46+'Appendix K'!$F$46+'Appendix K'!$H$46+'Appendix K'!$G$46))/((1+$Y$16)^AN$34))</f>
        <v>-803126.60119213513</v>
      </c>
      <c r="AO811" s="193">
        <f>(((R811*'Appendix K'!$C$21*1000)-('Appendix K'!$E$47+'Appendix K'!$F$47+'Appendix K'!$H$47+'Appendix K'!$G$47))/((1+$Y$16)^AO$34))</f>
        <v>-713659.91080508952</v>
      </c>
      <c r="AP811" s="193">
        <f>(((S811*'Appendix K'!$C$22*1000)-('Appendix K'!$E$48+'Appendix K'!$F$48+'Appendix K'!$H$48+'Appendix K'!$G$48))/((1+$Y$16)^AP$34))</f>
        <v>-677562.63426606986</v>
      </c>
      <c r="AQ811" s="193">
        <f>(((T811*'Appendix K'!$C$23*1000)-('Appendix K'!$E$49+'Appendix K'!$F$49+'Appendix K'!$H$49+'Appendix K'!$G$49))/((1+$Y$16)^AQ$34))</f>
        <v>-604554.56069992529</v>
      </c>
      <c r="AR811" s="193">
        <f>(((U811*'Appendix K'!$C$24*1000)-('Appendix K'!$E$50+'Appendix K'!$F$50+'Appendix K'!$H$50+'Appendix K'!$G$50))/((1+$Y$16)^AR$34))</f>
        <v>-569009.25540473417</v>
      </c>
      <c r="AS811" s="209">
        <f t="shared" si="40"/>
        <v>27611935.563490607</v>
      </c>
      <c r="AU811" s="199">
        <f t="shared" si="39"/>
        <v>4.0195100695225964E-9</v>
      </c>
    </row>
    <row r="812" spans="1:47" x14ac:dyDescent="0.35">
      <c r="A812">
        <v>778</v>
      </c>
      <c r="B812" s="70">
        <v>56</v>
      </c>
      <c r="C812" s="70">
        <v>64.301708590893242</v>
      </c>
      <c r="D812" s="70">
        <v>116.01228201069179</v>
      </c>
      <c r="E812" s="70">
        <v>118.08926092969305</v>
      </c>
      <c r="F812" s="70">
        <v>156.44774218816775</v>
      </c>
      <c r="G812" s="70">
        <v>174.08440388671249</v>
      </c>
      <c r="H812" s="70">
        <v>202.58692166754096</v>
      </c>
      <c r="I812" s="70">
        <v>266.87551636369028</v>
      </c>
      <c r="J812" s="70">
        <v>186.44774696965581</v>
      </c>
      <c r="K812" s="70">
        <v>208.13991483013032</v>
      </c>
      <c r="L812" s="70">
        <v>276.03058957018629</v>
      </c>
      <c r="M812" s="70">
        <v>326.63399546079205</v>
      </c>
      <c r="N812" s="70">
        <v>408.56373302430586</v>
      </c>
      <c r="O812" s="70">
        <v>270.99771946566813</v>
      </c>
      <c r="P812" s="70">
        <v>452.73966757050323</v>
      </c>
      <c r="Q812" s="70">
        <v>500</v>
      </c>
      <c r="R812" s="70">
        <v>411.49630870607427</v>
      </c>
      <c r="S812" s="70">
        <v>500</v>
      </c>
      <c r="T812" s="70">
        <v>500</v>
      </c>
      <c r="U812" s="70">
        <v>480.18264791299146</v>
      </c>
      <c r="V812" s="70">
        <v>500</v>
      </c>
      <c r="X812" s="193">
        <f>((0-('Appendix K'!$I$30))/(1+$Y$16)^0)</f>
        <v>-33594902.4440751</v>
      </c>
      <c r="Y812" s="193">
        <f>(((B812*'Appendix K'!$C$5*1000)-('Appendix K'!$E$31+'Appendix K'!$F$31+'Appendix K'!$H$31+'Appendix K'!$G$31))/((1+$Y$16)^1))</f>
        <v>34971064.972647354</v>
      </c>
      <c r="Z812" s="193">
        <f>+(((C812*'Appendix K'!$C$6*1000)-('Appendix K'!$E$32+'Appendix K'!$F$32+'Appendix K'!$H$32+'Appendix K'!$G$32))/((1+$Y$16)^2))</f>
        <v>12756463.680274235</v>
      </c>
      <c r="AA812" s="193">
        <f>(((D812*'Appendix K'!$C$7*1000)-('Appendix K'!$E$33+'Appendix K'!$F$33+'Appendix K'!$H$33+'Appendix K'!$G$33))/((1+$Y$16)^3))</f>
        <v>11812151.550204735</v>
      </c>
      <c r="AB812" s="193">
        <f>(((E812*'Appendix K'!$C$8*1000)-('Appendix K'!$E$34+'Appendix K'!$F$34+'Appendix K'!$H$34+'Appendix K'!$G$34))/((1+$Y$16)^4))</f>
        <v>22590877.103797313</v>
      </c>
      <c r="AC812" s="193">
        <f>(((F812*'Appendix K'!$C$9*1000)-('Appendix K'!$E$35+'Appendix K'!$F$35+'Appendix K'!$H$35+'Appendix K'!$G$35))/((1+$Y$16)^AC$34))</f>
        <v>38599335.687415645</v>
      </c>
      <c r="AD812" s="193">
        <f>(((G812*'Appendix K'!$C$10*1000)-('Appendix K'!$E$36+'Appendix K'!$F$36+'Appendix K'!$H$36+'Appendix K'!$G$36))/((1+$Y$16)^AD$34))</f>
        <v>24823139.705941074</v>
      </c>
      <c r="AE812" s="193">
        <f>(((H812*'Appendix K'!$C$11*1000)-('Appendix K'!$E$37+'Appendix K'!$F$37+'Appendix K'!$H$37+'Appendix K'!$G$37))/((1+$Y$16)^AE$34))</f>
        <v>17985598.235012531</v>
      </c>
      <c r="AF812" s="193">
        <f>(((I812*'Appendix K'!$C$12*1000)-('Appendix K'!$E$38+'Appendix K'!$F$38+'Appendix K'!$H$38+'Appendix K'!$G$38))/((1+$Y$16)^AF$34))</f>
        <v>15527115.111091552</v>
      </c>
      <c r="AG812" s="193">
        <f>(((J812*'Appendix K'!$C$13*1000)-('Appendix K'!$E$39+'Appendix K'!$F$39+'Appendix K'!$H$39+'Appendix K'!$G$39))/((1+$Y$16)^AG$34))</f>
        <v>6765182.423092844</v>
      </c>
      <c r="AH812" s="193">
        <f>(((K812*'Appendix K'!$C$14*1000)-('Appendix K'!$E$40+'Appendix K'!$F$40+'Appendix K'!$H$40+'Appendix K'!$G$40))/((1+$Y$16)^AH$34))</f>
        <v>5382932.4521859242</v>
      </c>
      <c r="AI812" s="193">
        <f>(((L812*'Appendix K'!$C$15*1000)-('Appendix K'!$E$41+'Appendix K'!$F$41+'Appendix K'!$H$41+'Appendix K'!$G$41))/((1+$Y$16)^AI$34))</f>
        <v>5716036.2781414436</v>
      </c>
      <c r="AJ812" s="193">
        <f>(((M812*'Appendix K'!$C$16*1000)-('Appendix K'!$E$42+'Appendix K'!$F$42+'Appendix K'!$H$42+'Appendix K'!$G$42))/((1+$Y$16)^AJ$34))</f>
        <v>5164804.128792922</v>
      </c>
      <c r="AK812" s="193">
        <f>(((N812*'Appendix K'!$C$17*1000)-('Appendix K'!$E$43+'Appendix K'!$F$43+'Appendix K'!$H$43))/((1+$Y$16)^AK$34))</f>
        <v>5272872.6847494459</v>
      </c>
      <c r="AL812" s="193">
        <f>(((O812*'Appendix K'!$C$18*1000)-('Appendix K'!$E$44+'Appendix K'!$F$44+'Appendix K'!$H$44+'Appendix K'!$G$44))/((1+$Y$16)^AL$34))</f>
        <v>2077626.584811473</v>
      </c>
      <c r="AM812" s="193">
        <f>(((P812*'Appendix K'!$C$19*1000)-('Appendix K'!$E$45+'Appendix K'!$F$45+'Appendix K'!$H$45+'Appendix K'!$G$45))/((1+$Y$16)^AM$34))</f>
        <v>3169556.6083204094</v>
      </c>
      <c r="AN812" s="193">
        <f>(((Q812*'Appendix K'!$C$20*1000)-('Appendix K'!$E$46+'Appendix K'!$F$46+'Appendix K'!$H$46+'Appendix K'!$G$46))/((1+$Y$16)^AN$34))</f>
        <v>2702399.606577659</v>
      </c>
      <c r="AO812" s="193">
        <f>(((R812*'Appendix K'!$C$21*1000)-('Appendix K'!$E$47+'Appendix K'!$F$47+'Appendix K'!$H$47+'Appendix K'!$G$47))/((1+$Y$16)^AO$34))</f>
        <v>1588989.7212006385</v>
      </c>
      <c r="AP812" s="193">
        <f>(((S812*'Appendix K'!$C$22*1000)-('Appendix K'!$E$48+'Appendix K'!$F$48+'Appendix K'!$H$48+'Appendix K'!$G$48))/((1+$Y$16)^AP$34))</f>
        <v>1630406.4380253027</v>
      </c>
      <c r="AQ812" s="193">
        <f>(((T812*'Appendix K'!$C$23*1000)-('Appendix K'!$E$49+'Appendix K'!$F$49+'Appendix K'!$H$49+'Appendix K'!$G$49))/((1+$Y$16)^AQ$34))</f>
        <v>1263386.3652054211</v>
      </c>
      <c r="AR812" s="193">
        <f>(((U812*'Appendix K'!$C$24*1000)-('Appendix K'!$E$50+'Appendix K'!$F$50+'Appendix K'!$H$50+'Appendix K'!$G$50))/((1+$Y$16)^AR$34))</f>
        <v>916912.71114122553</v>
      </c>
      <c r="AS812" s="209">
        <f t="shared" si="40"/>
        <v>187121949.60455406</v>
      </c>
      <c r="AU812" s="199">
        <f t="shared" si="39"/>
        <v>1.5113675442970336E-9</v>
      </c>
    </row>
    <row r="813" spans="1:47" x14ac:dyDescent="0.35">
      <c r="A813">
        <v>779</v>
      </c>
      <c r="B813" s="70">
        <v>56</v>
      </c>
      <c r="C813" s="70">
        <v>42.615822592240463</v>
      </c>
      <c r="D813" s="70">
        <v>37.113959882677634</v>
      </c>
      <c r="E813" s="70">
        <v>42.422245200837622</v>
      </c>
      <c r="F813" s="70">
        <v>67.6480098643666</v>
      </c>
      <c r="G813" s="70">
        <v>99.07321765122353</v>
      </c>
      <c r="H813" s="70">
        <v>63.295722684818216</v>
      </c>
      <c r="I813" s="70">
        <v>43.677691717065677</v>
      </c>
      <c r="J813" s="70">
        <v>55.138203580805204</v>
      </c>
      <c r="K813" s="70">
        <v>74.155780877560289</v>
      </c>
      <c r="L813" s="70">
        <v>89.344208030097718</v>
      </c>
      <c r="M813" s="70">
        <v>82.484722441986378</v>
      </c>
      <c r="N813" s="70">
        <v>86.485907463218737</v>
      </c>
      <c r="O813" s="70">
        <v>59.450434139683644</v>
      </c>
      <c r="P813" s="70">
        <v>74.294252803114603</v>
      </c>
      <c r="Q813" s="70">
        <v>60.382767906515014</v>
      </c>
      <c r="R813" s="70">
        <v>45.994304925656351</v>
      </c>
      <c r="S813" s="70">
        <v>47.711344300890225</v>
      </c>
      <c r="T813" s="70">
        <v>49.040202827668615</v>
      </c>
      <c r="U813" s="70">
        <v>45.469467404816946</v>
      </c>
      <c r="V813" s="70">
        <v>47.667275105551013</v>
      </c>
      <c r="X813" s="193">
        <f>((0-('Appendix K'!$I$30))/(1+$Y$16)^0)</f>
        <v>-33594902.4440751</v>
      </c>
      <c r="Y813" s="193">
        <f>(((B813*'Appendix K'!$C$5*1000)-('Appendix K'!$E$31+'Appendix K'!$F$31+'Appendix K'!$H$31+'Appendix K'!$G$31))/((1+$Y$16)^1))</f>
        <v>34971064.972647354</v>
      </c>
      <c r="Z813" s="193">
        <f>+(((C813*'Appendix K'!$C$6*1000)-('Appendix K'!$E$32+'Appendix K'!$F$32+'Appendix K'!$H$32+'Appendix K'!$G$32))/((1+$Y$16)^2))</f>
        <v>7278237.980615397</v>
      </c>
      <c r="AA813" s="193">
        <f>(((D813*'Appendix K'!$C$7*1000)-('Appendix K'!$E$33+'Appendix K'!$F$33+'Appendix K'!$H$33+'Appendix K'!$G$33))/((1+$Y$16)^3))</f>
        <v>1762487.8398519522</v>
      </c>
      <c r="AB813" s="193">
        <f>(((E813*'Appendix K'!$C$8*1000)-('Appendix K'!$E$34+'Appendix K'!$F$34+'Appendix K'!$H$34+'Appendix K'!$G$34))/((1+$Y$16)^4))</f>
        <v>6005359.9208919648</v>
      </c>
      <c r="AC813" s="193">
        <f>(((F813*'Appendix K'!$C$9*1000)-('Appendix K'!$E$35+'Appendix K'!$F$35+'Appendix K'!$H$35+'Appendix K'!$G$35))/((1+$Y$16)^AC$34))</f>
        <v>14996506.276351659</v>
      </c>
      <c r="AD813" s="193">
        <f>(((G813*'Appendix K'!$C$10*1000)-('Appendix K'!$E$36+'Appendix K'!$F$36+'Appendix K'!$H$36+'Appendix K'!$G$36))/((1+$Y$16)^AD$34))</f>
        <v>13043086.611593433</v>
      </c>
      <c r="AE813" s="193">
        <f>(((H813*'Appendix K'!$C$11*1000)-('Appendix K'!$E$37+'Appendix K'!$F$37+'Appendix K'!$H$37+'Appendix K'!$G$37))/((1+$Y$16)^AE$34))</f>
        <v>4093024.3306850106</v>
      </c>
      <c r="AF813" s="193">
        <f>(((I813*'Appendix K'!$C$12*1000)-('Appendix K'!$E$38+'Appendix K'!$F$38+'Appendix K'!$H$38+'Appendix K'!$G$38))/((1+$Y$16)^AF$34))</f>
        <v>871404.23496045428</v>
      </c>
      <c r="AG813" s="193">
        <f>(((J813*'Appendix K'!$C$13*1000)-('Appendix K'!$E$39+'Appendix K'!$F$39+'Appendix K'!$H$39+'Appendix K'!$G$39))/((1+$Y$16)^AG$34))</f>
        <v>722457.40116157162</v>
      </c>
      <c r="AH813" s="193">
        <f>(((K813*'Appendix K'!$C$14*1000)-('Appendix K'!$E$40+'Appendix K'!$F$40+'Appendix K'!$H$40+'Appendix K'!$G$40))/((1+$Y$16)^AH$34))</f>
        <v>866792.65621334466</v>
      </c>
      <c r="AI813" s="193">
        <f>(((L813*'Appendix K'!$C$15*1000)-('Appendix K'!$E$41+'Appendix K'!$F$41+'Appendix K'!$H$41+'Appendix K'!$G$41))/((1+$Y$16)^AI$34))</f>
        <v>824503.97654579952</v>
      </c>
      <c r="AJ813" s="193">
        <f>(((M813*'Appendix K'!$C$16*1000)-('Appendix K'!$E$42+'Appendix K'!$F$42+'Appendix K'!$H$42+'Appendix K'!$G$42))/((1+$Y$16)^AJ$34))</f>
        <v>271596.87618734804</v>
      </c>
      <c r="AK813" s="193">
        <f>(((N813*'Appendix K'!$C$17*1000)-('Appendix K'!$E$43+'Appendix K'!$F$43+'Appendix K'!$H$43))/((1+$Y$16)^AK$34))</f>
        <v>324501.99784402485</v>
      </c>
      <c r="AL813" s="193">
        <f>(((O813*'Appendix K'!$C$18*1000)-('Appendix K'!$E$44+'Appendix K'!$F$44+'Appendix K'!$H$44+'Appendix K'!$G$44))/((1+$Y$16)^AL$34))</f>
        <v>-429905.63639588637</v>
      </c>
      <c r="AM813" s="193">
        <f>(((P813*'Appendix K'!$C$19*1000)-('Appendix K'!$E$45+'Appendix K'!$F$45+'Appendix K'!$H$45+'Appendix K'!$G$45))/((1+$Y$16)^AM$34))</f>
        <v>-338152.4391738745</v>
      </c>
      <c r="AN813" s="193">
        <f>(((Q813*'Appendix K'!$C$20*1000)-('Appendix K'!$E$46+'Appendix K'!$F$46+'Appendix K'!$H$46+'Appendix K'!$G$46))/((1+$Y$16)^AN$34))</f>
        <v>-478766.03382133134</v>
      </c>
      <c r="AO813" s="193">
        <f>(((R813*'Appendix K'!$C$21*1000)-('Appendix K'!$E$47+'Appendix K'!$F$47+'Appendix K'!$H$47+'Appendix K'!$G$47))/((1+$Y$16)^AO$34))</f>
        <v>-571167.50181771559</v>
      </c>
      <c r="AP813" s="193">
        <f>(((S813*'Appendix K'!$C$22*1000)-('Appendix K'!$E$48+'Appendix K'!$F$48+'Appendix K'!$H$48+'Appendix K'!$G$48))/((1+$Y$16)^AP$34))</f>
        <v>-535929.28420131188</v>
      </c>
      <c r="AQ813" s="193">
        <f>(((T813*'Appendix K'!$C$23*1000)-('Appendix K'!$E$49+'Appendix K'!$F$49+'Appendix K'!$H$49+'Appendix K'!$G$49))/((1+$Y$16)^AQ$34))</f>
        <v>-501554.83225819381</v>
      </c>
      <c r="AR813" s="193">
        <f>(((U813*'Appendix K'!$C$24*1000)-('Appendix K'!$E$50+'Appendix K'!$F$50+'Appendix K'!$H$50+'Appendix K'!$G$50))/((1+$Y$16)^AR$34))</f>
        <v>-482875.91026221972</v>
      </c>
      <c r="AS813" s="209">
        <f t="shared" si="40"/>
        <v>52436122.631474204</v>
      </c>
      <c r="AU813" s="199">
        <f t="shared" si="39"/>
        <v>5.8007833743856018E-9</v>
      </c>
    </row>
    <row r="814" spans="1:47" x14ac:dyDescent="0.35">
      <c r="A814">
        <v>780</v>
      </c>
      <c r="B814" s="70">
        <v>56</v>
      </c>
      <c r="C814" s="70">
        <v>69.358460837667792</v>
      </c>
      <c r="D814" s="70">
        <v>91.086858177432973</v>
      </c>
      <c r="E814" s="70">
        <v>74.198859976892379</v>
      </c>
      <c r="F814" s="70">
        <v>51.463384310120148</v>
      </c>
      <c r="G814" s="70">
        <v>36.783554881273496</v>
      </c>
      <c r="H814" s="70">
        <v>14.657277565978486</v>
      </c>
      <c r="I814" s="70">
        <v>17.242362628454135</v>
      </c>
      <c r="J814" s="70">
        <v>10.4562797969642</v>
      </c>
      <c r="K814" s="70">
        <v>10.794726978958764</v>
      </c>
      <c r="L814" s="70">
        <v>17.518782220027909</v>
      </c>
      <c r="M814" s="70">
        <v>21.280159534820118</v>
      </c>
      <c r="N814" s="70">
        <v>18.651578976345949</v>
      </c>
      <c r="O814" s="70">
        <v>16.481435684627776</v>
      </c>
      <c r="P814" s="70">
        <v>19.851553405451099</v>
      </c>
      <c r="Q814" s="70">
        <v>21.454319315169858</v>
      </c>
      <c r="R814" s="70">
        <v>28.882658550957217</v>
      </c>
      <c r="S814" s="70">
        <v>41.31459076752251</v>
      </c>
      <c r="T814" s="70">
        <v>39.468549909323258</v>
      </c>
      <c r="U814" s="70">
        <v>37.848683712893191</v>
      </c>
      <c r="V814" s="70">
        <v>37.978851169952009</v>
      </c>
      <c r="X814" s="193">
        <f>((0-('Appendix K'!$I$30))/(1+$Y$16)^0)</f>
        <v>-33594902.4440751</v>
      </c>
      <c r="Y814" s="193">
        <f>(((B814*'Appendix K'!$C$5*1000)-('Appendix K'!$E$31+'Appendix K'!$F$31+'Appendix K'!$H$31+'Appendix K'!$G$31))/((1+$Y$16)^1))</f>
        <v>34971064.972647354</v>
      </c>
      <c r="Z814" s="193">
        <f>+(((C814*'Appendix K'!$C$6*1000)-('Appendix K'!$E$32+'Appendix K'!$F$32+'Appendix K'!$H$32+'Appendix K'!$G$32))/((1+$Y$16)^2))</f>
        <v>14033885.784070635</v>
      </c>
      <c r="AA814" s="193">
        <f>(((D814*'Appendix K'!$C$7*1000)-('Appendix K'!$E$33+'Appendix K'!$F$33+'Appendix K'!$H$33+'Appendix K'!$G$33))/((1+$Y$16)^3))</f>
        <v>8637278.8709627762</v>
      </c>
      <c r="AB814" s="193">
        <f>(((E814*'Appendix K'!$C$8*1000)-('Appendix K'!$E$34+'Appendix K'!$F$34+'Appendix K'!$H$34+'Appendix K'!$G$34))/((1+$Y$16)^4))</f>
        <v>12970502.99289286</v>
      </c>
      <c r="AC814" s="193">
        <f>(((F814*'Appendix K'!$C$9*1000)-('Appendix K'!$E$35+'Appendix K'!$F$35+'Appendix K'!$H$35+'Appendix K'!$G$35))/((1+$Y$16)^AC$34))</f>
        <v>10694658.218455689</v>
      </c>
      <c r="AD814" s="193">
        <f>(((G814*'Appendix K'!$C$10*1000)-('Appendix K'!$E$36+'Appendix K'!$F$36+'Appendix K'!$H$36+'Appendix K'!$G$36))/((1+$Y$16)^AD$34))</f>
        <v>3260871.8315815907</v>
      </c>
      <c r="AE814" s="193">
        <f>(((H814*'Appendix K'!$C$11*1000)-('Appendix K'!$E$37+'Appendix K'!$F$37+'Appendix K'!$H$37+'Appendix K'!$G$37))/((1+$Y$16)^AE$34))</f>
        <v>-758058.85576148063</v>
      </c>
      <c r="AF814" s="193">
        <f>(((I814*'Appendix K'!$C$12*1000)-('Appendix K'!$E$38+'Appendix K'!$F$38+'Appendix K'!$H$38+'Appendix K'!$G$38))/((1+$Y$16)^AF$34))</f>
        <v>-864403.63257347327</v>
      </c>
      <c r="AG814" s="193">
        <f>(((J814*'Appendix K'!$C$13*1000)-('Appendix K'!$E$39+'Appendix K'!$F$39+'Appendix K'!$H$39+'Appendix K'!$G$39))/((1+$Y$16)^AG$34))</f>
        <v>-1333757.0361781567</v>
      </c>
      <c r="AH814" s="193">
        <f>(((K814*'Appendix K'!$C$14*1000)-('Appendix K'!$E$40+'Appendix K'!$F$40+'Appendix K'!$H$40+'Appendix K'!$G$40))/((1+$Y$16)^AH$34))</f>
        <v>-1268888.4023180571</v>
      </c>
      <c r="AI814" s="193">
        <f>(((L814*'Appendix K'!$C$15*1000)-('Appendix K'!$E$41+'Appendix K'!$F$41+'Appendix K'!$H$41+'Appendix K'!$G$41))/((1+$Y$16)^AI$34))</f>
        <v>-1057456.4938829059</v>
      </c>
      <c r="AJ814" s="193">
        <f>(((M814*'Appendix K'!$C$16*1000)-('Appendix K'!$E$42+'Appendix K'!$F$42+'Appendix K'!$H$42+'Appendix K'!$G$42))/((1+$Y$16)^AJ$34))</f>
        <v>-955056.83204151934</v>
      </c>
      <c r="AK814" s="193">
        <f>(((N814*'Appendix K'!$C$17*1000)-('Appendix K'!$E$43+'Appendix K'!$F$43+'Appendix K'!$H$43))/((1+$Y$16)^AK$34))</f>
        <v>-717697.6694742383</v>
      </c>
      <c r="AL814" s="193">
        <f>(((O814*'Appendix K'!$C$18*1000)-('Appendix K'!$E$44+'Appendix K'!$F$44+'Appendix K'!$H$44+'Appendix K'!$G$44))/((1+$Y$16)^AL$34))</f>
        <v>-939229.81880281284</v>
      </c>
      <c r="AM814" s="193">
        <f>(((P814*'Appendix K'!$C$19*1000)-('Appendix K'!$E$45+'Appendix K'!$F$45+'Appendix K'!$H$45+'Appendix K'!$G$45))/((1+$Y$16)^AM$34))</f>
        <v>-842767.2179381384</v>
      </c>
      <c r="AN814" s="193">
        <f>(((Q814*'Appendix K'!$C$20*1000)-('Appendix K'!$E$46+'Appendix K'!$F$46+'Appendix K'!$H$46+'Appendix K'!$G$46))/((1+$Y$16)^AN$34))</f>
        <v>-760460.73105397192</v>
      </c>
      <c r="AO814" s="193">
        <f>(((R814*'Appendix K'!$C$21*1000)-('Appendix K'!$E$47+'Appendix K'!$F$47+'Appendix K'!$H$47+'Appendix K'!$G$47))/((1+$Y$16)^AO$34))</f>
        <v>-672299.2223875674</v>
      </c>
      <c r="AP814" s="193">
        <f>(((S814*'Appendix K'!$C$22*1000)-('Appendix K'!$E$48+'Appendix K'!$F$48+'Appendix K'!$H$48+'Appendix K'!$G$48))/((1+$Y$16)^AP$34))</f>
        <v>-566567.93832407345</v>
      </c>
      <c r="AQ814" s="193">
        <f>(((T814*'Appendix K'!$C$23*1000)-('Appendix K'!$E$49+'Appendix K'!$F$49+'Appendix K'!$H$49+'Appendix K'!$G$49))/((1+$Y$16)^AQ$34))</f>
        <v>-539015.83137460693</v>
      </c>
      <c r="AR814" s="193">
        <f>(((U814*'Appendix K'!$C$24*1000)-('Appendix K'!$E$50+'Appendix K'!$F$50+'Appendix K'!$H$50+'Appendix K'!$G$50))/((1+$Y$16)^AR$34))</f>
        <v>-507415.04727587465</v>
      </c>
      <c r="AS814" s="209">
        <f t="shared" si="40"/>
        <v>50973360.226535805</v>
      </c>
      <c r="AU814" s="199">
        <f t="shared" si="39"/>
        <v>5.7069371565283361E-9</v>
      </c>
    </row>
    <row r="815" spans="1:47" x14ac:dyDescent="0.35">
      <c r="A815">
        <v>781</v>
      </c>
      <c r="B815" s="70">
        <v>56</v>
      </c>
      <c r="C815" s="70">
        <v>77.267567077632421</v>
      </c>
      <c r="D815" s="70">
        <v>30.354285105464967</v>
      </c>
      <c r="E815" s="70">
        <v>27.503610544448804</v>
      </c>
      <c r="F815" s="70">
        <v>38.159361664946445</v>
      </c>
      <c r="G815" s="70">
        <v>26.027831710737981</v>
      </c>
      <c r="H815" s="70">
        <v>13.241820103361665</v>
      </c>
      <c r="I815" s="70">
        <v>15.000116177955313</v>
      </c>
      <c r="J815" s="70">
        <v>19.070999048941019</v>
      </c>
      <c r="K815" s="70">
        <v>20.84368181321776</v>
      </c>
      <c r="L815" s="70">
        <v>24.265537170917405</v>
      </c>
      <c r="M815" s="70">
        <v>24.720597911724944</v>
      </c>
      <c r="N815" s="70">
        <v>10.964266174193188</v>
      </c>
      <c r="O815" s="70">
        <v>9.4413117483161528</v>
      </c>
      <c r="P815" s="70">
        <v>7.4887612164256581</v>
      </c>
      <c r="Q815" s="70">
        <v>8.5582547212906643</v>
      </c>
      <c r="R815" s="70">
        <v>5.4015084399532105</v>
      </c>
      <c r="S815" s="70">
        <v>5.3612307896278066</v>
      </c>
      <c r="T815" s="70">
        <v>3.9059209253379903</v>
      </c>
      <c r="U815" s="70">
        <v>5.7108860399075283</v>
      </c>
      <c r="V815" s="70">
        <v>9.5720584638431099</v>
      </c>
      <c r="X815" s="193">
        <f>((0-('Appendix K'!$I$30))/(1+$Y$16)^0)</f>
        <v>-33594902.4440751</v>
      </c>
      <c r="Y815" s="193">
        <f>(((B815*'Appendix K'!$C$5*1000)-('Appendix K'!$E$31+'Appendix K'!$F$31+'Appendix K'!$H$31+'Appendix K'!$G$31))/((1+$Y$16)^1))</f>
        <v>34971064.972647354</v>
      </c>
      <c r="Z815" s="193">
        <f>+(((C815*'Appendix K'!$C$6*1000)-('Appendix K'!$E$32+'Appendix K'!$F$32+'Appendix K'!$H$32+'Appendix K'!$G$32))/((1+$Y$16)^2))</f>
        <v>16031861.290711127</v>
      </c>
      <c r="AA815" s="193">
        <f>(((D815*'Appendix K'!$C$7*1000)-('Appendix K'!$E$33+'Appendix K'!$F$33+'Appendix K'!$H$33+'Appendix K'!$G$33))/((1+$Y$16)^3))</f>
        <v>901475.12791976042</v>
      </c>
      <c r="AB815" s="193">
        <f>(((E815*'Appendix K'!$C$8*1000)-('Appendix K'!$E$34+'Appendix K'!$F$34+'Appendix K'!$H$34+'Appendix K'!$G$34))/((1+$Y$16)^4))</f>
        <v>2735331.7711671987</v>
      </c>
      <c r="AC815" s="193">
        <f>(((F815*'Appendix K'!$C$9*1000)-('Appendix K'!$E$35+'Appendix K'!$F$35+'Appendix K'!$H$35+'Appendix K'!$G$35))/((1+$Y$16)^AC$34))</f>
        <v>7158469.8904329706</v>
      </c>
      <c r="AD815" s="193">
        <f>(((G815*'Appendix K'!$C$10*1000)-('Appendix K'!$E$36+'Appendix K'!$F$36+'Appendix K'!$H$36+'Appendix K'!$G$36))/((1+$Y$16)^AD$34))</f>
        <v>1571750.5634650711</v>
      </c>
      <c r="AE815" s="193">
        <f>(((H815*'Appendix K'!$C$11*1000)-('Appendix K'!$E$37+'Appendix K'!$F$37+'Appendix K'!$H$37+'Appendix K'!$G$37))/((1+$Y$16)^AE$34))</f>
        <v>-899233.2268017875</v>
      </c>
      <c r="AF815" s="193">
        <f>(((I815*'Appendix K'!$C$12*1000)-('Appendix K'!$E$38+'Appendix K'!$F$38+'Appendix K'!$H$38+'Appendix K'!$G$38))/((1+$Y$16)^AF$34))</f>
        <v>-1011634.9765328951</v>
      </c>
      <c r="AG815" s="193">
        <f>(((J815*'Appendix K'!$C$13*1000)-('Appendix K'!$E$39+'Appendix K'!$F$39+'Appendix K'!$H$39+'Appendix K'!$G$39))/((1+$Y$16)^AG$34))</f>
        <v>-937316.8518826603</v>
      </c>
      <c r="AH815" s="193">
        <f>(((K815*'Appendix K'!$C$14*1000)-('Appendix K'!$E$40+'Appendix K'!$F$40+'Appendix K'!$H$40+'Appendix K'!$G$40))/((1+$Y$16)^AH$34))</f>
        <v>-930173.03732571157</v>
      </c>
      <c r="AI815" s="193">
        <f>(((L815*'Appendix K'!$C$15*1000)-('Appendix K'!$E$41+'Appendix K'!$F$41+'Appendix K'!$H$41+'Appendix K'!$G$41))/((1+$Y$16)^AI$34))</f>
        <v>-880678.89767597779</v>
      </c>
      <c r="AJ815" s="193">
        <f>(((M815*'Appendix K'!$C$16*1000)-('Appendix K'!$E$42+'Appendix K'!$F$42+'Appendix K'!$H$42+'Appendix K'!$G$42))/((1+$Y$16)^AJ$34))</f>
        <v>-886104.02374576603</v>
      </c>
      <c r="AK815" s="193">
        <f>(((N815*'Appendix K'!$C$17*1000)-('Appendix K'!$E$43+'Appendix K'!$F$43+'Appendix K'!$H$43))/((1+$Y$16)^AK$34))</f>
        <v>-835804.75512962963</v>
      </c>
      <c r="AL815" s="193">
        <f>(((O815*'Appendix K'!$C$18*1000)-('Appendix K'!$E$44+'Appendix K'!$F$44+'Appendix K'!$H$44+'Appendix K'!$G$44))/((1+$Y$16)^AL$34))</f>
        <v>-1022678.4793913504</v>
      </c>
      <c r="AM815" s="193">
        <f>(((P815*'Appendix K'!$C$19*1000)-('Appendix K'!$E$45+'Appendix K'!$F$45+'Appendix K'!$H$45+'Appendix K'!$G$45))/((1+$Y$16)^AM$34))</f>
        <v>-957354.62294181774</v>
      </c>
      <c r="AN815" s="193">
        <f>(((Q815*'Appendix K'!$C$20*1000)-('Appendix K'!$E$46+'Appendix K'!$F$46+'Appendix K'!$H$46+'Appendix K'!$G$46))/((1+$Y$16)^AN$34))</f>
        <v>-853779.45149414451</v>
      </c>
      <c r="AO815" s="193">
        <f>(((R815*'Appendix K'!$C$21*1000)-('Appendix K'!$E$47+'Appendix K'!$F$47+'Appendix K'!$H$47+'Appendix K'!$G$47))/((1+$Y$16)^AO$34))</f>
        <v>-811075.41374201013</v>
      </c>
      <c r="AP815" s="193">
        <f>(((S815*'Appendix K'!$C$22*1000)-('Appendix K'!$E$48+'Appendix K'!$F$48+'Appendix K'!$H$48+'Appendix K'!$G$48))/((1+$Y$16)^AP$34))</f>
        <v>-738774.44200874958</v>
      </c>
      <c r="AQ815" s="193">
        <f>(((T815*'Appendix K'!$C$23*1000)-('Appendix K'!$E$49+'Appendix K'!$F$49+'Appendix K'!$H$49+'Appendix K'!$G$49))/((1+$Y$16)^AQ$34))</f>
        <v>-678198.85695141589</v>
      </c>
      <c r="AR815" s="193">
        <f>(((U815*'Appendix K'!$C$24*1000)-('Appendix K'!$E$50+'Appendix K'!$F$50+'Appendix K'!$H$50+'Appendix K'!$G$50))/((1+$Y$16)^AR$34))</f>
        <v>-610899.65624729625</v>
      </c>
      <c r="AS815" s="209">
        <f t="shared" si="40"/>
        <v>29775051.172268383</v>
      </c>
      <c r="AU815" s="199">
        <f t="shared" si="39"/>
        <v>4.1817709278490689E-9</v>
      </c>
    </row>
    <row r="816" spans="1:47" x14ac:dyDescent="0.35">
      <c r="A816">
        <v>782</v>
      </c>
      <c r="B816" s="70">
        <v>56</v>
      </c>
      <c r="C816" s="70">
        <v>74.637279000280245</v>
      </c>
      <c r="D816" s="70">
        <v>116.84908917539751</v>
      </c>
      <c r="E816" s="70">
        <v>137.74966610291386</v>
      </c>
      <c r="F816" s="70">
        <v>137.61846688681379</v>
      </c>
      <c r="G816" s="70">
        <v>147.55580932419099</v>
      </c>
      <c r="H816" s="70">
        <v>278.93302990775328</v>
      </c>
      <c r="I816" s="70">
        <v>321.73643433832547</v>
      </c>
      <c r="J816" s="70">
        <v>405.95455149033131</v>
      </c>
      <c r="K816" s="70">
        <v>394.15402211294571</v>
      </c>
      <c r="L816" s="70">
        <v>368.94146462227565</v>
      </c>
      <c r="M816" s="70">
        <v>392.40633284260457</v>
      </c>
      <c r="N816" s="70">
        <v>427.35514577944514</v>
      </c>
      <c r="O816" s="70">
        <v>500</v>
      </c>
      <c r="P816" s="70">
        <v>500</v>
      </c>
      <c r="Q816" s="70">
        <v>345.46568037905956</v>
      </c>
      <c r="R816" s="70">
        <v>396.96934148350408</v>
      </c>
      <c r="S816" s="70">
        <v>318.16968315179048</v>
      </c>
      <c r="T816" s="70">
        <v>315.95326753243592</v>
      </c>
      <c r="U816" s="70">
        <v>408.88319957292072</v>
      </c>
      <c r="V816" s="70">
        <v>382.03290784481919</v>
      </c>
      <c r="X816" s="193">
        <f>((0-('Appendix K'!$I$30))/(1+$Y$16)^0)</f>
        <v>-33594902.4440751</v>
      </c>
      <c r="Y816" s="193">
        <f>(((B816*'Appendix K'!$C$5*1000)-('Appendix K'!$E$31+'Appendix K'!$F$31+'Appendix K'!$H$31+'Appendix K'!$G$31))/((1+$Y$16)^1))</f>
        <v>34971064.972647354</v>
      </c>
      <c r="Z816" s="193">
        <f>+(((C816*'Appendix K'!$C$6*1000)-('Appendix K'!$E$32+'Appendix K'!$F$32+'Appendix K'!$H$32+'Appendix K'!$G$32))/((1+$Y$16)^2))</f>
        <v>15367405.536228601</v>
      </c>
      <c r="AA816" s="193">
        <f>(((D816*'Appendix K'!$C$7*1000)-('Appendix K'!$E$33+'Appendix K'!$F$33+'Appendix K'!$H$33+'Appendix K'!$G$33))/((1+$Y$16)^3))</f>
        <v>11918739.755997775</v>
      </c>
      <c r="AB816" s="193">
        <f>(((E816*'Appendix K'!$C$8*1000)-('Appendix K'!$E$34+'Appendix K'!$F$34+'Appendix K'!$H$34+'Appendix K'!$G$34))/((1+$Y$16)^4))</f>
        <v>26900257.944080483</v>
      </c>
      <c r="AC816" s="193">
        <f>(((F816*'Appendix K'!$C$9*1000)-('Appendix K'!$E$35+'Appendix K'!$F$35+'Appendix K'!$H$35+'Appendix K'!$G$35))/((1+$Y$16)^AC$34))</f>
        <v>33594543.879583828</v>
      </c>
      <c r="AD816" s="193">
        <f>(((G816*'Appendix K'!$C$10*1000)-('Appendix K'!$E$36+'Appendix K'!$F$36+'Appendix K'!$H$36+'Appendix K'!$G$36))/((1+$Y$16)^AD$34))</f>
        <v>20656984.387668386</v>
      </c>
      <c r="AE816" s="193">
        <f>(((H816*'Appendix K'!$C$11*1000)-('Appendix K'!$E$37+'Appendix K'!$F$37+'Appendix K'!$H$37+'Appendix K'!$G$37))/((1+$Y$16)^AE$34))</f>
        <v>25600178.041784793</v>
      </c>
      <c r="AF816" s="193">
        <f>(((I816*'Appendix K'!$C$12*1000)-('Appendix K'!$E$38+'Appendix K'!$F$38+'Appendix K'!$H$38+'Appendix K'!$G$38))/((1+$Y$16)^AF$34))</f>
        <v>19129416.134895708</v>
      </c>
      <c r="AG816" s="193">
        <f>(((J816*'Appendix K'!$C$13*1000)-('Appendix K'!$E$39+'Appendix K'!$F$39+'Appendix K'!$H$39+'Appendix K'!$G$39))/((1+$Y$16)^AG$34))</f>
        <v>16866651.257184364</v>
      </c>
      <c r="AH816" s="193">
        <f>(((K816*'Appendix K'!$C$14*1000)-('Appendix K'!$E$40+'Appendix K'!$F$40+'Appendix K'!$H$40+'Appendix K'!$G$40))/((1+$Y$16)^AH$34))</f>
        <v>11652821.936336458</v>
      </c>
      <c r="AI816" s="193">
        <f>(((L816*'Appendix K'!$C$15*1000)-('Appendix K'!$E$41+'Appendix K'!$F$41+'Appendix K'!$H$41+'Appendix K'!$G$41))/((1+$Y$16)^AI$34))</f>
        <v>8150474.948694488</v>
      </c>
      <c r="AJ816" s="193">
        <f>(((M816*'Appendix K'!$C$16*1000)-('Appendix K'!$E$42+'Appendix K'!$F$42+'Appendix K'!$H$42+'Appendix K'!$G$42))/((1+$Y$16)^AJ$34))</f>
        <v>6483004.5654279161</v>
      </c>
      <c r="AK816" s="193">
        <f>(((N816*'Appendix K'!$C$17*1000)-('Appendix K'!$E$43+'Appendix K'!$F$43+'Appendix K'!$H$43))/((1+$Y$16)^AK$34))</f>
        <v>5561582.023497249</v>
      </c>
      <c r="AL816" s="193">
        <f>(((O816*'Appendix K'!$C$18*1000)-('Appendix K'!$E$44+'Appendix K'!$F$44+'Appendix K'!$H$44+'Appendix K'!$G$44))/((1+$Y$16)^AL$34))</f>
        <v>4792058.0003928225</v>
      </c>
      <c r="AM816" s="193">
        <f>(((P816*'Appendix K'!$C$19*1000)-('Appendix K'!$E$45+'Appendix K'!$F$45+'Appendix K'!$H$45+'Appendix K'!$G$45))/((1+$Y$16)^AM$34))</f>
        <v>3607599.9540230581</v>
      </c>
      <c r="AN816" s="193">
        <f>(((Q816*'Appendix K'!$C$20*1000)-('Appendix K'!$E$46+'Appendix K'!$F$46+'Appendix K'!$H$46+'Appendix K'!$G$46))/((1+$Y$16)^AN$34))</f>
        <v>1584155.7527151876</v>
      </c>
      <c r="AO816" s="193">
        <f>(((R816*'Appendix K'!$C$21*1000)-('Appendix K'!$E$47+'Appendix K'!$F$47+'Appendix K'!$H$47+'Appendix K'!$G$47))/((1+$Y$16)^AO$34))</f>
        <v>1503133.7399753255</v>
      </c>
      <c r="AP816" s="193">
        <f>(((S816*'Appendix K'!$C$22*1000)-('Appendix K'!$E$48+'Appendix K'!$F$48+'Appendix K'!$H$48+'Appendix K'!$G$48))/((1+$Y$16)^AP$34))</f>
        <v>759490.25251276954</v>
      </c>
      <c r="AQ816" s="193">
        <f>(((T816*'Appendix K'!$C$23*1000)-('Appendix K'!$E$49+'Appendix K'!$F$49+'Appendix K'!$H$49+'Appendix K'!$G$49))/((1+$Y$16)^AQ$34))</f>
        <v>543074.57149926107</v>
      </c>
      <c r="AR816" s="193">
        <f>(((U816*'Appendix K'!$C$24*1000)-('Appendix K'!$E$50+'Appendix K'!$F$50+'Appendix K'!$H$50+'Appendix K'!$G$50))/((1+$Y$16)^AR$34))</f>
        <v>687326.48975703865</v>
      </c>
      <c r="AS816" s="209">
        <f t="shared" si="40"/>
        <v>216735061.70082781</v>
      </c>
      <c r="AU816" s="199">
        <f t="shared" si="39"/>
        <v>5.2832862628579979E-10</v>
      </c>
    </row>
    <row r="817" spans="1:47" x14ac:dyDescent="0.35">
      <c r="A817">
        <v>783</v>
      </c>
      <c r="B817" s="70">
        <v>56</v>
      </c>
      <c r="C817" s="70">
        <v>37.325720700200655</v>
      </c>
      <c r="D817" s="70">
        <v>47.778864186521659</v>
      </c>
      <c r="E817" s="70">
        <v>44.370155319805292</v>
      </c>
      <c r="F817" s="70">
        <v>47.941295070715654</v>
      </c>
      <c r="G817" s="70">
        <v>58.325745175850813</v>
      </c>
      <c r="H817" s="70">
        <v>71.563872685681076</v>
      </c>
      <c r="I817" s="70">
        <v>78.204272678977418</v>
      </c>
      <c r="J817" s="70">
        <v>104.80660780432346</v>
      </c>
      <c r="K817" s="70">
        <v>57.302670629719607</v>
      </c>
      <c r="L817" s="70">
        <v>45.186835258341553</v>
      </c>
      <c r="M817" s="70">
        <v>51.342044115907953</v>
      </c>
      <c r="N817" s="70">
        <v>45.983978041699494</v>
      </c>
      <c r="O817" s="70">
        <v>46.21469638653204</v>
      </c>
      <c r="P817" s="70">
        <v>68.696583859446974</v>
      </c>
      <c r="Q817" s="70">
        <v>89.623245118303444</v>
      </c>
      <c r="R817" s="70">
        <v>109.92863714625304</v>
      </c>
      <c r="S817" s="70">
        <v>166.34919392671719</v>
      </c>
      <c r="T817" s="70">
        <v>134.2944788469014</v>
      </c>
      <c r="U817" s="70">
        <v>182.86101581798556</v>
      </c>
      <c r="V817" s="70">
        <v>157.46816069483739</v>
      </c>
      <c r="X817" s="193">
        <f>((0-('Appendix K'!$I$30))/(1+$Y$16)^0)</f>
        <v>-33594902.4440751</v>
      </c>
      <c r="Y817" s="193">
        <f>(((B817*'Appendix K'!$C$5*1000)-('Appendix K'!$E$31+'Appendix K'!$F$31+'Appendix K'!$H$31+'Appendix K'!$G$31))/((1+$Y$16)^1))</f>
        <v>34971064.972647354</v>
      </c>
      <c r="Z817" s="193">
        <f>+(((C817*'Appendix K'!$C$6*1000)-('Appendix K'!$E$32+'Appendix K'!$F$32+'Appendix K'!$H$32+'Appendix K'!$G$32))/((1+$Y$16)^2))</f>
        <v>5941867.7654170552</v>
      </c>
      <c r="AA817" s="193">
        <f>(((D817*'Appendix K'!$C$7*1000)-('Appendix K'!$E$33+'Appendix K'!$F$33+'Appendix K'!$H$33+'Appendix K'!$G$33))/((1+$Y$16)^3))</f>
        <v>3120928.6642693193</v>
      </c>
      <c r="AB817" s="193">
        <f>(((E817*'Appendix K'!$C$8*1000)-('Appendix K'!$E$34+'Appendix K'!$F$34+'Appendix K'!$H$34+'Appendix K'!$G$34))/((1+$Y$16)^4))</f>
        <v>6432323.987568818</v>
      </c>
      <c r="AC817" s="193">
        <f>(((F817*'Appendix K'!$C$9*1000)-('Appendix K'!$E$35+'Appendix K'!$F$35+'Appendix K'!$H$35+'Appendix K'!$G$35))/((1+$Y$16)^AC$34))</f>
        <v>9758492.4292945582</v>
      </c>
      <c r="AD817" s="193">
        <f>(((G817*'Appendix K'!$C$10*1000)-('Appendix K'!$E$36+'Appendix K'!$F$36+'Appendix K'!$H$36+'Appendix K'!$G$36))/((1+$Y$16)^AD$34))</f>
        <v>6643942.519758489</v>
      </c>
      <c r="AE817" s="193">
        <f>(((H817*'Appendix K'!$C$11*1000)-('Appendix K'!$E$37+'Appendix K'!$F$37+'Appendix K'!$H$37+'Appendix K'!$G$37))/((1+$Y$16)^AE$34))</f>
        <v>4917670.0066354396</v>
      </c>
      <c r="AF817" s="193">
        <f>(((I817*'Appendix K'!$C$12*1000)-('Appendix K'!$E$38+'Appendix K'!$F$38+'Appendix K'!$H$38+'Appendix K'!$G$38))/((1+$Y$16)^AF$34))</f>
        <v>3138503.3382794401</v>
      </c>
      <c r="AG817" s="193">
        <f>(((J817*'Appendix K'!$C$13*1000)-('Appendix K'!$E$39+'Appendix K'!$F$39+'Appendix K'!$H$39+'Appendix K'!$G$39))/((1+$Y$16)^AG$34))</f>
        <v>3008144.3455755045</v>
      </c>
      <c r="AH817" s="193">
        <f>(((K817*'Appendix K'!$C$14*1000)-('Appendix K'!$E$40+'Appendix K'!$F$40+'Appendix K'!$H$40+'Appendix K'!$G$40))/((1+$Y$16)^AH$34))</f>
        <v>298732.84472006955</v>
      </c>
      <c r="AI817" s="193">
        <f>(((L817*'Appendix K'!$C$15*1000)-('Appendix K'!$E$41+'Appendix K'!$F$41+'Appendix K'!$H$41+'Appendix K'!$G$41))/((1+$Y$16)^AI$34))</f>
        <v>-332501.76476620126</v>
      </c>
      <c r="AJ817" s="193">
        <f>(((M817*'Appendix K'!$C$16*1000)-('Appendix K'!$E$42+'Appendix K'!$F$42+'Appendix K'!$H$42+'Appendix K'!$G$42))/((1+$Y$16)^AJ$34))</f>
        <v>-352560.54016093537</v>
      </c>
      <c r="AK817" s="193">
        <f>(((N817*'Appendix K'!$C$17*1000)-('Appendix K'!$E$43+'Appendix K'!$F$43+'Appendix K'!$H$43))/((1+$Y$16)^AK$34))</f>
        <v>-297765.49282662827</v>
      </c>
      <c r="AL817" s="193">
        <f>(((O817*'Appendix K'!$C$18*1000)-('Appendix K'!$E$44+'Appendix K'!$F$44+'Appendix K'!$H$44+'Appendix K'!$G$44))/((1+$Y$16)^AL$34))</f>
        <v>-586792.73062796588</v>
      </c>
      <c r="AM817" s="193">
        <f>(((P817*'Appendix K'!$C$19*1000)-('Appendix K'!$E$45+'Appendix K'!$F$45+'Appendix K'!$H$45+'Appendix K'!$G$45))/((1+$Y$16)^AM$34))</f>
        <v>-390035.73127466359</v>
      </c>
      <c r="AN817" s="193">
        <f>(((Q817*'Appendix K'!$C$20*1000)-('Appendix K'!$E$46+'Appendix K'!$F$46+'Appendix K'!$H$46+'Appendix K'!$G$46))/((1+$Y$16)^AN$34))</f>
        <v>-267175.59872384981</v>
      </c>
      <c r="AO817" s="193">
        <f>(((R817*'Appendix K'!$C$21*1000)-('Appendix K'!$E$47+'Appendix K'!$F$47+'Appendix K'!$H$47+'Appendix K'!$G$47))/((1+$Y$16)^AO$34))</f>
        <v>-193308.53492639289</v>
      </c>
      <c r="AP817" s="193">
        <f>(((S817*'Appendix K'!$C$22*1000)-('Appendix K'!$E$48+'Appendix K'!$F$48+'Appendix K'!$H$48+'Appendix K'!$G$48))/((1+$Y$16)^AP$34))</f>
        <v>32312.718807396846</v>
      </c>
      <c r="AQ817" s="193">
        <f>(((T817*'Appendix K'!$C$23*1000)-('Appendix K'!$E$49+'Appendix K'!$F$49+'Appendix K'!$H$49+'Appendix K'!$G$49))/((1+$Y$16)^AQ$34))</f>
        <v>-167891.42157332166</v>
      </c>
      <c r="AR817" s="193">
        <f>(((U817*'Appendix K'!$C$24*1000)-('Appendix K'!$E$50+'Appendix K'!$F$50+'Appendix K'!$H$50+'Appendix K'!$G$50))/((1+$Y$16)^AR$34))</f>
        <v>-40471.274817453057</v>
      </c>
      <c r="AS817" s="209">
        <f t="shared" si="40"/>
        <v>44669081.148898356</v>
      </c>
      <c r="AU817" s="199">
        <f t="shared" si="39"/>
        <v>5.2792554526506813E-9</v>
      </c>
    </row>
    <row r="818" spans="1:47" x14ac:dyDescent="0.35">
      <c r="A818">
        <v>784</v>
      </c>
      <c r="B818" s="70">
        <v>56</v>
      </c>
      <c r="C818" s="70">
        <v>78.808080026376956</v>
      </c>
      <c r="D818" s="70">
        <v>116.24794510755622</v>
      </c>
      <c r="E818" s="70">
        <v>146.58043218310144</v>
      </c>
      <c r="F818" s="70">
        <v>198.89365677028599</v>
      </c>
      <c r="G818" s="70">
        <v>263.30424485787245</v>
      </c>
      <c r="H818" s="70">
        <v>343.00764475523056</v>
      </c>
      <c r="I818" s="70">
        <v>203.40272526316403</v>
      </c>
      <c r="J818" s="70">
        <v>294.29464703052383</v>
      </c>
      <c r="K818" s="70">
        <v>335.18527501383545</v>
      </c>
      <c r="L818" s="70">
        <v>465.65654057785599</v>
      </c>
      <c r="M818" s="70">
        <v>500</v>
      </c>
      <c r="N818" s="70">
        <v>500</v>
      </c>
      <c r="O818" s="70">
        <v>500</v>
      </c>
      <c r="P818" s="70">
        <v>500</v>
      </c>
      <c r="Q818" s="70">
        <v>428.78307117957047</v>
      </c>
      <c r="R818" s="70">
        <v>317.67861541987384</v>
      </c>
      <c r="S818" s="70">
        <v>221.41078747325872</v>
      </c>
      <c r="T818" s="70">
        <v>157.70365966882969</v>
      </c>
      <c r="U818" s="70">
        <v>150.54678564328339</v>
      </c>
      <c r="V818" s="70">
        <v>115.65538838904871</v>
      </c>
      <c r="X818" s="193">
        <f>((0-('Appendix K'!$I$30))/(1+$Y$16)^0)</f>
        <v>-33594902.4440751</v>
      </c>
      <c r="Y818" s="193">
        <f>(((B818*'Appendix K'!$C$5*1000)-('Appendix K'!$E$31+'Appendix K'!$F$31+'Appendix K'!$H$31+'Appendix K'!$G$31))/((1+$Y$16)^1))</f>
        <v>34971064.972647354</v>
      </c>
      <c r="Z818" s="193">
        <f>+(((C818*'Appendix K'!$C$6*1000)-('Appendix K'!$E$32+'Appendix K'!$F$32+'Appendix K'!$H$32+'Appendix K'!$G$32))/((1+$Y$16)^2))</f>
        <v>16421021.209148118</v>
      </c>
      <c r="AA818" s="193">
        <f>(((D818*'Appendix K'!$C$7*1000)-('Appendix K'!$E$33+'Appendix K'!$F$33+'Appendix K'!$H$33+'Appendix K'!$G$33))/((1+$Y$16)^3))</f>
        <v>11842169.107087445</v>
      </c>
      <c r="AB818" s="193">
        <f>(((E818*'Appendix K'!$C$8*1000)-('Appendix K'!$E$34+'Appendix K'!$F$34+'Appendix K'!$H$34+'Appendix K'!$G$34))/((1+$Y$16)^4))</f>
        <v>28835881.030974813</v>
      </c>
      <c r="AC818" s="193">
        <f>(((F818*'Appendix K'!$C$9*1000)-('Appendix K'!$E$35+'Appendix K'!$F$35+'Appendix K'!$H$35+'Appendix K'!$G$35))/((1+$Y$16)^AC$34))</f>
        <v>49881393.131296068</v>
      </c>
      <c r="AD818" s="193">
        <f>(((G818*'Appendix K'!$C$10*1000)-('Appendix K'!$E$36+'Appendix K'!$F$36+'Appendix K'!$H$36+'Appendix K'!$G$36))/((1+$Y$16)^AD$34))</f>
        <v>38834576.085709535</v>
      </c>
      <c r="AE818" s="193">
        <f>(((H818*'Appendix K'!$C$11*1000)-('Appendix K'!$E$37+'Appendix K'!$F$37+'Appendix K'!$H$37+'Appendix K'!$G$37))/((1+$Y$16)^AE$34))</f>
        <v>31990828.195283089</v>
      </c>
      <c r="AF818" s="193">
        <f>(((I818*'Appendix K'!$C$12*1000)-('Appendix K'!$E$38+'Appendix K'!$F$38+'Appendix K'!$H$38+'Appendix K'!$G$38))/((1+$Y$16)^AF$34))</f>
        <v>11359337.596489113</v>
      </c>
      <c r="AG818" s="193">
        <f>(((J818*'Appendix K'!$C$13*1000)-('Appendix K'!$E$39+'Appendix K'!$F$39+'Appendix K'!$H$39+'Appendix K'!$G$39))/((1+$Y$16)^AG$34))</f>
        <v>11728181.643992297</v>
      </c>
      <c r="AH818" s="193">
        <f>(((K818*'Appendix K'!$C$14*1000)-('Appendix K'!$E$40+'Appendix K'!$F$40+'Appendix K'!$H$40+'Appendix K'!$G$40))/((1+$Y$16)^AH$34))</f>
        <v>9665190.2844633516</v>
      </c>
      <c r="AI818" s="193">
        <f>(((L818*'Appendix K'!$C$15*1000)-('Appendix K'!$E$41+'Appendix K'!$F$41+'Appendix K'!$H$41+'Appendix K'!$G$41))/((1+$Y$16)^AI$34))</f>
        <v>10684590.796809571</v>
      </c>
      <c r="AJ818" s="193">
        <f>(((M818*'Appendix K'!$C$16*1000)-('Appendix K'!$E$42+'Appendix K'!$F$42+'Appendix K'!$H$42+'Appendix K'!$G$42))/((1+$Y$16)^AJ$34))</f>
        <v>8639382.5302660316</v>
      </c>
      <c r="AK818" s="193">
        <f>(((N818*'Appendix K'!$C$17*1000)-('Appendix K'!$E$43+'Appendix K'!$F$43+'Appendix K'!$H$43))/((1+$Y$16)^AK$34))</f>
        <v>6677690.1149291173</v>
      </c>
      <c r="AL818" s="193">
        <f>(((O818*'Appendix K'!$C$18*1000)-('Appendix K'!$E$44+'Appendix K'!$F$44+'Appendix K'!$H$44+'Appendix K'!$G$44))/((1+$Y$16)^AL$34))</f>
        <v>4792058.0003928225</v>
      </c>
      <c r="AM818" s="193">
        <f>(((P818*'Appendix K'!$C$19*1000)-('Appendix K'!$E$45+'Appendix K'!$F$45+'Appendix K'!$H$45+'Appendix K'!$G$45))/((1+$Y$16)^AM$34))</f>
        <v>3607599.9540230581</v>
      </c>
      <c r="AN818" s="193">
        <f>(((Q818*'Appendix K'!$C$20*1000)-('Appendix K'!$E$46+'Appendix K'!$F$46+'Appendix K'!$H$46+'Appendix K'!$G$46))/((1+$Y$16)^AN$34))</f>
        <v>2187058.4633303117</v>
      </c>
      <c r="AO818" s="193">
        <f>(((R818*'Appendix K'!$C$21*1000)-('Appendix K'!$E$47+'Appendix K'!$F$47+'Appendix K'!$H$47+'Appendix K'!$G$47))/((1+$Y$16)^AO$34))</f>
        <v>1034516.788896665</v>
      </c>
      <c r="AP818" s="193">
        <f>(((S818*'Appendix K'!$C$22*1000)-('Appendix K'!$E$48+'Appendix K'!$F$48+'Appendix K'!$H$48+'Appendix K'!$G$48))/((1+$Y$16)^AP$34))</f>
        <v>296042.29840125021</v>
      </c>
      <c r="AQ818" s="193">
        <f>(((T818*'Appendix K'!$C$23*1000)-('Appendix K'!$E$49+'Appendix K'!$F$49+'Appendix K'!$H$49+'Appendix K'!$G$49))/((1+$Y$16)^AQ$34))</f>
        <v>-76273.880740279681</v>
      </c>
      <c r="AR818" s="193">
        <f>(((U818*'Appendix K'!$C$24*1000)-('Appendix K'!$E$50+'Appendix K'!$F$50+'Appendix K'!$H$50+'Appendix K'!$G$50))/((1+$Y$16)^AR$34))</f>
        <v>-144524.00138783906</v>
      </c>
      <c r="AS818" s="209">
        <f t="shared" si="40"/>
        <v>249853679.7600649</v>
      </c>
      <c r="AU818" s="199">
        <f t="shared" si="39"/>
        <v>1.1812100259416673E-10</v>
      </c>
    </row>
    <row r="819" spans="1:47" x14ac:dyDescent="0.35">
      <c r="A819">
        <v>785</v>
      </c>
      <c r="B819" s="70">
        <v>56</v>
      </c>
      <c r="C819" s="70">
        <v>33.846718851395551</v>
      </c>
      <c r="D819" s="70">
        <v>18.518721048027331</v>
      </c>
      <c r="E819" s="70">
        <v>8.4244769137111781</v>
      </c>
      <c r="F819" s="70">
        <v>5.0727015670244402</v>
      </c>
      <c r="G819" s="70">
        <v>6.4837903676837616</v>
      </c>
      <c r="H819" s="70">
        <v>9.4906733811641502</v>
      </c>
      <c r="I819" s="70">
        <v>5.3389570282208672</v>
      </c>
      <c r="J819" s="70">
        <v>7.4772095721208256</v>
      </c>
      <c r="K819" s="70">
        <v>6.7114510369514795</v>
      </c>
      <c r="L819" s="70">
        <v>8.9724364497093596</v>
      </c>
      <c r="M819" s="70">
        <v>14.46977317408199</v>
      </c>
      <c r="N819" s="70">
        <v>13.975502477068121</v>
      </c>
      <c r="O819" s="70">
        <v>14.299375026459501</v>
      </c>
      <c r="P819" s="70">
        <v>10.143961660067001</v>
      </c>
      <c r="Q819" s="70">
        <v>11.458489003477986</v>
      </c>
      <c r="R819" s="70">
        <v>16.095683860738497</v>
      </c>
      <c r="S819" s="70">
        <v>19.048008106731348</v>
      </c>
      <c r="T819" s="70">
        <v>21.002088181529302</v>
      </c>
      <c r="U819" s="70">
        <v>23.015847358445587</v>
      </c>
      <c r="V819" s="70">
        <v>20.169741903811648</v>
      </c>
      <c r="X819" s="193">
        <f>((0-('Appendix K'!$I$30))/(1+$Y$16)^0)</f>
        <v>-33594902.4440751</v>
      </c>
      <c r="Y819" s="193">
        <f>(((B819*'Appendix K'!$C$5*1000)-('Appendix K'!$E$31+'Appendix K'!$F$31+'Appendix K'!$H$31+'Appendix K'!$G$31))/((1+$Y$16)^1))</f>
        <v>34971064.972647354</v>
      </c>
      <c r="Z819" s="193">
        <f>+(((C819*'Appendix K'!$C$6*1000)-('Appendix K'!$E$32+'Appendix K'!$F$32+'Appendix K'!$H$32+'Appendix K'!$G$32))/((1+$Y$16)^2))</f>
        <v>5063012.3966085697</v>
      </c>
      <c r="AA819" s="193">
        <f>(((D819*'Appendix K'!$C$7*1000)-('Appendix K'!$E$33+'Appendix K'!$F$33+'Appendix K'!$H$33+'Appendix K'!$G$33))/((1+$Y$16)^3))</f>
        <v>-606078.33318678278</v>
      </c>
      <c r="AB819" s="193">
        <f>(((E819*'Appendix K'!$C$8*1000)-('Appendix K'!$E$34+'Appendix K'!$F$34+'Appendix K'!$H$34+'Appendix K'!$G$34))/((1+$Y$16)^4))</f>
        <v>-1446639.6680324795</v>
      </c>
      <c r="AC819" s="193">
        <f>(((F819*'Appendix K'!$C$9*1000)-('Appendix K'!$E$35+'Appendix K'!$F$35+'Appendix K'!$H$35+'Appendix K'!$G$35))/((1+$Y$16)^AC$34))</f>
        <v>-1635912.4082149516</v>
      </c>
      <c r="AD819" s="193">
        <f>(((G819*'Appendix K'!$C$10*1000)-('Appendix K'!$E$36+'Appendix K'!$F$36+'Appendix K'!$H$36+'Appendix K'!$G$36))/((1+$Y$16)^AD$34))</f>
        <v>-1497522.9176464533</v>
      </c>
      <c r="AE819" s="193">
        <f>(((H819*'Appendix K'!$C$11*1000)-('Appendix K'!$E$37+'Appendix K'!$F$37+'Appendix K'!$H$37+'Appendix K'!$G$37))/((1+$Y$16)^AE$34))</f>
        <v>-1273363.7062915133</v>
      </c>
      <c r="AF819" s="193">
        <f>(((I819*'Appendix K'!$C$12*1000)-('Appendix K'!$E$38+'Appendix K'!$F$38+'Appendix K'!$H$38+'Appendix K'!$G$38))/((1+$Y$16)^AF$34))</f>
        <v>-1646010.1343148723</v>
      </c>
      <c r="AG819" s="193">
        <f>(((J819*'Appendix K'!$C$13*1000)-('Appendix K'!$E$39+'Appendix K'!$F$39+'Appendix K'!$H$39+'Appendix K'!$G$39))/((1+$Y$16)^AG$34))</f>
        <v>-1470850.6679520675</v>
      </c>
      <c r="AH819" s="193">
        <f>(((K819*'Appendix K'!$C$14*1000)-('Appendix K'!$E$40+'Appendix K'!$F$40+'Appendix K'!$H$40+'Appendix K'!$G$40))/((1+$Y$16)^AH$34))</f>
        <v>-1406521.4521100903</v>
      </c>
      <c r="AI819" s="193">
        <f>(((L819*'Appendix K'!$C$15*1000)-('Appendix K'!$E$41+'Appendix K'!$F$41+'Appendix K'!$H$41+'Appendix K'!$G$41))/((1+$Y$16)^AI$34))</f>
        <v>-1281386.7348102091</v>
      </c>
      <c r="AJ819" s="193">
        <f>(((M819*'Appendix K'!$C$16*1000)-('Appendix K'!$E$42+'Appendix K'!$F$42+'Appendix K'!$H$42+'Appendix K'!$G$42))/((1+$Y$16)^AJ$34))</f>
        <v>-1091549.6895518631</v>
      </c>
      <c r="AK819" s="193">
        <f>(((N819*'Appendix K'!$C$17*1000)-('Appendix K'!$E$43+'Appendix K'!$F$43+'Appendix K'!$H$43))/((1+$Y$16)^AK$34))</f>
        <v>-789540.42933652829</v>
      </c>
      <c r="AL819" s="193">
        <f>(((O819*'Appendix K'!$C$18*1000)-('Appendix K'!$E$44+'Appendix K'!$F$44+'Appendix K'!$H$44+'Appendix K'!$G$44))/((1+$Y$16)^AL$34))</f>
        <v>-965094.42586006923</v>
      </c>
      <c r="AM819" s="193">
        <f>(((P819*'Appendix K'!$C$19*1000)-('Appendix K'!$E$45+'Appendix K'!$F$45+'Appendix K'!$H$45+'Appendix K'!$G$45))/((1+$Y$16)^AM$34))</f>
        <v>-932744.28217498295</v>
      </c>
      <c r="AN819" s="193">
        <f>(((Q819*'Appendix K'!$C$20*1000)-('Appendix K'!$E$46+'Appendix K'!$F$46+'Appendix K'!$H$46+'Appendix K'!$G$46))/((1+$Y$16)^AN$34))</f>
        <v>-832792.72719385696</v>
      </c>
      <c r="AO819" s="193">
        <f>(((R819*'Appendix K'!$C$21*1000)-('Appendix K'!$E$47+'Appendix K'!$F$47+'Appendix K'!$H$47+'Appendix K'!$G$47))/((1+$Y$16)^AO$34))</f>
        <v>-747871.65551223839</v>
      </c>
      <c r="AP819" s="193">
        <f>(((S819*'Appendix K'!$C$22*1000)-('Appendix K'!$E$48+'Appendix K'!$F$48+'Appendix K'!$H$48+'Appendix K'!$G$48))/((1+$Y$16)^AP$34))</f>
        <v>-673218.61996768683</v>
      </c>
      <c r="AQ819" s="193">
        <f>(((T819*'Appendix K'!$C$23*1000)-('Appendix K'!$E$49+'Appendix K'!$F$49+'Appendix K'!$H$49+'Appendix K'!$G$49))/((1+$Y$16)^AQ$34))</f>
        <v>-611288.83504174708</v>
      </c>
      <c r="AR819" s="193">
        <f>(((U819*'Appendix K'!$C$24*1000)-('Appendix K'!$E$50+'Appendix K'!$F$50+'Appendix K'!$H$50+'Appendix K'!$G$50))/((1+$Y$16)^AR$34))</f>
        <v>-555177.19593633991</v>
      </c>
      <c r="AS819" s="209">
        <f t="shared" si="40"/>
        <v>6439174.9251808226</v>
      </c>
      <c r="AU819" s="199">
        <f t="shared" si="39"/>
        <v>2.5271540958102123E-9</v>
      </c>
    </row>
    <row r="820" spans="1:47" x14ac:dyDescent="0.35">
      <c r="A820">
        <v>786</v>
      </c>
      <c r="B820" s="70">
        <v>56</v>
      </c>
      <c r="C820" s="70">
        <v>105.07094679655118</v>
      </c>
      <c r="D820" s="70">
        <v>96.955631239457134</v>
      </c>
      <c r="E820" s="70">
        <v>101.08604330127505</v>
      </c>
      <c r="F820" s="70">
        <v>161.09913641469834</v>
      </c>
      <c r="G820" s="70">
        <v>224.27997717467395</v>
      </c>
      <c r="H820" s="70">
        <v>263.74947066424483</v>
      </c>
      <c r="I820" s="70">
        <v>216.10507470905813</v>
      </c>
      <c r="J820" s="70">
        <v>242.74343564886902</v>
      </c>
      <c r="K820" s="70">
        <v>431.88178359976678</v>
      </c>
      <c r="L820" s="70">
        <v>341.59495327114547</v>
      </c>
      <c r="M820" s="70">
        <v>500</v>
      </c>
      <c r="N820" s="70">
        <v>500</v>
      </c>
      <c r="O820" s="70">
        <v>500</v>
      </c>
      <c r="P820" s="70">
        <v>246.71741573841973</v>
      </c>
      <c r="Q820" s="70">
        <v>206.18148926489278</v>
      </c>
      <c r="R820" s="70">
        <v>267.52187055031794</v>
      </c>
      <c r="S820" s="70">
        <v>371.70224065207674</v>
      </c>
      <c r="T820" s="70">
        <v>231.87767612864889</v>
      </c>
      <c r="U820" s="70">
        <v>229.85710643781215</v>
      </c>
      <c r="V820" s="70">
        <v>426.04708495237844</v>
      </c>
      <c r="X820" s="193">
        <f>((0-('Appendix K'!$I$30))/(1+$Y$16)^0)</f>
        <v>-33594902.4440751</v>
      </c>
      <c r="Y820" s="193">
        <f>(((B820*'Appendix K'!$C$5*1000)-('Appendix K'!$E$31+'Appendix K'!$F$31+'Appendix K'!$H$31+'Appendix K'!$G$31))/((1+$Y$16)^1))</f>
        <v>34971064.972647354</v>
      </c>
      <c r="Z820" s="193">
        <f>+(((C820*'Appendix K'!$C$6*1000)-('Appendix K'!$E$32+'Appendix K'!$F$32+'Appendix K'!$H$32+'Appendix K'!$G$32))/((1+$Y$16)^2))</f>
        <v>23055470.532363348</v>
      </c>
      <c r="AA820" s="193">
        <f>(((D820*'Appendix K'!$C$7*1000)-('Appendix K'!$E$33+'Appendix K'!$F$33+'Appendix K'!$H$33+'Appendix K'!$G$33))/((1+$Y$16)^3))</f>
        <v>9384813.0906388946</v>
      </c>
      <c r="AB820" s="193">
        <f>(((E820*'Appendix K'!$C$8*1000)-('Appendix K'!$E$34+'Appendix K'!$F$34+'Appendix K'!$H$34+'Appendix K'!$G$34))/((1+$Y$16)^4))</f>
        <v>18863927.449124161</v>
      </c>
      <c r="AC820" s="193">
        <f>(((F820*'Appendix K'!$C$9*1000)-('Appendix K'!$E$35+'Appendix K'!$F$35+'Appendix K'!$H$35+'Appendix K'!$G$35))/((1+$Y$16)^AC$34))</f>
        <v>39835668.968827836</v>
      </c>
      <c r="AD820" s="193">
        <f>(((G820*'Appendix K'!$C$10*1000)-('Appendix K'!$E$36+'Appendix K'!$F$36+'Appendix K'!$H$36+'Appendix K'!$G$36))/((1+$Y$16)^AD$34))</f>
        <v>32706050.88370949</v>
      </c>
      <c r="AE820" s="193">
        <f>(((H820*'Appendix K'!$C$11*1000)-('Appendix K'!$E$37+'Appendix K'!$F$37+'Appendix K'!$H$37+'Appendix K'!$G$37))/((1+$Y$16)^AE$34))</f>
        <v>24085805.845538992</v>
      </c>
      <c r="AF820" s="193">
        <f>(((I820*'Appendix K'!$C$12*1000)-('Appendix K'!$E$38+'Appendix K'!$F$38+'Appendix K'!$H$38+'Appendix K'!$G$38))/((1+$Y$16)^AF$34))</f>
        <v>12193404.690204507</v>
      </c>
      <c r="AG820" s="193">
        <f>(((J820*'Appendix K'!$C$13*1000)-('Appendix K'!$E$39+'Appendix K'!$F$39+'Appendix K'!$H$39+'Appendix K'!$G$39))/((1+$Y$16)^AG$34))</f>
        <v>9355849.9239412174</v>
      </c>
      <c r="AH820" s="193">
        <f>(((K820*'Appendix K'!$C$14*1000)-('Appendix K'!$E$40+'Appendix K'!$F$40+'Appendix K'!$H$40+'Appendix K'!$G$40))/((1+$Y$16)^AH$34))</f>
        <v>12924493.738341831</v>
      </c>
      <c r="AI820" s="193">
        <f>(((L820*'Appendix K'!$C$15*1000)-('Appendix K'!$E$41+'Appendix K'!$F$41+'Appendix K'!$H$41+'Appendix K'!$G$41))/((1+$Y$16)^AI$34))</f>
        <v>7433945.2130678939</v>
      </c>
      <c r="AJ820" s="193">
        <f>(((M820*'Appendix K'!$C$16*1000)-('Appendix K'!$E$42+'Appendix K'!$F$42+'Appendix K'!$H$42+'Appendix K'!$G$42))/((1+$Y$16)^AJ$34))</f>
        <v>8639382.5302660316</v>
      </c>
      <c r="AK820" s="193">
        <f>(((N820*'Appendix K'!$C$17*1000)-('Appendix K'!$E$43+'Appendix K'!$F$43+'Appendix K'!$H$43))/((1+$Y$16)^AK$34))</f>
        <v>6677690.1149291173</v>
      </c>
      <c r="AL820" s="193">
        <f>(((O820*'Appendix K'!$C$18*1000)-('Appendix K'!$E$44+'Appendix K'!$F$44+'Appendix K'!$H$44+'Appendix K'!$G$44))/((1+$Y$16)^AL$34))</f>
        <v>4792058.0003928225</v>
      </c>
      <c r="AM820" s="193">
        <f>(((P820*'Appendix K'!$C$19*1000)-('Appendix K'!$E$45+'Appendix K'!$F$45+'Appendix K'!$H$45+'Appendix K'!$G$45))/((1+$Y$16)^AM$34))</f>
        <v>1259991.6128487864</v>
      </c>
      <c r="AN820" s="193">
        <f>(((Q820*'Appendix K'!$C$20*1000)-('Appendix K'!$E$46+'Appendix K'!$F$46+'Appendix K'!$H$46+'Appendix K'!$G$46))/((1+$Y$16)^AN$34))</f>
        <v>576265.13634159835</v>
      </c>
      <c r="AO820" s="193">
        <f>(((R820*'Appendix K'!$C$21*1000)-('Appendix K'!$E$47+'Appendix K'!$F$47+'Appendix K'!$H$47+'Appendix K'!$G$47))/((1+$Y$16)^AO$34))</f>
        <v>738084.88539839815</v>
      </c>
      <c r="AP820" s="193">
        <f>(((S820*'Appendix K'!$C$22*1000)-('Appendix K'!$E$48+'Appendix K'!$F$48+'Appendix K'!$H$48+'Appendix K'!$G$48))/((1+$Y$16)^AP$34))</f>
        <v>1015896.1785817407</v>
      </c>
      <c r="AQ820" s="193">
        <f>(((T820*'Appendix K'!$C$23*1000)-('Appendix K'!$E$49+'Appendix K'!$F$49+'Appendix K'!$H$49+'Appendix K'!$G$49))/((1+$Y$16)^AQ$34))</f>
        <v>214024.23064824328</v>
      </c>
      <c r="AR820" s="193">
        <f>(((U820*'Appendix K'!$C$24*1000)-('Appendix K'!$E$50+'Appendix K'!$F$50+'Appendix K'!$H$50+'Appendix K'!$G$50))/((1+$Y$16)^AR$34))</f>
        <v>110857.45375520494</v>
      </c>
      <c r="AS820" s="209">
        <f t="shared" si="40"/>
        <v>215239843.00749236</v>
      </c>
      <c r="AU820" s="199">
        <f t="shared" si="39"/>
        <v>5.6077225949300296E-10</v>
      </c>
    </row>
    <row r="821" spans="1:47" x14ac:dyDescent="0.35">
      <c r="A821">
        <v>787</v>
      </c>
      <c r="B821" s="70">
        <v>56</v>
      </c>
      <c r="C821" s="70">
        <v>39.761915900745748</v>
      </c>
      <c r="D821" s="70">
        <v>32.265857127985328</v>
      </c>
      <c r="E821" s="70">
        <v>42.548981543304549</v>
      </c>
      <c r="F821" s="70">
        <v>35.596283257848505</v>
      </c>
      <c r="G821" s="70">
        <v>22.773495914694823</v>
      </c>
      <c r="H821" s="70">
        <v>37.383586377961471</v>
      </c>
      <c r="I821" s="70">
        <v>30.34958576719945</v>
      </c>
      <c r="J821" s="70">
        <v>59.012852759525771</v>
      </c>
      <c r="K821" s="70">
        <v>64.162293796483397</v>
      </c>
      <c r="L821" s="70">
        <v>45.657325943628244</v>
      </c>
      <c r="M821" s="70">
        <v>50.277882570227455</v>
      </c>
      <c r="N821" s="70">
        <v>72.425001242746887</v>
      </c>
      <c r="O821" s="70">
        <v>57.972941962488662</v>
      </c>
      <c r="P821" s="70">
        <v>34.276708070228374</v>
      </c>
      <c r="Q821" s="70">
        <v>39.712393903551018</v>
      </c>
      <c r="R821" s="70">
        <v>54.911049109209515</v>
      </c>
      <c r="S821" s="70">
        <v>83.269883802752204</v>
      </c>
      <c r="T821" s="70">
        <v>69.543874995427558</v>
      </c>
      <c r="U821" s="70">
        <v>106.4758644629888</v>
      </c>
      <c r="V821" s="70">
        <v>105.81115504538789</v>
      </c>
      <c r="X821" s="193">
        <f>((0-('Appendix K'!$I$30))/(1+$Y$16)^0)</f>
        <v>-33594902.4440751</v>
      </c>
      <c r="Y821" s="193">
        <f>(((B821*'Appendix K'!$C$5*1000)-('Appendix K'!$E$31+'Appendix K'!$F$31+'Appendix K'!$H$31+'Appendix K'!$G$31))/((1+$Y$16)^1))</f>
        <v>34971064.972647354</v>
      </c>
      <c r="Z821" s="193">
        <f>+(((C821*'Appendix K'!$C$6*1000)-('Appendix K'!$E$32+'Appendix K'!$F$32+'Appendix K'!$H$32+'Appendix K'!$G$32))/((1+$Y$16)^2))</f>
        <v>6557292.3396235583</v>
      </c>
      <c r="AA821" s="193">
        <f>(((D821*'Appendix K'!$C$7*1000)-('Appendix K'!$E$33+'Appendix K'!$F$33+'Appendix K'!$H$33+'Appendix K'!$G$33))/((1+$Y$16)^3))</f>
        <v>1144961.3702923022</v>
      </c>
      <c r="AB821" s="193">
        <f>(((E821*'Appendix K'!$C$8*1000)-('Appendix K'!$E$34+'Appendix K'!$F$34+'Appendix K'!$H$34+'Appendix K'!$G$34))/((1+$Y$16)^4))</f>
        <v>6033139.3670011675</v>
      </c>
      <c r="AC821" s="193">
        <f>(((F821*'Appendix K'!$C$9*1000)-('Appendix K'!$E$35+'Appendix K'!$F$35+'Appendix K'!$H$35+'Appendix K'!$G$35))/((1+$Y$16)^AC$34))</f>
        <v>6477207.6745816795</v>
      </c>
      <c r="AD821" s="193">
        <f>(((G821*'Appendix K'!$C$10*1000)-('Appendix K'!$E$36+'Appendix K'!$F$36+'Appendix K'!$H$36+'Appendix K'!$G$36))/((1+$Y$16)^AD$34))</f>
        <v>1060676.8104934506</v>
      </c>
      <c r="AE821" s="193">
        <f>(((H821*'Appendix K'!$C$11*1000)-('Appendix K'!$E$37+'Appendix K'!$F$37+'Appendix K'!$H$37+'Appendix K'!$G$37))/((1+$Y$16)^AE$34))</f>
        <v>1508609.2973513741</v>
      </c>
      <c r="AF821" s="193">
        <f>(((I821*'Appendix K'!$C$12*1000)-('Appendix K'!$E$38+'Appendix K'!$F$38+'Appendix K'!$H$38+'Appendix K'!$G$38))/((1+$Y$16)^AF$34))</f>
        <v>-3751.5495412114101</v>
      </c>
      <c r="AG821" s="193">
        <f>(((J821*'Appendix K'!$C$13*1000)-('Appendix K'!$E$39+'Appendix K'!$F$39+'Appendix K'!$H$39+'Appendix K'!$G$39))/((1+$Y$16)^AG$34))</f>
        <v>900764.62041771819</v>
      </c>
      <c r="AH821" s="193">
        <f>(((K821*'Appendix K'!$C$14*1000)-('Appendix K'!$E$40+'Appendix K'!$F$40+'Appendix K'!$H$40+'Appendix K'!$G$40))/((1+$Y$16)^AH$34))</f>
        <v>529946.91652773519</v>
      </c>
      <c r="AI821" s="193">
        <f>(((L821*'Appendix K'!$C$15*1000)-('Appendix K'!$E$41+'Appendix K'!$F$41+'Appendix K'!$H$41+'Appendix K'!$G$41))/((1+$Y$16)^AI$34))</f>
        <v>-320174.0289897942</v>
      </c>
      <c r="AJ821" s="193">
        <f>(((M821*'Appendix K'!$C$16*1000)-('Appendix K'!$E$42+'Appendix K'!$F$42+'Appendix K'!$H$42+'Appendix K'!$G$42))/((1+$Y$16)^AJ$34))</f>
        <v>-373888.32430251141</v>
      </c>
      <c r="AK821" s="193">
        <f>(((N821*'Appendix K'!$C$17*1000)-('Appendix K'!$E$43+'Appendix K'!$F$43+'Appendix K'!$H$43))/((1+$Y$16)^AK$34))</f>
        <v>108471.67644112448</v>
      </c>
      <c r="AL821" s="193">
        <f>(((O821*'Appendix K'!$C$18*1000)-('Appendix K'!$E$44+'Appendix K'!$F$44+'Appendix K'!$H$44+'Appendix K'!$G$44))/((1+$Y$16)^AL$34))</f>
        <v>-447418.78592739283</v>
      </c>
      <c r="AM821" s="193">
        <f>(((P821*'Appendix K'!$C$19*1000)-('Appendix K'!$E$45+'Appendix K'!$F$45+'Appendix K'!$H$45+'Appendix K'!$G$45))/((1+$Y$16)^AM$34))</f>
        <v>-709064.32828826783</v>
      </c>
      <c r="AN821" s="193">
        <f>(((Q821*'Appendix K'!$C$20*1000)-('Appendix K'!$E$46+'Appendix K'!$F$46+'Appendix K'!$H$46+'Appendix K'!$G$46))/((1+$Y$16)^AN$34))</f>
        <v>-628341.34332248988</v>
      </c>
      <c r="AO821" s="193">
        <f>(((R821*'Appendix K'!$C$21*1000)-('Appendix K'!$E$47+'Appendix K'!$F$47+'Appendix K'!$H$47+'Appendix K'!$G$47))/((1+$Y$16)^AO$34))</f>
        <v>-518468.55857066019</v>
      </c>
      <c r="AP821" s="193">
        <f>(((S821*'Appendix K'!$C$22*1000)-('Appendix K'!$E$48+'Appendix K'!$F$48+'Appendix K'!$H$48+'Appendix K'!$G$48))/((1+$Y$16)^AP$34))</f>
        <v>-365613.85978718294</v>
      </c>
      <c r="AQ821" s="193">
        <f>(((T821*'Appendix K'!$C$23*1000)-('Appendix K'!$E$49+'Appendix K'!$F$49+'Appendix K'!$H$49+'Appendix K'!$G$49))/((1+$Y$16)^AQ$34))</f>
        <v>-421308.70846827881</v>
      </c>
      <c r="AR821" s="193">
        <f>(((U821*'Appendix K'!$C$24*1000)-('Appendix K'!$E$50+'Appendix K'!$F$50+'Appendix K'!$H$50+'Appendix K'!$G$50))/((1+$Y$16)^AR$34))</f>
        <v>-286433.6024052953</v>
      </c>
      <c r="AS821" s="209">
        <f t="shared" si="40"/>
        <v>25697232.601302363</v>
      </c>
      <c r="AU821" s="199">
        <f t="shared" si="39"/>
        <v>3.8764425625678686E-9</v>
      </c>
    </row>
    <row r="822" spans="1:47" x14ac:dyDescent="0.35">
      <c r="A822">
        <v>788</v>
      </c>
      <c r="B822" s="70">
        <v>56</v>
      </c>
      <c r="C822" s="70">
        <v>35.478779719441107</v>
      </c>
      <c r="D822" s="70">
        <v>25.181753460866524</v>
      </c>
      <c r="E822" s="70">
        <v>24.293232998495959</v>
      </c>
      <c r="F822" s="70">
        <v>25.500946543787187</v>
      </c>
      <c r="G822" s="70">
        <v>28.209681385102773</v>
      </c>
      <c r="H822" s="70">
        <v>37.447735134561668</v>
      </c>
      <c r="I822" s="70">
        <v>35.117181770741389</v>
      </c>
      <c r="J822" s="70">
        <v>33.984068015431816</v>
      </c>
      <c r="K822" s="70">
        <v>33.551917695560782</v>
      </c>
      <c r="L822" s="70">
        <v>38.657633188687321</v>
      </c>
      <c r="M822" s="70">
        <v>44.883421613806121</v>
      </c>
      <c r="N822" s="70">
        <v>36.200603985887604</v>
      </c>
      <c r="O822" s="70">
        <v>36.914615713082561</v>
      </c>
      <c r="P822" s="70">
        <v>17.769614892532989</v>
      </c>
      <c r="Q822" s="70">
        <v>13.263831551352988</v>
      </c>
      <c r="R822" s="70">
        <v>15.251190450844437</v>
      </c>
      <c r="S822" s="70">
        <v>13.419340303133652</v>
      </c>
      <c r="T822" s="70">
        <v>15.588565245422249</v>
      </c>
      <c r="U822" s="70">
        <v>24.636346521000601</v>
      </c>
      <c r="V822" s="70">
        <v>21.28892251387385</v>
      </c>
      <c r="X822" s="193">
        <f>((0-('Appendix K'!$I$30))/(1+$Y$16)^0)</f>
        <v>-33594902.4440751</v>
      </c>
      <c r="Y822" s="193">
        <f>(((B822*'Appendix K'!$C$5*1000)-('Appendix K'!$E$31+'Appendix K'!$F$31+'Appendix K'!$H$31+'Appendix K'!$G$31))/((1+$Y$16)^1))</f>
        <v>34971064.972647354</v>
      </c>
      <c r="Z822" s="193">
        <f>+(((C822*'Appendix K'!$C$6*1000)-('Appendix K'!$E$32+'Appendix K'!$F$32+'Appendix K'!$H$32+'Appendix K'!$G$32))/((1+$Y$16)^2))</f>
        <v>5475298.8852164196</v>
      </c>
      <c r="AA822" s="193">
        <f>(((D822*'Appendix K'!$C$7*1000)-('Appendix K'!$E$33+'Appendix K'!$F$33+'Appendix K'!$H$33+'Appendix K'!$G$33))/((1+$Y$16)^3))</f>
        <v>242624.56991891793</v>
      </c>
      <c r="AB822" s="193">
        <f>(((E822*'Appendix K'!$C$8*1000)-('Appendix K'!$E$34+'Appendix K'!$F$34+'Appendix K'!$H$34+'Appendix K'!$G$34))/((1+$Y$16)^4))</f>
        <v>2031646.4012721456</v>
      </c>
      <c r="AC822" s="193">
        <f>(((F822*'Appendix K'!$C$9*1000)-('Appendix K'!$E$35+'Appendix K'!$F$35+'Appendix K'!$H$35+'Appendix K'!$G$35))/((1+$Y$16)^AC$34))</f>
        <v>3793883.0285075572</v>
      </c>
      <c r="AD822" s="193">
        <f>(((G822*'Appendix K'!$C$10*1000)-('Appendix K'!$E$36+'Appendix K'!$F$36+'Appendix K'!$H$36+'Appendix K'!$G$36))/((1+$Y$16)^AD$34))</f>
        <v>1914396.8579419099</v>
      </c>
      <c r="AE822" s="193">
        <f>(((H822*'Appendix K'!$C$11*1000)-('Appendix K'!$E$37+'Appendix K'!$F$37+'Appendix K'!$H$37+'Appendix K'!$G$37))/((1+$Y$16)^AE$34))</f>
        <v>1515007.3422274862</v>
      </c>
      <c r="AF822" s="193">
        <f>(((I822*'Appendix K'!$C$12*1000)-('Appendix K'!$E$38+'Appendix K'!$F$38+'Appendix K'!$H$38+'Appendix K'!$G$38))/((1+$Y$16)^AF$34))</f>
        <v>309300.37519297242</v>
      </c>
      <c r="AG822" s="193">
        <f>(((J822*'Appendix K'!$C$13*1000)-('Appendix K'!$E$39+'Appendix K'!$F$39+'Appendix K'!$H$39+'Appendix K'!$G$39))/((1+$Y$16)^AG$34))</f>
        <v>-251033.33682436077</v>
      </c>
      <c r="AH822" s="193">
        <f>(((K822*'Appendix K'!$C$14*1000)-('Appendix K'!$E$40+'Appendix K'!$F$40+'Appendix K'!$H$40+'Appendix K'!$G$40))/((1+$Y$16)^AH$34))</f>
        <v>-501822.54453398526</v>
      </c>
      <c r="AI822" s="193">
        <f>(((L822*'Appendix K'!$C$15*1000)-('Appendix K'!$E$41+'Appendix K'!$F$41+'Appendix K'!$H$41+'Appendix K'!$G$41))/((1+$Y$16)^AI$34))</f>
        <v>-503579.06865888269</v>
      </c>
      <c r="AJ822" s="193">
        <f>(((M822*'Appendix K'!$C$16*1000)-('Appendix K'!$E$42+'Appendix K'!$F$42+'Appendix K'!$H$42+'Appendix K'!$G$42))/((1+$Y$16)^AJ$34))</f>
        <v>-482003.39320884098</v>
      </c>
      <c r="AK822" s="193">
        <f>(((N822*'Appendix K'!$C$17*1000)-('Appendix K'!$E$43+'Appendix K'!$F$43+'Appendix K'!$H$43))/((1+$Y$16)^AK$34))</f>
        <v>-448076.24865861732</v>
      </c>
      <c r="AL822" s="193">
        <f>(((O822*'Appendix K'!$C$18*1000)-('Appendix K'!$E$44+'Appendix K'!$F$44+'Appendix K'!$H$44+'Appendix K'!$G$44))/((1+$Y$16)^AL$34))</f>
        <v>-697029.32341887301</v>
      </c>
      <c r="AM822" s="193">
        <f>(((P822*'Appendix K'!$C$19*1000)-('Appendix K'!$E$45+'Appendix K'!$F$45+'Appendix K'!$H$45+'Appendix K'!$G$45))/((1+$Y$16)^AM$34))</f>
        <v>-862064.14762237913</v>
      </c>
      <c r="AN822" s="193">
        <f>(((Q822*'Appendix K'!$C$20*1000)-('Appendix K'!$E$46+'Appendix K'!$F$46+'Appendix K'!$H$46+'Appendix K'!$G$46))/((1+$Y$16)^AN$34))</f>
        <v>-819728.87695509044</v>
      </c>
      <c r="AO822" s="193">
        <f>(((R822*'Appendix K'!$C$21*1000)-('Appendix K'!$E$47+'Appendix K'!$F$47+'Appendix K'!$H$47+'Appendix K'!$G$47))/((1+$Y$16)^AO$34))</f>
        <v>-752862.70486437809</v>
      </c>
      <c r="AP822" s="193">
        <f>(((S822*'Appendix K'!$C$22*1000)-('Appendix K'!$E$48+'Appendix K'!$F$48+'Appendix K'!$H$48+'Appendix K'!$G$48))/((1+$Y$16)^AP$34))</f>
        <v>-700178.35901449691</v>
      </c>
      <c r="AQ822" s="193">
        <f>(((T822*'Appendix K'!$C$23*1000)-('Appendix K'!$E$49+'Appendix K'!$F$49+'Appendix K'!$H$49+'Appendix K'!$G$49))/((1+$Y$16)^AQ$34))</f>
        <v>-632475.97791625548</v>
      </c>
      <c r="AR822" s="193">
        <f>(((U822*'Appendix K'!$C$24*1000)-('Appendix K'!$E$50+'Appendix K'!$F$50+'Appendix K'!$H$50+'Appendix K'!$G$50))/((1+$Y$16)^AR$34))</f>
        <v>-549959.14322837593</v>
      </c>
      <c r="AS822" s="209">
        <f t="shared" si="40"/>
        <v>16658319.98884967</v>
      </c>
      <c r="AU822" s="199">
        <f t="shared" si="39"/>
        <v>3.2170201823886119E-9</v>
      </c>
    </row>
    <row r="823" spans="1:47" x14ac:dyDescent="0.35">
      <c r="A823">
        <v>789</v>
      </c>
      <c r="B823" s="70">
        <v>56</v>
      </c>
      <c r="C823" s="70">
        <v>21.420189416456417</v>
      </c>
      <c r="D823" s="70">
        <v>17.173850522233565</v>
      </c>
      <c r="E823" s="70">
        <v>17.835555937916528</v>
      </c>
      <c r="F823" s="70">
        <v>22.49920535950562</v>
      </c>
      <c r="G823" s="70">
        <v>24.183475580267565</v>
      </c>
      <c r="H823" s="70">
        <v>21.284592811600909</v>
      </c>
      <c r="I823" s="70">
        <v>25.340853528116668</v>
      </c>
      <c r="J823" s="70">
        <v>20.827122692346958</v>
      </c>
      <c r="K823" s="70">
        <v>9.3493440348904588</v>
      </c>
      <c r="L823" s="70">
        <v>10.112065675567656</v>
      </c>
      <c r="M823" s="70">
        <v>10.840120475898967</v>
      </c>
      <c r="N823" s="70">
        <v>8.1208616066269883</v>
      </c>
      <c r="O823" s="70">
        <v>12.166591081881654</v>
      </c>
      <c r="P823" s="70">
        <v>18.43278677289706</v>
      </c>
      <c r="Q823" s="70">
        <v>17.877470370268306</v>
      </c>
      <c r="R823" s="70">
        <v>15.373918157348314</v>
      </c>
      <c r="S823" s="70">
        <v>14.187144552600353</v>
      </c>
      <c r="T823" s="70">
        <v>12.526600987994588</v>
      </c>
      <c r="U823" s="70">
        <v>14.47992817309918</v>
      </c>
      <c r="V823" s="70">
        <v>10.222243478199928</v>
      </c>
      <c r="X823" s="193">
        <f>((0-('Appendix K'!$I$30))/(1+$Y$16)^0)</f>
        <v>-33594902.4440751</v>
      </c>
      <c r="Y823" s="193">
        <f>(((B823*'Appendix K'!$C$5*1000)-('Appendix K'!$E$31+'Appendix K'!$F$31+'Appendix K'!$H$31+'Appendix K'!$G$31))/((1+$Y$16)^1))</f>
        <v>34971064.972647354</v>
      </c>
      <c r="Z823" s="193">
        <f>+(((C823*'Appendix K'!$C$6*1000)-('Appendix K'!$E$32+'Appendix K'!$F$32+'Appendix K'!$H$32+'Appendix K'!$G$32))/((1+$Y$16)^2))</f>
        <v>1923858.5288680634</v>
      </c>
      <c r="AA823" s="193">
        <f>(((D823*'Appendix K'!$C$7*1000)-('Appendix K'!$E$33+'Appendix K'!$F$33+'Appendix K'!$H$33+'Appendix K'!$G$33))/((1+$Y$16)^3))</f>
        <v>-777381.04474842444</v>
      </c>
      <c r="AB823" s="193">
        <f>(((E823*'Appendix K'!$C$8*1000)-('Appendix K'!$E$34+'Appendix K'!$F$34+'Appendix K'!$H$34+'Appendix K'!$G$34))/((1+$Y$16)^4))</f>
        <v>616182.70393684751</v>
      </c>
      <c r="AC823" s="193">
        <f>(((F823*'Appendix K'!$C$9*1000)-('Appendix K'!$E$35+'Appendix K'!$F$35+'Appendix K'!$H$35+'Appendix K'!$G$35))/((1+$Y$16)^AC$34))</f>
        <v>2996024.9353050287</v>
      </c>
      <c r="AD823" s="193">
        <f>(((G823*'Appendix K'!$C$10*1000)-('Appendix K'!$E$36+'Appendix K'!$F$36+'Appendix K'!$H$36+'Appendix K'!$G$36))/((1+$Y$16)^AD$34))</f>
        <v>1282105.5887326512</v>
      </c>
      <c r="AE823" s="193">
        <f>(((H823*'Appendix K'!$C$11*1000)-('Appendix K'!$E$37+'Appendix K'!$F$37+'Appendix K'!$H$37+'Appendix K'!$G$37))/((1+$Y$16)^AE$34))</f>
        <v>-97066.14761122562</v>
      </c>
      <c r="AF823" s="193">
        <f>(((I823*'Appendix K'!$C$12*1000)-('Appendix K'!$E$38+'Appendix K'!$F$38+'Appendix K'!$H$38+'Appendix K'!$G$38))/((1+$Y$16)^AF$34))</f>
        <v>-332637.06474806491</v>
      </c>
      <c r="AG823" s="193">
        <f>(((J823*'Appendix K'!$C$13*1000)-('Appendix K'!$E$39+'Appendix K'!$F$39+'Appendix K'!$H$39+'Appendix K'!$G$39))/((1+$Y$16)^AG$34))</f>
        <v>-856501.91636659333</v>
      </c>
      <c r="AH823" s="193">
        <f>(((K823*'Appendix K'!$C$14*1000)-('Appendix K'!$E$40+'Appendix K'!$F$40+'Appendix K'!$H$40+'Appendix K'!$G$40))/((1+$Y$16)^AH$34))</f>
        <v>-1317607.2411951858</v>
      </c>
      <c r="AI823" s="193">
        <f>(((L823*'Appendix K'!$C$15*1000)-('Appendix K'!$E$41+'Appendix K'!$F$41+'Appendix K'!$H$41+'Appendix K'!$G$41))/((1+$Y$16)^AI$34))</f>
        <v>-1251526.3179756193</v>
      </c>
      <c r="AJ823" s="193">
        <f>(((M823*'Appendix K'!$C$16*1000)-('Appendix K'!$E$42+'Appendix K'!$F$42+'Appendix K'!$H$42+'Appendix K'!$G$42))/((1+$Y$16)^AJ$34))</f>
        <v>-1164294.7061049968</v>
      </c>
      <c r="AK823" s="193">
        <f>(((N823*'Appendix K'!$C$17*1000)-('Appendix K'!$E$43+'Appendix K'!$F$43+'Appendix K'!$H$43))/((1+$Y$16)^AK$34))</f>
        <v>-879490.53135047341</v>
      </c>
      <c r="AL823" s="193">
        <f>(((O823*'Appendix K'!$C$18*1000)-('Appendix K'!$E$44+'Appendix K'!$F$44+'Appendix K'!$H$44+'Appendix K'!$G$44))/((1+$Y$16)^AL$34))</f>
        <v>-990374.9415313605</v>
      </c>
      <c r="AM823" s="193">
        <f>(((P823*'Appendix K'!$C$19*1000)-('Appendix K'!$E$45+'Appendix K'!$F$45+'Appendix K'!$H$45+'Appendix K'!$G$45))/((1+$Y$16)^AM$34))</f>
        <v>-855917.38533110754</v>
      </c>
      <c r="AN823" s="193">
        <f>(((Q823*'Appendix K'!$C$20*1000)-('Appendix K'!$E$46+'Appendix K'!$F$46+'Appendix K'!$H$46+'Appendix K'!$G$46))/((1+$Y$16)^AN$34))</f>
        <v>-786343.58580521261</v>
      </c>
      <c r="AO823" s="193">
        <f>(((R823*'Appendix K'!$C$21*1000)-('Appendix K'!$E$47+'Appendix K'!$F$47+'Appendix K'!$H$47+'Appendix K'!$G$47))/((1+$Y$16)^AO$34))</f>
        <v>-752137.3705599783</v>
      </c>
      <c r="AP823" s="193">
        <f>(((S823*'Appendix K'!$C$22*1000)-('Appendix K'!$E$48+'Appendix K'!$F$48+'Appendix K'!$H$48+'Appendix K'!$G$48))/((1+$Y$16)^AP$34))</f>
        <v>-696500.79215019848</v>
      </c>
      <c r="AQ823" s="193">
        <f>(((T823*'Appendix K'!$C$23*1000)-('Appendix K'!$E$49+'Appendix K'!$F$49+'Appendix K'!$H$49+'Appendix K'!$G$49))/((1+$Y$16)^AQ$34))</f>
        <v>-644459.72213687387</v>
      </c>
      <c r="AR823" s="193">
        <f>(((U823*'Appendix K'!$C$24*1000)-('Appendix K'!$E$50+'Appendix K'!$F$50+'Appendix K'!$H$50+'Appendix K'!$G$50))/((1+$Y$16)^AR$34))</f>
        <v>-582663.09487986774</v>
      </c>
      <c r="AS823" s="209">
        <f t="shared" si="40"/>
        <v>8194334.2854148448</v>
      </c>
      <c r="AU823" s="199">
        <f t="shared" si="39"/>
        <v>2.6401994397880458E-9</v>
      </c>
    </row>
    <row r="824" spans="1:47" x14ac:dyDescent="0.35">
      <c r="A824">
        <v>790</v>
      </c>
      <c r="B824" s="70">
        <v>56</v>
      </c>
      <c r="C824" s="70">
        <v>66.937469385761148</v>
      </c>
      <c r="D824" s="70">
        <v>74.375169741022049</v>
      </c>
      <c r="E824" s="70">
        <v>81.539414946677155</v>
      </c>
      <c r="F824" s="70">
        <v>131.99436352469303</v>
      </c>
      <c r="G824" s="70">
        <v>118.5892642010991</v>
      </c>
      <c r="H824" s="70">
        <v>138.25212555641355</v>
      </c>
      <c r="I824" s="70">
        <v>108.12789933372477</v>
      </c>
      <c r="J824" s="70">
        <v>142.53545775458582</v>
      </c>
      <c r="K824" s="70">
        <v>202.67281051358754</v>
      </c>
      <c r="L824" s="70">
        <v>178.02076542758581</v>
      </c>
      <c r="M824" s="70">
        <v>154.80641723601843</v>
      </c>
      <c r="N824" s="70">
        <v>215.15151762103753</v>
      </c>
      <c r="O824" s="70">
        <v>168.57547032045534</v>
      </c>
      <c r="P824" s="70">
        <v>138.13172383481611</v>
      </c>
      <c r="Q824" s="70">
        <v>133.45333869307953</v>
      </c>
      <c r="R824" s="70">
        <v>161.54435424754342</v>
      </c>
      <c r="S824" s="70">
        <v>176.06612674837535</v>
      </c>
      <c r="T824" s="70">
        <v>168.08866480791696</v>
      </c>
      <c r="U824" s="70">
        <v>180.44211374621227</v>
      </c>
      <c r="V824" s="70">
        <v>55.732835749417319</v>
      </c>
      <c r="X824" s="193">
        <f>((0-('Appendix K'!$I$30))/(1+$Y$16)^0)</f>
        <v>-33594902.4440751</v>
      </c>
      <c r="Y824" s="193">
        <f>(((B824*'Appendix K'!$C$5*1000)-('Appendix K'!$E$31+'Appendix K'!$F$31+'Appendix K'!$H$31+'Appendix K'!$G$31))/((1+$Y$16)^1))</f>
        <v>34971064.972647354</v>
      </c>
      <c r="Z824" s="193">
        <f>+(((C824*'Appendix K'!$C$6*1000)-('Appendix K'!$E$32+'Appendix K'!$F$32+'Appendix K'!$H$32+'Appendix K'!$G$32))/((1+$Y$16)^2))</f>
        <v>13422301.936801804</v>
      </c>
      <c r="AA824" s="193">
        <f>(((D824*'Appendix K'!$C$7*1000)-('Appendix K'!$E$33+'Appendix K'!$F$33+'Appendix K'!$H$33+'Appendix K'!$G$33))/((1+$Y$16)^3))</f>
        <v>6508629.6894805143</v>
      </c>
      <c r="AB824" s="193">
        <f>(((E824*'Appendix K'!$C$8*1000)-('Appendix K'!$E$34+'Appendix K'!$F$34+'Appendix K'!$H$34+'Appendix K'!$G$34))/((1+$Y$16)^4))</f>
        <v>14579485.445956605</v>
      </c>
      <c r="AC824" s="193">
        <f>(((F824*'Appendix K'!$C$9*1000)-('Appendix K'!$E$35+'Appendix K'!$F$35+'Appendix K'!$H$35+'Appendix K'!$G$35))/((1+$Y$16)^AC$34))</f>
        <v>32099666.037359204</v>
      </c>
      <c r="AD824" s="193">
        <f>(((G824*'Appendix K'!$C$10*1000)-('Appendix K'!$E$36+'Appendix K'!$F$36+'Appendix K'!$H$36+'Appendix K'!$G$36))/((1+$Y$16)^AD$34))</f>
        <v>16107963.679762302</v>
      </c>
      <c r="AE824" s="193">
        <f>(((H824*'Appendix K'!$C$11*1000)-('Appendix K'!$E$37+'Appendix K'!$F$37+'Appendix K'!$H$37+'Appendix K'!$G$37))/((1+$Y$16)^AE$34))</f>
        <v>11568998.219210085</v>
      </c>
      <c r="AF824" s="193">
        <f>(((I824*'Appendix K'!$C$12*1000)-('Appendix K'!$E$38+'Appendix K'!$F$38+'Appendix K'!$H$38+'Appendix K'!$G$38))/((1+$Y$16)^AF$34))</f>
        <v>5103361.2902402151</v>
      </c>
      <c r="AG824" s="193">
        <f>(((J824*'Appendix K'!$C$13*1000)-('Appendix K'!$E$39+'Appendix K'!$F$39+'Appendix K'!$H$39+'Appendix K'!$G$39))/((1+$Y$16)^AG$34))</f>
        <v>4744385.7470706133</v>
      </c>
      <c r="AH824" s="193">
        <f>(((K824*'Appendix K'!$C$14*1000)-('Appendix K'!$E$40+'Appendix K'!$F$40+'Appendix K'!$H$40+'Appendix K'!$G$40))/((1+$Y$16)^AH$34))</f>
        <v>5198655.3542616833</v>
      </c>
      <c r="AI824" s="193">
        <f>(((L824*'Appendix K'!$C$15*1000)-('Appendix K'!$E$41+'Appendix K'!$F$41+'Appendix K'!$H$41+'Appendix K'!$G$41))/((1+$Y$16)^AI$34))</f>
        <v>3147995.6063354509</v>
      </c>
      <c r="AJ824" s="193">
        <f>(((M824*'Appendix K'!$C$16*1000)-('Appendix K'!$E$42+'Appendix K'!$F$42+'Appendix K'!$H$42+'Appendix K'!$G$42))/((1+$Y$16)^AJ$34))</f>
        <v>1721058.6628690818</v>
      </c>
      <c r="AK824" s="193">
        <f>(((N824*'Appendix K'!$C$17*1000)-('Appendix K'!$E$43+'Appendix K'!$F$43+'Appendix K'!$H$43))/((1+$Y$16)^AK$34))</f>
        <v>2301307.2392746974</v>
      </c>
      <c r="AL824" s="193">
        <f>(((O824*'Appendix K'!$C$18*1000)-('Appendix K'!$E$44+'Appendix K'!$F$44+'Appendix K'!$H$44+'Appendix K'!$G$44))/((1+$Y$16)^AL$34))</f>
        <v>863585.52772870089</v>
      </c>
      <c r="AM824" s="193">
        <f>(((P824*'Appendix K'!$C$19*1000)-('Appendix K'!$E$45+'Appendix K'!$F$45+'Appendix K'!$H$45+'Appendix K'!$G$45))/((1+$Y$16)^AM$34))</f>
        <v>253539.95811593829</v>
      </c>
      <c r="AN824" s="193">
        <f>(((Q824*'Appendix K'!$C$20*1000)-('Appendix K'!$E$46+'Appendix K'!$F$46+'Appendix K'!$H$46+'Appendix K'!$G$46))/((1+$Y$16)^AN$34))</f>
        <v>49988.464731015352</v>
      </c>
      <c r="AO824" s="193">
        <f>(((R824*'Appendix K'!$C$21*1000)-('Appendix K'!$E$47+'Appendix K'!$F$47+'Appendix K'!$H$47+'Appendix K'!$G$47))/((1+$Y$16)^AO$34))</f>
        <v>111746.05564873545</v>
      </c>
      <c r="AP824" s="193">
        <f>(((S824*'Appendix K'!$C$22*1000)-('Appendix K'!$E$48+'Appendix K'!$F$48+'Appendix K'!$H$48+'Appendix K'!$G$48))/((1+$Y$16)^AP$34))</f>
        <v>78854.099885144038</v>
      </c>
      <c r="AQ824" s="193">
        <f>(((T824*'Appendix K'!$C$23*1000)-('Appendix K'!$E$49+'Appendix K'!$F$49+'Appendix K'!$H$49+'Appendix K'!$G$49))/((1+$Y$16)^AQ$34))</f>
        <v>-35629.629255391323</v>
      </c>
      <c r="AR824" s="193">
        <f>(((U824*'Appendix K'!$C$24*1000)-('Appendix K'!$E$50+'Appendix K'!$F$50+'Appendix K'!$H$50+'Appendix K'!$G$50))/((1+$Y$16)^AR$34))</f>
        <v>-48260.207263438075</v>
      </c>
      <c r="AS824" s="209">
        <f t="shared" si="40"/>
        <v>119237685.54330409</v>
      </c>
      <c r="AU824" s="199">
        <f t="shared" si="39"/>
        <v>6.0189643255922181E-9</v>
      </c>
    </row>
    <row r="825" spans="1:47" x14ac:dyDescent="0.35">
      <c r="A825">
        <v>791</v>
      </c>
      <c r="B825" s="70">
        <v>56</v>
      </c>
      <c r="C825" s="70">
        <v>59.848941810518141</v>
      </c>
      <c r="D825" s="70">
        <v>73.695512983370733</v>
      </c>
      <c r="E825" s="70">
        <v>78.911227954826586</v>
      </c>
      <c r="F825" s="70">
        <v>77.058214163092174</v>
      </c>
      <c r="G825" s="70">
        <v>75.176441655472559</v>
      </c>
      <c r="H825" s="70">
        <v>93.767266981178324</v>
      </c>
      <c r="I825" s="70">
        <v>134.14177822747212</v>
      </c>
      <c r="J825" s="70">
        <v>99.604784956548627</v>
      </c>
      <c r="K825" s="70">
        <v>118.42469725351964</v>
      </c>
      <c r="L825" s="70">
        <v>80.483025026686164</v>
      </c>
      <c r="M825" s="70">
        <v>86.281734210303213</v>
      </c>
      <c r="N825" s="70">
        <v>73.7529328961825</v>
      </c>
      <c r="O825" s="70">
        <v>46.569487659725709</v>
      </c>
      <c r="P825" s="70">
        <v>62.584402070912802</v>
      </c>
      <c r="Q825" s="70">
        <v>46.874633576944007</v>
      </c>
      <c r="R825" s="70">
        <v>88.303924774205456</v>
      </c>
      <c r="S825" s="70">
        <v>111.77796284949677</v>
      </c>
      <c r="T825" s="70">
        <v>118.00430770574076</v>
      </c>
      <c r="U825" s="70">
        <v>81.292219279668416</v>
      </c>
      <c r="V825" s="70">
        <v>51.672174590259033</v>
      </c>
      <c r="X825" s="193">
        <f>((0-('Appendix K'!$I$30))/(1+$Y$16)^0)</f>
        <v>-33594902.4440751</v>
      </c>
      <c r="Y825" s="193">
        <f>(((B825*'Appendix K'!$C$5*1000)-('Appendix K'!$E$31+'Appendix K'!$F$31+'Appendix K'!$H$31+'Appendix K'!$G$31))/((1+$Y$16)^1))</f>
        <v>34971064.972647354</v>
      </c>
      <c r="Z825" s="193">
        <f>+(((C825*'Appendix K'!$C$6*1000)-('Appendix K'!$E$32+'Appendix K'!$F$32+'Appendix K'!$H$32+'Appendix K'!$G$32))/((1+$Y$16)^2))</f>
        <v>11631618.635328712</v>
      </c>
      <c r="AA825" s="193">
        <f>(((D825*'Appendix K'!$C$7*1000)-('Appendix K'!$E$33+'Appendix K'!$F$33+'Appendix K'!$H$33+'Appendix K'!$G$33))/((1+$Y$16)^3))</f>
        <v>6422058.4967271117</v>
      </c>
      <c r="AB825" s="193">
        <f>(((E825*'Appendix K'!$C$8*1000)-('Appendix K'!$E$34+'Appendix K'!$F$34+'Appendix K'!$H$34+'Appendix K'!$G$34))/((1+$Y$16)^4))</f>
        <v>14003410.916079208</v>
      </c>
      <c r="AC825" s="193">
        <f>(((F825*'Appendix K'!$C$9*1000)-('Appendix K'!$E$35+'Appendix K'!$F$35+'Appendix K'!$H$35+'Appendix K'!$G$35))/((1+$Y$16)^AC$34))</f>
        <v>17497723.802280489</v>
      </c>
      <c r="AD825" s="193">
        <f>(((G825*'Appendix K'!$C$10*1000)-('Appendix K'!$E$36+'Appendix K'!$F$36+'Appendix K'!$H$36+'Appendix K'!$G$36))/((1+$Y$16)^AD$34))</f>
        <v>9290242.4807204008</v>
      </c>
      <c r="AE825" s="193">
        <f>(((H825*'Appendix K'!$C$11*1000)-('Appendix K'!$E$37+'Appendix K'!$F$37+'Appendix K'!$H$37+'Appendix K'!$G$37))/((1+$Y$16)^AE$34))</f>
        <v>7132183.9057898289</v>
      </c>
      <c r="AF825" s="193">
        <f>(((I825*'Appendix K'!$C$12*1000)-('Appendix K'!$E$38+'Appendix K'!$F$38+'Appendix K'!$H$38+'Appendix K'!$G$38))/((1+$Y$16)^AF$34))</f>
        <v>6811495.7151032854</v>
      </c>
      <c r="AG825" s="193">
        <f>(((J825*'Appendix K'!$C$13*1000)-('Appendix K'!$E$39+'Appendix K'!$F$39+'Appendix K'!$H$39+'Appendix K'!$G$39))/((1+$Y$16)^AG$34))</f>
        <v>2768762.0107453633</v>
      </c>
      <c r="AH825" s="193">
        <f>(((K825*'Appendix K'!$C$14*1000)-('Appendix K'!$E$40+'Appendix K'!$F$40+'Appendix K'!$H$40+'Appendix K'!$G$40))/((1+$Y$16)^AH$34))</f>
        <v>2358944.0705056139</v>
      </c>
      <c r="AI825" s="193">
        <f>(((L825*'Appendix K'!$C$15*1000)-('Appendix K'!$E$41+'Appendix K'!$F$41+'Appendix K'!$H$41+'Appendix K'!$G$41))/((1+$Y$16)^AI$34))</f>
        <v>592324.41136294696</v>
      </c>
      <c r="AJ825" s="193">
        <f>(((M825*'Appendix K'!$C$16*1000)-('Appendix K'!$E$42+'Appendix K'!$F$42+'Appendix K'!$H$42+'Appendix K'!$G$42))/((1+$Y$16)^AJ$34))</f>
        <v>347696.08096165658</v>
      </c>
      <c r="AK825" s="193">
        <f>(((N825*'Appendix K'!$C$17*1000)-('Appendix K'!$E$43+'Appendix K'!$F$43+'Appendix K'!$H$43))/((1+$Y$16)^AK$34))</f>
        <v>128873.88220188176</v>
      </c>
      <c r="AL825" s="193">
        <f>(((O825*'Appendix K'!$C$18*1000)-('Appendix K'!$E$44+'Appendix K'!$F$44+'Appendix K'!$H$44+'Appendix K'!$G$44))/((1+$Y$16)^AL$34))</f>
        <v>-582587.285268715</v>
      </c>
      <c r="AM825" s="193">
        <f>(((P825*'Appendix K'!$C$19*1000)-('Appendix K'!$E$45+'Appendix K'!$F$45+'Appendix K'!$H$45+'Appendix K'!$G$45))/((1+$Y$16)^AM$34))</f>
        <v>-446687.90493819991</v>
      </c>
      <c r="AN825" s="193">
        <f>(((Q825*'Appendix K'!$C$20*1000)-('Appendix K'!$E$46+'Appendix K'!$F$46+'Appendix K'!$H$46+'Appendix K'!$G$46))/((1+$Y$16)^AN$34))</f>
        <v>-576513.8236213167</v>
      </c>
      <c r="AO825" s="193">
        <f>(((R825*'Appendix K'!$C$21*1000)-('Appendix K'!$E$47+'Appendix K'!$F$47+'Appendix K'!$H$47+'Appendix K'!$G$47))/((1+$Y$16)^AO$34))</f>
        <v>-321112.97414428712</v>
      </c>
      <c r="AP825" s="193">
        <f>(((S825*'Appendix K'!$C$22*1000)-('Appendix K'!$E$48+'Appendix K'!$F$48+'Appendix K'!$H$48+'Appendix K'!$G$48))/((1+$Y$16)^AP$34))</f>
        <v>-229068.16218271304</v>
      </c>
      <c r="AQ825" s="193">
        <f>(((T825*'Appendix K'!$C$23*1000)-('Appendix K'!$E$49+'Appendix K'!$F$49+'Appendix K'!$H$49+'Appendix K'!$G$49))/((1+$Y$16)^AQ$34))</f>
        <v>-231646.98102905776</v>
      </c>
      <c r="AR825" s="193">
        <f>(((U825*'Appendix K'!$C$24*1000)-('Appendix K'!$E$50+'Appendix K'!$F$50+'Appendix K'!$H$50+'Appendix K'!$G$50))/((1+$Y$16)^AR$34))</f>
        <v>-367525.64551257959</v>
      </c>
      <c r="AS825" s="209">
        <f t="shared" si="40"/>
        <v>80361496.936378747</v>
      </c>
      <c r="AU825" s="199">
        <f t="shared" si="39"/>
        <v>6.9724572507092384E-9</v>
      </c>
    </row>
    <row r="826" spans="1:47" x14ac:dyDescent="0.35">
      <c r="A826">
        <v>792</v>
      </c>
      <c r="B826" s="70">
        <v>56</v>
      </c>
      <c r="C826" s="70">
        <v>46.719384353099471</v>
      </c>
      <c r="D826" s="70">
        <v>15.881000235250124</v>
      </c>
      <c r="E826" s="70">
        <v>12.131078202446311</v>
      </c>
      <c r="F826" s="70">
        <v>22.902715995144391</v>
      </c>
      <c r="G826" s="70">
        <v>13.29057566620007</v>
      </c>
      <c r="H826" s="70">
        <v>3.4873953641833246</v>
      </c>
      <c r="I826" s="70">
        <v>1.4341410238991821</v>
      </c>
      <c r="J826" s="70">
        <v>2.0036750040907556</v>
      </c>
      <c r="K826" s="70">
        <v>2.7246591085200489</v>
      </c>
      <c r="L826" s="70">
        <v>1.4915645062747585</v>
      </c>
      <c r="M826" s="70">
        <v>2.0651860034568799</v>
      </c>
      <c r="N826" s="70">
        <v>1.8734912431156441</v>
      </c>
      <c r="O826" s="70">
        <v>1.5440082848201189</v>
      </c>
      <c r="P826" s="70">
        <v>2.0464916570289313</v>
      </c>
      <c r="Q826" s="70">
        <v>2.2367273210013927</v>
      </c>
      <c r="R826" s="70">
        <v>2.1895518311479245</v>
      </c>
      <c r="S826" s="70">
        <v>2.0431533013470937</v>
      </c>
      <c r="T826" s="70">
        <v>2.4661032164002887</v>
      </c>
      <c r="U826" s="70">
        <v>3.2399013548391409</v>
      </c>
      <c r="V826" s="70">
        <v>3.3703148066572757</v>
      </c>
      <c r="X826" s="193">
        <f>((0-('Appendix K'!$I$30))/(1+$Y$16)^0)</f>
        <v>-33594902.4440751</v>
      </c>
      <c r="Y826" s="193">
        <f>(((B826*'Appendix K'!$C$5*1000)-('Appendix K'!$E$31+'Appendix K'!$F$31+'Appendix K'!$H$31+'Appendix K'!$G$31))/((1+$Y$16)^1))</f>
        <v>34971064.972647354</v>
      </c>
      <c r="Z826" s="193">
        <f>+(((C826*'Appendix K'!$C$6*1000)-('Appendix K'!$E$32+'Appendix K'!$F$32+'Appendix K'!$H$32+'Appendix K'!$G$32))/((1+$Y$16)^2))</f>
        <v>8314867.8651343724</v>
      </c>
      <c r="AA826" s="193">
        <f>(((D826*'Appendix K'!$C$7*1000)-('Appendix K'!$E$33+'Appendix K'!$F$33+'Appendix K'!$H$33+'Appendix K'!$G$33))/((1+$Y$16)^3))</f>
        <v>-942057.68503154372</v>
      </c>
      <c r="AB826" s="193">
        <f>(((E826*'Appendix K'!$C$8*1000)-('Appendix K'!$E$34+'Appendix K'!$F$34+'Appendix K'!$H$34+'Appendix K'!$G$34))/((1+$Y$16)^4))</f>
        <v>-634186.59621069778</v>
      </c>
      <c r="AC826" s="193">
        <f>(((F826*'Appendix K'!$C$9*1000)-('Appendix K'!$E$35+'Appendix K'!$F$35+'Appendix K'!$H$35+'Appendix K'!$G$35))/((1+$Y$16)^AC$34))</f>
        <v>3103277.4286324121</v>
      </c>
      <c r="AD826" s="193">
        <f>(((G826*'Appendix K'!$C$10*1000)-('Appendix K'!$E$36+'Appendix K'!$F$36+'Appendix K'!$H$36+'Appendix K'!$G$36))/((1+$Y$16)^AD$34))</f>
        <v>-428558.45724427106</v>
      </c>
      <c r="AE826" s="193">
        <f>(((H826*'Appendix K'!$C$11*1000)-('Appendix K'!$E$37+'Appendix K'!$F$37+'Appendix K'!$H$37+'Appendix K'!$G$37))/((1+$Y$16)^AE$34))</f>
        <v>-1872116.4209513655</v>
      </c>
      <c r="AF826" s="193">
        <f>(((I826*'Appendix K'!$C$12*1000)-('Appendix K'!$E$38+'Appendix K'!$F$38+'Appendix K'!$H$38+'Appendix K'!$G$38))/((1+$Y$16)^AF$34))</f>
        <v>-1902409.8302995148</v>
      </c>
      <c r="AG826" s="193">
        <f>(((J826*'Appendix K'!$C$13*1000)-('Appendix K'!$E$39+'Appendix K'!$F$39+'Appendix K'!$H$39+'Appendix K'!$G$39))/((1+$Y$16)^AG$34))</f>
        <v>-1722736.886112883</v>
      </c>
      <c r="AH826" s="193">
        <f>(((K826*'Appendix K'!$C$14*1000)-('Appendix K'!$E$40+'Appendix K'!$F$40+'Appendix K'!$H$40+'Appendix K'!$G$40))/((1+$Y$16)^AH$34))</f>
        <v>-1540902.360916988</v>
      </c>
      <c r="AI826" s="193">
        <f>(((L826*'Appendix K'!$C$15*1000)-('Appendix K'!$E$41+'Appendix K'!$F$41+'Appendix K'!$H$41+'Appendix K'!$G$41))/((1+$Y$16)^AI$34))</f>
        <v>-1477399.5690273268</v>
      </c>
      <c r="AJ826" s="193">
        <f>(((M826*'Appendix K'!$C$16*1000)-('Appendix K'!$E$42+'Appendix K'!$F$42+'Appendix K'!$H$42+'Appendix K'!$G$42))/((1+$Y$16)^AJ$34))</f>
        <v>-1340160.7755418899</v>
      </c>
      <c r="AK826" s="193">
        <f>(((N826*'Appendix K'!$C$17*1000)-('Appendix K'!$E$43+'Appendix K'!$F$43+'Appendix K'!$H$43))/((1+$Y$16)^AK$34))</f>
        <v>-975474.48902649723</v>
      </c>
      <c r="AL826" s="193">
        <f>(((O826*'Appendix K'!$C$18*1000)-('Appendix K'!$E$44+'Appendix K'!$F$44+'Appendix K'!$H$44+'Appendix K'!$G$44))/((1+$Y$16)^AL$34))</f>
        <v>-1116287.5411425028</v>
      </c>
      <c r="AM826" s="193">
        <f>(((P826*'Appendix K'!$C$19*1000)-('Appendix K'!$E$45+'Appendix K'!$F$45+'Appendix K'!$H$45+'Appendix K'!$G$45))/((1+$Y$16)^AM$34))</f>
        <v>-1007797.5598291156</v>
      </c>
      <c r="AN826" s="193">
        <f>(((Q826*'Appendix K'!$C$20*1000)-('Appendix K'!$E$46+'Appendix K'!$F$46+'Appendix K'!$H$46+'Appendix K'!$G$46))/((1+$Y$16)^AN$34))</f>
        <v>-899523.39484431013</v>
      </c>
      <c r="AO826" s="193">
        <f>(((R826*'Appendix K'!$C$21*1000)-('Appendix K'!$E$47+'Appendix K'!$F$47+'Appendix K'!$H$47+'Appendix K'!$G$47))/((1+$Y$16)^AO$34))</f>
        <v>-830058.43215714488</v>
      </c>
      <c r="AP826" s="193">
        <f>(((S826*'Appendix K'!$C$22*1000)-('Appendix K'!$E$48+'Appendix K'!$F$48+'Appendix K'!$H$48+'Appendix K'!$G$48))/((1+$Y$16)^AP$34))</f>
        <v>-754667.1019315765</v>
      </c>
      <c r="AQ826" s="193">
        <f>(((T826*'Appendix K'!$C$23*1000)-('Appendix K'!$E$49+'Appendix K'!$F$49+'Appendix K'!$H$49+'Appendix K'!$G$49))/((1+$Y$16)^AQ$34))</f>
        <v>-683833.93486141146</v>
      </c>
      <c r="AR826" s="193">
        <f>(((U826*'Appendix K'!$C$24*1000)-('Appendix K'!$E$50+'Appendix K'!$F$50+'Appendix K'!$H$50+'Appendix K'!$G$50))/((1+$Y$16)^AR$34))</f>
        <v>-618856.29616738693</v>
      </c>
      <c r="AS826" s="209">
        <f t="shared" si="40"/>
        <v>12794307.822339036</v>
      </c>
      <c r="AU826" s="199">
        <f t="shared" si="39"/>
        <v>2.9476413284359738E-9</v>
      </c>
    </row>
    <row r="827" spans="1:47" x14ac:dyDescent="0.35">
      <c r="A827">
        <v>793</v>
      </c>
      <c r="B827" s="70">
        <v>56</v>
      </c>
      <c r="C827" s="70">
        <v>52.354254038035478</v>
      </c>
      <c r="D827" s="70">
        <v>52.72001568393712</v>
      </c>
      <c r="E827" s="70">
        <v>42.647258202580915</v>
      </c>
      <c r="F827" s="70">
        <v>30.21833488473905</v>
      </c>
      <c r="G827" s="70">
        <v>21.692652355818556</v>
      </c>
      <c r="H827" s="70">
        <v>31.314598008554224</v>
      </c>
      <c r="I827" s="70">
        <v>28.545932166333856</v>
      </c>
      <c r="J827" s="70">
        <v>30.578448095829131</v>
      </c>
      <c r="K827" s="70">
        <v>28.285108398064061</v>
      </c>
      <c r="L827" s="70">
        <v>28.849313527068865</v>
      </c>
      <c r="M827" s="70">
        <v>27.411565526232113</v>
      </c>
      <c r="N827" s="70">
        <v>22.438633278307464</v>
      </c>
      <c r="O827" s="70">
        <v>27.875188516769015</v>
      </c>
      <c r="P827" s="70">
        <v>43.028416537882109</v>
      </c>
      <c r="Q827" s="70">
        <v>62.885429649714489</v>
      </c>
      <c r="R827" s="70">
        <v>41.70446992709207</v>
      </c>
      <c r="S827" s="70">
        <v>44.437136906439896</v>
      </c>
      <c r="T827" s="70">
        <v>61.037141595728258</v>
      </c>
      <c r="U827" s="70">
        <v>65.735674540598964</v>
      </c>
      <c r="V827" s="70">
        <v>63.667211124126879</v>
      </c>
      <c r="X827" s="193">
        <f>((0-('Appendix K'!$I$30))/(1+$Y$16)^0)</f>
        <v>-33594902.4440751</v>
      </c>
      <c r="Y827" s="193">
        <f>(((B827*'Appendix K'!$C$5*1000)-('Appendix K'!$E$31+'Appendix K'!$F$31+'Appendix K'!$H$31+'Appendix K'!$G$31))/((1+$Y$16)^1))</f>
        <v>34971064.972647354</v>
      </c>
      <c r="Z827" s="193">
        <f>+(((C827*'Appendix K'!$C$6*1000)-('Appendix K'!$E$32+'Appendix K'!$F$32+'Appendix K'!$H$32+'Appendix K'!$G$32))/((1+$Y$16)^2))</f>
        <v>9738332.321424637</v>
      </c>
      <c r="AA827" s="193">
        <f>(((D827*'Appendix K'!$C$7*1000)-('Appendix K'!$E$33+'Appendix K'!$F$33+'Appendix K'!$H$33+'Appendix K'!$G$33))/((1+$Y$16)^3))</f>
        <v>3750307.2055564476</v>
      </c>
      <c r="AB827" s="193">
        <f>(((E827*'Appendix K'!$C$8*1000)-('Appendix K'!$E$34+'Appendix K'!$F$34+'Appendix K'!$H$34+'Appendix K'!$G$34))/((1+$Y$16)^4))</f>
        <v>6054680.7110783206</v>
      </c>
      <c r="AC827" s="193">
        <f>(((F827*'Appendix K'!$C$9*1000)-('Appendix K'!$E$35+'Appendix K'!$F$35+'Appendix K'!$H$35+'Appendix K'!$G$35))/((1+$Y$16)^AC$34))</f>
        <v>5047757.4419035697</v>
      </c>
      <c r="AD827" s="193">
        <f>(((G827*'Appendix K'!$C$10*1000)-('Appendix K'!$E$36+'Appendix K'!$F$36+'Appendix K'!$H$36+'Appendix K'!$G$36))/((1+$Y$16)^AD$34))</f>
        <v>890936.86703656137</v>
      </c>
      <c r="AE827" s="193">
        <f>(((H827*'Appendix K'!$C$11*1000)-('Appendix K'!$E$37+'Appendix K'!$F$37+'Appendix K'!$H$37+'Appendix K'!$G$37))/((1+$Y$16)^AE$34))</f>
        <v>903302.78795050096</v>
      </c>
      <c r="AF827" s="193">
        <f>(((I827*'Appendix K'!$C$12*1000)-('Appendix K'!$E$38+'Appendix K'!$F$38+'Appendix K'!$H$38+'Appendix K'!$G$38))/((1+$Y$16)^AF$34))</f>
        <v>-122183.82251174805</v>
      </c>
      <c r="AG827" s="193">
        <f>(((J827*'Appendix K'!$C$13*1000)-('Appendix K'!$E$39+'Appendix K'!$F$39+'Appendix K'!$H$39+'Appendix K'!$G$39))/((1+$Y$16)^AG$34))</f>
        <v>-407756.33023565373</v>
      </c>
      <c r="AH827" s="193">
        <f>(((K827*'Appendix K'!$C$14*1000)-('Appendix K'!$E$40+'Appendix K'!$F$40+'Appendix K'!$H$40+'Appendix K'!$G$40))/((1+$Y$16)^AH$34))</f>
        <v>-679348.39303962549</v>
      </c>
      <c r="AI827" s="193">
        <f>(((L827*'Appendix K'!$C$15*1000)-('Appendix K'!$E$41+'Appendix K'!$F$41+'Appendix K'!$H$41+'Appendix K'!$G$41))/((1+$Y$16)^AI$34))</f>
        <v>-760575.38544099208</v>
      </c>
      <c r="AJ827" s="193">
        <f>(((M827*'Appendix K'!$C$16*1000)-('Appendix K'!$E$42+'Appendix K'!$F$42+'Appendix K'!$H$42+'Appendix K'!$G$42))/((1+$Y$16)^AJ$34))</f>
        <v>-832172.0087738476</v>
      </c>
      <c r="AK827" s="193">
        <f>(((N827*'Appendix K'!$C$17*1000)-('Appendix K'!$E$43+'Appendix K'!$F$43+'Appendix K'!$H$43))/((1+$Y$16)^AK$34))</f>
        <v>-659513.75549351273</v>
      </c>
      <c r="AL827" s="193">
        <f>(((O827*'Appendix K'!$C$18*1000)-('Appendix K'!$E$44+'Appendix K'!$F$44+'Appendix K'!$H$44+'Appendix K'!$G$44))/((1+$Y$16)^AL$34))</f>
        <v>-804176.31384744821</v>
      </c>
      <c r="AM827" s="193">
        <f>(((P827*'Appendix K'!$C$19*1000)-('Appendix K'!$E$45+'Appendix K'!$F$45+'Appendix K'!$H$45+'Appendix K'!$G$45))/((1+$Y$16)^AM$34))</f>
        <v>-627947.08977742435</v>
      </c>
      <c r="AN827" s="193">
        <f>(((Q827*'Appendix K'!$C$20*1000)-('Appendix K'!$E$46+'Appendix K'!$F$46+'Appendix K'!$H$46+'Appendix K'!$G$46))/((1+$Y$16)^AN$34))</f>
        <v>-460656.2306430196</v>
      </c>
      <c r="AO827" s="193">
        <f>(((R827*'Appendix K'!$C$21*1000)-('Appendix K'!$E$47+'Appendix K'!$F$47+'Appendix K'!$H$47+'Appendix K'!$G$47))/((1+$Y$16)^AO$34))</f>
        <v>-596520.90060037374</v>
      </c>
      <c r="AP827" s="193">
        <f>(((S827*'Appendix K'!$C$22*1000)-('Appendix K'!$E$48+'Appendix K'!$F$48+'Appendix K'!$H$48+'Appendix K'!$G$48))/((1+$Y$16)^AP$34))</f>
        <v>-551611.81868719787</v>
      </c>
      <c r="AQ827" s="193">
        <f>(((T827*'Appendix K'!$C$23*1000)-('Appendix K'!$E$49+'Appendix K'!$F$49+'Appendix K'!$H$49+'Appendix K'!$G$49))/((1+$Y$16)^AQ$34))</f>
        <v>-454601.88521509984</v>
      </c>
      <c r="AR827" s="193">
        <f>(((U827*'Appendix K'!$C$24*1000)-('Appendix K'!$E$50+'Appendix K'!$F$50+'Appendix K'!$H$50+'Appendix K'!$G$50))/((1+$Y$16)^AR$34))</f>
        <v>-417618.15544901008</v>
      </c>
      <c r="AS827" s="209">
        <f t="shared" si="40"/>
        <v>27761479.863522284</v>
      </c>
      <c r="AU827" s="199">
        <f t="shared" si="39"/>
        <v>4.0307107447919926E-9</v>
      </c>
    </row>
    <row r="828" spans="1:47" x14ac:dyDescent="0.35">
      <c r="A828">
        <v>794</v>
      </c>
      <c r="B828" s="70">
        <v>56</v>
      </c>
      <c r="C828" s="70">
        <v>80.229703264595102</v>
      </c>
      <c r="D828" s="70">
        <v>68.242028981806641</v>
      </c>
      <c r="E828" s="70">
        <v>45.380571773821664</v>
      </c>
      <c r="F828" s="70">
        <v>51.782370792664082</v>
      </c>
      <c r="G828" s="70">
        <v>37.191225916150302</v>
      </c>
      <c r="H828" s="70">
        <v>39.243236641951839</v>
      </c>
      <c r="I828" s="70">
        <v>34.030725194279213</v>
      </c>
      <c r="J828" s="70">
        <v>29.746824462019191</v>
      </c>
      <c r="K828" s="70">
        <v>31.76627843679498</v>
      </c>
      <c r="L828" s="70">
        <v>16.18652861498671</v>
      </c>
      <c r="M828" s="70">
        <v>18.273282885814513</v>
      </c>
      <c r="N828" s="70">
        <v>21.813660714519315</v>
      </c>
      <c r="O828" s="70">
        <v>25.037278996218912</v>
      </c>
      <c r="P828" s="70">
        <v>17.910532468475147</v>
      </c>
      <c r="Q828" s="70">
        <v>23.37430365948385</v>
      </c>
      <c r="R828" s="70">
        <v>37.922309951413553</v>
      </c>
      <c r="S828" s="70">
        <v>46.294402332330705</v>
      </c>
      <c r="T828" s="70">
        <v>74.357901206128673</v>
      </c>
      <c r="U828" s="70">
        <v>72.311541635813043</v>
      </c>
      <c r="V828" s="70">
        <v>61.288001343242641</v>
      </c>
      <c r="X828" s="193">
        <f>((0-('Appendix K'!$I$30))/(1+$Y$16)^0)</f>
        <v>-33594902.4440751</v>
      </c>
      <c r="Y828" s="193">
        <f>(((B828*'Appendix K'!$C$5*1000)-('Appendix K'!$E$31+'Appendix K'!$F$31+'Appendix K'!$H$31+'Appendix K'!$G$31))/((1+$Y$16)^1))</f>
        <v>34971064.972647354</v>
      </c>
      <c r="Z828" s="193">
        <f>+(((C828*'Appendix K'!$C$6*1000)-('Appendix K'!$E$32+'Appendix K'!$F$32+'Appendix K'!$H$32+'Appendix K'!$G$32))/((1+$Y$16)^2))</f>
        <v>16780147.553320669</v>
      </c>
      <c r="AA828" s="193">
        <f>(((D828*'Appendix K'!$C$7*1000)-('Appendix K'!$E$33+'Appendix K'!$F$33+'Appendix K'!$H$33+'Appendix K'!$G$33))/((1+$Y$16)^3))</f>
        <v>5727421.6681189584</v>
      </c>
      <c r="AB828" s="193">
        <f>(((E828*'Appendix K'!$C$8*1000)-('Appendix K'!$E$34+'Appendix K'!$F$34+'Appendix K'!$H$34+'Appendix K'!$G$34))/((1+$Y$16)^4))</f>
        <v>6653798.0248168353</v>
      </c>
      <c r="AC828" s="193">
        <f>(((F828*'Appendix K'!$C$9*1000)-('Appendix K'!$E$35+'Appendix K'!$F$35+'Appendix K'!$H$35+'Appendix K'!$G$35))/((1+$Y$16)^AC$34))</f>
        <v>10779444.324617203</v>
      </c>
      <c r="AD828" s="193">
        <f>(((G828*'Appendix K'!$C$10*1000)-('Appendix K'!$E$36+'Appendix K'!$F$36+'Appendix K'!$H$36+'Appendix K'!$G$36))/((1+$Y$16)^AD$34))</f>
        <v>3324894.10181739</v>
      </c>
      <c r="AE828" s="193">
        <f>(((H828*'Appendix K'!$C$11*1000)-('Appendix K'!$E$37+'Appendix K'!$F$37+'Appendix K'!$H$37+'Appendix K'!$G$37))/((1+$Y$16)^AE$34))</f>
        <v>1694086.4051469131</v>
      </c>
      <c r="AF828" s="193">
        <f>(((I828*'Appendix K'!$C$12*1000)-('Appendix K'!$E$38+'Appendix K'!$F$38+'Appendix K'!$H$38+'Appendix K'!$G$38))/((1+$Y$16)^AF$34))</f>
        <v>237960.9995099415</v>
      </c>
      <c r="AG828" s="193">
        <f>(((J828*'Appendix K'!$C$13*1000)-('Appendix K'!$E$39+'Appendix K'!$F$39+'Appendix K'!$H$39+'Appendix K'!$G$39))/((1+$Y$16)^AG$34))</f>
        <v>-446026.76215674618</v>
      </c>
      <c r="AH828" s="193">
        <f>(((K828*'Appendix K'!$C$14*1000)-('Appendix K'!$E$40+'Appendix K'!$F$40+'Appendix K'!$H$40+'Appendix K'!$G$40))/((1+$Y$16)^AH$34))</f>
        <v>-562010.24198641581</v>
      </c>
      <c r="AI828" s="193">
        <f>(((L828*'Appendix K'!$C$15*1000)-('Appendix K'!$E$41+'Appendix K'!$F$41+'Appendix K'!$H$41+'Appendix K'!$G$41))/((1+$Y$16)^AI$34))</f>
        <v>-1092364.0296614431</v>
      </c>
      <c r="AJ828" s="193">
        <f>(((M828*'Appendix K'!$C$16*1000)-('Appendix K'!$E$42+'Appendix K'!$F$42+'Appendix K'!$H$42+'Appendix K'!$G$42))/((1+$Y$16)^AJ$34))</f>
        <v>-1015320.2538599871</v>
      </c>
      <c r="AK828" s="193">
        <f>(((N828*'Appendix K'!$C$17*1000)-('Appendix K'!$E$43+'Appendix K'!$F$43+'Appendix K'!$H$43))/((1+$Y$16)^AK$34))</f>
        <v>-669115.76988050714</v>
      </c>
      <c r="AL828" s="193">
        <f>(((O828*'Appendix K'!$C$18*1000)-('Appendix K'!$E$44+'Appendix K'!$F$44+'Appendix K'!$H$44+'Appendix K'!$G$44))/((1+$Y$16)^AL$34))</f>
        <v>-837814.89045543852</v>
      </c>
      <c r="AM828" s="193">
        <f>(((P828*'Appendix K'!$C$19*1000)-('Appendix K'!$E$45+'Appendix K'!$F$45+'Appendix K'!$H$45+'Appendix K'!$G$45))/((1+$Y$16)^AM$34))</f>
        <v>-860758.0204061541</v>
      </c>
      <c r="AN828" s="193">
        <f>(((Q828*'Appendix K'!$C$20*1000)-('Appendix K'!$E$46+'Appendix K'!$F$46+'Appendix K'!$H$46+'Appendix K'!$G$46))/((1+$Y$16)^AN$34))</f>
        <v>-746567.30791141221</v>
      </c>
      <c r="AO828" s="193">
        <f>(((R828*'Appendix K'!$C$21*1000)-('Appendix K'!$E$47+'Appendix K'!$F$47+'Appendix K'!$H$47+'Appendix K'!$G$47))/((1+$Y$16)^AO$34))</f>
        <v>-618873.88390982011</v>
      </c>
      <c r="AP828" s="193">
        <f>(((S828*'Appendix K'!$C$22*1000)-('Appendix K'!$E$48+'Appendix K'!$F$48+'Appendix K'!$H$48+'Appendix K'!$G$48))/((1+$Y$16)^AP$34))</f>
        <v>-542716.03855416633</v>
      </c>
      <c r="AQ828" s="193">
        <f>(((T828*'Appendix K'!$C$23*1000)-('Appendix K'!$E$49+'Appendix K'!$F$49+'Appendix K'!$H$49+'Appendix K'!$G$49))/((1+$Y$16)^AQ$34))</f>
        <v>-402467.8423019115</v>
      </c>
      <c r="AR828" s="193">
        <f>(((U828*'Appendix K'!$C$24*1000)-('Appendix K'!$E$50+'Appendix K'!$F$50+'Appendix K'!$H$50+'Appendix K'!$G$50))/((1+$Y$16)^AR$34))</f>
        <v>-396443.67915413069</v>
      </c>
      <c r="AS828" s="209">
        <f t="shared" si="40"/>
        <v>46573915.605920158</v>
      </c>
      <c r="AU828" s="199">
        <f t="shared" si="39"/>
        <v>5.4120217387539256E-9</v>
      </c>
    </row>
    <row r="829" spans="1:47" x14ac:dyDescent="0.35">
      <c r="A829">
        <v>795</v>
      </c>
      <c r="B829" s="70">
        <v>56</v>
      </c>
      <c r="C829" s="70">
        <v>70.29266110568264</v>
      </c>
      <c r="D829" s="70">
        <v>71.208801461925148</v>
      </c>
      <c r="E829" s="70">
        <v>72.56435553068053</v>
      </c>
      <c r="F829" s="70">
        <v>111.57987665601112</v>
      </c>
      <c r="G829" s="70">
        <v>103.76657110772581</v>
      </c>
      <c r="H829" s="70">
        <v>87.512097515765561</v>
      </c>
      <c r="I829" s="70">
        <v>88.470523365122673</v>
      </c>
      <c r="J829" s="70">
        <v>80.670563099430424</v>
      </c>
      <c r="K829" s="70">
        <v>74.775573148823895</v>
      </c>
      <c r="L829" s="70">
        <v>49.11976931660346</v>
      </c>
      <c r="M829" s="70">
        <v>61.91819750211036</v>
      </c>
      <c r="N829" s="70">
        <v>54.426257029137496</v>
      </c>
      <c r="O829" s="70">
        <v>73.031762413084294</v>
      </c>
      <c r="P829" s="70">
        <v>80.976085301190579</v>
      </c>
      <c r="Q829" s="70">
        <v>47.85516985472421</v>
      </c>
      <c r="R829" s="70">
        <v>58.807036321788182</v>
      </c>
      <c r="S829" s="70">
        <v>73.897687881491152</v>
      </c>
      <c r="T829" s="70">
        <v>82.057427965905347</v>
      </c>
      <c r="U829" s="70">
        <v>144.89563675253794</v>
      </c>
      <c r="V829" s="70">
        <v>186.79572241634912</v>
      </c>
      <c r="X829" s="193">
        <f>((0-('Appendix K'!$I$30))/(1+$Y$16)^0)</f>
        <v>-33594902.4440751</v>
      </c>
      <c r="Y829" s="193">
        <f>(((B829*'Appendix K'!$C$5*1000)-('Appendix K'!$E$31+'Appendix K'!$F$31+'Appendix K'!$H$31+'Appendix K'!$G$31))/((1+$Y$16)^1))</f>
        <v>34971064.972647354</v>
      </c>
      <c r="Z829" s="193">
        <f>+(((C829*'Appendix K'!$C$6*1000)-('Appendix K'!$E$32+'Appendix K'!$F$32+'Appendix K'!$H$32+'Appendix K'!$G$32))/((1+$Y$16)^2))</f>
        <v>14269880.749514291</v>
      </c>
      <c r="AA829" s="193">
        <f>(((D829*'Appendix K'!$C$7*1000)-('Appendix K'!$E$33+'Appendix K'!$F$33+'Appendix K'!$H$33+'Appendix K'!$G$33))/((1+$Y$16)^3))</f>
        <v>6105313.9340906562</v>
      </c>
      <c r="AB829" s="193">
        <f>(((E829*'Appendix K'!$C$8*1000)-('Appendix K'!$E$34+'Appendix K'!$F$34+'Appendix K'!$H$34+'Appendix K'!$G$34))/((1+$Y$16)^4))</f>
        <v>12612234.580731289</v>
      </c>
      <c r="AC829" s="193">
        <f>(((F829*'Appendix K'!$C$9*1000)-('Appendix K'!$E$35+'Appendix K'!$F$35+'Appendix K'!$H$35+'Appendix K'!$G$35))/((1+$Y$16)^AC$34))</f>
        <v>26673527.484160479</v>
      </c>
      <c r="AD829" s="193">
        <f>(((G829*'Appendix K'!$C$10*1000)-('Appendix K'!$E$36+'Appendix K'!$F$36+'Appendix K'!$H$36+'Appendix K'!$G$36))/((1+$Y$16)^AD$34))</f>
        <v>13780149.384265322</v>
      </c>
      <c r="AE829" s="193">
        <f>(((H829*'Appendix K'!$C$11*1000)-('Appendix K'!$E$37+'Appendix K'!$F$37+'Appendix K'!$H$37+'Appendix K'!$G$37))/((1+$Y$16)^AE$34))</f>
        <v>6508308.1353391893</v>
      </c>
      <c r="AF829" s="193">
        <f>(((I829*'Appendix K'!$C$12*1000)-('Appendix K'!$E$38+'Appendix K'!$F$38+'Appendix K'!$H$38+'Appendix K'!$G$38))/((1+$Y$16)^AF$34))</f>
        <v>3812610.2749229316</v>
      </c>
      <c r="AG829" s="193">
        <f>(((J829*'Appendix K'!$C$13*1000)-('Appendix K'!$E$39+'Appendix K'!$F$39+'Appendix K'!$H$39+'Appendix K'!$G$39))/((1+$Y$16)^AG$34))</f>
        <v>1897429.3319926239</v>
      </c>
      <c r="AH829" s="193">
        <f>(((K829*'Appendix K'!$C$14*1000)-('Appendix K'!$E$40+'Appendix K'!$F$40+'Appendix K'!$H$40+'Appendix K'!$G$40))/((1+$Y$16)^AH$34))</f>
        <v>887683.7009879495</v>
      </c>
      <c r="AI829" s="193">
        <f>(((L829*'Appendix K'!$C$15*1000)-('Appendix K'!$E$41+'Appendix K'!$F$41+'Appendix K'!$H$41+'Appendix K'!$G$41))/((1+$Y$16)^AI$34))</f>
        <v>-229451.53781698685</v>
      </c>
      <c r="AJ829" s="193">
        <f>(((M829*'Appendix K'!$C$16*1000)-('Appendix K'!$E$42+'Appendix K'!$F$42+'Appendix K'!$H$42+'Appendix K'!$G$42))/((1+$Y$16)^AJ$34))</f>
        <v>-140594.68085629412</v>
      </c>
      <c r="AK829" s="193">
        <f>(((N829*'Appendix K'!$C$17*1000)-('Appendix K'!$E$43+'Appendix K'!$F$43+'Appendix K'!$H$43))/((1+$Y$16)^AK$34))</f>
        <v>-168059.18411276612</v>
      </c>
      <c r="AL829" s="193">
        <f>(((O829*'Appendix K'!$C$18*1000)-('Appendix K'!$E$44+'Appendix K'!$F$44+'Appendix K'!$H$44+'Appendix K'!$G$44))/((1+$Y$16)^AL$34))</f>
        <v>-268922.15603654954</v>
      </c>
      <c r="AM829" s="193">
        <f>(((P829*'Appendix K'!$C$19*1000)-('Appendix K'!$E$45+'Appendix K'!$F$45+'Appendix K'!$H$45+'Appendix K'!$G$45))/((1+$Y$16)^AM$34))</f>
        <v>-276220.32586831751</v>
      </c>
      <c r="AN829" s="193">
        <f>(((Q829*'Appendix K'!$C$20*1000)-('Appendix K'!$E$46+'Appendix K'!$F$46+'Appendix K'!$H$46+'Appendix K'!$G$46))/((1+$Y$16)^AN$34))</f>
        <v>-569418.45044591813</v>
      </c>
      <c r="AO829" s="193">
        <f>(((R829*'Appendix K'!$C$21*1000)-('Appendix K'!$E$47+'Appendix K'!$F$47+'Appendix K'!$H$47+'Appendix K'!$G$47))/((1+$Y$16)^AO$34))</f>
        <v>-495442.8437154963</v>
      </c>
      <c r="AP829" s="193">
        <f>(((S829*'Appendix K'!$C$22*1000)-('Appendix K'!$E$48+'Appendix K'!$F$48+'Appendix K'!$H$48+'Appendix K'!$G$48))/((1+$Y$16)^AP$34))</f>
        <v>-410504.04786530579</v>
      </c>
      <c r="AQ829" s="193">
        <f>(((T829*'Appendix K'!$C$23*1000)-('Appendix K'!$E$49+'Appendix K'!$F$49+'Appendix K'!$H$49+'Appendix K'!$G$49))/((1+$Y$16)^AQ$34))</f>
        <v>-372333.86569354794</v>
      </c>
      <c r="AR829" s="193">
        <f>(((U829*'Appendix K'!$C$24*1000)-('Appendix K'!$E$50+'Appendix K'!$F$50+'Appendix K'!$H$50+'Appendix K'!$G$50))/((1+$Y$16)^AR$34))</f>
        <v>-162720.85915478101</v>
      </c>
      <c r="AS829" s="209">
        <f t="shared" si="40"/>
        <v>87923300.104577005</v>
      </c>
      <c r="AU829" s="199">
        <f t="shared" si="39"/>
        <v>7.0295713171779859E-9</v>
      </c>
    </row>
    <row r="830" spans="1:47" x14ac:dyDescent="0.35">
      <c r="A830">
        <v>796</v>
      </c>
      <c r="B830" s="70">
        <v>56</v>
      </c>
      <c r="C830" s="70">
        <v>32.684130584717792</v>
      </c>
      <c r="D830" s="70">
        <v>28.326874465342961</v>
      </c>
      <c r="E830" s="70">
        <v>28.796507292541342</v>
      </c>
      <c r="F830" s="70">
        <v>33.089346298455958</v>
      </c>
      <c r="G830" s="70">
        <v>21.902021720488388</v>
      </c>
      <c r="H830" s="70">
        <v>25.395249212555921</v>
      </c>
      <c r="I830" s="70">
        <v>29.810830799019477</v>
      </c>
      <c r="J830" s="70">
        <v>31.13776916911754</v>
      </c>
      <c r="K830" s="70">
        <v>42.747275114844356</v>
      </c>
      <c r="L830" s="70">
        <v>46.352147226294399</v>
      </c>
      <c r="M830" s="70">
        <v>49.404948115886036</v>
      </c>
      <c r="N830" s="70">
        <v>48.699320389631609</v>
      </c>
      <c r="O830" s="70">
        <v>57.636664217878739</v>
      </c>
      <c r="P830" s="70">
        <v>81.827345698027841</v>
      </c>
      <c r="Q830" s="70">
        <v>68.892950799497868</v>
      </c>
      <c r="R830" s="70">
        <v>40.619790531544012</v>
      </c>
      <c r="S830" s="70">
        <v>38.923092137614844</v>
      </c>
      <c r="T830" s="70">
        <v>51.545916121116903</v>
      </c>
      <c r="U830" s="70">
        <v>90.969674545448726</v>
      </c>
      <c r="V830" s="70">
        <v>81.09220191041328</v>
      </c>
      <c r="X830" s="193">
        <f>((0-('Appendix K'!$I$30))/(1+$Y$16)^0)</f>
        <v>-33594902.4440751</v>
      </c>
      <c r="Y830" s="193">
        <f>(((B830*'Appendix K'!$C$5*1000)-('Appendix K'!$E$31+'Appendix K'!$F$31+'Appendix K'!$H$31+'Appendix K'!$G$31))/((1+$Y$16)^1))</f>
        <v>34971064.972647354</v>
      </c>
      <c r="Z830" s="193">
        <f>+(((C830*'Appendix K'!$C$6*1000)-('Appendix K'!$E$32+'Appendix K'!$F$32+'Appendix K'!$H$32+'Appendix K'!$G$32))/((1+$Y$16)^2))</f>
        <v>4769322.7165543828</v>
      </c>
      <c r="AA830" s="193">
        <f>(((D830*'Appendix K'!$C$7*1000)-('Appendix K'!$E$33+'Appendix K'!$F$33+'Appendix K'!$H$33+'Appendix K'!$G$33))/((1+$Y$16)^3))</f>
        <v>643233.95641602855</v>
      </c>
      <c r="AB830" s="193">
        <f>(((E830*'Appendix K'!$C$8*1000)-('Appendix K'!$E$34+'Appendix K'!$F$34+'Appendix K'!$H$34+'Appendix K'!$G$34))/((1+$Y$16)^4))</f>
        <v>3018722.9030185081</v>
      </c>
      <c r="AC830" s="193">
        <f>(((F830*'Appendix K'!$C$9*1000)-('Appendix K'!$E$35+'Appendix K'!$F$35+'Appendix K'!$H$35+'Appendix K'!$G$35))/((1+$Y$16)^AC$34))</f>
        <v>5810867.7673725896</v>
      </c>
      <c r="AD830" s="193">
        <f>(((G830*'Appendix K'!$C$10*1000)-('Appendix K'!$E$36+'Appendix K'!$F$36+'Appendix K'!$H$36+'Appendix K'!$G$36))/((1+$Y$16)^AD$34))</f>
        <v>923817.05939077272</v>
      </c>
      <c r="AE830" s="193">
        <f>(((H830*'Appendix K'!$C$11*1000)-('Appendix K'!$E$37+'Appendix K'!$F$37+'Appendix K'!$H$37+'Appendix K'!$G$37))/((1+$Y$16)^AE$34))</f>
        <v>312920.97478153929</v>
      </c>
      <c r="AF830" s="193">
        <f>(((I830*'Appendix K'!$C$12*1000)-('Appendix K'!$E$38+'Appendix K'!$F$38+'Appendix K'!$H$38+'Appendix K'!$G$38))/((1+$Y$16)^AF$34))</f>
        <v>-39127.508331248951</v>
      </c>
      <c r="AG830" s="193">
        <f>(((J830*'Appendix K'!$C$13*1000)-('Appendix K'!$E$39+'Appendix K'!$F$39+'Appendix K'!$H$39+'Appendix K'!$G$39))/((1+$Y$16)^AG$34))</f>
        <v>-382016.97148360516</v>
      </c>
      <c r="AH830" s="193">
        <f>(((K830*'Appendix K'!$C$14*1000)-('Appendix K'!$E$40+'Appendix K'!$F$40+'Appendix K'!$H$40+'Appendix K'!$G$40))/((1+$Y$16)^AH$34))</f>
        <v>-191878.98364849371</v>
      </c>
      <c r="AI830" s="193">
        <f>(((L830*'Appendix K'!$C$15*1000)-('Appendix K'!$E$41+'Appendix K'!$F$41+'Appendix K'!$H$41+'Appendix K'!$G$41))/((1+$Y$16)^AI$34))</f>
        <v>-301968.41206177126</v>
      </c>
      <c r="AJ830" s="193">
        <f>(((M830*'Appendix K'!$C$16*1000)-('Appendix K'!$E$42+'Appendix K'!$F$42+'Appendix K'!$H$42+'Appendix K'!$G$42))/((1+$Y$16)^AJ$34))</f>
        <v>-391383.5605168895</v>
      </c>
      <c r="AK830" s="193">
        <f>(((N830*'Appendix K'!$C$17*1000)-('Appendix K'!$E$43+'Appendix K'!$F$43+'Appendix K'!$H$43))/((1+$Y$16)^AK$34))</f>
        <v>-256047.25141707872</v>
      </c>
      <c r="AL830" s="193">
        <f>(((O830*'Appendix K'!$C$18*1000)-('Appendix K'!$E$44+'Appendix K'!$F$44+'Appendix K'!$H$44+'Appendix K'!$G$44))/((1+$Y$16)^AL$34))</f>
        <v>-451404.78498469567</v>
      </c>
      <c r="AM830" s="193">
        <f>(((P830*'Appendix K'!$C$19*1000)-('Appendix K'!$E$45+'Appendix K'!$F$45+'Appendix K'!$H$45+'Appendix K'!$G$45))/((1+$Y$16)^AM$34))</f>
        <v>-268330.22156464937</v>
      </c>
      <c r="AN830" s="193">
        <f>(((Q830*'Appendix K'!$C$20*1000)-('Appendix K'!$E$46+'Appendix K'!$F$46+'Appendix K'!$H$46+'Appendix K'!$G$46))/((1+$Y$16)^AN$34))</f>
        <v>-417184.50462660816</v>
      </c>
      <c r="AO830" s="193">
        <f>(((R830*'Appendix K'!$C$21*1000)-('Appendix K'!$E$47+'Appendix K'!$F$47+'Appendix K'!$H$47+'Appendix K'!$G$47))/((1+$Y$16)^AO$34))</f>
        <v>-602931.47566348605</v>
      </c>
      <c r="AP830" s="193">
        <f>(((S830*'Appendix K'!$C$22*1000)-('Appendix K'!$E$48+'Appendix K'!$F$48+'Appendix K'!$H$48+'Appendix K'!$G$48))/((1+$Y$16)^AP$34))</f>
        <v>-578022.54556735465</v>
      </c>
      <c r="AQ830" s="193">
        <f>(((T830*'Appendix K'!$C$23*1000)-('Appendix K'!$E$49+'Appendix K'!$F$49+'Appendix K'!$H$49+'Appendix K'!$G$49))/((1+$Y$16)^AQ$34))</f>
        <v>-491748.1119066918</v>
      </c>
      <c r="AR830" s="193">
        <f>(((U830*'Appendix K'!$C$24*1000)-('Appendix K'!$E$50+'Appendix K'!$F$50+'Appendix K'!$H$50+'Appendix K'!$G$50))/((1+$Y$16)^AR$34))</f>
        <v>-336363.96840551659</v>
      </c>
      <c r="AS830" s="209">
        <f t="shared" si="40"/>
        <v>16855047.906106077</v>
      </c>
      <c r="AU830" s="199">
        <f t="shared" si="39"/>
        <v>3.2309746566949301E-9</v>
      </c>
    </row>
    <row r="831" spans="1:47" x14ac:dyDescent="0.35">
      <c r="A831">
        <v>797</v>
      </c>
      <c r="B831" s="70">
        <v>56</v>
      </c>
      <c r="C831" s="70">
        <v>99.000924493157214</v>
      </c>
      <c r="D831" s="70">
        <v>141.02574274671912</v>
      </c>
      <c r="E831" s="70">
        <v>143.99227956686912</v>
      </c>
      <c r="F831" s="70">
        <v>186.60949126034234</v>
      </c>
      <c r="G831" s="70">
        <v>87.139765478420216</v>
      </c>
      <c r="H831" s="70">
        <v>92.849989966503699</v>
      </c>
      <c r="I831" s="70">
        <v>63.245826708916063</v>
      </c>
      <c r="J831" s="70">
        <v>40.783267910087766</v>
      </c>
      <c r="K831" s="70">
        <v>47.453941902437435</v>
      </c>
      <c r="L831" s="70">
        <v>33.253995778668781</v>
      </c>
      <c r="M831" s="70">
        <v>30.053794487019321</v>
      </c>
      <c r="N831" s="70">
        <v>44.674343770326324</v>
      </c>
      <c r="O831" s="70">
        <v>59.402492500788014</v>
      </c>
      <c r="P831" s="70">
        <v>32.794302672211657</v>
      </c>
      <c r="Q831" s="70">
        <v>54.304783167312344</v>
      </c>
      <c r="R831" s="70">
        <v>47.136869571954051</v>
      </c>
      <c r="S831" s="70">
        <v>35.419619577688543</v>
      </c>
      <c r="T831" s="70">
        <v>49.345485151510687</v>
      </c>
      <c r="U831" s="70">
        <v>60.161918468731464</v>
      </c>
      <c r="V831" s="70">
        <v>53.751319894577044</v>
      </c>
      <c r="X831" s="193">
        <f>((0-('Appendix K'!$I$30))/(1+$Y$16)^0)</f>
        <v>-33594902.4440751</v>
      </c>
      <c r="Y831" s="193">
        <f>(((B831*'Appendix K'!$C$5*1000)-('Appendix K'!$E$31+'Appendix K'!$F$31+'Appendix K'!$H$31+'Appendix K'!$G$31))/((1+$Y$16)^1))</f>
        <v>34971064.972647354</v>
      </c>
      <c r="Z831" s="193">
        <f>+(((C831*'Appendix K'!$C$6*1000)-('Appendix K'!$E$32+'Appendix K'!$F$32+'Appendix K'!$H$32+'Appendix K'!$G$32))/((1+$Y$16)^2))</f>
        <v>21522079.082181372</v>
      </c>
      <c r="AA831" s="193">
        <f>(((D831*'Appendix K'!$C$7*1000)-('Appendix K'!$E$33+'Appendix K'!$F$33+'Appendix K'!$H$33+'Appendix K'!$G$33))/((1+$Y$16)^3))</f>
        <v>14998237.918699669</v>
      </c>
      <c r="AB831" s="193">
        <f>(((E831*'Appendix K'!$C$8*1000)-('Appendix K'!$E$34+'Appendix K'!$F$34+'Appendix K'!$H$34+'Appendix K'!$G$34))/((1+$Y$16)^4))</f>
        <v>28268581.669753499</v>
      </c>
      <c r="AC831" s="193">
        <f>(((F831*'Appendix K'!$C$9*1000)-('Appendix K'!$E$35+'Appendix K'!$F$35+'Appendix K'!$H$35+'Appendix K'!$G$35))/((1+$Y$16)^AC$34))</f>
        <v>46616281.228354417</v>
      </c>
      <c r="AD831" s="193">
        <f>(((G831*'Appendix K'!$C$10*1000)-('Appendix K'!$E$36+'Appendix K'!$F$36+'Appendix K'!$H$36+'Appendix K'!$G$36))/((1+$Y$16)^AD$34))</f>
        <v>11169010.127145408</v>
      </c>
      <c r="AE831" s="193">
        <f>(((H831*'Appendix K'!$C$11*1000)-('Appendix K'!$E$37+'Appendix K'!$F$37+'Appendix K'!$H$37+'Appendix K'!$G$37))/((1+$Y$16)^AE$34))</f>
        <v>7040696.8713599732</v>
      </c>
      <c r="AF831" s="193">
        <f>(((I831*'Appendix K'!$C$12*1000)-('Appendix K'!$E$38+'Appendix K'!$F$38+'Appendix K'!$H$38+'Appendix K'!$G$38))/((1+$Y$16)^AF$34))</f>
        <v>2156295.4711528867</v>
      </c>
      <c r="AG831" s="193">
        <f>(((J831*'Appendix K'!$C$13*1000)-('Appendix K'!$E$39+'Appendix K'!$F$39+'Appendix K'!$H$39+'Appendix K'!$G$39))/((1+$Y$16)^AG$34))</f>
        <v>61858.584601957402</v>
      </c>
      <c r="AH831" s="193">
        <f>(((K831*'Appendix K'!$C$14*1000)-('Appendix K'!$E$40+'Appendix K'!$F$40+'Appendix K'!$H$40+'Appendix K'!$G$40))/((1+$Y$16)^AH$34))</f>
        <v>-33233.593640180734</v>
      </c>
      <c r="AI831" s="193">
        <f>(((L831*'Appendix K'!$C$15*1000)-('Appendix K'!$E$41+'Appendix K'!$F$41+'Appendix K'!$H$41+'Appendix K'!$G$41))/((1+$Y$16)^AI$34))</f>
        <v>-645164.47365287447</v>
      </c>
      <c r="AJ831" s="193">
        <f>(((M831*'Appendix K'!$C$16*1000)-('Appendix K'!$E$42+'Appendix K'!$F$42+'Appendix K'!$H$42+'Appendix K'!$G$42))/((1+$Y$16)^AJ$34))</f>
        <v>-779216.80741646898</v>
      </c>
      <c r="AK831" s="193">
        <f>(((N831*'Appendix K'!$C$17*1000)-('Appendix K'!$E$43+'Appendix K'!$F$43+'Appendix K'!$H$43))/((1+$Y$16)^AK$34))</f>
        <v>-317886.57948554383</v>
      </c>
      <c r="AL831" s="193">
        <f>(((O831*'Appendix K'!$C$18*1000)-('Appendix K'!$E$44+'Appendix K'!$F$44+'Appendix K'!$H$44+'Appendix K'!$G$44))/((1+$Y$16)^AL$34))</f>
        <v>-430473.90274864552</v>
      </c>
      <c r="AM831" s="193">
        <f>(((P831*'Appendix K'!$C$19*1000)-('Appendix K'!$E$45+'Appendix K'!$F$45+'Appendix K'!$H$45+'Appendix K'!$G$45))/((1+$Y$16)^AM$34))</f>
        <v>-722804.34632990195</v>
      </c>
      <c r="AN831" s="193">
        <f>(((Q831*'Appendix K'!$C$20*1000)-('Appendix K'!$E$46+'Appendix K'!$F$46+'Appendix K'!$H$46+'Appendix K'!$G$46))/((1+$Y$16)^AN$34))</f>
        <v>-522747.6496536911</v>
      </c>
      <c r="AO831" s="193">
        <f>(((R831*'Appendix K'!$C$21*1000)-('Appendix K'!$E$47+'Appendix K'!$F$47+'Appendix K'!$H$47+'Appendix K'!$G$47))/((1+$Y$16)^AO$34))</f>
        <v>-564414.81852750806</v>
      </c>
      <c r="AP831" s="193">
        <f>(((S831*'Appendix K'!$C$22*1000)-('Appendix K'!$E$48+'Appendix K'!$F$48+'Appendix K'!$H$48+'Appendix K'!$G$48))/((1+$Y$16)^AP$34))</f>
        <v>-594803.19585069548</v>
      </c>
      <c r="AQ831" s="193">
        <f>(((T831*'Appendix K'!$C$23*1000)-('Appendix K'!$E$49+'Appendix K'!$F$49+'Appendix K'!$H$49+'Appendix K'!$G$49))/((1+$Y$16)^AQ$34))</f>
        <v>-500360.03539695515</v>
      </c>
      <c r="AR831" s="193">
        <f>(((U831*'Appendix K'!$C$24*1000)-('Appendix K'!$E$50+'Appendix K'!$F$50+'Appendix K'!$H$50+'Appendix K'!$G$50))/((1+$Y$16)^AR$34))</f>
        <v>-435565.80617070652</v>
      </c>
      <c r="AS831" s="209">
        <f t="shared" si="40"/>
        <v>133209203.48182145</v>
      </c>
      <c r="AU831" s="199">
        <f t="shared" si="39"/>
        <v>5.0908201634124173E-9</v>
      </c>
    </row>
    <row r="832" spans="1:47" x14ac:dyDescent="0.35">
      <c r="A832">
        <v>798</v>
      </c>
      <c r="B832" s="70">
        <v>56</v>
      </c>
      <c r="C832" s="70">
        <v>53.536755401482836</v>
      </c>
      <c r="D832" s="70">
        <v>67.436213392018772</v>
      </c>
      <c r="E832" s="70">
        <v>48.515107634191267</v>
      </c>
      <c r="F832" s="70">
        <v>62.000921897846361</v>
      </c>
      <c r="G832" s="70">
        <v>59.732641381013252</v>
      </c>
      <c r="H832" s="70">
        <v>75.987768951073917</v>
      </c>
      <c r="I832" s="70">
        <v>54.666955310639381</v>
      </c>
      <c r="J832" s="70">
        <v>69.727284473152451</v>
      </c>
      <c r="K832" s="70">
        <v>65.84064976851306</v>
      </c>
      <c r="L832" s="70">
        <v>85.985655981071119</v>
      </c>
      <c r="M832" s="70">
        <v>49.000998135909178</v>
      </c>
      <c r="N832" s="70">
        <v>62.244139393563714</v>
      </c>
      <c r="O832" s="70">
        <v>57.75330392515361</v>
      </c>
      <c r="P832" s="70">
        <v>58.038211260889568</v>
      </c>
      <c r="Q832" s="70">
        <v>51.207748788901476</v>
      </c>
      <c r="R832" s="70">
        <v>50.919545571016783</v>
      </c>
      <c r="S832" s="70">
        <v>69.674105011889679</v>
      </c>
      <c r="T832" s="70">
        <v>93.619945730485369</v>
      </c>
      <c r="U832" s="70">
        <v>98.695989911344554</v>
      </c>
      <c r="V832" s="70">
        <v>116.06268703222642</v>
      </c>
      <c r="X832" s="193">
        <f>((0-('Appendix K'!$I$30))/(1+$Y$16)^0)</f>
        <v>-33594902.4440751</v>
      </c>
      <c r="Y832" s="193">
        <f>(((B832*'Appendix K'!$C$5*1000)-('Appendix K'!$E$31+'Appendix K'!$F$31+'Appendix K'!$H$31+'Appendix K'!$G$31))/((1+$Y$16)^1))</f>
        <v>34971064.972647354</v>
      </c>
      <c r="Z832" s="193">
        <f>+(((C832*'Appendix K'!$C$6*1000)-('Appendix K'!$E$32+'Appendix K'!$F$32+'Appendix K'!$H$32+'Appendix K'!$G$32))/((1+$Y$16)^2))</f>
        <v>10037052.390298989</v>
      </c>
      <c r="AA832" s="193">
        <f>(((D832*'Appendix K'!$C$7*1000)-('Appendix K'!$E$33+'Appendix K'!$F$33+'Appendix K'!$H$33+'Appendix K'!$G$33))/((1+$Y$16)^3))</f>
        <v>5624781.0102252681</v>
      </c>
      <c r="AB832" s="193">
        <f>(((E832*'Appendix K'!$C$8*1000)-('Appendix K'!$E$34+'Appendix K'!$F$34+'Appendix K'!$H$34+'Appendix K'!$G$34))/((1+$Y$16)^4))</f>
        <v>7340859.5914958483</v>
      </c>
      <c r="AC832" s="193">
        <f>(((F832*'Appendix K'!$C$9*1000)-('Appendix K'!$E$35+'Appendix K'!$F$35+'Appendix K'!$H$35+'Appendix K'!$G$35))/((1+$Y$16)^AC$34))</f>
        <v>13495519.162369961</v>
      </c>
      <c r="AD832" s="193">
        <f>(((G832*'Appendix K'!$C$10*1000)-('Appendix K'!$E$36+'Appendix K'!$F$36+'Appendix K'!$H$36+'Appendix K'!$G$36))/((1+$Y$16)^AD$34))</f>
        <v>6864887.0591905126</v>
      </c>
      <c r="AE832" s="193">
        <f>(((H832*'Appendix K'!$C$11*1000)-('Appendix K'!$E$37+'Appendix K'!$F$37+'Appendix K'!$H$37+'Appendix K'!$G$37))/((1+$Y$16)^AE$34))</f>
        <v>5358898.930364294</v>
      </c>
      <c r="AF832" s="193">
        <f>(((I832*'Appendix K'!$C$12*1000)-('Appendix K'!$E$38+'Appendix K'!$F$38+'Appendix K'!$H$38+'Appendix K'!$G$38))/((1+$Y$16)^AF$34))</f>
        <v>1592985.9538862498</v>
      </c>
      <c r="AG832" s="193">
        <f>(((J832*'Appendix K'!$C$13*1000)-('Appendix K'!$E$39+'Appendix K'!$F$39+'Appendix K'!$H$39+'Appendix K'!$G$39))/((1+$Y$16)^AG$34))</f>
        <v>1393831.3308850341</v>
      </c>
      <c r="AH832" s="193">
        <f>(((K832*'Appendix K'!$C$14*1000)-('Appendix K'!$E$40+'Appendix K'!$F$40+'Appendix K'!$H$40+'Appendix K'!$G$40))/((1+$Y$16)^AH$34))</f>
        <v>586518.46700530616</v>
      </c>
      <c r="AI832" s="193">
        <f>(((L832*'Appendix K'!$C$15*1000)-('Appendix K'!$E$41+'Appendix K'!$F$41+'Appendix K'!$H$41+'Appendix K'!$G$41))/((1+$Y$16)^AI$34))</f>
        <v>736503.6323381745</v>
      </c>
      <c r="AJ832" s="193">
        <f>(((M832*'Appendix K'!$C$16*1000)-('Appendix K'!$E$42+'Appendix K'!$F$42+'Appendix K'!$H$42+'Appendix K'!$G$42))/((1+$Y$16)^AJ$34))</f>
        <v>-399479.47228133044</v>
      </c>
      <c r="AK832" s="193">
        <f>(((N832*'Appendix K'!$C$17*1000)-('Appendix K'!$E$43+'Appendix K'!$F$43+'Appendix K'!$H$43))/((1+$Y$16)^AK$34))</f>
        <v>-47946.041090865714</v>
      </c>
      <c r="AL832" s="193">
        <f>(((O832*'Appendix K'!$C$18*1000)-('Appendix K'!$E$44+'Appendix K'!$F$44+'Appendix K'!$H$44+'Appendix K'!$G$44))/((1+$Y$16)^AL$34))</f>
        <v>-450022.2202128846</v>
      </c>
      <c r="AM832" s="193">
        <f>(((P832*'Appendix K'!$C$19*1000)-('Appendix K'!$E$45+'Appendix K'!$F$45+'Appendix K'!$H$45+'Appendix K'!$G$45))/((1+$Y$16)^AM$34))</f>
        <v>-488825.32823279971</v>
      </c>
      <c r="AN832" s="193">
        <f>(((Q832*'Appendix K'!$C$20*1000)-('Appendix K'!$E$46+'Appendix K'!$F$46+'Appendix K'!$H$46+'Appendix K'!$G$46))/((1+$Y$16)^AN$34))</f>
        <v>-545158.46213439922</v>
      </c>
      <c r="AO832" s="193">
        <f>(((R832*'Appendix K'!$C$21*1000)-('Appendix K'!$E$47+'Appendix K'!$F$47+'Appendix K'!$H$47+'Appendix K'!$G$47))/((1+$Y$16)^AO$34))</f>
        <v>-542058.7854628507</v>
      </c>
      <c r="AP832" s="193">
        <f>(((S832*'Appendix K'!$C$22*1000)-('Appendix K'!$E$48+'Appendix K'!$F$48+'Appendix K'!$H$48+'Appendix K'!$G$48))/((1+$Y$16)^AP$34))</f>
        <v>-430733.82442704419</v>
      </c>
      <c r="AQ832" s="193">
        <f>(((T832*'Appendix K'!$C$23*1000)-('Appendix K'!$E$49+'Appendix K'!$F$49+'Appendix K'!$H$49+'Appendix K'!$G$49))/((1+$Y$16)^AQ$34))</f>
        <v>-327081.13124344416</v>
      </c>
      <c r="AR832" s="193">
        <f>(((U832*'Appendix K'!$C$24*1000)-('Appendix K'!$E$50+'Appendix K'!$F$50+'Appendix K'!$H$50+'Appendix K'!$G$50))/((1+$Y$16)^AR$34))</f>
        <v>-311485.01644479454</v>
      </c>
      <c r="AS832" s="209">
        <f t="shared" si="40"/>
        <v>54408000.056631915</v>
      </c>
      <c r="AU832" s="199">
        <f t="shared" si="39"/>
        <v>5.9235083925695675E-9</v>
      </c>
    </row>
    <row r="833" spans="1:47" x14ac:dyDescent="0.35">
      <c r="A833">
        <v>799</v>
      </c>
      <c r="B833" s="70">
        <v>56</v>
      </c>
      <c r="C833" s="70">
        <v>59.057709396720696</v>
      </c>
      <c r="D833" s="70">
        <v>78.242168221277836</v>
      </c>
      <c r="E833" s="70">
        <v>100.43881387720779</v>
      </c>
      <c r="F833" s="70">
        <v>132.75662138960757</v>
      </c>
      <c r="G833" s="70">
        <v>173.89456405411556</v>
      </c>
      <c r="H833" s="70">
        <v>219.00267738649194</v>
      </c>
      <c r="I833" s="70">
        <v>256.73093610303067</v>
      </c>
      <c r="J833" s="70">
        <v>183.53718009767434</v>
      </c>
      <c r="K833" s="70">
        <v>192.37578843918638</v>
      </c>
      <c r="L833" s="70">
        <v>129.34993840336196</v>
      </c>
      <c r="M833" s="70">
        <v>88.659176281059587</v>
      </c>
      <c r="N833" s="70">
        <v>74.268644212722748</v>
      </c>
      <c r="O833" s="70">
        <v>90.306636906047416</v>
      </c>
      <c r="P833" s="70">
        <v>117.57865850889485</v>
      </c>
      <c r="Q833" s="70">
        <v>58.484399344094321</v>
      </c>
      <c r="R833" s="70">
        <v>76.185848674317711</v>
      </c>
      <c r="S833" s="70">
        <v>49.596216733917288</v>
      </c>
      <c r="T833" s="70">
        <v>73.895149402876967</v>
      </c>
      <c r="U833" s="70">
        <v>102.76148659953849</v>
      </c>
      <c r="V833" s="70">
        <v>94.824993515758024</v>
      </c>
      <c r="X833" s="193">
        <f>((0-('Appendix K'!$I$30))/(1+$Y$16)^0)</f>
        <v>-33594902.4440751</v>
      </c>
      <c r="Y833" s="193">
        <f>(((B833*'Appendix K'!$C$5*1000)-('Appendix K'!$E$31+'Appendix K'!$F$31+'Appendix K'!$H$31+'Appendix K'!$G$31))/((1+$Y$16)^1))</f>
        <v>34971064.972647354</v>
      </c>
      <c r="Z833" s="193">
        <f>+(((C833*'Appendix K'!$C$6*1000)-('Appendix K'!$E$32+'Appendix K'!$F$32+'Appendix K'!$H$32+'Appendix K'!$G$32))/((1+$Y$16)^2))</f>
        <v>11431739.795057327</v>
      </c>
      <c r="AA833" s="193">
        <f>(((D833*'Appendix K'!$C$7*1000)-('Appendix K'!$E$33+'Appendix K'!$F$33+'Appendix K'!$H$33+'Appendix K'!$G$33))/((1+$Y$16)^3))</f>
        <v>7001188.1273134686</v>
      </c>
      <c r="AB833" s="193">
        <f>(((E833*'Appendix K'!$C$8*1000)-('Appendix K'!$E$34+'Appendix K'!$F$34+'Appendix K'!$H$34+'Appendix K'!$G$34))/((1+$Y$16)^4))</f>
        <v>18722060.684183728</v>
      </c>
      <c r="AC833" s="193">
        <f>(((F833*'Appendix K'!$C$9*1000)-('Appendix K'!$E$35+'Appendix K'!$F$35+'Appendix K'!$H$35+'Appendix K'!$G$35))/((1+$Y$16)^AC$34))</f>
        <v>32302272.98089385</v>
      </c>
      <c r="AD833" s="193">
        <f>(((G833*'Appendix K'!$C$10*1000)-('Appendix K'!$E$36+'Appendix K'!$F$36+'Appendix K'!$H$36+'Appendix K'!$G$36))/((1+$Y$16)^AD$34))</f>
        <v>24793326.508474857</v>
      </c>
      <c r="AE833" s="193">
        <f>(((H833*'Appendix K'!$C$11*1000)-('Appendix K'!$E$37+'Appendix K'!$F$37+'Appendix K'!$H$37+'Appendix K'!$G$37))/((1+$Y$16)^AE$34))</f>
        <v>19622866.78597964</v>
      </c>
      <c r="AF833" s="193">
        <f>(((I833*'Appendix K'!$C$12*1000)-('Appendix K'!$E$38+'Appendix K'!$F$38+'Appendix K'!$H$38+'Appendix K'!$G$38))/((1+$Y$16)^AF$34))</f>
        <v>14860997.34988432</v>
      </c>
      <c r="AG833" s="193">
        <f>(((J833*'Appendix K'!$C$13*1000)-('Appendix K'!$E$39+'Appendix K'!$F$39+'Appendix K'!$H$39+'Appendix K'!$G$39))/((1+$Y$16)^AG$34))</f>
        <v>6631241.2424945403</v>
      </c>
      <c r="AH833" s="193">
        <f>(((K833*'Appendix K'!$C$14*1000)-('Appendix K'!$E$40+'Appendix K'!$F$40+'Appendix K'!$H$40+'Appendix K'!$G$40))/((1+$Y$16)^AH$34))</f>
        <v>4851578.504202161</v>
      </c>
      <c r="AI833" s="193">
        <f>(((L833*'Appendix K'!$C$15*1000)-('Appendix K'!$E$41+'Appendix K'!$F$41+'Appendix K'!$H$41+'Appendix K'!$G$41))/((1+$Y$16)^AI$34))</f>
        <v>1872728.9234079577</v>
      </c>
      <c r="AJ833" s="193">
        <f>(((M833*'Appendix K'!$C$16*1000)-('Appendix K'!$E$42+'Appendix K'!$F$42+'Appendix K'!$H$42+'Appendix K'!$G$42))/((1+$Y$16)^AJ$34))</f>
        <v>395344.45869153255</v>
      </c>
      <c r="AK833" s="193">
        <f>(((N833*'Appendix K'!$C$17*1000)-('Appendix K'!$E$43+'Appendix K'!$F$43+'Appendix K'!$H$43))/((1+$Y$16)^AK$34))</f>
        <v>136797.21798952093</v>
      </c>
      <c r="AL833" s="193">
        <f>(((O833*'Appendix K'!$C$18*1000)-('Appendix K'!$E$44+'Appendix K'!$F$44+'Appendix K'!$H$44+'Appendix K'!$G$44))/((1+$Y$16)^AL$34))</f>
        <v>-64157.985502911099</v>
      </c>
      <c r="AM833" s="193">
        <f>(((P833*'Appendix K'!$C$19*1000)-('Appendix K'!$E$45+'Appendix K'!$F$45+'Appendix K'!$H$45+'Appendix K'!$G$45))/((1+$Y$16)^AM$34))</f>
        <v>63039.108100916295</v>
      </c>
      <c r="AN833" s="193">
        <f>(((Q833*'Appendix K'!$C$20*1000)-('Appendix K'!$E$46+'Appendix K'!$F$46+'Appendix K'!$H$46+'Appendix K'!$G$46))/((1+$Y$16)^AN$34))</f>
        <v>-492503.040477845</v>
      </c>
      <c r="AO833" s="193">
        <f>(((R833*'Appendix K'!$C$21*1000)-('Appendix K'!$E$47+'Appendix K'!$F$47+'Appendix K'!$H$47+'Appendix K'!$G$47))/((1+$Y$16)^AO$34))</f>
        <v>-392732.14270015887</v>
      </c>
      <c r="AP833" s="193">
        <f>(((S833*'Appendix K'!$C$22*1000)-('Appendix K'!$E$48+'Appendix K'!$F$48+'Appendix K'!$H$48+'Appendix K'!$G$48))/((1+$Y$16)^AP$34))</f>
        <v>-526901.27425223391</v>
      </c>
      <c r="AQ833" s="193">
        <f>(((T833*'Appendix K'!$C$23*1000)-('Appendix K'!$E$49+'Appendix K'!$F$49+'Appendix K'!$H$49+'Appendix K'!$G$49))/((1+$Y$16)^AQ$34))</f>
        <v>-404278.93439233874</v>
      </c>
      <c r="AR833" s="193">
        <f>(((U833*'Appendix K'!$C$24*1000)-('Appendix K'!$E$50+'Appendix K'!$F$50+'Appendix K'!$H$50+'Appendix K'!$G$50))/((1+$Y$16)^AR$34))</f>
        <v>-298394.00319823337</v>
      </c>
      <c r="AS833" s="209">
        <f t="shared" si="40"/>
        <v>144061344.21524611</v>
      </c>
      <c r="AU833" s="199">
        <f t="shared" si="39"/>
        <v>4.2867673658918511E-9</v>
      </c>
    </row>
    <row r="834" spans="1:47" x14ac:dyDescent="0.35">
      <c r="A834">
        <v>800</v>
      </c>
      <c r="B834" s="70">
        <v>56</v>
      </c>
      <c r="C834" s="70">
        <v>60.506226761694492</v>
      </c>
      <c r="D834" s="70">
        <v>77.53586904741546</v>
      </c>
      <c r="E834" s="70">
        <v>60.781342471550744</v>
      </c>
      <c r="F834" s="70">
        <v>77.225296233258533</v>
      </c>
      <c r="G834" s="70">
        <v>25.860542956814605</v>
      </c>
      <c r="H834" s="70">
        <v>11.714389470545239</v>
      </c>
      <c r="I834" s="70">
        <v>21.247054194468046</v>
      </c>
      <c r="J834" s="70">
        <v>15.39775910494118</v>
      </c>
      <c r="K834" s="70">
        <v>22.746545131626974</v>
      </c>
      <c r="L834" s="70">
        <v>36.329246979403813</v>
      </c>
      <c r="M834" s="70">
        <v>43.710202981305926</v>
      </c>
      <c r="N834" s="70">
        <v>42.567920732299271</v>
      </c>
      <c r="O834" s="70">
        <v>38.77079007137894</v>
      </c>
      <c r="P834" s="70">
        <v>51.40387224857696</v>
      </c>
      <c r="Q834" s="70">
        <v>28.212536603155083</v>
      </c>
      <c r="R834" s="70">
        <v>39.019347174153836</v>
      </c>
      <c r="S834" s="70">
        <v>63.192692703472332</v>
      </c>
      <c r="T834" s="70">
        <v>39.755419339557797</v>
      </c>
      <c r="U834" s="70">
        <v>65.81126089642045</v>
      </c>
      <c r="V834" s="70">
        <v>64.69712784762585</v>
      </c>
      <c r="X834" s="193">
        <f>((0-('Appendix K'!$I$30))/(1+$Y$16)^0)</f>
        <v>-33594902.4440751</v>
      </c>
      <c r="Y834" s="193">
        <f>(((B834*'Appendix K'!$C$5*1000)-('Appendix K'!$E$31+'Appendix K'!$F$31+'Appendix K'!$H$31+'Appendix K'!$G$31))/((1+$Y$16)^1))</f>
        <v>34971064.972647354</v>
      </c>
      <c r="Z834" s="193">
        <f>+(((C834*'Appendix K'!$C$6*1000)-('Appendix K'!$E$32+'Appendix K'!$F$32+'Appendix K'!$H$32+'Appendix K'!$G$32))/((1+$Y$16)^2))</f>
        <v>11797660.055621943</v>
      </c>
      <c r="AA834" s="193">
        <f>(((D834*'Appendix K'!$C$7*1000)-('Appendix K'!$E$33+'Appendix K'!$F$33+'Appendix K'!$H$33+'Appendix K'!$G$33))/((1+$Y$16)^3))</f>
        <v>6911223.3601958603</v>
      </c>
      <c r="AB834" s="193">
        <f>(((E834*'Appendix K'!$C$8*1000)-('Appendix K'!$E$34+'Appendix K'!$F$34+'Appendix K'!$H$34+'Appendix K'!$G$34))/((1+$Y$16)^4))</f>
        <v>10029505.981272733</v>
      </c>
      <c r="AC834" s="193">
        <f>(((F834*'Appendix K'!$C$9*1000)-('Appendix K'!$E$35+'Appendix K'!$F$35+'Appendix K'!$H$35+'Appendix K'!$G$35))/((1+$Y$16)^AC$34))</f>
        <v>17542133.954164777</v>
      </c>
      <c r="AD834" s="193">
        <f>(((G834*'Appendix K'!$C$10*1000)-('Appendix K'!$E$36+'Appendix K'!$F$36+'Appendix K'!$H$36+'Appendix K'!$G$36))/((1+$Y$16)^AD$34))</f>
        <v>1545478.8765047034</v>
      </c>
      <c r="AE834" s="193">
        <f>(((H834*'Appendix K'!$C$11*1000)-('Appendix K'!$E$37+'Appendix K'!$F$37+'Appendix K'!$H$37+'Appendix K'!$G$37))/((1+$Y$16)^AE$34))</f>
        <v>-1051575.5363311067</v>
      </c>
      <c r="AF834" s="193">
        <f>(((I834*'Appendix K'!$C$12*1000)-('Appendix K'!$E$38+'Appendix K'!$F$38+'Appendix K'!$H$38+'Appendix K'!$G$38))/((1+$Y$16)^AF$34))</f>
        <v>-601445.86480623204</v>
      </c>
      <c r="AG834" s="193">
        <f>(((J834*'Appendix K'!$C$13*1000)-('Appendix K'!$E$39+'Appendix K'!$F$39+'Appendix K'!$H$39+'Appendix K'!$G$39))/((1+$Y$16)^AG$34))</f>
        <v>-1106355.4331488712</v>
      </c>
      <c r="AH834" s="193">
        <f>(((K834*'Appendix K'!$C$14*1000)-('Appendix K'!$E$40+'Appendix K'!$F$40+'Appendix K'!$H$40+'Appendix K'!$G$40))/((1+$Y$16)^AH$34))</f>
        <v>-866034.12397044513</v>
      </c>
      <c r="AI834" s="193">
        <f>(((L834*'Appendix K'!$C$15*1000)-('Appendix K'!$E$41+'Appendix K'!$F$41+'Appendix K'!$H$41+'Appendix K'!$G$41))/((1+$Y$16)^AI$34))</f>
        <v>-564587.14144567237</v>
      </c>
      <c r="AJ834" s="193">
        <f>(((M834*'Appendix K'!$C$16*1000)-('Appendix K'!$E$42+'Appendix K'!$F$42+'Appendix K'!$H$42+'Appendix K'!$G$42))/((1+$Y$16)^AJ$34))</f>
        <v>-505516.88497745991</v>
      </c>
      <c r="AK834" s="193">
        <f>(((N834*'Appendix K'!$C$17*1000)-('Appendix K'!$E$43+'Appendix K'!$F$43+'Appendix K'!$H$43))/((1+$Y$16)^AK$34))</f>
        <v>-350249.44705470017</v>
      </c>
      <c r="AL834" s="193">
        <f>(((O834*'Appendix K'!$C$18*1000)-('Appendix K'!$E$44+'Appendix K'!$F$44+'Appendix K'!$H$44+'Appendix K'!$G$44))/((1+$Y$16)^AL$34))</f>
        <v>-675027.54256673495</v>
      </c>
      <c r="AM834" s="193">
        <f>(((P834*'Appendix K'!$C$19*1000)-('Appendix K'!$E$45+'Appendix K'!$F$45+'Appendix K'!$H$45+'Appendix K'!$G$45))/((1+$Y$16)^AM$34))</f>
        <v>-550317.23715693597</v>
      </c>
      <c r="AN834" s="193">
        <f>(((Q834*'Appendix K'!$C$20*1000)-('Appendix K'!$E$46+'Appendix K'!$F$46+'Appendix K'!$H$46+'Appendix K'!$G$46))/((1+$Y$16)^AN$34))</f>
        <v>-711556.80496238219</v>
      </c>
      <c r="AO834" s="193">
        <f>(((R834*'Appendix K'!$C$21*1000)-('Appendix K'!$E$47+'Appendix K'!$F$47+'Appendix K'!$H$47+'Appendix K'!$G$47))/((1+$Y$16)^AO$34))</f>
        <v>-612390.27272270853</v>
      </c>
      <c r="AP834" s="193">
        <f>(((S834*'Appendix K'!$C$22*1000)-('Appendix K'!$E$48+'Appendix K'!$F$48+'Appendix K'!$H$48+'Appendix K'!$G$48))/((1+$Y$16)^AP$34))</f>
        <v>-461777.97032210435</v>
      </c>
      <c r="AQ834" s="193">
        <f>(((T834*'Appendix K'!$C$23*1000)-('Appendix K'!$E$49+'Appendix K'!$F$49+'Appendix K'!$H$49+'Appendix K'!$G$49))/((1+$Y$16)^AQ$34))</f>
        <v>-537893.09786512656</v>
      </c>
      <c r="AR834" s="193">
        <f>(((U834*'Appendix K'!$C$24*1000)-('Appendix K'!$E$50+'Appendix K'!$F$50+'Appendix K'!$H$50+'Appendix K'!$G$50))/((1+$Y$16)^AR$34))</f>
        <v>-417374.76526542153</v>
      </c>
      <c r="AS834" s="209">
        <f t="shared" si="40"/>
        <v>49202164.756332271</v>
      </c>
      <c r="AU834" s="199">
        <f t="shared" si="39"/>
        <v>5.5903593404287332E-9</v>
      </c>
    </row>
    <row r="835" spans="1:47" x14ac:dyDescent="0.35">
      <c r="A835">
        <v>801</v>
      </c>
      <c r="B835" s="70">
        <v>56</v>
      </c>
      <c r="C835" s="70">
        <v>60.001829825344622</v>
      </c>
      <c r="D835" s="70">
        <v>64.129798179695783</v>
      </c>
      <c r="E835" s="70">
        <v>84.825959629425483</v>
      </c>
      <c r="F835" s="70">
        <v>55.813510869330408</v>
      </c>
      <c r="G835" s="70">
        <v>14.917258668244479</v>
      </c>
      <c r="H835" s="70">
        <v>23.539050072116829</v>
      </c>
      <c r="I835" s="70">
        <v>20.517294330945639</v>
      </c>
      <c r="J835" s="70">
        <v>22.804464883551042</v>
      </c>
      <c r="K835" s="70">
        <v>21.082313470697688</v>
      </c>
      <c r="L835" s="70">
        <v>20.009860697725166</v>
      </c>
      <c r="M835" s="70">
        <v>26.878825340331431</v>
      </c>
      <c r="N835" s="70">
        <v>31.313863706064677</v>
      </c>
      <c r="O835" s="70">
        <v>31.214266923100098</v>
      </c>
      <c r="P835" s="70">
        <v>34.526460053038676</v>
      </c>
      <c r="Q835" s="70">
        <v>23.905731404523543</v>
      </c>
      <c r="R835" s="70">
        <v>23.871887316692639</v>
      </c>
      <c r="S835" s="70">
        <v>23.465264575813745</v>
      </c>
      <c r="T835" s="70">
        <v>20.038036010430179</v>
      </c>
      <c r="U835" s="70">
        <v>27.451688711924394</v>
      </c>
      <c r="V835" s="70">
        <v>41.206567109572617</v>
      </c>
      <c r="X835" s="193">
        <f>((0-('Appendix K'!$I$30))/(1+$Y$16)^0)</f>
        <v>-33594902.4440751</v>
      </c>
      <c r="Y835" s="193">
        <f>(((B835*'Appendix K'!$C$5*1000)-('Appendix K'!$E$31+'Appendix K'!$F$31+'Appendix K'!$H$31+'Appendix K'!$G$31))/((1+$Y$16)^1))</f>
        <v>34971064.972647354</v>
      </c>
      <c r="Z835" s="193">
        <f>+(((C835*'Appendix K'!$C$6*1000)-('Appendix K'!$E$32+'Appendix K'!$F$32+'Appendix K'!$H$32+'Appendix K'!$G$32))/((1+$Y$16)^2))</f>
        <v>11670240.762736572</v>
      </c>
      <c r="AA835" s="193">
        <f>(((D835*'Appendix K'!$C$7*1000)-('Appendix K'!$E$33+'Appendix K'!$F$33+'Appendix K'!$H$33+'Appendix K'!$G$33))/((1+$Y$16)^3))</f>
        <v>5203626.7945915442</v>
      </c>
      <c r="AB835" s="193">
        <f>(((E835*'Appendix K'!$C$8*1000)-('Appendix K'!$E$34+'Appendix K'!$F$34+'Appendix K'!$H$34+'Appendix K'!$G$34))/((1+$Y$16)^4))</f>
        <v>15299865.954994198</v>
      </c>
      <c r="AC835" s="193">
        <f>(((F835*'Appendix K'!$C$9*1000)-('Appendix K'!$E$35+'Appendix K'!$F$35+'Appendix K'!$H$35+'Appendix K'!$G$35))/((1+$Y$16)^AC$34))</f>
        <v>11850915.026969267</v>
      </c>
      <c r="AD835" s="193">
        <f>(((G835*'Appendix K'!$C$10*1000)-('Appendix K'!$E$36+'Appendix K'!$F$36+'Appendix K'!$H$36+'Appendix K'!$G$36))/((1+$Y$16)^AD$34))</f>
        <v>-173097.73073879018</v>
      </c>
      <c r="AE835" s="193">
        <f>(((H835*'Appendix K'!$C$11*1000)-('Appendix K'!$E$37+'Appendix K'!$F$37+'Appendix K'!$H$37+'Appendix K'!$G$37))/((1+$Y$16)^AE$34))</f>
        <v>127788.07386582605</v>
      </c>
      <c r="AF835" s="193">
        <f>(((I835*'Appendix K'!$C$12*1000)-('Appendix K'!$E$38+'Appendix K'!$F$38+'Appendix K'!$H$38+'Appendix K'!$G$38))/((1+$Y$16)^AF$34))</f>
        <v>-649363.66860079067</v>
      </c>
      <c r="AG835" s="193">
        <f>(((J835*'Appendix K'!$C$13*1000)-('Appendix K'!$E$39+'Appendix K'!$F$39+'Appendix K'!$H$39+'Appendix K'!$G$39))/((1+$Y$16)^AG$34))</f>
        <v>-765506.73941798566</v>
      </c>
      <c r="AH835" s="193">
        <f>(((K835*'Appendix K'!$C$14*1000)-('Appendix K'!$E$40+'Appendix K'!$F$40+'Appendix K'!$H$40+'Appendix K'!$G$40))/((1+$Y$16)^AH$34))</f>
        <v>-922129.59297799866</v>
      </c>
      <c r="AI835" s="193">
        <f>(((L835*'Appendix K'!$C$15*1000)-('Appendix K'!$E$41+'Appendix K'!$F$41+'Appendix K'!$H$41+'Appendix K'!$G$41))/((1+$Y$16)^AI$34))</f>
        <v>-992185.57942764228</v>
      </c>
      <c r="AJ835" s="193">
        <f>(((M835*'Appendix K'!$C$16*1000)-('Appendix K'!$E$42+'Appendix K'!$F$42+'Appendix K'!$H$42+'Appendix K'!$G$42))/((1+$Y$16)^AJ$34))</f>
        <v>-842849.11671347625</v>
      </c>
      <c r="AK835" s="193">
        <f>(((N835*'Appendix K'!$C$17*1000)-('Appendix K'!$E$43+'Appendix K'!$F$43+'Appendix K'!$H$43))/((1+$Y$16)^AK$34))</f>
        <v>-523155.62524429098</v>
      </c>
      <c r="AL835" s="193">
        <f>(((O835*'Appendix K'!$C$18*1000)-('Appendix K'!$E$44+'Appendix K'!$F$44+'Appendix K'!$H$44+'Appendix K'!$G$44))/((1+$Y$16)^AL$34))</f>
        <v>-764597.23496628588</v>
      </c>
      <c r="AM835" s="193">
        <f>(((P835*'Appendix K'!$C$19*1000)-('Appendix K'!$E$45+'Appendix K'!$F$45+'Appendix K'!$H$45+'Appendix K'!$G$45))/((1+$Y$16)^AM$34))</f>
        <v>-706749.4441450109</v>
      </c>
      <c r="AN835" s="193">
        <f>(((Q835*'Appendix K'!$C$20*1000)-('Appendix K'!$E$46+'Appendix K'!$F$46+'Appendix K'!$H$46+'Appendix K'!$G$46))/((1+$Y$16)^AN$34))</f>
        <v>-742721.78148647095</v>
      </c>
      <c r="AO835" s="193">
        <f>(((R835*'Appendix K'!$C$21*1000)-('Appendix K'!$E$47+'Appendix K'!$F$47+'Appendix K'!$H$47+'Appendix K'!$G$47))/((1+$Y$16)^AO$34))</f>
        <v>-701913.43397227861</v>
      </c>
      <c r="AP835" s="193">
        <f>(((S835*'Appendix K'!$C$22*1000)-('Appendix K'!$E$48+'Appendix K'!$F$48+'Appendix K'!$H$48+'Appendix K'!$G$48))/((1+$Y$16)^AP$34))</f>
        <v>-652061.20122054091</v>
      </c>
      <c r="AQ835" s="193">
        <f>(((T835*'Appendix K'!$C$23*1000)-('Appendix K'!$E$49+'Appendix K'!$F$49+'Appendix K'!$H$49+'Appendix K'!$G$49))/((1+$Y$16)^AQ$34))</f>
        <v>-615061.88843574363</v>
      </c>
      <c r="AR835" s="193">
        <f>(((U835*'Appendix K'!$C$24*1000)-('Appendix K'!$E$50+'Appendix K'!$F$50+'Appendix K'!$H$50+'Appendix K'!$G$50))/((1+$Y$16)^AR$34))</f>
        <v>-540893.66249092668</v>
      </c>
      <c r="AS835" s="209">
        <f t="shared" si="40"/>
        <v>45528599.141729675</v>
      </c>
      <c r="AU835" s="199">
        <f t="shared" si="39"/>
        <v>5.3395001638089462E-9</v>
      </c>
    </row>
    <row r="836" spans="1:47" x14ac:dyDescent="0.35">
      <c r="A836">
        <v>802</v>
      </c>
      <c r="B836" s="70">
        <v>56</v>
      </c>
      <c r="C836" s="70">
        <v>82.954042091287974</v>
      </c>
      <c r="D836" s="70">
        <v>91.632147714828989</v>
      </c>
      <c r="E836" s="70">
        <v>95.361602759117673</v>
      </c>
      <c r="F836" s="70">
        <v>140.29007389679171</v>
      </c>
      <c r="G836" s="70">
        <v>204.45268355062842</v>
      </c>
      <c r="H836" s="70">
        <v>257.16557033991973</v>
      </c>
      <c r="I836" s="70">
        <v>197.26178234574502</v>
      </c>
      <c r="J836" s="70">
        <v>201.80662588077791</v>
      </c>
      <c r="K836" s="70">
        <v>206.78712695256232</v>
      </c>
      <c r="L836" s="70">
        <v>184.01259795875296</v>
      </c>
      <c r="M836" s="70">
        <v>155.62824002566654</v>
      </c>
      <c r="N836" s="70">
        <v>212.15095278743394</v>
      </c>
      <c r="O836" s="70">
        <v>239.3239690865768</v>
      </c>
      <c r="P836" s="70">
        <v>72.9553040077312</v>
      </c>
      <c r="Q836" s="70">
        <v>82.603557687623606</v>
      </c>
      <c r="R836" s="70">
        <v>101.14073638511371</v>
      </c>
      <c r="S836" s="70">
        <v>36.387515006287828</v>
      </c>
      <c r="T836" s="70">
        <v>44.942853820136634</v>
      </c>
      <c r="U836" s="70">
        <v>59.267889534511212</v>
      </c>
      <c r="V836" s="70">
        <v>62.570560126509797</v>
      </c>
      <c r="X836" s="193">
        <f>((0-('Appendix K'!$I$30))/(1+$Y$16)^0)</f>
        <v>-33594902.4440751</v>
      </c>
      <c r="Y836" s="193">
        <f>(((B836*'Appendix K'!$C$5*1000)-('Appendix K'!$E$31+'Appendix K'!$F$31+'Appendix K'!$H$31+'Appendix K'!$G$31))/((1+$Y$16)^1))</f>
        <v>34971064.972647354</v>
      </c>
      <c r="Z836" s="193">
        <f>+(((C836*'Appendix K'!$C$6*1000)-('Appendix K'!$E$32+'Appendix K'!$F$32+'Appendix K'!$H$32+'Appendix K'!$G$32))/((1+$Y$16)^2))</f>
        <v>17468362.135648295</v>
      </c>
      <c r="AA836" s="193">
        <f>(((D836*'Appendix K'!$C$7*1000)-('Appendix K'!$E$33+'Appendix K'!$F$33+'Appendix K'!$H$33+'Appendix K'!$G$33))/((1+$Y$16)^3))</f>
        <v>8706735.0561869983</v>
      </c>
      <c r="AB836" s="193">
        <f>(((E836*'Appendix K'!$C$8*1000)-('Appendix K'!$E$34+'Appendix K'!$F$34+'Appendix K'!$H$34+'Appendix K'!$G$34))/((1+$Y$16)^4))</f>
        <v>17609182.484492693</v>
      </c>
      <c r="AC836" s="193">
        <f>(((F836*'Appendix K'!$C$9*1000)-('Appendix K'!$E$35+'Appendix K'!$F$35+'Appendix K'!$H$35+'Appendix K'!$G$35))/((1+$Y$16)^AC$34))</f>
        <v>34304652.827660128</v>
      </c>
      <c r="AD836" s="193">
        <f>(((G836*'Appendix K'!$C$10*1000)-('Appendix K'!$E$36+'Appendix K'!$F$36+'Appendix K'!$H$36+'Appendix K'!$G$36))/((1+$Y$16)^AD$34))</f>
        <v>29592294.34511508</v>
      </c>
      <c r="AE836" s="193">
        <f>(((H836*'Appendix K'!$C$11*1000)-('Appendix K'!$E$37+'Appendix K'!$F$37+'Appendix K'!$H$37+'Appendix K'!$G$37))/((1+$Y$16)^AE$34))</f>
        <v>23429143.238695059</v>
      </c>
      <c r="AF836" s="193">
        <f>(((I836*'Appendix K'!$C$12*1000)-('Appendix K'!$E$38+'Appendix K'!$F$38+'Appendix K'!$H$38+'Appendix K'!$G$38))/((1+$Y$16)^AF$34))</f>
        <v>10956108.380223187</v>
      </c>
      <c r="AG836" s="193">
        <f>(((J836*'Appendix K'!$C$13*1000)-('Appendix K'!$E$39+'Appendix K'!$F$39+'Appendix K'!$H$39+'Appendix K'!$G$39))/((1+$Y$16)^AG$34))</f>
        <v>7471981.6359285079</v>
      </c>
      <c r="AH836" s="193">
        <f>(((K836*'Appendix K'!$C$14*1000)-('Appendix K'!$E$40+'Appendix K'!$F$40+'Appendix K'!$H$40+'Appendix K'!$G$40))/((1+$Y$16)^AH$34))</f>
        <v>5337334.6713952757</v>
      </c>
      <c r="AI836" s="193">
        <f>(((L836*'Appendix K'!$C$15*1000)-('Appendix K'!$E$41+'Appendix K'!$F$41+'Appendix K'!$H$41+'Appendix K'!$G$41))/((1+$Y$16)^AI$34))</f>
        <v>3304992.8234338076</v>
      </c>
      <c r="AJ836" s="193">
        <f>(((M836*'Appendix K'!$C$16*1000)-('Appendix K'!$E$42+'Appendix K'!$F$42+'Appendix K'!$H$42+'Appendix K'!$G$42))/((1+$Y$16)^AJ$34))</f>
        <v>1737529.5258986554</v>
      </c>
      <c r="AK836" s="193">
        <f>(((N836*'Appendix K'!$C$17*1000)-('Appendix K'!$E$43+'Appendix K'!$F$43+'Appendix K'!$H$43))/((1+$Y$16)^AK$34))</f>
        <v>2255206.8688412565</v>
      </c>
      <c r="AL836" s="193">
        <f>(((O836*'Appendix K'!$C$18*1000)-('Appendix K'!$E$44+'Appendix K'!$F$44+'Appendix K'!$H$44+'Appendix K'!$G$44))/((1+$Y$16)^AL$34))</f>
        <v>1702188.3014997144</v>
      </c>
      <c r="AM836" s="193">
        <f>(((P836*'Appendix K'!$C$19*1000)-('Appendix K'!$E$45+'Appendix K'!$F$45+'Appendix K'!$H$45+'Appendix K'!$G$45))/((1+$Y$16)^AM$34))</f>
        <v>-350562.79644186975</v>
      </c>
      <c r="AN836" s="193">
        <f>(((Q836*'Appendix K'!$C$20*1000)-('Appendix K'!$E$46+'Appendix K'!$F$46+'Appendix K'!$H$46+'Appendix K'!$G$46))/((1+$Y$16)^AN$34))</f>
        <v>-317971.57947846845</v>
      </c>
      <c r="AO836" s="193">
        <f>(((R836*'Appendix K'!$C$21*1000)-('Appendix K'!$E$47+'Appendix K'!$F$47+'Appendix K'!$H$47+'Appendix K'!$G$47))/((1+$Y$16)^AO$34))</f>
        <v>-245245.99931235609</v>
      </c>
      <c r="AP836" s="193">
        <f>(((S836*'Appendix K'!$C$22*1000)-('Appendix K'!$E$48+'Appendix K'!$F$48+'Appendix K'!$H$48+'Appendix K'!$G$48))/((1+$Y$16)^AP$34))</f>
        <v>-590167.24839560536</v>
      </c>
      <c r="AQ836" s="193">
        <f>(((T836*'Appendix K'!$C$23*1000)-('Appendix K'!$E$49+'Appendix K'!$F$49+'Appendix K'!$H$49+'Appendix K'!$G$49))/((1+$Y$16)^AQ$34))</f>
        <v>-517590.80732542655</v>
      </c>
      <c r="AR836" s="193">
        <f>(((U836*'Appendix K'!$C$24*1000)-('Appendix K'!$E$50+'Appendix K'!$F$50+'Appendix K'!$H$50+'Appendix K'!$G$50))/((1+$Y$16)^AR$34))</f>
        <v>-438444.60438856605</v>
      </c>
      <c r="AS836" s="209">
        <f t="shared" si="40"/>
        <v>165251874.82359093</v>
      </c>
      <c r="AU836" s="199">
        <f t="shared" si="39"/>
        <v>2.7578375943835215E-9</v>
      </c>
    </row>
    <row r="837" spans="1:47" x14ac:dyDescent="0.35">
      <c r="A837">
        <v>803</v>
      </c>
      <c r="B837" s="70">
        <v>56</v>
      </c>
      <c r="C837" s="70">
        <v>34.825199862190011</v>
      </c>
      <c r="D837" s="70">
        <v>47.281303842875289</v>
      </c>
      <c r="E837" s="70">
        <v>31.593093913751531</v>
      </c>
      <c r="F837" s="70">
        <v>16.154865031980705</v>
      </c>
      <c r="G837" s="70">
        <v>2.8136027571333511</v>
      </c>
      <c r="H837" s="70">
        <v>3.1549433295512572</v>
      </c>
      <c r="I837" s="70">
        <v>3.5023994230000985</v>
      </c>
      <c r="J837" s="70">
        <v>2.9010243473514898</v>
      </c>
      <c r="K837" s="70">
        <v>3.0665811691787566</v>
      </c>
      <c r="L837" s="70">
        <v>3.9504094577989761</v>
      </c>
      <c r="M837" s="70">
        <v>4.5267568632507897</v>
      </c>
      <c r="N837" s="70">
        <v>5.7849772701235365</v>
      </c>
      <c r="O837" s="70">
        <v>9.053340552050722</v>
      </c>
      <c r="P837" s="70">
        <v>7.4883487924741328</v>
      </c>
      <c r="Q837" s="70">
        <v>6.8122594915536148</v>
      </c>
      <c r="R837" s="70">
        <v>7.2031069474356872</v>
      </c>
      <c r="S837" s="70">
        <v>7.4555737943476732</v>
      </c>
      <c r="T837" s="70">
        <v>11.828304555522335</v>
      </c>
      <c r="U837" s="70">
        <v>10.374624005544945</v>
      </c>
      <c r="V837" s="70">
        <v>8.5701056630799677</v>
      </c>
      <c r="X837" s="193">
        <f>((0-('Appendix K'!$I$30))/(1+$Y$16)^0)</f>
        <v>-33594902.4440751</v>
      </c>
      <c r="Y837" s="193">
        <f>(((B837*'Appendix K'!$C$5*1000)-('Appendix K'!$E$31+'Appendix K'!$F$31+'Appendix K'!$H$31+'Appendix K'!$G$31))/((1+$Y$16)^1))</f>
        <v>34971064.972647354</v>
      </c>
      <c r="Z837" s="193">
        <f>+(((C837*'Appendix K'!$C$6*1000)-('Appendix K'!$E$32+'Appendix K'!$F$32+'Appendix K'!$H$32+'Appendix K'!$G$32))/((1+$Y$16)^2))</f>
        <v>5310193.4350173939</v>
      </c>
      <c r="AA837" s="193">
        <f>(((D837*'Appendix K'!$C$7*1000)-('Appendix K'!$E$33+'Appendix K'!$F$33+'Appendix K'!$H$33+'Appendix K'!$G$33))/((1+$Y$16)^3))</f>
        <v>3057551.97900673</v>
      </c>
      <c r="AB837" s="193">
        <f>(((E837*'Appendix K'!$C$8*1000)-('Appendix K'!$E$34+'Appendix K'!$F$34+'Appendix K'!$H$34+'Appendix K'!$G$34))/((1+$Y$16)^4))</f>
        <v>3631709.0901013017</v>
      </c>
      <c r="AC837" s="193">
        <f>(((F837*'Appendix K'!$C$9*1000)-('Appendix K'!$E$35+'Appendix K'!$F$35+'Appendix K'!$H$35+'Appendix K'!$G$35))/((1+$Y$16)^AC$34))</f>
        <v>1309709.2386509734</v>
      </c>
      <c r="AD837" s="193">
        <f>(((G837*'Appendix K'!$C$10*1000)-('Appendix K'!$E$36+'Appendix K'!$F$36+'Appendix K'!$H$36+'Appendix K'!$G$36))/((1+$Y$16)^AD$34))</f>
        <v>-2073903.6828135236</v>
      </c>
      <c r="AE837" s="193">
        <f>(((H837*'Appendix K'!$C$11*1000)-('Appendix K'!$E$37+'Appendix K'!$F$37+'Appendix K'!$H$37+'Appendix K'!$G$37))/((1+$Y$16)^AE$34))</f>
        <v>-1905274.3985874325</v>
      </c>
      <c r="AF837" s="193">
        <f>(((I837*'Appendix K'!$C$12*1000)-('Appendix K'!$E$38+'Appendix K'!$F$38+'Appendix K'!$H$38+'Appendix K'!$G$38))/((1+$Y$16)^AF$34))</f>
        <v>-1766602.9640706724</v>
      </c>
      <c r="AG837" s="193">
        <f>(((J837*'Appendix K'!$C$13*1000)-('Appendix K'!$E$39+'Appendix K'!$F$39+'Appendix K'!$H$39+'Appendix K'!$G$39))/((1+$Y$16)^AG$34))</f>
        <v>-1681441.8272009986</v>
      </c>
      <c r="AH837" s="193">
        <f>(((K837*'Appendix K'!$C$14*1000)-('Appendix K'!$E$40+'Appendix K'!$F$40+'Appendix K'!$H$40+'Appendix K'!$G$40))/((1+$Y$16)^AH$34))</f>
        <v>-1529377.3558308755</v>
      </c>
      <c r="AI837" s="193">
        <f>(((L837*'Appendix K'!$C$15*1000)-('Appendix K'!$E$41+'Appendix K'!$F$41+'Appendix K'!$H$41+'Appendix K'!$G$41))/((1+$Y$16)^AI$34))</f>
        <v>-1412973.2332347862</v>
      </c>
      <c r="AJ837" s="193">
        <f>(((M837*'Appendix K'!$C$16*1000)-('Appendix K'!$E$42+'Appendix K'!$F$42+'Appendix K'!$H$42+'Appendix K'!$G$42))/((1+$Y$16)^AJ$34))</f>
        <v>-1290826.2998131078</v>
      </c>
      <c r="AK837" s="193">
        <f>(((N837*'Appendix K'!$C$17*1000)-('Appendix K'!$E$43+'Appendix K'!$F$43+'Appendix K'!$H$43))/((1+$Y$16)^AK$34))</f>
        <v>-915378.81878106156</v>
      </c>
      <c r="AL837" s="193">
        <f>(((O837*'Appendix K'!$C$18*1000)-('Appendix K'!$E$44+'Appendix K'!$F$44+'Appendix K'!$H$44+'Appendix K'!$G$44))/((1+$Y$16)^AL$34))</f>
        <v>-1027277.2161420338</v>
      </c>
      <c r="AM837" s="193">
        <f>(((P837*'Appendix K'!$C$19*1000)-('Appendix K'!$E$45+'Appendix K'!$F$45+'Appendix K'!$H$45+'Appendix K'!$G$45))/((1+$Y$16)^AM$34))</f>
        <v>-957358.44558880921</v>
      </c>
      <c r="AN837" s="193">
        <f>(((Q837*'Appendix K'!$C$20*1000)-('Appendix K'!$E$46+'Appendix K'!$F$46+'Appendix K'!$H$46+'Appendix K'!$G$46))/((1+$Y$16)^AN$34))</f>
        <v>-866413.85166697239</v>
      </c>
      <c r="AO837" s="193">
        <f>(((R837*'Appendix K'!$C$21*1000)-('Appendix K'!$E$47+'Appendix K'!$F$47+'Appendix K'!$H$47+'Appendix K'!$G$47))/((1+$Y$16)^AO$34))</f>
        <v>-800427.76752211316</v>
      </c>
      <c r="AP837" s="193">
        <f>(((S837*'Appendix K'!$C$22*1000)-('Appendix K'!$E$48+'Appendix K'!$F$48+'Appendix K'!$H$48+'Appendix K'!$G$48))/((1+$Y$16)^AP$34))</f>
        <v>-728743.12681092077</v>
      </c>
      <c r="AQ837" s="193">
        <f>(((T837*'Appendix K'!$C$23*1000)-('Appendix K'!$E$49+'Appendix K'!$F$49+'Appendix K'!$H$49+'Appendix K'!$G$49))/((1+$Y$16)^AQ$34))</f>
        <v>-647192.67560509883</v>
      </c>
      <c r="AR837" s="193">
        <f>(((U837*'Appendix K'!$C$24*1000)-('Appendix K'!$E$50+'Appendix K'!$F$50+'Appendix K'!$H$50+'Appendix K'!$G$50))/((1+$Y$16)^AR$34))</f>
        <v>-595882.28932532924</v>
      </c>
      <c r="AS837" s="209">
        <f t="shared" si="40"/>
        <v>14685326.271348648</v>
      </c>
      <c r="AU837" s="199">
        <f t="shared" si="39"/>
        <v>3.0783138562936958E-9</v>
      </c>
    </row>
    <row r="838" spans="1:47" x14ac:dyDescent="0.35">
      <c r="A838">
        <v>804</v>
      </c>
      <c r="B838" s="70">
        <v>56</v>
      </c>
      <c r="C838" s="70">
        <v>63.501805287128903</v>
      </c>
      <c r="D838" s="70">
        <v>101.91348837788576</v>
      </c>
      <c r="E838" s="70">
        <v>95.218926805636627</v>
      </c>
      <c r="F838" s="70">
        <v>74.752476154404917</v>
      </c>
      <c r="G838" s="70">
        <v>113.03698336250062</v>
      </c>
      <c r="H838" s="70">
        <v>125.51460681413762</v>
      </c>
      <c r="I838" s="70">
        <v>141.11437041398511</v>
      </c>
      <c r="J838" s="70">
        <v>160.69141775244918</v>
      </c>
      <c r="K838" s="70">
        <v>135.58168238353284</v>
      </c>
      <c r="L838" s="70">
        <v>130.65779264675342</v>
      </c>
      <c r="M838" s="70">
        <v>155.45579781727133</v>
      </c>
      <c r="N838" s="70">
        <v>213.01638469074129</v>
      </c>
      <c r="O838" s="70">
        <v>324.82086068465838</v>
      </c>
      <c r="P838" s="70">
        <v>401.90987569745255</v>
      </c>
      <c r="Q838" s="70">
        <v>436.81720654796692</v>
      </c>
      <c r="R838" s="70">
        <v>500</v>
      </c>
      <c r="S838" s="70">
        <v>451.08376954061987</v>
      </c>
      <c r="T838" s="70">
        <v>500</v>
      </c>
      <c r="U838" s="70">
        <v>500</v>
      </c>
      <c r="V838" s="70">
        <v>500</v>
      </c>
      <c r="X838" s="193">
        <f>((0-('Appendix K'!$I$30))/(1+$Y$16)^0)</f>
        <v>-33594902.4440751</v>
      </c>
      <c r="Y838" s="193">
        <f>(((B838*'Appendix K'!$C$5*1000)-('Appendix K'!$E$31+'Appendix K'!$F$31+'Appendix K'!$H$31+'Appendix K'!$G$31))/((1+$Y$16)^1))</f>
        <v>34971064.972647354</v>
      </c>
      <c r="Z838" s="193">
        <f>+(((C838*'Appendix K'!$C$6*1000)-('Appendix K'!$E$32+'Appendix K'!$F$32+'Appendix K'!$H$32+'Appendix K'!$G$32))/((1+$Y$16)^2))</f>
        <v>12554394.424897902</v>
      </c>
      <c r="AA838" s="193">
        <f>(((D838*'Appendix K'!$C$7*1000)-('Appendix K'!$E$33+'Appendix K'!$F$33+'Appendix K'!$H$33+'Appendix K'!$G$33))/((1+$Y$16)^3))</f>
        <v>10016319.510817738</v>
      </c>
      <c r="AB838" s="193">
        <f>(((E838*'Appendix K'!$C$8*1000)-('Appendix K'!$E$34+'Appendix K'!$F$34+'Appendix K'!$H$34+'Appendix K'!$G$34))/((1+$Y$16)^4))</f>
        <v>17577909.221562292</v>
      </c>
      <c r="AC838" s="193">
        <f>(((F838*'Appendix K'!$C$9*1000)-('Appendix K'!$E$35+'Appendix K'!$F$35+'Appendix K'!$H$35+'Appendix K'!$G$35))/((1+$Y$16)^AC$34))</f>
        <v>16884862.260229819</v>
      </c>
      <c r="AD838" s="193">
        <f>(((G838*'Appendix K'!$C$10*1000)-('Appendix K'!$E$36+'Appendix K'!$F$36+'Appendix K'!$H$36+'Appendix K'!$G$36))/((1+$Y$16)^AD$34))</f>
        <v>15236011.556940457</v>
      </c>
      <c r="AE838" s="193">
        <f>(((H838*'Appendix K'!$C$11*1000)-('Appendix K'!$E$37+'Appendix K'!$F$37+'Appendix K'!$H$37+'Appendix K'!$G$37))/((1+$Y$16)^AE$34))</f>
        <v>10298588.302595221</v>
      </c>
      <c r="AF838" s="193">
        <f>(((I838*'Appendix K'!$C$12*1000)-('Appendix K'!$E$38+'Appendix K'!$F$38+'Appendix K'!$H$38+'Appendix K'!$G$38))/((1+$Y$16)^AF$34))</f>
        <v>7269333.0408231635</v>
      </c>
      <c r="AG838" s="193">
        <f>(((J838*'Appendix K'!$C$13*1000)-('Appendix K'!$E$39+'Appendix K'!$F$39+'Appendix K'!$H$39+'Appendix K'!$G$39))/((1+$Y$16)^AG$34))</f>
        <v>5579903.6458068872</v>
      </c>
      <c r="AH838" s="193">
        <f>(((K838*'Appendix K'!$C$14*1000)-('Appendix K'!$E$40+'Appendix K'!$F$40+'Appendix K'!$H$40+'Appendix K'!$G$40))/((1+$Y$16)^AH$34))</f>
        <v>2937246.4488453604</v>
      </c>
      <c r="AI838" s="193">
        <f>(((L838*'Appendix K'!$C$15*1000)-('Appendix K'!$E$41+'Appendix K'!$F$41+'Appendix K'!$H$41+'Appendix K'!$G$41))/((1+$Y$16)^AI$34))</f>
        <v>1906997.1502842424</v>
      </c>
      <c r="AJ838" s="193">
        <f>(((M838*'Appendix K'!$C$16*1000)-('Appendix K'!$E$42+'Appendix K'!$F$42+'Appendix K'!$H$42+'Appendix K'!$G$42))/((1+$Y$16)^AJ$34))</f>
        <v>1734073.462096615</v>
      </c>
      <c r="AK838" s="193">
        <f>(((N838*'Appendix K'!$C$17*1000)-('Appendix K'!$E$43+'Appendix K'!$F$43+'Appendix K'!$H$43))/((1+$Y$16)^AK$34))</f>
        <v>2268503.2758645541</v>
      </c>
      <c r="AL838" s="193">
        <f>(((O838*'Appendix K'!$C$18*1000)-('Appendix K'!$E$44+'Appendix K'!$F$44+'Appendix K'!$H$44+'Appendix K'!$G$44))/((1+$Y$16)^AL$34))</f>
        <v>2715608.1152538983</v>
      </c>
      <c r="AM838" s="193">
        <f>(((P838*'Appendix K'!$C$19*1000)-('Appendix K'!$E$45+'Appendix K'!$F$45+'Appendix K'!$H$45+'Appendix K'!$G$45))/((1+$Y$16)^AM$34))</f>
        <v>2698428.9003920658</v>
      </c>
      <c r="AN838" s="193">
        <f>(((Q838*'Appendix K'!$C$20*1000)-('Appendix K'!$E$46+'Appendix K'!$F$46+'Appendix K'!$H$46+'Appendix K'!$G$46))/((1+$Y$16)^AN$34))</f>
        <v>2245195.2093867585</v>
      </c>
      <c r="AO838" s="193">
        <f>(((R838*'Appendix K'!$C$21*1000)-('Appendix K'!$E$47+'Appendix K'!$F$47+'Appendix K'!$H$47+'Appendix K'!$G$47))/((1+$Y$16)^AO$34))</f>
        <v>2112056.3146391152</v>
      </c>
      <c r="AP838" s="193">
        <f>(((S838*'Appendix K'!$C$22*1000)-('Appendix K'!$E$48+'Appendix K'!$F$48+'Appendix K'!$H$48+'Appendix K'!$G$48))/((1+$Y$16)^AP$34))</f>
        <v>1396111.4228717012</v>
      </c>
      <c r="AQ838" s="193">
        <f>(((T838*'Appendix K'!$C$23*1000)-('Appendix K'!$E$49+'Appendix K'!$F$49+'Appendix K'!$H$49+'Appendix K'!$G$49))/((1+$Y$16)^AQ$34))</f>
        <v>1263386.3652054211</v>
      </c>
      <c r="AR838" s="193">
        <f>(((U838*'Appendix K'!$C$24*1000)-('Appendix K'!$E$50+'Appendix K'!$F$50+'Appendix K'!$H$50+'Appendix K'!$G$50))/((1+$Y$16)^AR$34))</f>
        <v>980725.14012097823</v>
      </c>
      <c r="AS838" s="209">
        <f t="shared" si="40"/>
        <v>119051816.2972064</v>
      </c>
      <c r="AU838" s="199">
        <f t="shared" si="39"/>
        <v>6.0299257556830083E-9</v>
      </c>
    </row>
    <row r="839" spans="1:47" x14ac:dyDescent="0.35">
      <c r="A839">
        <v>805</v>
      </c>
      <c r="B839" s="70">
        <v>56</v>
      </c>
      <c r="C839" s="70">
        <v>56.33026191337423</v>
      </c>
      <c r="D839" s="70">
        <v>72.077343643594347</v>
      </c>
      <c r="E839" s="70">
        <v>47.295504229189234</v>
      </c>
      <c r="F839" s="70">
        <v>43.968431780842522</v>
      </c>
      <c r="G839" s="70">
        <v>55.190254582167164</v>
      </c>
      <c r="H839" s="70">
        <v>73.852700000439157</v>
      </c>
      <c r="I839" s="70">
        <v>78.392149249524735</v>
      </c>
      <c r="J839" s="70">
        <v>101.47437167922149</v>
      </c>
      <c r="K839" s="70">
        <v>107.72591981797069</v>
      </c>
      <c r="L839" s="70">
        <v>57.234717386434419</v>
      </c>
      <c r="M839" s="70">
        <v>72.021812099487391</v>
      </c>
      <c r="N839" s="70">
        <v>54.176696051276565</v>
      </c>
      <c r="O839" s="70">
        <v>64.532387439263744</v>
      </c>
      <c r="P839" s="70">
        <v>84.409482486996069</v>
      </c>
      <c r="Q839" s="70">
        <v>72.362228758541264</v>
      </c>
      <c r="R839" s="70">
        <v>98.56875278544446</v>
      </c>
      <c r="S839" s="70">
        <v>84.091602219983884</v>
      </c>
      <c r="T839" s="70">
        <v>106.90267064198787</v>
      </c>
      <c r="U839" s="70">
        <v>101.72715289418025</v>
      </c>
      <c r="V839" s="70">
        <v>139.73395581662277</v>
      </c>
      <c r="X839" s="193">
        <f>((0-('Appendix K'!$I$30))/(1+$Y$16)^0)</f>
        <v>-33594902.4440751</v>
      </c>
      <c r="Y839" s="193">
        <f>(((B839*'Appendix K'!$C$5*1000)-('Appendix K'!$E$31+'Appendix K'!$F$31+'Appendix K'!$H$31+'Appendix K'!$G$31))/((1+$Y$16)^1))</f>
        <v>34971064.972647354</v>
      </c>
      <c r="Z839" s="193">
        <f>+(((C839*'Appendix K'!$C$6*1000)-('Appendix K'!$E$32+'Appendix K'!$F$32+'Appendix K'!$H$32+'Appendix K'!$G$32))/((1+$Y$16)^2))</f>
        <v>10742739.912891263</v>
      </c>
      <c r="AA839" s="193">
        <f>(((D839*'Appendix K'!$C$7*1000)-('Appendix K'!$E$33+'Appendix K'!$F$33+'Appendix K'!$H$33+'Appendix K'!$G$33))/((1+$Y$16)^3))</f>
        <v>6215944.3836187134</v>
      </c>
      <c r="AB839" s="193">
        <f>(((E839*'Appendix K'!$C$8*1000)-('Appendix K'!$E$34+'Appendix K'!$F$34+'Appendix K'!$H$34+'Appendix K'!$G$34))/((1+$Y$16)^4))</f>
        <v>7073533.689514</v>
      </c>
      <c r="AC839" s="193">
        <f>(((F839*'Appendix K'!$C$9*1000)-('Appendix K'!$E$35+'Appendix K'!$F$35+'Appendix K'!$H$35+'Appendix K'!$G$35))/((1+$Y$16)^AC$34))</f>
        <v>8702511.6053611469</v>
      </c>
      <c r="AD839" s="193">
        <f>(((G839*'Appendix K'!$C$10*1000)-('Appendix K'!$E$36+'Appendix K'!$F$36+'Appendix K'!$H$36+'Appendix K'!$G$36))/((1+$Y$16)^AD$34))</f>
        <v>6151532.6869841637</v>
      </c>
      <c r="AE839" s="193">
        <f>(((H839*'Appendix K'!$C$11*1000)-('Appendix K'!$E$37+'Appendix K'!$F$37+'Appendix K'!$H$37+'Appendix K'!$G$37))/((1+$Y$16)^AE$34))</f>
        <v>5145952.2158255847</v>
      </c>
      <c r="AF839" s="193">
        <f>(((I839*'Appendix K'!$C$12*1000)-('Appendix K'!$E$38+'Appendix K'!$F$38+'Appendix K'!$H$38+'Appendix K'!$G$38))/((1+$Y$16)^AF$34))</f>
        <v>3150839.7698853477</v>
      </c>
      <c r="AG839" s="193">
        <f>(((J839*'Appendix K'!$C$13*1000)-('Appendix K'!$E$39+'Appendix K'!$F$39+'Appendix K'!$H$39+'Appendix K'!$G$39))/((1+$Y$16)^AG$34))</f>
        <v>2854798.3960544686</v>
      </c>
      <c r="AH839" s="193">
        <f>(((K839*'Appendix K'!$C$14*1000)-('Appendix K'!$E$40+'Appendix K'!$F$40+'Appendix K'!$H$40+'Appendix K'!$G$40))/((1+$Y$16)^AH$34))</f>
        <v>1998325.4426161344</v>
      </c>
      <c r="AI839" s="193">
        <f>(((L839*'Appendix K'!$C$15*1000)-('Appendix K'!$E$41+'Appendix K'!$F$41+'Appendix K'!$H$41+'Appendix K'!$G$41))/((1+$Y$16)^AI$34))</f>
        <v>-16824.723360114214</v>
      </c>
      <c r="AJ839" s="193">
        <f>(((M839*'Appendix K'!$C$16*1000)-('Appendix K'!$E$42+'Appendix K'!$F$42+'Appendix K'!$H$42+'Appendix K'!$G$42))/((1+$Y$16)^AJ$34))</f>
        <v>61900.618900788373</v>
      </c>
      <c r="AK839" s="193">
        <f>(((N839*'Appendix K'!$C$17*1000)-('Appendix K'!$E$43+'Appendix K'!$F$43+'Appendix K'!$H$43))/((1+$Y$16)^AK$34))</f>
        <v>-171893.41338729364</v>
      </c>
      <c r="AL839" s="193">
        <f>(((O839*'Appendix K'!$C$18*1000)-('Appendix K'!$E$44+'Appendix K'!$F$44+'Appendix K'!$H$44+'Appendix K'!$G$44))/((1+$Y$16)^AL$34))</f>
        <v>-369667.74856040056</v>
      </c>
      <c r="AM839" s="193">
        <f>(((P839*'Appendix K'!$C$19*1000)-('Appendix K'!$E$45+'Appendix K'!$F$45+'Appendix K'!$H$45+'Appendix K'!$G$45))/((1+$Y$16)^AM$34))</f>
        <v>-244397.08821674291</v>
      </c>
      <c r="AN839" s="193">
        <f>(((Q839*'Appendix K'!$C$20*1000)-('Appendix K'!$E$46+'Appendix K'!$F$46+'Appendix K'!$H$46+'Appendix K'!$G$46))/((1+$Y$16)^AN$34))</f>
        <v>-392080.05686020339</v>
      </c>
      <c r="AO839" s="193">
        <f>(((R839*'Appendix K'!$C$21*1000)-('Appendix K'!$E$47+'Appendix K'!$F$47+'Appendix K'!$H$47+'Appendix K'!$G$47))/((1+$Y$16)^AO$34))</f>
        <v>-260446.70653925289</v>
      </c>
      <c r="AP839" s="193">
        <f>(((S839*'Appendix K'!$C$22*1000)-('Appendix K'!$E$48+'Appendix K'!$F$48+'Appendix K'!$H$48+'Appendix K'!$G$48))/((1+$Y$16)^AP$34))</f>
        <v>-361678.05919074977</v>
      </c>
      <c r="AQ839" s="193">
        <f>(((T839*'Appendix K'!$C$23*1000)-('Appendix K'!$E$49+'Appendix K'!$F$49+'Appendix K'!$H$49+'Appendix K'!$G$49))/((1+$Y$16)^AQ$34))</f>
        <v>-275095.94640460954</v>
      </c>
      <c r="AR839" s="193">
        <f>(((U839*'Appendix K'!$C$24*1000)-('Appendix K'!$E$50+'Appendix K'!$F$50+'Appendix K'!$H$50+'Appendix K'!$G$50))/((1+$Y$16)^AR$34))</f>
        <v>-301724.58671033668</v>
      </c>
      <c r="AS839" s="209">
        <f t="shared" si="40"/>
        <v>53474241.250223868</v>
      </c>
      <c r="AU839" s="199">
        <f t="shared" si="39"/>
        <v>5.8659558008267482E-9</v>
      </c>
    </row>
    <row r="840" spans="1:47" x14ac:dyDescent="0.35">
      <c r="A840">
        <v>806</v>
      </c>
      <c r="B840" s="70">
        <v>56</v>
      </c>
      <c r="C840" s="70">
        <v>27.469152010211602</v>
      </c>
      <c r="D840" s="70">
        <v>32.509307560512703</v>
      </c>
      <c r="E840" s="70">
        <v>38.068702646659844</v>
      </c>
      <c r="F840" s="70">
        <v>38.343763038102828</v>
      </c>
      <c r="G840" s="70">
        <v>41.100322747407972</v>
      </c>
      <c r="H840" s="70">
        <v>53.885361267046136</v>
      </c>
      <c r="I840" s="70">
        <v>55.690263889675364</v>
      </c>
      <c r="J840" s="70">
        <v>55.794478766152665</v>
      </c>
      <c r="K840" s="70">
        <v>83.166463365833508</v>
      </c>
      <c r="L840" s="70">
        <v>55.312994808934604</v>
      </c>
      <c r="M840" s="70">
        <v>49.372661662146726</v>
      </c>
      <c r="N840" s="70">
        <v>54.897436593654078</v>
      </c>
      <c r="O840" s="70">
        <v>60.647283282953204</v>
      </c>
      <c r="P840" s="70">
        <v>60.39202473438224</v>
      </c>
      <c r="Q840" s="70">
        <v>77.139429692634337</v>
      </c>
      <c r="R840" s="70">
        <v>89.637732942100826</v>
      </c>
      <c r="S840" s="70">
        <v>99.069456050822723</v>
      </c>
      <c r="T840" s="70">
        <v>138.07821081116552</v>
      </c>
      <c r="U840" s="70">
        <v>241.77132011402333</v>
      </c>
      <c r="V840" s="70">
        <v>158.87951067831733</v>
      </c>
      <c r="X840" s="193">
        <f>((0-('Appendix K'!$I$30))/(1+$Y$16)^0)</f>
        <v>-33594902.4440751</v>
      </c>
      <c r="Y840" s="193">
        <f>(((B840*'Appendix K'!$C$5*1000)-('Appendix K'!$E$31+'Appendix K'!$F$31+'Appendix K'!$H$31+'Appendix K'!$G$31))/((1+$Y$16)^1))</f>
        <v>34971064.972647354</v>
      </c>
      <c r="Z840" s="193">
        <f>+(((C840*'Appendix K'!$C$6*1000)-('Appendix K'!$E$32+'Appendix K'!$F$32+'Appendix K'!$H$32+'Appendix K'!$G$32))/((1+$Y$16)^2))</f>
        <v>3451929.9362084554</v>
      </c>
      <c r="AA840" s="193">
        <f>(((D840*'Appendix K'!$C$7*1000)-('Appendix K'!$E$33+'Appendix K'!$F$33+'Appendix K'!$H$33+'Appendix K'!$G$33))/((1+$Y$16)^3))</f>
        <v>1175970.8380610896</v>
      </c>
      <c r="AB840" s="193">
        <f>(((E840*'Appendix K'!$C$8*1000)-('Appendix K'!$E$34+'Appendix K'!$F$34+'Appendix K'!$H$34+'Appendix K'!$G$34))/((1+$Y$16)^4))</f>
        <v>5051103.245862429</v>
      </c>
      <c r="AC840" s="193">
        <f>(((F840*'Appendix K'!$C$9*1000)-('Appendix K'!$E$35+'Appendix K'!$F$35+'Appendix K'!$H$35+'Appendix K'!$G$35))/((1+$Y$16)^AC$34))</f>
        <v>7207483.4858558206</v>
      </c>
      <c r="AD840" s="193">
        <f>(((G840*'Appendix K'!$C$10*1000)-('Appendix K'!$E$36+'Appendix K'!$F$36+'Appendix K'!$H$36+'Appendix K'!$G$36))/((1+$Y$16)^AD$34))</f>
        <v>3938794.1150580132</v>
      </c>
      <c r="AE840" s="193">
        <f>(((H840*'Appendix K'!$C$11*1000)-('Appendix K'!$E$37+'Appendix K'!$F$37+'Appendix K'!$H$37+'Appendix K'!$G$37))/((1+$Y$16)^AE$34))</f>
        <v>3154457.1963820979</v>
      </c>
      <c r="AF840" s="193">
        <f>(((I840*'Appendix K'!$C$12*1000)-('Appendix K'!$E$38+'Appendix K'!$F$38+'Appendix K'!$H$38+'Appendix K'!$G$38))/((1+$Y$16)^AF$34))</f>
        <v>1660178.8787956221</v>
      </c>
      <c r="AG840" s="193">
        <f>(((J840*'Appendix K'!$C$13*1000)-('Appendix K'!$E$39+'Appendix K'!$F$39+'Appendix K'!$H$39+'Appendix K'!$G$39))/((1+$Y$16)^AG$34))</f>
        <v>752658.48465805408</v>
      </c>
      <c r="AH840" s="193">
        <f>(((K840*'Appendix K'!$C$14*1000)-('Appendix K'!$E$40+'Appendix K'!$F$40+'Appendix K'!$H$40+'Appendix K'!$G$40))/((1+$Y$16)^AH$34))</f>
        <v>1170511.4665955447</v>
      </c>
      <c r="AI840" s="193">
        <f>(((L840*'Appendix K'!$C$15*1000)-('Appendix K'!$E$41+'Appendix K'!$F$41+'Appendix K'!$H$41+'Appendix K'!$G$41))/((1+$Y$16)^AI$34))</f>
        <v>-67177.448529450849</v>
      </c>
      <c r="AJ840" s="193">
        <f>(((M840*'Appendix K'!$C$16*1000)-('Appendix K'!$E$42+'Appendix K'!$F$42+'Appendix K'!$H$42+'Appendix K'!$G$42))/((1+$Y$16)^AJ$34))</f>
        <v>-392030.64132792247</v>
      </c>
      <c r="AK840" s="193">
        <f>(((N840*'Appendix K'!$C$17*1000)-('Appendix K'!$E$43+'Appendix K'!$F$43+'Appendix K'!$H$43))/((1+$Y$16)^AK$34))</f>
        <v>-160820.02959704961</v>
      </c>
      <c r="AL840" s="193">
        <f>(((O840*'Appendix K'!$C$18*1000)-('Appendix K'!$E$44+'Appendix K'!$F$44+'Appendix K'!$H$44+'Appendix K'!$G$44))/((1+$Y$16)^AL$34))</f>
        <v>-415719.03132530727</v>
      </c>
      <c r="AM840" s="193">
        <f>(((P840*'Appendix K'!$C$19*1000)-('Appendix K'!$E$45+'Appendix K'!$F$45+'Appendix K'!$H$45+'Appendix K'!$G$45))/((1+$Y$16)^AM$34))</f>
        <v>-467008.46245795861</v>
      </c>
      <c r="AN840" s="193">
        <f>(((Q840*'Appendix K'!$C$20*1000)-('Appendix K'!$E$46+'Appendix K'!$F$46+'Appendix K'!$H$46+'Appendix K'!$G$46))/((1+$Y$16)^AN$34))</f>
        <v>-357511.19476976735</v>
      </c>
      <c r="AO840" s="193">
        <f>(((R840*'Appendix K'!$C$21*1000)-('Appendix K'!$E$47+'Appendix K'!$F$47+'Appendix K'!$H$47+'Appendix K'!$G$47))/((1+$Y$16)^AO$34))</f>
        <v>-313230.02051284537</v>
      </c>
      <c r="AP840" s="193">
        <f>(((S840*'Appendix K'!$C$22*1000)-('Appendix K'!$E$48+'Appendix K'!$F$48+'Appendix K'!$H$48+'Appendix K'!$G$48))/((1+$Y$16)^AP$34))</f>
        <v>-289938.34300025413</v>
      </c>
      <c r="AQ840" s="193">
        <f>(((T840*'Appendix K'!$C$23*1000)-('Appendix K'!$E$49+'Appendix K'!$F$49+'Appendix K'!$H$49+'Appendix K'!$G$49))/((1+$Y$16)^AQ$34))</f>
        <v>-153082.86332541716</v>
      </c>
      <c r="AR840" s="193">
        <f>(((U840*'Appendix K'!$C$24*1000)-('Appendix K'!$E$50+'Appendix K'!$F$50+'Appendix K'!$H$50+'Appendix K'!$G$50))/((1+$Y$16)^AR$34))</f>
        <v>149221.55561527296</v>
      </c>
      <c r="AS840" s="209">
        <f t="shared" si="40"/>
        <v>29088471.731664658</v>
      </c>
      <c r="AU840" s="199">
        <f t="shared" si="39"/>
        <v>4.1302215264962327E-9</v>
      </c>
    </row>
    <row r="841" spans="1:47" x14ac:dyDescent="0.35">
      <c r="A841">
        <v>807</v>
      </c>
      <c r="B841" s="70">
        <v>56</v>
      </c>
      <c r="C841" s="70">
        <v>22.585798421359861</v>
      </c>
      <c r="D841" s="70">
        <v>25.274736278114261</v>
      </c>
      <c r="E841" s="70">
        <v>29.495534609606928</v>
      </c>
      <c r="F841" s="70">
        <v>37.243227506036149</v>
      </c>
      <c r="G841" s="70">
        <v>53.201922895257333</v>
      </c>
      <c r="H841" s="70">
        <v>67.892739514514659</v>
      </c>
      <c r="I841" s="70">
        <v>67.298113806350131</v>
      </c>
      <c r="J841" s="70">
        <v>113.0048418732672</v>
      </c>
      <c r="K841" s="70">
        <v>35.613870522029814</v>
      </c>
      <c r="L841" s="70">
        <v>45.867031257263449</v>
      </c>
      <c r="M841" s="70">
        <v>47.799532036372</v>
      </c>
      <c r="N841" s="70">
        <v>84.584063149020835</v>
      </c>
      <c r="O841" s="70">
        <v>93.870717586993266</v>
      </c>
      <c r="P841" s="70">
        <v>99.030002305809433</v>
      </c>
      <c r="Q841" s="70">
        <v>128.84455393147431</v>
      </c>
      <c r="R841" s="70">
        <v>198.26454977357201</v>
      </c>
      <c r="S841" s="70">
        <v>204.49755252488873</v>
      </c>
      <c r="T841" s="70">
        <v>176.9152247438152</v>
      </c>
      <c r="U841" s="70">
        <v>217.58448617719114</v>
      </c>
      <c r="V841" s="70">
        <v>176.05435812563547</v>
      </c>
      <c r="X841" s="193">
        <f>((0-('Appendix K'!$I$30))/(1+$Y$16)^0)</f>
        <v>-33594902.4440751</v>
      </c>
      <c r="Y841" s="193">
        <f>(((B841*'Appendix K'!$C$5*1000)-('Appendix K'!$E$31+'Appendix K'!$F$31+'Appendix K'!$H$31+'Appendix K'!$G$31))/((1+$Y$16)^1))</f>
        <v>34971064.972647354</v>
      </c>
      <c r="Z841" s="193">
        <f>+(((C841*'Appendix K'!$C$6*1000)-('Appendix K'!$E$32+'Appendix K'!$F$32+'Appendix K'!$H$32+'Appendix K'!$G$32))/((1+$Y$16)^2))</f>
        <v>2218311.2990621198</v>
      </c>
      <c r="AA841" s="193">
        <f>(((D841*'Appendix K'!$C$7*1000)-('Appendix K'!$E$33+'Appendix K'!$F$33+'Appendix K'!$H$33+'Appendix K'!$G$33))/((1+$Y$16)^3))</f>
        <v>254468.24439737908</v>
      </c>
      <c r="AB841" s="193">
        <f>(((E841*'Appendix K'!$C$8*1000)-('Appendix K'!$E$34+'Appendix K'!$F$34+'Appendix K'!$H$34+'Appendix K'!$G$34))/((1+$Y$16)^4))</f>
        <v>3171943.2919401005</v>
      </c>
      <c r="AC841" s="193">
        <f>(((F841*'Appendix K'!$C$9*1000)-('Appendix K'!$E$35+'Appendix K'!$F$35+'Appendix K'!$H$35+'Appendix K'!$G$35))/((1+$Y$16)^AC$34))</f>
        <v>6914962.869583399</v>
      </c>
      <c r="AD841" s="193">
        <f>(((G841*'Appendix K'!$C$10*1000)-('Appendix K'!$E$36+'Appendix K'!$F$36+'Appendix K'!$H$36+'Appendix K'!$G$36))/((1+$Y$16)^AD$34))</f>
        <v>5839277.2219467368</v>
      </c>
      <c r="AE841" s="193">
        <f>(((H841*'Appendix K'!$C$11*1000)-('Appendix K'!$E$37+'Appendix K'!$F$37+'Appendix K'!$H$37+'Appendix K'!$G$37))/((1+$Y$16)^AE$34))</f>
        <v>4551519.8890003404</v>
      </c>
      <c r="AF841" s="193">
        <f>(((I841*'Appendix K'!$C$12*1000)-('Appendix K'!$E$38+'Appendix K'!$F$38+'Appendix K'!$H$38+'Appendix K'!$G$38))/((1+$Y$16)^AF$34))</f>
        <v>2422378.4770293878</v>
      </c>
      <c r="AG841" s="193">
        <f>(((J841*'Appendix K'!$C$13*1000)-('Appendix K'!$E$39+'Appendix K'!$F$39+'Appendix K'!$H$39+'Appendix K'!$G$39))/((1+$Y$16)^AG$34))</f>
        <v>3385418.3263200158</v>
      </c>
      <c r="AH841" s="193">
        <f>(((K841*'Appendix K'!$C$14*1000)-('Appendix K'!$E$40+'Appendix K'!$F$40+'Appendix K'!$H$40+'Appendix K'!$G$40))/((1+$Y$16)^AH$34))</f>
        <v>-432321.27641867736</v>
      </c>
      <c r="AI841" s="193">
        <f>(((L841*'Appendix K'!$C$15*1000)-('Appendix K'!$E$41+'Appendix K'!$F$41+'Appendix K'!$H$41+'Appendix K'!$G$41))/((1+$Y$16)^AI$34))</f>
        <v>-314679.35762169253</v>
      </c>
      <c r="AJ841" s="193">
        <f>(((M841*'Appendix K'!$C$16*1000)-('Appendix K'!$E$42+'Appendix K'!$F$42+'Appendix K'!$H$42+'Appendix K'!$G$42))/((1+$Y$16)^AJ$34))</f>
        <v>-423559.0960267685</v>
      </c>
      <c r="AK841" s="193">
        <f>(((N841*'Appendix K'!$C$17*1000)-('Appendix K'!$E$43+'Appendix K'!$F$43+'Appendix K'!$H$43))/((1+$Y$16)^AK$34))</f>
        <v>295282.25681081403</v>
      </c>
      <c r="AL841" s="193">
        <f>(((O841*'Appendix K'!$C$18*1000)-('Appendix K'!$E$44+'Appendix K'!$F$44+'Appendix K'!$H$44+'Appendix K'!$G$44))/((1+$Y$16)^AL$34))</f>
        <v>-21911.888453342337</v>
      </c>
      <c r="AM841" s="193">
        <f>(((P841*'Appendix K'!$C$19*1000)-('Appendix K'!$E$45+'Appendix K'!$F$45+'Appendix K'!$H$45+'Appendix K'!$G$45))/((1+$Y$16)^AM$34))</f>
        <v>-108883.41135255591</v>
      </c>
      <c r="AN841" s="193">
        <f>(((Q841*'Appendix K'!$C$20*1000)-('Appendix K'!$E$46+'Appendix K'!$F$46+'Appendix K'!$H$46+'Appendix K'!$G$46))/((1+$Y$16)^AN$34))</f>
        <v>16638.298592634088</v>
      </c>
      <c r="AO841" s="193">
        <f>(((R841*'Appendix K'!$C$21*1000)-('Appendix K'!$E$47+'Appendix K'!$F$47+'Appendix K'!$H$47+'Appendix K'!$G$47))/((1+$Y$16)^AO$34))</f>
        <v>328766.46805624367</v>
      </c>
      <c r="AP841" s="193">
        <f>(((S841*'Appendix K'!$C$22*1000)-('Appendix K'!$E$48+'Appendix K'!$F$48+'Appendix K'!$H$48+'Appendix K'!$G$48))/((1+$Y$16)^AP$34))</f>
        <v>215032.64983858418</v>
      </c>
      <c r="AQ841" s="193">
        <f>(((T841*'Appendix K'!$C$23*1000)-('Appendix K'!$E$49+'Appendix K'!$F$49+'Appendix K'!$H$49+'Appendix K'!$G$49))/((1+$Y$16)^AQ$34))</f>
        <v>-1084.7333235807159</v>
      </c>
      <c r="AR841" s="193">
        <f>(((U841*'Appendix K'!$C$24*1000)-('Appendix K'!$E$50+'Appendix K'!$F$50+'Appendix K'!$H$50+'Appendix K'!$G$50))/((1+$Y$16)^AR$34))</f>
        <v>71339.272651193896</v>
      </c>
      <c r="AS841" s="209">
        <f t="shared" si="40"/>
        <v>31061501.093801208</v>
      </c>
      <c r="AU841" s="199">
        <f t="shared" si="39"/>
        <v>4.2784117281129574E-9</v>
      </c>
    </row>
    <row r="842" spans="1:47" x14ac:dyDescent="0.35">
      <c r="A842">
        <v>808</v>
      </c>
      <c r="B842" s="70">
        <v>56</v>
      </c>
      <c r="C842" s="70">
        <v>87.476133826770351</v>
      </c>
      <c r="D842" s="70">
        <v>94.742669559879445</v>
      </c>
      <c r="E842" s="70">
        <v>97.770963399251997</v>
      </c>
      <c r="F842" s="70">
        <v>69.582613379683693</v>
      </c>
      <c r="G842" s="70">
        <v>61.577750891052801</v>
      </c>
      <c r="H842" s="70">
        <v>54.610727587885364</v>
      </c>
      <c r="I842" s="70">
        <v>59.301431604749133</v>
      </c>
      <c r="J842" s="70">
        <v>64.091771596341687</v>
      </c>
      <c r="K842" s="70">
        <v>64.868874833954493</v>
      </c>
      <c r="L842" s="70">
        <v>65.185573946049715</v>
      </c>
      <c r="M842" s="70">
        <v>96.854295020496437</v>
      </c>
      <c r="N842" s="70">
        <v>136.40082992288697</v>
      </c>
      <c r="O842" s="70">
        <v>153.77596041305316</v>
      </c>
      <c r="P842" s="70">
        <v>165.40318670148696</v>
      </c>
      <c r="Q842" s="70">
        <v>152.97754549210586</v>
      </c>
      <c r="R842" s="70">
        <v>229.53237701980751</v>
      </c>
      <c r="S842" s="70">
        <v>153.18883726319484</v>
      </c>
      <c r="T842" s="70">
        <v>96.268263916283956</v>
      </c>
      <c r="U842" s="70">
        <v>115.89189848092374</v>
      </c>
      <c r="V842" s="70">
        <v>149.266023719136</v>
      </c>
      <c r="X842" s="193">
        <f>((0-('Appendix K'!$I$30))/(1+$Y$16)^0)</f>
        <v>-33594902.4440751</v>
      </c>
      <c r="Y842" s="193">
        <f>(((B842*'Appendix K'!$C$5*1000)-('Appendix K'!$E$31+'Appendix K'!$F$31+'Appendix K'!$H$31+'Appendix K'!$G$31))/((1+$Y$16)^1))</f>
        <v>34971064.972647354</v>
      </c>
      <c r="Z842" s="193">
        <f>+(((C842*'Appendix K'!$C$6*1000)-('Appendix K'!$E$32+'Appendix K'!$F$32+'Appendix K'!$H$32+'Appendix K'!$G$32))/((1+$Y$16)^2))</f>
        <v>18610719.84992722</v>
      </c>
      <c r="AA842" s="193">
        <f>(((D842*'Appendix K'!$C$7*1000)-('Appendix K'!$E$33+'Appendix K'!$F$33+'Appendix K'!$H$33+'Appendix K'!$G$33))/((1+$Y$16)^3))</f>
        <v>9102937.379168516</v>
      </c>
      <c r="AB842" s="193">
        <f>(((E842*'Appendix K'!$C$8*1000)-('Appendix K'!$E$34+'Appendix K'!$F$34+'Appendix K'!$H$34+'Appendix K'!$G$34))/((1+$Y$16)^4))</f>
        <v>18137292.281236336</v>
      </c>
      <c r="AC842" s="193">
        <f>(((F842*'Appendix K'!$C$9*1000)-('Appendix K'!$E$35+'Appendix K'!$F$35+'Appendix K'!$H$35+'Appendix K'!$G$35))/((1+$Y$16)^AC$34))</f>
        <v>15510720.852850275</v>
      </c>
      <c r="AD842" s="193">
        <f>(((G842*'Appendix K'!$C$10*1000)-('Appendix K'!$E$36+'Appendix K'!$F$36+'Appendix K'!$H$36+'Appendix K'!$G$36))/((1+$Y$16)^AD$34))</f>
        <v>7154650.34762746</v>
      </c>
      <c r="AE842" s="193">
        <f>(((H842*'Appendix K'!$C$11*1000)-('Appendix K'!$E$37+'Appendix K'!$F$37+'Appendix K'!$H$37+'Appendix K'!$G$37))/((1+$Y$16)^AE$34))</f>
        <v>3226803.513260446</v>
      </c>
      <c r="AF842" s="193">
        <f>(((I842*'Appendix K'!$C$12*1000)-('Appendix K'!$E$38+'Appendix K'!$F$38+'Appendix K'!$H$38+'Appendix K'!$G$38))/((1+$Y$16)^AF$34))</f>
        <v>1897296.9154123843</v>
      </c>
      <c r="AG842" s="193">
        <f>(((J842*'Appendix K'!$C$13*1000)-('Appendix K'!$E$39+'Appendix K'!$F$39+'Appendix K'!$H$39+'Appendix K'!$G$39))/((1+$Y$16)^AG$34))</f>
        <v>1134491.043855967</v>
      </c>
      <c r="AH842" s="193">
        <f>(((K842*'Appendix K'!$C$14*1000)-('Appendix K'!$E$40+'Appendix K'!$F$40+'Appendix K'!$H$40+'Appendix K'!$G$40))/((1+$Y$16)^AH$34))</f>
        <v>553763.30917264696</v>
      </c>
      <c r="AI842" s="193">
        <f>(((L842*'Appendix K'!$C$15*1000)-('Appendix K'!$E$41+'Appendix K'!$F$41+'Appendix K'!$H$41+'Appendix K'!$G$41))/((1+$Y$16)^AI$34))</f>
        <v>191502.58667647955</v>
      </c>
      <c r="AJ842" s="193">
        <f>(((M842*'Appendix K'!$C$16*1000)-('Appendix K'!$E$42+'Appendix K'!$F$42+'Appendix K'!$H$42+'Appendix K'!$G$42))/((1+$Y$16)^AJ$34))</f>
        <v>559589.93833581358</v>
      </c>
      <c r="AK842" s="193">
        <f>(((N842*'Appendix K'!$C$17*1000)-('Appendix K'!$E$43+'Appendix K'!$F$43+'Appendix K'!$H$43))/((1+$Y$16)^AK$34))</f>
        <v>1091389.7483691922</v>
      </c>
      <c r="AL842" s="193">
        <f>(((O842*'Appendix K'!$C$18*1000)-('Appendix K'!$E$44+'Appendix K'!$F$44+'Appendix K'!$H$44+'Appendix K'!$G$44))/((1+$Y$16)^AL$34))</f>
        <v>688162.58200900827</v>
      </c>
      <c r="AM842" s="193">
        <f>(((P842*'Appendix K'!$C$19*1000)-('Appendix K'!$E$45+'Appendix K'!$F$45+'Appendix K'!$H$45+'Appendix K'!$G$45))/((1+$Y$16)^AM$34))</f>
        <v>506311.83301003178</v>
      </c>
      <c r="AN842" s="193">
        <f>(((Q842*'Appendix K'!$C$20*1000)-('Appendix K'!$E$46+'Appendix K'!$F$46+'Appendix K'!$H$46+'Appendix K'!$G$46))/((1+$Y$16)^AN$34))</f>
        <v>191269.85975126154</v>
      </c>
      <c r="AO842" s="193">
        <f>(((R842*'Appendix K'!$C$21*1000)-('Appendix K'!$E$47+'Appendix K'!$F$47+'Appendix K'!$H$47+'Appendix K'!$G$47))/((1+$Y$16)^AO$34))</f>
        <v>513562.78155230766</v>
      </c>
      <c r="AP842" s="193">
        <f>(((S842*'Appendix K'!$C$22*1000)-('Appendix K'!$E$48+'Appendix K'!$F$48+'Appendix K'!$H$48+'Appendix K'!$G$48))/((1+$Y$16)^AP$34))</f>
        <v>-30721.696047345871</v>
      </c>
      <c r="AQ842" s="193">
        <f>(((T842*'Appendix K'!$C$23*1000)-('Appendix K'!$E$49+'Appendix K'!$F$49+'Appendix K'!$H$49+'Appendix K'!$G$49))/((1+$Y$16)^AQ$34))</f>
        <v>-316716.29185107182</v>
      </c>
      <c r="AR842" s="193">
        <f>(((U842*'Appendix K'!$C$24*1000)-('Appendix K'!$E$50+'Appendix K'!$F$50+'Appendix K'!$H$50+'Appendix K'!$G$50))/((1+$Y$16)^AR$34))</f>
        <v>-256113.70904101935</v>
      </c>
      <c r="AS842" s="209">
        <f t="shared" si="40"/>
        <v>80446627.35078755</v>
      </c>
      <c r="AU842" s="199">
        <f t="shared" si="39"/>
        <v>6.9737867138648755E-9</v>
      </c>
    </row>
    <row r="843" spans="1:47" x14ac:dyDescent="0.35">
      <c r="A843">
        <v>809</v>
      </c>
      <c r="B843" s="70">
        <v>56</v>
      </c>
      <c r="C843" s="70">
        <v>45.441783726056407</v>
      </c>
      <c r="D843" s="70">
        <v>18.57647612582425</v>
      </c>
      <c r="E843" s="70">
        <v>19.093742496102816</v>
      </c>
      <c r="F843" s="70">
        <v>23.849208301305321</v>
      </c>
      <c r="G843" s="70">
        <v>25.963413662714402</v>
      </c>
      <c r="H843" s="70">
        <v>29.347231793311657</v>
      </c>
      <c r="I843" s="70">
        <v>23.98771301248183</v>
      </c>
      <c r="J843" s="70">
        <v>16.946103326224055</v>
      </c>
      <c r="K843" s="70">
        <v>11.928820177560503</v>
      </c>
      <c r="L843" s="70">
        <v>6.2657673262130658</v>
      </c>
      <c r="M843" s="70">
        <v>7.0601366620330879</v>
      </c>
      <c r="N843" s="70">
        <v>7.503086071141384</v>
      </c>
      <c r="O843" s="70">
        <v>10.73134817506239</v>
      </c>
      <c r="P843" s="70">
        <v>13.385606574877137</v>
      </c>
      <c r="Q843" s="70">
        <v>19.9270105943305</v>
      </c>
      <c r="R843" s="70">
        <v>17.845749735450617</v>
      </c>
      <c r="S843" s="70">
        <v>21.738201892103181</v>
      </c>
      <c r="T843" s="70">
        <v>9.6359825417314831</v>
      </c>
      <c r="U843" s="70">
        <v>15.095539638194218</v>
      </c>
      <c r="V843" s="70">
        <v>17.894792158170397</v>
      </c>
      <c r="X843" s="193">
        <f>((0-('Appendix K'!$I$30))/(1+$Y$16)^0)</f>
        <v>-33594902.4440751</v>
      </c>
      <c r="Y843" s="193">
        <f>(((B843*'Appendix K'!$C$5*1000)-('Appendix K'!$E$31+'Appendix K'!$F$31+'Appendix K'!$H$31+'Appendix K'!$G$31))/((1+$Y$16)^1))</f>
        <v>34971064.972647354</v>
      </c>
      <c r="Z843" s="193">
        <f>+(((C843*'Appendix K'!$C$6*1000)-('Appendix K'!$E$32+'Appendix K'!$F$32+'Appendix K'!$H$32+'Appendix K'!$G$32))/((1+$Y$16)^2))</f>
        <v>7992124.0957812387</v>
      </c>
      <c r="AA843" s="193">
        <f>(((D843*'Appendix K'!$C$7*1000)-('Appendix K'!$E$33+'Appendix K'!$F$33+'Appendix K'!$H$33+'Appendix K'!$G$33))/((1+$Y$16)^3))</f>
        <v>-598721.78752434708</v>
      </c>
      <c r="AB843" s="193">
        <f>(((E843*'Appendix K'!$C$8*1000)-('Appendix K'!$E$34+'Appendix K'!$F$34+'Appendix K'!$H$34+'Appendix K'!$G$34))/((1+$Y$16)^4))</f>
        <v>891965.67990191362</v>
      </c>
      <c r="AC843" s="193">
        <f>(((F843*'Appendix K'!$C$9*1000)-('Appendix K'!$E$35+'Appendix K'!$F$35+'Appendix K'!$H$35+'Appendix K'!$G$35))/((1+$Y$16)^AC$34))</f>
        <v>3354853.5973503566</v>
      </c>
      <c r="AD843" s="193">
        <f>(((G843*'Appendix K'!$C$10*1000)-('Appendix K'!$E$36+'Appendix K'!$F$36+'Appendix K'!$H$36+'Appendix K'!$G$36))/((1+$Y$16)^AD$34))</f>
        <v>1561634.0986544807</v>
      </c>
      <c r="AE843" s="193">
        <f>(((H843*'Appendix K'!$C$11*1000)-('Appendix K'!$E$37+'Appendix K'!$F$37+'Appendix K'!$H$37+'Appendix K'!$G$37))/((1+$Y$16)^AE$34))</f>
        <v>707082.34658920148</v>
      </c>
      <c r="AF843" s="193">
        <f>(((I843*'Appendix K'!$C$12*1000)-('Appendix K'!$E$38+'Appendix K'!$F$38+'Appendix K'!$H$38+'Appendix K'!$G$38))/((1+$Y$16)^AF$34))</f>
        <v>-421487.55512950436</v>
      </c>
      <c r="AG843" s="193">
        <f>(((J843*'Appendix K'!$C$13*1000)-('Appendix K'!$E$39+'Appendix K'!$F$39+'Appendix K'!$H$39+'Appendix K'!$G$39))/((1+$Y$16)^AG$34))</f>
        <v>-1035102.2848472135</v>
      </c>
      <c r="AH843" s="193">
        <f>(((K843*'Appendix K'!$C$14*1000)-('Appendix K'!$E$40+'Appendix K'!$F$40+'Appendix K'!$H$40+'Appendix K'!$G$40))/((1+$Y$16)^AH$34))</f>
        <v>-1230662.0595754141</v>
      </c>
      <c r="AI843" s="193">
        <f>(((L843*'Appendix K'!$C$15*1000)-('Appendix K'!$E$41+'Appendix K'!$F$41+'Appendix K'!$H$41+'Appendix K'!$G$41))/((1+$Y$16)^AI$34))</f>
        <v>-1352306.527341892</v>
      </c>
      <c r="AJ843" s="193">
        <f>(((M843*'Appendix K'!$C$16*1000)-('Appendix K'!$E$42+'Appendix K'!$F$42+'Appendix K'!$H$42+'Appendix K'!$G$42))/((1+$Y$16)^AJ$34))</f>
        <v>-1240052.6388812927</v>
      </c>
      <c r="AK843" s="193">
        <f>(((N843*'Appendix K'!$C$17*1000)-('Appendix K'!$E$43+'Appendix K'!$F$43+'Appendix K'!$H$43))/((1+$Y$16)^AK$34))</f>
        <v>-888981.97133259173</v>
      </c>
      <c r="AL843" s="193">
        <f>(((O843*'Appendix K'!$C$18*1000)-('Appendix K'!$E$44+'Appendix K'!$F$44+'Appendix K'!$H$44+'Appendix K'!$G$44))/((1+$Y$16)^AL$34))</f>
        <v>-1007387.2980291659</v>
      </c>
      <c r="AM843" s="193">
        <f>(((P843*'Appendix K'!$C$19*1000)-('Appendix K'!$E$45+'Appendix K'!$F$45+'Appendix K'!$H$45+'Appendix K'!$G$45))/((1+$Y$16)^AM$34))</f>
        <v>-902698.34489382349</v>
      </c>
      <c r="AN843" s="193">
        <f>(((Q843*'Appendix K'!$C$20*1000)-('Appendix K'!$E$46+'Appendix K'!$F$46+'Appendix K'!$H$46+'Appendix K'!$G$46))/((1+$Y$16)^AN$34))</f>
        <v>-771512.66821730556</v>
      </c>
      <c r="AO843" s="193">
        <f>(((R843*'Appendix K'!$C$21*1000)-('Appendix K'!$E$47+'Appendix K'!$F$47+'Appendix K'!$H$47+'Appendix K'!$G$47))/((1+$Y$16)^AO$34))</f>
        <v>-737528.57284534152</v>
      </c>
      <c r="AP843" s="193">
        <f>(((S843*'Appendix K'!$C$22*1000)-('Appendix K'!$E$48+'Appendix K'!$F$48+'Appendix K'!$H$48+'Appendix K'!$G$48))/((1+$Y$16)^AP$34))</f>
        <v>-660333.3467610114</v>
      </c>
      <c r="AQ843" s="193">
        <f>(((T843*'Appendix K'!$C$23*1000)-('Appendix K'!$E$49+'Appendix K'!$F$49+'Appendix K'!$H$49+'Appendix K'!$G$49))/((1+$Y$16)^AQ$34))</f>
        <v>-655772.86271824688</v>
      </c>
      <c r="AR843" s="193">
        <f>(((U843*'Appendix K'!$C$24*1000)-('Appendix K'!$E$50+'Appendix K'!$F$50+'Appendix K'!$H$50+'Appendix K'!$G$50))/((1+$Y$16)^AR$34))</f>
        <v>-580680.80871353124</v>
      </c>
      <c r="AS843" s="209">
        <f t="shared" si="40"/>
        <v>15883822.346849442</v>
      </c>
      <c r="AU843" s="199">
        <f t="shared" si="39"/>
        <v>3.1622967638486023E-9</v>
      </c>
    </row>
    <row r="844" spans="1:47" x14ac:dyDescent="0.35">
      <c r="A844">
        <v>810</v>
      </c>
      <c r="B844" s="70">
        <v>56</v>
      </c>
      <c r="C844" s="70">
        <v>69.040742865717348</v>
      </c>
      <c r="D844" s="70">
        <v>108.44673203739438</v>
      </c>
      <c r="E844" s="70">
        <v>128.04153564880446</v>
      </c>
      <c r="F844" s="70">
        <v>101.7295525865604</v>
      </c>
      <c r="G844" s="70">
        <v>154.03192213959673</v>
      </c>
      <c r="H844" s="70">
        <v>190.78198242040085</v>
      </c>
      <c r="I844" s="70">
        <v>322.01568622028151</v>
      </c>
      <c r="J844" s="70">
        <v>227.10014802101352</v>
      </c>
      <c r="K844" s="70">
        <v>208.32366166230943</v>
      </c>
      <c r="L844" s="70">
        <v>227.68974192327263</v>
      </c>
      <c r="M844" s="70">
        <v>228.33545786751142</v>
      </c>
      <c r="N844" s="70">
        <v>410.06072742327751</v>
      </c>
      <c r="O844" s="70">
        <v>500</v>
      </c>
      <c r="P844" s="70">
        <v>500</v>
      </c>
      <c r="Q844" s="70">
        <v>500</v>
      </c>
      <c r="R844" s="70">
        <v>500</v>
      </c>
      <c r="S844" s="70">
        <v>500</v>
      </c>
      <c r="T844" s="70">
        <v>471.67084443548077</v>
      </c>
      <c r="U844" s="70">
        <v>500</v>
      </c>
      <c r="V844" s="70">
        <v>322.49880267149285</v>
      </c>
      <c r="X844" s="193">
        <f>((0-('Appendix K'!$I$30))/(1+$Y$16)^0)</f>
        <v>-33594902.4440751</v>
      </c>
      <c r="Y844" s="193">
        <f>(((B844*'Appendix K'!$C$5*1000)-('Appendix K'!$E$31+'Appendix K'!$F$31+'Appendix K'!$H$31+'Appendix K'!$G$31))/((1+$Y$16)^1))</f>
        <v>34971064.972647354</v>
      </c>
      <c r="Z844" s="193">
        <f>+(((C844*'Appendix K'!$C$6*1000)-('Appendix K'!$E$32+'Appendix K'!$F$32+'Appendix K'!$H$32+'Appendix K'!$G$32))/((1+$Y$16)^2))</f>
        <v>13953624.790386057</v>
      </c>
      <c r="AA844" s="193">
        <f>(((D844*'Appendix K'!$C$7*1000)-('Appendix K'!$E$33+'Appendix K'!$F$33+'Appendix K'!$H$33+'Appendix K'!$G$33))/((1+$Y$16)^3))</f>
        <v>10848490.588034395</v>
      </c>
      <c r="AB844" s="193">
        <f>(((E844*'Appendix K'!$C$8*1000)-('Appendix K'!$E$34+'Appendix K'!$F$34+'Appendix K'!$H$34+'Appendix K'!$G$34))/((1+$Y$16)^4))</f>
        <v>24772324.617920298</v>
      </c>
      <c r="AC844" s="193">
        <f>(((F844*'Appendix K'!$C$9*1000)-('Appendix K'!$E$35+'Appendix K'!$F$35+'Appendix K'!$H$35+'Appendix K'!$G$35))/((1+$Y$16)^AC$34))</f>
        <v>24055326.814284958</v>
      </c>
      <c r="AD844" s="193">
        <f>(((G844*'Appendix K'!$C$10*1000)-('Appendix K'!$E$36+'Appendix K'!$F$36+'Appendix K'!$H$36+'Appendix K'!$G$36))/((1+$Y$16)^AD$34))</f>
        <v>21674018.73466517</v>
      </c>
      <c r="AE844" s="193">
        <f>(((H844*'Appendix K'!$C$11*1000)-('Appendix K'!$E$37+'Appendix K'!$F$37+'Appendix K'!$H$37+'Appendix K'!$G$37))/((1+$Y$16)^AE$34))</f>
        <v>16808201.585944034</v>
      </c>
      <c r="AF844" s="193">
        <f>(((I844*'Appendix K'!$C$12*1000)-('Appendix K'!$E$38+'Appendix K'!$F$38+'Appendix K'!$H$38+'Appendix K'!$G$38))/((1+$Y$16)^AF$34))</f>
        <v>19147752.491220161</v>
      </c>
      <c r="AG844" s="193">
        <f>(((J844*'Appendix K'!$C$13*1000)-('Appendix K'!$E$39+'Appendix K'!$F$39+'Appendix K'!$H$39+'Appendix K'!$G$39))/((1+$Y$16)^AG$34))</f>
        <v>8635962.5255502146</v>
      </c>
      <c r="AH844" s="193">
        <f>(((K844*'Appendix K'!$C$14*1000)-('Appendix K'!$E$40+'Appendix K'!$F$40+'Appendix K'!$H$40+'Appendix K'!$G$40))/((1+$Y$16)^AH$34))</f>
        <v>5389125.9197011273</v>
      </c>
      <c r="AI844" s="193">
        <f>(((L844*'Appendix K'!$C$15*1000)-('Appendix K'!$E$41+'Appendix K'!$F$41+'Appendix K'!$H$41+'Appendix K'!$G$41))/((1+$Y$16)^AI$34))</f>
        <v>4449415.6719639385</v>
      </c>
      <c r="AJ844" s="193">
        <f>(((M844*'Appendix K'!$C$16*1000)-('Appendix K'!$E$42+'Appendix K'!$F$42+'Appendix K'!$H$42+'Appendix K'!$G$42))/((1+$Y$16)^AJ$34))</f>
        <v>3194717.9142215867</v>
      </c>
      <c r="AK844" s="193">
        <f>(((N844*'Appendix K'!$C$17*1000)-('Appendix K'!$E$43+'Appendix K'!$F$43+'Appendix K'!$H$43))/((1+$Y$16)^AK$34))</f>
        <v>5295872.3531973679</v>
      </c>
      <c r="AL844" s="193">
        <f>(((O844*'Appendix K'!$C$18*1000)-('Appendix K'!$E$44+'Appendix K'!$F$44+'Appendix K'!$H$44+'Appendix K'!$G$44))/((1+$Y$16)^AL$34))</f>
        <v>4792058.0003928225</v>
      </c>
      <c r="AM844" s="193">
        <f>(((P844*'Appendix K'!$C$19*1000)-('Appendix K'!$E$45+'Appendix K'!$F$45+'Appendix K'!$H$45+'Appendix K'!$G$45))/((1+$Y$16)^AM$34))</f>
        <v>3607599.9540230581</v>
      </c>
      <c r="AN844" s="193">
        <f>(((Q844*'Appendix K'!$C$20*1000)-('Appendix K'!$E$46+'Appendix K'!$F$46+'Appendix K'!$H$46+'Appendix K'!$G$46))/((1+$Y$16)^AN$34))</f>
        <v>2702399.606577659</v>
      </c>
      <c r="AO844" s="193">
        <f>(((R844*'Appendix K'!$C$21*1000)-('Appendix K'!$E$47+'Appendix K'!$F$47+'Appendix K'!$H$47+'Appendix K'!$G$47))/((1+$Y$16)^AO$34))</f>
        <v>2112056.3146391152</v>
      </c>
      <c r="AP844" s="193">
        <f>(((S844*'Appendix K'!$C$22*1000)-('Appendix K'!$E$48+'Appendix K'!$F$48+'Appendix K'!$H$48+'Appendix K'!$G$48))/((1+$Y$16)^AP$34))</f>
        <v>1630406.4380253027</v>
      </c>
      <c r="AQ844" s="193">
        <f>(((T844*'Appendix K'!$C$23*1000)-('Appendix K'!$E$49+'Appendix K'!$F$49+'Appendix K'!$H$49+'Appendix K'!$G$49))/((1+$Y$16)^AQ$34))</f>
        <v>1152513.3027757145</v>
      </c>
      <c r="AR844" s="193">
        <f>(((U844*'Appendix K'!$C$24*1000)-('Appendix K'!$E$50+'Appendix K'!$F$50+'Appendix K'!$H$50+'Appendix K'!$G$50))/((1+$Y$16)^AR$34))</f>
        <v>980725.14012097823</v>
      </c>
      <c r="AS844" s="209">
        <f t="shared" si="40"/>
        <v>176578755.29221621</v>
      </c>
      <c r="AU844" s="199">
        <f t="shared" si="39"/>
        <v>2.0575065233159732E-9</v>
      </c>
    </row>
    <row r="845" spans="1:47" x14ac:dyDescent="0.35">
      <c r="A845">
        <v>811</v>
      </c>
      <c r="B845" s="70">
        <v>56</v>
      </c>
      <c r="C845" s="70">
        <v>78.515176121406682</v>
      </c>
      <c r="D845" s="70">
        <v>17.150762041351641</v>
      </c>
      <c r="E845" s="70">
        <v>24.507626799061303</v>
      </c>
      <c r="F845" s="70">
        <v>42.83298426155433</v>
      </c>
      <c r="G845" s="70">
        <v>28.94914306755134</v>
      </c>
      <c r="H845" s="70">
        <v>17.823840901709897</v>
      </c>
      <c r="I845" s="70">
        <v>16.189384156281413</v>
      </c>
      <c r="J845" s="70">
        <v>14.831182385678257</v>
      </c>
      <c r="K845" s="70">
        <v>19.507440766710541</v>
      </c>
      <c r="L845" s="70">
        <v>27.407059243556326</v>
      </c>
      <c r="M845" s="70">
        <v>31.698085913977128</v>
      </c>
      <c r="N845" s="70">
        <v>25.830105998032678</v>
      </c>
      <c r="O845" s="70">
        <v>35.367875598925224</v>
      </c>
      <c r="P845" s="70">
        <v>28.353234269593059</v>
      </c>
      <c r="Q845" s="70">
        <v>23.049238485728374</v>
      </c>
      <c r="R845" s="70">
        <v>19.061328158232715</v>
      </c>
      <c r="S845" s="70">
        <v>17.578472197717286</v>
      </c>
      <c r="T845" s="70">
        <v>17.51026144908699</v>
      </c>
      <c r="U845" s="70">
        <v>23.290821862688556</v>
      </c>
      <c r="V845" s="70">
        <v>27.84694031919679</v>
      </c>
      <c r="X845" s="193">
        <f>((0-('Appendix K'!$I$30))/(1+$Y$16)^0)</f>
        <v>-33594902.4440751</v>
      </c>
      <c r="Y845" s="193">
        <f>(((B845*'Appendix K'!$C$5*1000)-('Appendix K'!$E$31+'Appendix K'!$F$31+'Appendix K'!$H$31+'Appendix K'!$G$31))/((1+$Y$16)^1))</f>
        <v>34971064.972647354</v>
      </c>
      <c r="Z845" s="193">
        <f>+(((C845*'Appendix K'!$C$6*1000)-('Appendix K'!$E$32+'Appendix K'!$F$32+'Appendix K'!$H$32+'Appendix K'!$G$32))/((1+$Y$16)^2))</f>
        <v>16347028.673180796</v>
      </c>
      <c r="AA845" s="193">
        <f>(((D845*'Appendix K'!$C$7*1000)-('Appendix K'!$E$33+'Appendix K'!$F$33+'Appendix K'!$H$33+'Appendix K'!$G$33))/((1+$Y$16)^3))</f>
        <v>-780321.93705371046</v>
      </c>
      <c r="AB845" s="193">
        <f>(((E845*'Appendix K'!$C$8*1000)-('Appendix K'!$E$34+'Appendix K'!$F$34+'Appendix K'!$H$34+'Appendix K'!$G$34))/((1+$Y$16)^4))</f>
        <v>2078639.559769724</v>
      </c>
      <c r="AC845" s="193">
        <f>(((F845*'Appendix K'!$C$9*1000)-('Appendix K'!$E$35+'Appendix K'!$F$35+'Appendix K'!$H$35+'Appendix K'!$G$35))/((1+$Y$16)^AC$34))</f>
        <v>8400711.4377069045</v>
      </c>
      <c r="AD845" s="193">
        <f>(((G845*'Appendix K'!$C$10*1000)-('Appendix K'!$E$36+'Appendix K'!$F$36+'Appendix K'!$H$36+'Appendix K'!$G$36))/((1+$Y$16)^AD$34))</f>
        <v>2030524.8425485378</v>
      </c>
      <c r="AE845" s="193">
        <f>(((H845*'Appendix K'!$C$11*1000)-('Appendix K'!$E$37+'Appendix K'!$F$37+'Appendix K'!$H$37+'Appendix K'!$G$37))/((1+$Y$16)^AE$34))</f>
        <v>-442233.33709508524</v>
      </c>
      <c r="AF845" s="193">
        <f>(((I845*'Appendix K'!$C$12*1000)-('Appendix K'!$E$38+'Appendix K'!$F$38+'Appendix K'!$H$38+'Appendix K'!$G$38))/((1+$Y$16)^AF$34))</f>
        <v>-933544.75467619288</v>
      </c>
      <c r="AG845" s="193">
        <f>(((J845*'Appendix K'!$C$13*1000)-('Appendix K'!$E$39+'Appendix K'!$F$39+'Appendix K'!$H$39+'Appendix K'!$G$39))/((1+$Y$16)^AG$34))</f>
        <v>-1132428.6889837133</v>
      </c>
      <c r="AH845" s="193">
        <f>(((K845*'Appendix K'!$C$14*1000)-('Appendix K'!$E$40+'Appendix K'!$F$40+'Appendix K'!$H$40+'Appendix K'!$G$40))/((1+$Y$16)^AH$34))</f>
        <v>-975213.08191248006</v>
      </c>
      <c r="AI845" s="193">
        <f>(((L845*'Appendix K'!$C$15*1000)-('Appendix K'!$E$41+'Appendix K'!$F$41+'Appendix K'!$H$41+'Appendix K'!$G$41))/((1+$Y$16)^AI$34))</f>
        <v>-798365.14469775581</v>
      </c>
      <c r="AJ845" s="193">
        <f>(((M845*'Appendix K'!$C$16*1000)-('Appendix K'!$E$42+'Appendix K'!$F$42+'Appendix K'!$H$42+'Appendix K'!$G$42))/((1+$Y$16)^AJ$34))</f>
        <v>-746262.13736440067</v>
      </c>
      <c r="AK845" s="193">
        <f>(((N845*'Appendix K'!$C$17*1000)-('Appendix K'!$E$43+'Appendix K'!$F$43+'Appendix K'!$H$43))/((1+$Y$16)^AK$34))</f>
        <v>-607407.51638036827</v>
      </c>
      <c r="AL845" s="193">
        <f>(((O845*'Appendix K'!$C$18*1000)-('Appendix K'!$E$44+'Appendix K'!$F$44+'Appendix K'!$H$44+'Appendix K'!$G$44))/((1+$Y$16)^AL$34))</f>
        <v>-715363.28912354703</v>
      </c>
      <c r="AM845" s="193">
        <f>(((P845*'Appendix K'!$C$19*1000)-('Appendix K'!$E$45+'Appendix K'!$F$45+'Appendix K'!$H$45+'Appendix K'!$G$45))/((1+$Y$16)^AM$34))</f>
        <v>-763967.41822491027</v>
      </c>
      <c r="AN845" s="193">
        <f>(((Q845*'Appendix K'!$C$20*1000)-('Appendix K'!$E$46+'Appendix K'!$F$46+'Appendix K'!$H$46+'Appendix K'!$G$46))/((1+$Y$16)^AN$34))</f>
        <v>-748919.55001238</v>
      </c>
      <c r="AO845" s="193">
        <f>(((R845*'Appendix K'!$C$21*1000)-('Appendix K'!$E$47+'Appendix K'!$F$47+'Appendix K'!$H$47+'Appendix K'!$G$47))/((1+$Y$16)^AO$34))</f>
        <v>-730344.37006954616</v>
      </c>
      <c r="AP845" s="193">
        <f>(((S845*'Appendix K'!$C$22*1000)-('Appendix K'!$E$48+'Appendix K'!$F$48+'Appendix K'!$H$48+'Appendix K'!$G$48))/((1+$Y$16)^AP$34))</f>
        <v>-680257.28453439183</v>
      </c>
      <c r="AQ845" s="193">
        <f>(((T845*'Appendix K'!$C$23*1000)-('Appendix K'!$E$49+'Appendix K'!$F$49+'Appendix K'!$H$49+'Appendix K'!$G$49))/((1+$Y$16)^AQ$34))</f>
        <v>-624954.95094195695</v>
      </c>
      <c r="AR845" s="193">
        <f>(((U845*'Appendix K'!$C$24*1000)-('Appendix K'!$E$50+'Appendix K'!$F$50+'Appendix K'!$H$50+'Appendix K'!$G$50))/((1+$Y$16)^AR$34))</f>
        <v>-554291.77032820578</v>
      </c>
      <c r="AS845" s="209">
        <f t="shared" si="40"/>
        <v>30233067.041778214</v>
      </c>
      <c r="AU845" s="199">
        <f t="shared" si="39"/>
        <v>4.2161735529608395E-9</v>
      </c>
    </row>
    <row r="846" spans="1:47" x14ac:dyDescent="0.35">
      <c r="A846">
        <v>812</v>
      </c>
      <c r="B846" s="70">
        <v>56</v>
      </c>
      <c r="C846" s="70">
        <v>71.663165523912596</v>
      </c>
      <c r="D846" s="70">
        <v>71.715430344061232</v>
      </c>
      <c r="E846" s="70">
        <v>98.839203315583333</v>
      </c>
      <c r="F846" s="70">
        <v>149.06521791163891</v>
      </c>
      <c r="G846" s="70">
        <v>101.31308584605863</v>
      </c>
      <c r="H846" s="70">
        <v>112.03279872453246</v>
      </c>
      <c r="I846" s="70">
        <v>33.150190637164329</v>
      </c>
      <c r="J846" s="70">
        <v>39.371492814984087</v>
      </c>
      <c r="K846" s="70">
        <v>49.828389568759206</v>
      </c>
      <c r="L846" s="70">
        <v>41.982536766333318</v>
      </c>
      <c r="M846" s="70">
        <v>39.122023858665656</v>
      </c>
      <c r="N846" s="70">
        <v>35.148936883138198</v>
      </c>
      <c r="O846" s="70">
        <v>49.422920660265106</v>
      </c>
      <c r="P846" s="70">
        <v>38.974132921348868</v>
      </c>
      <c r="Q846" s="70">
        <v>51.142753355679673</v>
      </c>
      <c r="R846" s="70">
        <v>60.958773466213053</v>
      </c>
      <c r="S846" s="70">
        <v>79.658046855859254</v>
      </c>
      <c r="T846" s="70">
        <v>75.141741059302632</v>
      </c>
      <c r="U846" s="70">
        <v>110.52441974790071</v>
      </c>
      <c r="V846" s="70">
        <v>142.33240025051947</v>
      </c>
      <c r="X846" s="193">
        <f>((0-('Appendix K'!$I$30))/(1+$Y$16)^0)</f>
        <v>-33594902.4440751</v>
      </c>
      <c r="Y846" s="193">
        <f>(((B846*'Appendix K'!$C$5*1000)-('Appendix K'!$E$31+'Appendix K'!$F$31+'Appendix K'!$H$31+'Appendix K'!$G$31))/((1+$Y$16)^1))</f>
        <v>34971064.972647354</v>
      </c>
      <c r="Z846" s="193">
        <f>+(((C846*'Appendix K'!$C$6*1000)-('Appendix K'!$E$32+'Appendix K'!$F$32+'Appendix K'!$H$32+'Appendix K'!$G$32))/((1+$Y$16)^2))</f>
        <v>14616093.605466304</v>
      </c>
      <c r="AA846" s="193">
        <f>(((D846*'Appendix K'!$C$7*1000)-('Appendix K'!$E$33+'Appendix K'!$F$33+'Appendix K'!$H$33+'Appendix K'!$G$33))/((1+$Y$16)^3))</f>
        <v>6169845.723285852</v>
      </c>
      <c r="AB846" s="193">
        <f>(((E846*'Appendix K'!$C$8*1000)-('Appendix K'!$E$34+'Appendix K'!$F$34+'Appendix K'!$H$34+'Appendix K'!$G$34))/((1+$Y$16)^4))</f>
        <v>18371440.692100942</v>
      </c>
      <c r="AC846" s="193">
        <f>(((F846*'Appendix K'!$C$9*1000)-('Appendix K'!$E$35+'Appendix K'!$F$35+'Appendix K'!$H$35+'Appendix K'!$G$35))/((1+$Y$16)^AC$34))</f>
        <v>36637072.327357687</v>
      </c>
      <c r="AD846" s="193">
        <f>(((G846*'Appendix K'!$C$10*1000)-('Appendix K'!$E$36+'Appendix K'!$F$36+'Appendix K'!$H$36+'Appendix K'!$G$36))/((1+$Y$16)^AD$34))</f>
        <v>13394844.363786059</v>
      </c>
      <c r="AE846" s="193">
        <f>(((H846*'Appendix K'!$C$11*1000)-('Appendix K'!$E$37+'Appendix K'!$F$37+'Appendix K'!$H$37+'Appendix K'!$G$37))/((1+$Y$16)^AE$34))</f>
        <v>8953944.7313094828</v>
      </c>
      <c r="AF846" s="193">
        <f>(((I846*'Appendix K'!$C$12*1000)-('Appendix K'!$E$38+'Appendix K'!$F$38+'Appendix K'!$H$38+'Appendix K'!$G$38))/((1+$Y$16)^AF$34))</f>
        <v>180142.96339803305</v>
      </c>
      <c r="AG846" s="193">
        <f>(((J846*'Appendix K'!$C$13*1000)-('Appendix K'!$E$39+'Appendix K'!$F$39+'Appendix K'!$H$39+'Appendix K'!$G$39))/((1+$Y$16)^AG$34))</f>
        <v>-3109.7982920368681</v>
      </c>
      <c r="AH846" s="193">
        <f>(((K846*'Appendix K'!$C$14*1000)-('Appendix K'!$E$40+'Appendix K'!$F$40+'Appendix K'!$H$40+'Appendix K'!$G$40))/((1+$Y$16)^AH$34))</f>
        <v>46800.790155784103</v>
      </c>
      <c r="AI846" s="193">
        <f>(((L846*'Appendix K'!$C$15*1000)-('Appendix K'!$E$41+'Appendix K'!$F$41+'Appendix K'!$H$41+'Appendix K'!$G$41))/((1+$Y$16)^AI$34))</f>
        <v>-416460.3773243794</v>
      </c>
      <c r="AJ846" s="193">
        <f>(((M846*'Appendix K'!$C$16*1000)-('Appendix K'!$E$42+'Appendix K'!$F$42+'Appendix K'!$H$42+'Appendix K'!$G$42))/((1+$Y$16)^AJ$34))</f>
        <v>-597472.56062441354</v>
      </c>
      <c r="AK846" s="193">
        <f>(((N846*'Appendix K'!$C$17*1000)-('Appendix K'!$E$43+'Appendix K'!$F$43+'Appendix K'!$H$43))/((1+$Y$16)^AK$34))</f>
        <v>-464233.95419007406</v>
      </c>
      <c r="AL846" s="193">
        <f>(((O846*'Appendix K'!$C$18*1000)-('Appendix K'!$E$44+'Appendix K'!$F$44+'Appendix K'!$H$44+'Appendix K'!$G$44))/((1+$Y$16)^AL$34))</f>
        <v>-548764.70428459439</v>
      </c>
      <c r="AM846" s="193">
        <f>(((P846*'Appendix K'!$C$19*1000)-('Appendix K'!$E$45+'Appendix K'!$F$45+'Appendix K'!$H$45+'Appendix K'!$G$45))/((1+$Y$16)^AM$34))</f>
        <v>-665525.15722887602</v>
      </c>
      <c r="AN846" s="193">
        <f>(((Q846*'Appendix K'!$C$20*1000)-('Appendix K'!$E$46+'Appendix K'!$F$46+'Appendix K'!$H$46+'Appendix K'!$G$46))/((1+$Y$16)^AN$34))</f>
        <v>-545628.78318610927</v>
      </c>
      <c r="AO846" s="193">
        <f>(((R846*'Appendix K'!$C$21*1000)-('Appendix K'!$E$47+'Appendix K'!$F$47+'Appendix K'!$H$47+'Appendix K'!$G$47))/((1+$Y$16)^AO$34))</f>
        <v>-482725.83946793899</v>
      </c>
      <c r="AP846" s="193">
        <f>(((S846*'Appendix K'!$C$22*1000)-('Appendix K'!$E$48+'Appendix K'!$F$48+'Appendix K'!$H$48+'Appendix K'!$G$48))/((1+$Y$16)^AP$34))</f>
        <v>-382913.54507072759</v>
      </c>
      <c r="AQ846" s="193">
        <f>(((T846*'Appendix K'!$C$23*1000)-('Appendix K'!$E$49+'Appendix K'!$F$49+'Appendix K'!$H$49+'Appendix K'!$G$49))/((1+$Y$16)^AQ$34))</f>
        <v>-399400.09378473734</v>
      </c>
      <c r="AR846" s="193">
        <f>(((U846*'Appendix K'!$C$24*1000)-('Appendix K'!$E$50+'Appendix K'!$F$50+'Appendix K'!$H$50+'Appendix K'!$G$50))/((1+$Y$16)^AR$34))</f>
        <v>-273397.14095198095</v>
      </c>
      <c r="AS846" s="209">
        <f t="shared" si="40"/>
        <v>99746347.725432426</v>
      </c>
      <c r="AU846" s="199">
        <f t="shared" si="39"/>
        <v>6.8709368075880144E-9</v>
      </c>
    </row>
    <row r="847" spans="1:47" x14ac:dyDescent="0.35">
      <c r="A847">
        <v>813</v>
      </c>
      <c r="B847" s="70">
        <v>56</v>
      </c>
      <c r="C847" s="70">
        <v>66.629688612824665</v>
      </c>
      <c r="D847" s="70">
        <v>68.334955666019908</v>
      </c>
      <c r="E847" s="70">
        <v>106.97710429100675</v>
      </c>
      <c r="F847" s="70">
        <v>149.50039615902347</v>
      </c>
      <c r="G847" s="70">
        <v>163.30902561800886</v>
      </c>
      <c r="H847" s="70">
        <v>113.58125248190629</v>
      </c>
      <c r="I847" s="70">
        <v>122.13578930425074</v>
      </c>
      <c r="J847" s="70">
        <v>127.52069131552619</v>
      </c>
      <c r="K847" s="70">
        <v>196.4034464010939</v>
      </c>
      <c r="L847" s="70">
        <v>258.99462916941195</v>
      </c>
      <c r="M847" s="70">
        <v>312.4813870809021</v>
      </c>
      <c r="N847" s="70">
        <v>323.82104415263632</v>
      </c>
      <c r="O847" s="70">
        <v>319.2527753398852</v>
      </c>
      <c r="P847" s="70">
        <v>348.08791761179242</v>
      </c>
      <c r="Q847" s="70">
        <v>188.7396715529789</v>
      </c>
      <c r="R847" s="70">
        <v>299.5548384567507</v>
      </c>
      <c r="S847" s="70">
        <v>373.62610438867085</v>
      </c>
      <c r="T847" s="70">
        <v>500</v>
      </c>
      <c r="U847" s="70">
        <v>500</v>
      </c>
      <c r="V847" s="70">
        <v>500</v>
      </c>
      <c r="X847" s="193">
        <f>((0-('Appendix K'!$I$30))/(1+$Y$16)^0)</f>
        <v>-33594902.4440751</v>
      </c>
      <c r="Y847" s="193">
        <f>(((B847*'Appendix K'!$C$5*1000)-('Appendix K'!$E$31+'Appendix K'!$F$31+'Appendix K'!$H$31+'Appendix K'!$G$31))/((1+$Y$16)^1))</f>
        <v>34971064.972647354</v>
      </c>
      <c r="Z847" s="193">
        <f>+(((C847*'Appendix K'!$C$6*1000)-('Appendix K'!$E$32+'Appendix K'!$F$32+'Appendix K'!$H$32+'Appendix K'!$G$32))/((1+$Y$16)^2))</f>
        <v>13344551.249545297</v>
      </c>
      <c r="AA847" s="193">
        <f>(((D847*'Appendix K'!$C$7*1000)-('Appendix K'!$E$33+'Appendix K'!$F$33+'Appendix K'!$H$33+'Appendix K'!$G$33))/((1+$Y$16)^3))</f>
        <v>5739258.1926593184</v>
      </c>
      <c r="AB847" s="193">
        <f>(((E847*'Appendix K'!$C$8*1000)-('Appendix K'!$E$34+'Appendix K'!$F$34+'Appendix K'!$H$34+'Appendix K'!$G$34))/((1+$Y$16)^4))</f>
        <v>20155194.090600528</v>
      </c>
      <c r="AC847" s="193">
        <f>(((F847*'Appendix K'!$C$9*1000)-('Appendix K'!$E$35+'Appendix K'!$F$35+'Appendix K'!$H$35+'Appendix K'!$G$35))/((1+$Y$16)^AC$34))</f>
        <v>36752742.022160023</v>
      </c>
      <c r="AD847" s="193">
        <f>(((G847*'Appendix K'!$C$10*1000)-('Appendix K'!$E$36+'Appendix K'!$F$36+'Appendix K'!$H$36+'Appendix K'!$G$36))/((1+$Y$16)^AD$34))</f>
        <v>23130931.72354079</v>
      </c>
      <c r="AE847" s="193">
        <f>(((H847*'Appendix K'!$C$11*1000)-('Appendix K'!$E$37+'Appendix K'!$F$37+'Appendix K'!$H$37+'Appendix K'!$G$37))/((1+$Y$16)^AE$34))</f>
        <v>9108383.837432893</v>
      </c>
      <c r="AF847" s="193">
        <f>(((I847*'Appendix K'!$C$12*1000)-('Appendix K'!$E$38+'Appendix K'!$F$38+'Appendix K'!$H$38+'Appendix K'!$G$38))/((1+$Y$16)^AF$34))</f>
        <v>6023153.3434007568</v>
      </c>
      <c r="AG847" s="193">
        <f>(((J847*'Appendix K'!$C$13*1000)-('Appendix K'!$E$39+'Appendix K'!$F$39+'Appendix K'!$H$39+'Appendix K'!$G$39))/((1+$Y$16)^AG$34))</f>
        <v>4053422.222880464</v>
      </c>
      <c r="AH847" s="193">
        <f>(((K847*'Appendix K'!$C$14*1000)-('Appendix K'!$E$40+'Appendix K'!$F$40+'Appendix K'!$H$40+'Appendix K'!$G$40))/((1+$Y$16)^AH$34))</f>
        <v>4987336.8650598386</v>
      </c>
      <c r="AI847" s="193">
        <f>(((L847*'Appendix K'!$C$15*1000)-('Appendix K'!$E$41+'Appendix K'!$F$41+'Appendix K'!$H$41+'Appendix K'!$G$41))/((1+$Y$16)^AI$34))</f>
        <v>5269662.2582389936</v>
      </c>
      <c r="AJ847" s="193">
        <f>(((M847*'Appendix K'!$C$16*1000)-('Appendix K'!$E$42+'Appendix K'!$F$42+'Appendix K'!$H$42+'Appendix K'!$G$42))/((1+$Y$16)^AJ$34))</f>
        <v>4881159.4342521783</v>
      </c>
      <c r="AK847" s="193">
        <f>(((N847*'Appendix K'!$C$17*1000)-('Appendix K'!$E$43+'Appendix K'!$F$43+'Appendix K'!$H$43))/((1+$Y$16)^AK$34))</f>
        <v>3970894.702218073</v>
      </c>
      <c r="AL847" s="193">
        <f>(((O847*'Appendix K'!$C$18*1000)-('Appendix K'!$E$44+'Appendix K'!$F$44+'Appendix K'!$H$44+'Appendix K'!$G$44))/((1+$Y$16)^AL$34))</f>
        <v>2649607.961241351</v>
      </c>
      <c r="AM847" s="193">
        <f>(((P847*'Appendix K'!$C$19*1000)-('Appendix K'!$E$45+'Appendix K'!$F$45+'Appendix K'!$H$45+'Appendix K'!$G$45))/((1+$Y$16)^AM$34))</f>
        <v>2199567.6063611442</v>
      </c>
      <c r="AN847" s="193">
        <f>(((Q847*'Appendix K'!$C$20*1000)-('Appendix K'!$E$46+'Appendix K'!$F$46+'Appendix K'!$H$46+'Appendix K'!$G$46))/((1+$Y$16)^AN$34))</f>
        <v>450052.36040690989</v>
      </c>
      <c r="AO847" s="193">
        <f>(((R847*'Appendix K'!$C$21*1000)-('Appendix K'!$E$47+'Appendix K'!$F$47+'Appendix K'!$H$47+'Appendix K'!$G$47))/((1+$Y$16)^AO$34))</f>
        <v>927403.26472899888</v>
      </c>
      <c r="AP847" s="193">
        <f>(((S847*'Appendix K'!$C$22*1000)-('Appendix K'!$E$48+'Appendix K'!$F$48+'Appendix K'!$H$48+'Appendix K'!$G$48))/((1+$Y$16)^AP$34))</f>
        <v>1025110.9459316718</v>
      </c>
      <c r="AQ847" s="193">
        <f>(((T847*'Appendix K'!$C$23*1000)-('Appendix K'!$E$49+'Appendix K'!$F$49+'Appendix K'!$H$49+'Appendix K'!$G$49))/((1+$Y$16)^AQ$34))</f>
        <v>1263386.3652054211</v>
      </c>
      <c r="AR847" s="193">
        <f>(((U847*'Appendix K'!$C$24*1000)-('Appendix K'!$E$50+'Appendix K'!$F$50+'Appendix K'!$H$50+'Appendix K'!$G$50))/((1+$Y$16)^AR$34))</f>
        <v>980725.14012097823</v>
      </c>
      <c r="AS847" s="209">
        <f t="shared" si="40"/>
        <v>148288706.11455789</v>
      </c>
      <c r="AU847" s="199">
        <f t="shared" si="39"/>
        <v>3.969626299670678E-9</v>
      </c>
    </row>
    <row r="848" spans="1:47" x14ac:dyDescent="0.35">
      <c r="A848">
        <v>814</v>
      </c>
      <c r="B848" s="70">
        <v>56</v>
      </c>
      <c r="C848" s="70">
        <v>78.357649781716205</v>
      </c>
      <c r="D848" s="70">
        <v>105.10456699526188</v>
      </c>
      <c r="E848" s="70">
        <v>153.9456093433034</v>
      </c>
      <c r="F848" s="70">
        <v>257.22034471235906</v>
      </c>
      <c r="G848" s="70">
        <v>338.80686106342694</v>
      </c>
      <c r="H848" s="70">
        <v>500</v>
      </c>
      <c r="I848" s="70">
        <v>500</v>
      </c>
      <c r="J848" s="70">
        <v>500</v>
      </c>
      <c r="K848" s="70">
        <v>500</v>
      </c>
      <c r="L848" s="70">
        <v>500</v>
      </c>
      <c r="M848" s="70">
        <v>500</v>
      </c>
      <c r="N848" s="70">
        <v>500</v>
      </c>
      <c r="O848" s="70">
        <v>500</v>
      </c>
      <c r="P848" s="70">
        <v>353.65490394419635</v>
      </c>
      <c r="Q848" s="70">
        <v>299.98992248179604</v>
      </c>
      <c r="R848" s="70">
        <v>287.5621200526279</v>
      </c>
      <c r="S848" s="70">
        <v>154.9672022924571</v>
      </c>
      <c r="T848" s="70">
        <v>103.54899375801087</v>
      </c>
      <c r="U848" s="70">
        <v>100.22901698216799</v>
      </c>
      <c r="V848" s="70">
        <v>123.47288614331968</v>
      </c>
      <c r="X848" s="193">
        <f>((0-('Appendix K'!$I$30))/(1+$Y$16)^0)</f>
        <v>-33594902.4440751</v>
      </c>
      <c r="Y848" s="193">
        <f>(((B848*'Appendix K'!$C$5*1000)-('Appendix K'!$E$31+'Appendix K'!$F$31+'Appendix K'!$H$31+'Appendix K'!$G$31))/((1+$Y$16)^1))</f>
        <v>34971064.972647354</v>
      </c>
      <c r="Z848" s="193">
        <f>+(((C848*'Appendix K'!$C$6*1000)-('Appendix K'!$E$32+'Appendix K'!$F$32+'Appendix K'!$H$32+'Appendix K'!$G$32))/((1+$Y$16)^2))</f>
        <v>16307234.825582447</v>
      </c>
      <c r="AA848" s="193">
        <f>(((D848*'Appendix K'!$C$7*1000)-('Appendix K'!$E$33+'Appendix K'!$F$33+'Appendix K'!$H$33+'Appendix K'!$G$33))/((1+$Y$16)^3))</f>
        <v>10422782.742391847</v>
      </c>
      <c r="AB848" s="193">
        <f>(((E848*'Appendix K'!$C$8*1000)-('Appendix K'!$E$34+'Appendix K'!$F$34+'Appendix K'!$H$34+'Appendix K'!$G$34))/((1+$Y$16)^4))</f>
        <v>30450260.442783546</v>
      </c>
      <c r="AC848" s="193">
        <f>(((F848*'Appendix K'!$C$9*1000)-('Appendix K'!$E$35+'Appendix K'!$F$35+'Appendix K'!$H$35+'Appendix K'!$G$35))/((1+$Y$16)^AC$34))</f>
        <v>65384535.196963318</v>
      </c>
      <c r="AD848" s="193">
        <f>(((G848*'Appendix K'!$C$10*1000)-('Appendix K'!$E$36+'Appendix K'!$F$36+'Appendix K'!$H$36+'Appendix K'!$G$36))/((1+$Y$16)^AD$34))</f>
        <v>50691805.284449816</v>
      </c>
      <c r="AE848" s="193">
        <f>(((H848*'Appendix K'!$C$11*1000)-('Appendix K'!$E$37+'Appendix K'!$F$37+'Appendix K'!$H$37+'Appendix K'!$G$37))/((1+$Y$16)^AE$34))</f>
        <v>47648873.452851206</v>
      </c>
      <c r="AF848" s="193">
        <f>(((I848*'Appendix K'!$C$12*1000)-('Appendix K'!$E$38+'Appendix K'!$F$38+'Appendix K'!$H$38+'Appendix K'!$G$38))/((1+$Y$16)^AF$34))</f>
        <v>30834634.508874267</v>
      </c>
      <c r="AG848" s="193">
        <f>(((J848*'Appendix K'!$C$13*1000)-('Appendix K'!$E$39+'Appendix K'!$F$39+'Appendix K'!$H$39+'Appendix K'!$G$39))/((1+$Y$16)^AG$34))</f>
        <v>21194522.409894329</v>
      </c>
      <c r="AH848" s="193">
        <f>(((K848*'Appendix K'!$C$14*1000)-('Appendix K'!$E$40+'Appendix K'!$F$40+'Appendix K'!$H$40+'Appendix K'!$G$40))/((1+$Y$16)^AH$34))</f>
        <v>15220522.22201786</v>
      </c>
      <c r="AI848" s="193">
        <f>(((L848*'Appendix K'!$C$15*1000)-('Appendix K'!$E$41+'Appendix K'!$F$41+'Appendix K'!$H$41+'Appendix K'!$G$41))/((1+$Y$16)^AI$34))</f>
        <v>11584453.656253781</v>
      </c>
      <c r="AJ848" s="193">
        <f>(((M848*'Appendix K'!$C$16*1000)-('Appendix K'!$E$42+'Appendix K'!$F$42+'Appendix K'!$H$42+'Appendix K'!$G$42))/((1+$Y$16)^AJ$34))</f>
        <v>8639382.5302660316</v>
      </c>
      <c r="AK848" s="193">
        <f>(((N848*'Appendix K'!$C$17*1000)-('Appendix K'!$E$43+'Appendix K'!$F$43+'Appendix K'!$H$43))/((1+$Y$16)^AK$34))</f>
        <v>6677690.1149291173</v>
      </c>
      <c r="AL848" s="193">
        <f>(((O848*'Appendix K'!$C$18*1000)-('Appendix K'!$E$44+'Appendix K'!$F$44+'Appendix K'!$H$44+'Appendix K'!$G$44))/((1+$Y$16)^AL$34))</f>
        <v>4792058.0003928225</v>
      </c>
      <c r="AM848" s="193">
        <f>(((P848*'Appendix K'!$C$19*1000)-('Appendix K'!$E$45+'Appendix K'!$F$45+'Appendix K'!$H$45+'Appendix K'!$G$45))/((1+$Y$16)^AM$34))</f>
        <v>2251166.5095674437</v>
      </c>
      <c r="AN848" s="193">
        <f>(((Q848*'Appendix K'!$C$20*1000)-('Appendix K'!$E$46+'Appendix K'!$F$46+'Appendix K'!$H$46+'Appendix K'!$G$46))/((1+$Y$16)^AN$34))</f>
        <v>1255083.3052932119</v>
      </c>
      <c r="AO848" s="193">
        <f>(((R848*'Appendix K'!$C$21*1000)-('Appendix K'!$E$47+'Appendix K'!$F$47+'Appendix K'!$H$47+'Appendix K'!$G$47))/((1+$Y$16)^AO$34))</f>
        <v>856524.97400462127</v>
      </c>
      <c r="AP848" s="193">
        <f>(((S848*'Appendix K'!$C$22*1000)-('Appendix K'!$E$48+'Appendix K'!$F$48+'Appendix K'!$H$48+'Appendix K'!$G$48))/((1+$Y$16)^AP$34))</f>
        <v>-22203.826670112612</v>
      </c>
      <c r="AQ848" s="193">
        <f>(((T848*'Appendix K'!$C$23*1000)-('Appendix K'!$E$49+'Appendix K'!$F$49+'Appendix K'!$H$49+'Appendix K'!$G$49))/((1+$Y$16)^AQ$34))</f>
        <v>-288221.37916519446</v>
      </c>
      <c r="AR848" s="193">
        <f>(((U848*'Appendix K'!$C$24*1000)-('Appendix K'!$E$50+'Appendix K'!$F$50+'Appendix K'!$H$50+'Appendix K'!$G$50))/((1+$Y$16)^AR$34))</f>
        <v>-306548.62632307434</v>
      </c>
      <c r="AS848" s="209">
        <f t="shared" si="40"/>
        <v>325587692.70508796</v>
      </c>
      <c r="AU848" s="199">
        <f t="shared" si="39"/>
        <v>1.0685615850477929E-12</v>
      </c>
    </row>
    <row r="849" spans="1:47" x14ac:dyDescent="0.35">
      <c r="A849">
        <v>815</v>
      </c>
      <c r="B849" s="70">
        <v>56</v>
      </c>
      <c r="C849" s="70">
        <v>56.435974378061175</v>
      </c>
      <c r="D849" s="70">
        <v>78.972926981912764</v>
      </c>
      <c r="E849" s="70">
        <v>97.258782350719784</v>
      </c>
      <c r="F849" s="70">
        <v>70.765562655871122</v>
      </c>
      <c r="G849" s="70">
        <v>72.16573724765037</v>
      </c>
      <c r="H849" s="70">
        <v>54.428052593060215</v>
      </c>
      <c r="I849" s="70">
        <v>59.028465645966548</v>
      </c>
      <c r="J849" s="70">
        <v>44.363198273919807</v>
      </c>
      <c r="K849" s="70">
        <v>61.229695749397521</v>
      </c>
      <c r="L849" s="70">
        <v>62.930882611799433</v>
      </c>
      <c r="M849" s="70">
        <v>45.600745764727577</v>
      </c>
      <c r="N849" s="70">
        <v>57.480602836053144</v>
      </c>
      <c r="O849" s="70">
        <v>33.222711397808638</v>
      </c>
      <c r="P849" s="70">
        <v>39.835748403958725</v>
      </c>
      <c r="Q849" s="70">
        <v>47.063276184856463</v>
      </c>
      <c r="R849" s="70">
        <v>50.407074969710045</v>
      </c>
      <c r="S849" s="70">
        <v>37.873398309534181</v>
      </c>
      <c r="T849" s="70">
        <v>62.288162906349839</v>
      </c>
      <c r="U849" s="70">
        <v>41.770624286785591</v>
      </c>
      <c r="V849" s="70">
        <v>52.199107333471694</v>
      </c>
      <c r="X849" s="193">
        <f>((0-('Appendix K'!$I$30))/(1+$Y$16)^0)</f>
        <v>-33594902.4440751</v>
      </c>
      <c r="Y849" s="193">
        <f>(((B849*'Appendix K'!$C$5*1000)-('Appendix K'!$E$31+'Appendix K'!$F$31+'Appendix K'!$H$31+'Appendix K'!$G$31))/((1+$Y$16)^1))</f>
        <v>34971064.972647354</v>
      </c>
      <c r="Z849" s="193">
        <f>+(((C849*'Appendix K'!$C$6*1000)-('Appendix K'!$E$32+'Appendix K'!$F$32+'Appendix K'!$H$32+'Appendix K'!$G$32))/((1+$Y$16)^2))</f>
        <v>10769444.689484585</v>
      </c>
      <c r="AA849" s="193">
        <f>(((D849*'Appendix K'!$C$7*1000)-('Appendix K'!$E$33+'Appendix K'!$F$33+'Appendix K'!$H$33+'Appendix K'!$G$33))/((1+$Y$16)^3))</f>
        <v>7094268.431174173</v>
      </c>
      <c r="AB849" s="193">
        <f>(((E849*'Appendix K'!$C$8*1000)-('Appendix K'!$E$34+'Appendix K'!$F$34+'Appendix K'!$H$34+'Appendix K'!$G$34))/((1+$Y$16)^4))</f>
        <v>18025026.883964296</v>
      </c>
      <c r="AC849" s="193">
        <f>(((F849*'Appendix K'!$C$9*1000)-('Appendix K'!$E$35+'Appendix K'!$F$35+'Appendix K'!$H$35+'Appendix K'!$G$35))/((1+$Y$16)^AC$34))</f>
        <v>15825146.91289719</v>
      </c>
      <c r="AD849" s="193">
        <f>(((G849*'Appendix K'!$C$10*1000)-('Appendix K'!$E$36+'Appendix K'!$F$36+'Appendix K'!$H$36+'Appendix K'!$G$36))/((1+$Y$16)^AD$34))</f>
        <v>8817429.5636684075</v>
      </c>
      <c r="AE849" s="193">
        <f>(((H849*'Appendix K'!$C$11*1000)-('Appendix K'!$E$37+'Appendix K'!$F$37+'Appendix K'!$H$37+'Appendix K'!$G$37))/((1+$Y$16)^AE$34))</f>
        <v>3208583.9424288697</v>
      </c>
      <c r="AF849" s="193">
        <f>(((I849*'Appendix K'!$C$12*1000)-('Appendix K'!$E$38+'Appendix K'!$F$38+'Appendix K'!$H$38+'Appendix K'!$G$38))/((1+$Y$16)^AF$34))</f>
        <v>1879373.3080596826</v>
      </c>
      <c r="AG849" s="193">
        <f>(((J849*'Appendix K'!$C$13*1000)-('Appendix K'!$E$39+'Appendix K'!$F$39+'Appendix K'!$H$39+'Appendix K'!$G$39))/((1+$Y$16)^AG$34))</f>
        <v>226603.15859105685</v>
      </c>
      <c r="AH849" s="193">
        <f>(((K849*'Appendix K'!$C$14*1000)-('Appendix K'!$E$40+'Appendix K'!$F$40+'Appendix K'!$H$40+'Appendix K'!$G$40))/((1+$Y$16)^AH$34))</f>
        <v>431099.22198858712</v>
      </c>
      <c r="AI849" s="193">
        <f>(((L849*'Appendix K'!$C$15*1000)-('Appendix K'!$E$41+'Appendix K'!$F$41+'Appendix K'!$H$41+'Appendix K'!$G$41))/((1+$Y$16)^AI$34))</f>
        <v>132425.4574256523</v>
      </c>
      <c r="AJ849" s="193">
        <f>(((M849*'Appendix K'!$C$16*1000)-('Appendix K'!$E$42+'Appendix K'!$F$42+'Appendix K'!$H$42+'Appendix K'!$G$42))/((1+$Y$16)^AJ$34))</f>
        <v>-467626.87799600378</v>
      </c>
      <c r="AK849" s="193">
        <f>(((N849*'Appendix K'!$C$17*1000)-('Appendix K'!$E$43+'Appendix K'!$F$43+'Appendix K'!$H$43))/((1+$Y$16)^AK$34))</f>
        <v>-121132.52831991881</v>
      </c>
      <c r="AL849" s="193">
        <f>(((O849*'Appendix K'!$C$18*1000)-('Appendix K'!$E$44+'Appendix K'!$F$44+'Appendix K'!$H$44+'Appendix K'!$G$44))/((1+$Y$16)^AL$34))</f>
        <v>-740790.55161850888</v>
      </c>
      <c r="AM849" s="193">
        <f>(((P849*'Appendix K'!$C$19*1000)-('Appendix K'!$E$45+'Appendix K'!$F$45+'Appendix K'!$H$45+'Appendix K'!$G$45))/((1+$Y$16)^AM$34))</f>
        <v>-657539.07441249571</v>
      </c>
      <c r="AN849" s="193">
        <f>(((Q849*'Appendix K'!$C$20*1000)-('Appendix K'!$E$46+'Appendix K'!$F$46+'Appendix K'!$H$46+'Appendix K'!$G$46))/((1+$Y$16)^AN$34))</f>
        <v>-575148.76479560009</v>
      </c>
      <c r="AO849" s="193">
        <f>(((R849*'Appendix K'!$C$21*1000)-('Appendix K'!$E$47+'Appendix K'!$F$47+'Appendix K'!$H$47+'Appendix K'!$G$47))/((1+$Y$16)^AO$34))</f>
        <v>-545087.54333434615</v>
      </c>
      <c r="AP849" s="193">
        <f>(((S849*'Appendix K'!$C$22*1000)-('Appendix K'!$E$48+'Appendix K'!$F$48+'Appendix K'!$H$48+'Appendix K'!$G$48))/((1+$Y$16)^AP$34))</f>
        <v>-583050.28439855983</v>
      </c>
      <c r="AQ849" s="193">
        <f>(((T849*'Appendix K'!$C$23*1000)-('Appendix K'!$E$49+'Appendix K'!$F$49+'Appendix K'!$H$49+'Appendix K'!$G$49))/((1+$Y$16)^AQ$34))</f>
        <v>-449705.70807499619</v>
      </c>
      <c r="AR849" s="193">
        <f>(((U849*'Appendix K'!$C$24*1000)-('Appendix K'!$E$50+'Appendix K'!$F$50+'Appendix K'!$H$50+'Appendix K'!$G$50))/((1+$Y$16)^AR$34))</f>
        <v>-494786.28873964283</v>
      </c>
      <c r="AS849" s="209">
        <f t="shared" si="40"/>
        <v>67785564.09825474</v>
      </c>
      <c r="AU849" s="199">
        <f t="shared" si="39"/>
        <v>6.6133085598165958E-9</v>
      </c>
    </row>
    <row r="850" spans="1:47" x14ac:dyDescent="0.35">
      <c r="A850">
        <v>816</v>
      </c>
      <c r="B850" s="70">
        <v>56</v>
      </c>
      <c r="C850" s="70">
        <v>79.114115838827956</v>
      </c>
      <c r="D850" s="70">
        <v>113.47472978067998</v>
      </c>
      <c r="E850" s="70">
        <v>99.724149129650272</v>
      </c>
      <c r="F850" s="70">
        <v>109.08465088806268</v>
      </c>
      <c r="G850" s="70">
        <v>119.94158937261366</v>
      </c>
      <c r="H850" s="70">
        <v>71.408018972138279</v>
      </c>
      <c r="I850" s="70">
        <v>78.599114295838689</v>
      </c>
      <c r="J850" s="70">
        <v>91.499840031252702</v>
      </c>
      <c r="K850" s="70">
        <v>88.234021469740227</v>
      </c>
      <c r="L850" s="70">
        <v>77.528364586368468</v>
      </c>
      <c r="M850" s="70">
        <v>109.60583016998774</v>
      </c>
      <c r="N850" s="70">
        <v>102.76456872106891</v>
      </c>
      <c r="O850" s="70">
        <v>180.25646040957429</v>
      </c>
      <c r="P850" s="70">
        <v>166.79322142893977</v>
      </c>
      <c r="Q850" s="70">
        <v>148.70565839039489</v>
      </c>
      <c r="R850" s="70">
        <v>200.51837136770277</v>
      </c>
      <c r="S850" s="70">
        <v>175.64216110254489</v>
      </c>
      <c r="T850" s="70">
        <v>81.774807988960845</v>
      </c>
      <c r="U850" s="70">
        <v>61.895079309577028</v>
      </c>
      <c r="V850" s="70">
        <v>72.537751936933276</v>
      </c>
      <c r="X850" s="193">
        <f>((0-('Appendix K'!$I$30))/(1+$Y$16)^0)</f>
        <v>-33594902.4440751</v>
      </c>
      <c r="Y850" s="193">
        <f>(((B850*'Appendix K'!$C$5*1000)-('Appendix K'!$E$31+'Appendix K'!$F$31+'Appendix K'!$H$31+'Appendix K'!$G$31))/((1+$Y$16)^1))</f>
        <v>34971064.972647354</v>
      </c>
      <c r="Z850" s="193">
        <f>+(((C850*'Appendix K'!$C$6*1000)-('Appendix K'!$E$32+'Appendix K'!$F$32+'Appendix K'!$H$32+'Appendix K'!$G$32))/((1+$Y$16)^2))</f>
        <v>16498331.089541717</v>
      </c>
      <c r="AA850" s="193">
        <f>(((D850*'Appendix K'!$C$7*1000)-('Appendix K'!$E$33+'Appendix K'!$F$33+'Appendix K'!$H$33+'Appendix K'!$G$33))/((1+$Y$16)^3))</f>
        <v>11488931.158804044</v>
      </c>
      <c r="AB850" s="193">
        <f>(((E850*'Appendix K'!$C$8*1000)-('Appendix K'!$E$34+'Appendix K'!$F$34+'Appendix K'!$H$34+'Appendix K'!$G$34))/((1+$Y$16)^4))</f>
        <v>18565412.713645201</v>
      </c>
      <c r="AC850" s="193">
        <f>(((F850*'Appendix K'!$C$9*1000)-('Appendix K'!$E$35+'Appendix K'!$F$35+'Appendix K'!$H$35+'Appendix K'!$G$35))/((1+$Y$16)^AC$34))</f>
        <v>26010300.393247362</v>
      </c>
      <c r="AD850" s="193">
        <f>(((G850*'Appendix K'!$C$10*1000)-('Appendix K'!$E$36+'Appendix K'!$F$36+'Appendix K'!$H$36+'Appendix K'!$G$36))/((1+$Y$16)^AD$34))</f>
        <v>16320338.168431927</v>
      </c>
      <c r="AE850" s="193">
        <f>(((H850*'Appendix K'!$C$11*1000)-('Appendix K'!$E$37+'Appendix K'!$F$37+'Appendix K'!$H$37+'Appendix K'!$G$37))/((1+$Y$16)^AE$34))</f>
        <v>4902125.5268013189</v>
      </c>
      <c r="AF850" s="193">
        <f>(((I850*'Appendix K'!$C$12*1000)-('Appendix K'!$E$38+'Appendix K'!$F$38+'Appendix K'!$H$38+'Appendix K'!$G$38))/((1+$Y$16)^AF$34))</f>
        <v>3164429.5971385692</v>
      </c>
      <c r="AG850" s="193">
        <f>(((J850*'Appendix K'!$C$13*1000)-('Appendix K'!$E$39+'Appendix K'!$F$39+'Appendix K'!$H$39+'Appendix K'!$G$39))/((1+$Y$16)^AG$34))</f>
        <v>2395781.0968111283</v>
      </c>
      <c r="AH850" s="193">
        <f>(((K850*'Appendix K'!$C$14*1000)-('Appendix K'!$E$40+'Appendix K'!$F$40+'Appendix K'!$H$40+'Appendix K'!$G$40))/((1+$Y$16)^AH$34))</f>
        <v>1341321.2494132475</v>
      </c>
      <c r="AI850" s="193">
        <f>(((L850*'Appendix K'!$C$15*1000)-('Appendix K'!$E$41+'Appendix K'!$F$41+'Appendix K'!$H$41+'Appendix K'!$G$41))/((1+$Y$16)^AI$34))</f>
        <v>514906.78258450673</v>
      </c>
      <c r="AJ850" s="193">
        <f>(((M850*'Appendix K'!$C$16*1000)-('Appendix K'!$E$42+'Appendix K'!$F$42+'Appendix K'!$H$42+'Appendix K'!$G$42))/((1+$Y$16)^AJ$34))</f>
        <v>815154.50956654479</v>
      </c>
      <c r="AK850" s="193">
        <f>(((N850*'Appendix K'!$C$17*1000)-('Appendix K'!$E$43+'Appendix K'!$F$43+'Appendix K'!$H$43))/((1+$Y$16)^AK$34))</f>
        <v>574605.68023842364</v>
      </c>
      <c r="AL850" s="193">
        <f>(((O850*'Appendix K'!$C$18*1000)-('Appendix K'!$E$44+'Appendix K'!$F$44+'Appendix K'!$H$44+'Appendix K'!$G$44))/((1+$Y$16)^AL$34))</f>
        <v>1002043.740411196</v>
      </c>
      <c r="AM850" s="193">
        <f>(((P850*'Appendix K'!$C$19*1000)-('Appendix K'!$E$45+'Appendix K'!$F$45+'Appendix K'!$H$45+'Appendix K'!$G$45))/((1+$Y$16)^AM$34))</f>
        <v>519195.69208073674</v>
      </c>
      <c r="AN850" s="193">
        <f>(((Q850*'Appendix K'!$C$20*1000)-('Appendix K'!$E$46+'Appendix K'!$F$46+'Appendix K'!$H$46+'Appendix K'!$G$46))/((1+$Y$16)^AN$34))</f>
        <v>160357.55814990681</v>
      </c>
      <c r="AO850" s="193">
        <f>(((R850*'Appendix K'!$C$21*1000)-('Appendix K'!$E$47+'Appendix K'!$F$47+'Appendix K'!$H$47+'Appendix K'!$G$47))/((1+$Y$16)^AO$34))</f>
        <v>342086.80267985683</v>
      </c>
      <c r="AP850" s="193">
        <f>(((S850*'Appendix K'!$C$22*1000)-('Appendix K'!$E$48+'Appendix K'!$F$48+'Appendix K'!$H$48+'Appendix K'!$G$48))/((1+$Y$16)^AP$34))</f>
        <v>76823.42343109996</v>
      </c>
      <c r="AQ850" s="193">
        <f>(((T850*'Appendix K'!$C$23*1000)-('Appendix K'!$E$49+'Appendix K'!$F$49+'Appendix K'!$H$49+'Appendix K'!$G$49))/((1+$Y$16)^AQ$34))</f>
        <v>-373439.96793073911</v>
      </c>
      <c r="AR850" s="193">
        <f>(((U850*'Appendix K'!$C$24*1000)-('Appendix K'!$E$50+'Appendix K'!$F$50+'Appendix K'!$H$50+'Appendix K'!$G$50))/((1+$Y$16)^AR$34))</f>
        <v>-429984.97970199533</v>
      </c>
      <c r="AS850" s="209">
        <f t="shared" si="40"/>
        <v>106068307.71154904</v>
      </c>
      <c r="AU850" s="199">
        <f t="shared" si="39"/>
        <v>6.6677793708195567E-9</v>
      </c>
    </row>
    <row r="851" spans="1:47" x14ac:dyDescent="0.35">
      <c r="A851">
        <v>817</v>
      </c>
      <c r="B851" s="70">
        <v>56</v>
      </c>
      <c r="C851" s="70">
        <v>64.633597459097359</v>
      </c>
      <c r="D851" s="70">
        <v>95.389593889694424</v>
      </c>
      <c r="E851" s="70">
        <v>34.411606663079013</v>
      </c>
      <c r="F851" s="70">
        <v>43.886638107075349</v>
      </c>
      <c r="G851" s="70">
        <v>44.28442024844518</v>
      </c>
      <c r="H851" s="70">
        <v>58.926001661864539</v>
      </c>
      <c r="I851" s="70">
        <v>38.193063987217684</v>
      </c>
      <c r="J851" s="70">
        <v>41.226390775012781</v>
      </c>
      <c r="K851" s="70">
        <v>61.965746361040487</v>
      </c>
      <c r="L851" s="70">
        <v>72.940554702026859</v>
      </c>
      <c r="M851" s="70">
        <v>89.199624233238595</v>
      </c>
      <c r="N851" s="70">
        <v>93.476243006335451</v>
      </c>
      <c r="O851" s="70">
        <v>97.729389174001795</v>
      </c>
      <c r="P851" s="70">
        <v>123.86927541743003</v>
      </c>
      <c r="Q851" s="70">
        <v>98.891596080429423</v>
      </c>
      <c r="R851" s="70">
        <v>111.68295767386527</v>
      </c>
      <c r="S851" s="70">
        <v>161.77722926498564</v>
      </c>
      <c r="T851" s="70">
        <v>195.21999074564371</v>
      </c>
      <c r="U851" s="70">
        <v>381.0649560929229</v>
      </c>
      <c r="V851" s="70">
        <v>431.79242583166263</v>
      </c>
      <c r="X851" s="193">
        <f>((0-('Appendix K'!$I$30))/(1+$Y$16)^0)</f>
        <v>-33594902.4440751</v>
      </c>
      <c r="Y851" s="193">
        <f>(((B851*'Appendix K'!$C$5*1000)-('Appendix K'!$E$31+'Appendix K'!$F$31+'Appendix K'!$H$31+'Appendix K'!$G$31))/((1+$Y$16)^1))</f>
        <v>34971064.972647354</v>
      </c>
      <c r="Z851" s="193">
        <f>+(((C851*'Appendix K'!$C$6*1000)-('Appendix K'!$E$32+'Appendix K'!$F$32+'Appendix K'!$H$32+'Appendix K'!$G$32))/((1+$Y$16)^2))</f>
        <v>12840304.484719092</v>
      </c>
      <c r="AA851" s="193">
        <f>(((D851*'Appendix K'!$C$7*1000)-('Appendix K'!$E$33+'Appendix K'!$F$33+'Appendix K'!$H$33+'Appendix K'!$G$33))/((1+$Y$16)^3))</f>
        <v>9185339.2831042819</v>
      </c>
      <c r="AB851" s="193">
        <f>(((E851*'Appendix K'!$C$8*1000)-('Appendix K'!$E$34+'Appendix K'!$F$34+'Appendix K'!$H$34+'Appendix K'!$G$34))/((1+$Y$16)^4))</f>
        <v>4249501.2837530207</v>
      </c>
      <c r="AC851" s="193">
        <f>(((F851*'Appendix K'!$C$9*1000)-('Appendix K'!$E$35+'Appendix K'!$F$35+'Appendix K'!$H$35+'Appendix K'!$G$35))/((1+$Y$16)^AC$34))</f>
        <v>8680770.9753129464</v>
      </c>
      <c r="AD851" s="193">
        <f>(((G851*'Appendix K'!$C$10*1000)-('Appendix K'!$E$36+'Appendix K'!$F$36+'Appendix K'!$H$36+'Appendix K'!$G$36))/((1+$Y$16)^AD$34))</f>
        <v>4438837.3686341308</v>
      </c>
      <c r="AE851" s="193">
        <f>(((H851*'Appendix K'!$C$11*1000)-('Appendix K'!$E$37+'Appendix K'!$F$37+'Appendix K'!$H$37+'Appendix K'!$G$37))/((1+$Y$16)^AE$34))</f>
        <v>3657198.7171786795</v>
      </c>
      <c r="AF851" s="193">
        <f>(((I851*'Appendix K'!$C$12*1000)-('Appendix K'!$E$38+'Appendix K'!$F$38+'Appendix K'!$H$38+'Appendix K'!$G$38))/((1+$Y$16)^AF$34))</f>
        <v>511270.26681302348</v>
      </c>
      <c r="AG851" s="193">
        <f>(((J851*'Appendix K'!$C$13*1000)-('Appendix K'!$E$39+'Appendix K'!$F$39+'Appendix K'!$H$39+'Appendix K'!$G$39))/((1+$Y$16)^AG$34))</f>
        <v>82250.625839530039</v>
      </c>
      <c r="AH851" s="193">
        <f>(((K851*'Appendix K'!$C$14*1000)-('Appendix K'!$E$40+'Appendix K'!$F$40+'Appendix K'!$H$40+'Appendix K'!$G$40))/((1+$Y$16)^AH$34))</f>
        <v>455908.93162381486</v>
      </c>
      <c r="AI851" s="193">
        <f>(((L851*'Appendix K'!$C$15*1000)-('Appendix K'!$E$41+'Appendix K'!$F$41+'Appendix K'!$H$41+'Appendix K'!$G$41))/((1+$Y$16)^AI$34))</f>
        <v>394697.58436820441</v>
      </c>
      <c r="AJ851" s="193">
        <f>(((M851*'Appendix K'!$C$16*1000)-('Appendix K'!$E$42+'Appendix K'!$F$42+'Appendix K'!$H$42+'Appendix K'!$G$42))/((1+$Y$16)^AJ$34))</f>
        <v>406176.04465760849</v>
      </c>
      <c r="AK851" s="193">
        <f>(((N851*'Appendix K'!$C$17*1000)-('Appendix K'!$E$43+'Appendix K'!$F$43+'Appendix K'!$H$43))/((1+$Y$16)^AK$34))</f>
        <v>431900.7963578059</v>
      </c>
      <c r="AL851" s="193">
        <f>(((O851*'Appendix K'!$C$18*1000)-('Appendix K'!$E$44+'Appendix K'!$F$44+'Appendix K'!$H$44+'Appendix K'!$G$44))/((1+$Y$16)^AL$34))</f>
        <v>23826.081289788057</v>
      </c>
      <c r="AM851" s="193">
        <f>(((P851*'Appendix K'!$C$19*1000)-('Appendix K'!$E$45+'Appendix K'!$F$45+'Appendix K'!$H$45+'Appendix K'!$G$45))/((1+$Y$16)^AM$34))</f>
        <v>121345.14903406383</v>
      </c>
      <c r="AN851" s="193">
        <f>(((Q851*'Appendix K'!$C$20*1000)-('Appendix K'!$E$46+'Appendix K'!$F$46+'Appendix K'!$H$46+'Appendix K'!$G$46))/((1+$Y$16)^AN$34))</f>
        <v>-200107.80094106356</v>
      </c>
      <c r="AO851" s="193">
        <f>(((R851*'Appendix K'!$C$21*1000)-('Appendix K'!$E$47+'Appendix K'!$F$47+'Appendix K'!$H$47+'Appendix K'!$G$47))/((1+$Y$16)^AO$34))</f>
        <v>-182940.30679080216</v>
      </c>
      <c r="AP851" s="193">
        <f>(((S851*'Appendix K'!$C$22*1000)-('Appendix K'!$E$48+'Appendix K'!$F$48+'Appendix K'!$H$48+'Appendix K'!$G$48))/((1+$Y$16)^AP$34))</f>
        <v>10414.291237602045</v>
      </c>
      <c r="AQ851" s="193">
        <f>(((T851*'Appendix K'!$C$23*1000)-('Appendix K'!$E$49+'Appendix K'!$F$49+'Appendix K'!$H$49+'Appendix K'!$G$49))/((1+$Y$16)^AQ$34))</f>
        <v>70555.434667298119</v>
      </c>
      <c r="AR851" s="193">
        <f>(((U851*'Appendix K'!$C$24*1000)-('Appendix K'!$E$50+'Appendix K'!$F$50+'Appendix K'!$H$50+'Appendix K'!$G$50))/((1+$Y$16)^AR$34))</f>
        <v>597750.96631601569</v>
      </c>
      <c r="AS851" s="209">
        <f t="shared" si="40"/>
        <v>47534210.813479163</v>
      </c>
      <c r="AU851" s="199">
        <f t="shared" si="39"/>
        <v>5.4778743708239981E-9</v>
      </c>
    </row>
    <row r="852" spans="1:47" x14ac:dyDescent="0.35">
      <c r="A852">
        <v>818</v>
      </c>
      <c r="B852" s="70">
        <v>56</v>
      </c>
      <c r="C852" s="70">
        <v>42.438478298118625</v>
      </c>
      <c r="D852" s="70">
        <v>41.513118154429648</v>
      </c>
      <c r="E852" s="70">
        <v>60.400565063617734</v>
      </c>
      <c r="F852" s="70">
        <v>77.159589253349779</v>
      </c>
      <c r="G852" s="70">
        <v>97.003035410761228</v>
      </c>
      <c r="H852" s="70">
        <v>105.19068301483335</v>
      </c>
      <c r="I852" s="70">
        <v>96.65748373683715</v>
      </c>
      <c r="J852" s="70">
        <v>89.103804048839208</v>
      </c>
      <c r="K852" s="70">
        <v>92.868792009488686</v>
      </c>
      <c r="L852" s="70">
        <v>91.28807033924835</v>
      </c>
      <c r="M852" s="70">
        <v>119.35120730065701</v>
      </c>
      <c r="N852" s="70">
        <v>180.83431589369394</v>
      </c>
      <c r="O852" s="70">
        <v>261.72971218010724</v>
      </c>
      <c r="P852" s="70">
        <v>185.74474474101416</v>
      </c>
      <c r="Q852" s="70">
        <v>231.78926253385274</v>
      </c>
      <c r="R852" s="70">
        <v>236.25669906762397</v>
      </c>
      <c r="S852" s="70">
        <v>196.39069084767311</v>
      </c>
      <c r="T852" s="70">
        <v>238.18622699244088</v>
      </c>
      <c r="U852" s="70">
        <v>261.30622617180529</v>
      </c>
      <c r="V852" s="70">
        <v>288.25422214018403</v>
      </c>
      <c r="X852" s="193">
        <f>((0-('Appendix K'!$I$30))/(1+$Y$16)^0)</f>
        <v>-33594902.4440751</v>
      </c>
      <c r="Y852" s="193">
        <f>(((B852*'Appendix K'!$C$5*1000)-('Appendix K'!$E$31+'Appendix K'!$F$31+'Appendix K'!$H$31+'Appendix K'!$G$31))/((1+$Y$16)^1))</f>
        <v>34971064.972647354</v>
      </c>
      <c r="Z852" s="193">
        <f>+(((C852*'Appendix K'!$C$6*1000)-('Appendix K'!$E$32+'Appendix K'!$F$32+'Appendix K'!$H$32+'Appendix K'!$G$32))/((1+$Y$16)^2))</f>
        <v>7233437.7787787514</v>
      </c>
      <c r="AA852" s="193">
        <f>(((D852*'Appendix K'!$C$7*1000)-('Appendix K'!$E$33+'Appendix K'!$F$33+'Appendix K'!$H$33+'Appendix K'!$G$33))/((1+$Y$16)^3))</f>
        <v>2322830.0632010475</v>
      </c>
      <c r="AB852" s="193">
        <f>(((E852*'Appendix K'!$C$8*1000)-('Appendix K'!$E$34+'Appendix K'!$F$34+'Appendix K'!$H$34+'Appendix K'!$G$34))/((1+$Y$16)^4))</f>
        <v>9946043.0591354873</v>
      </c>
      <c r="AC852" s="193">
        <f>(((F852*'Appendix K'!$C$9*1000)-('Appendix K'!$E$35+'Appendix K'!$F$35+'Appendix K'!$H$35+'Appendix K'!$G$35))/((1+$Y$16)^AC$34))</f>
        <v>17524669.142083507</v>
      </c>
      <c r="AD852" s="193">
        <f>(((G852*'Appendix K'!$C$10*1000)-('Appendix K'!$E$36+'Appendix K'!$F$36+'Appendix K'!$H$36+'Appendix K'!$G$36))/((1+$Y$16)^AD$34))</f>
        <v>12717977.012192324</v>
      </c>
      <c r="AE852" s="193">
        <f>(((H852*'Appendix K'!$C$11*1000)-('Appendix K'!$E$37+'Appendix K'!$F$37+'Appendix K'!$H$37+'Appendix K'!$G$37))/((1+$Y$16)^AE$34))</f>
        <v>8271528.3341992451</v>
      </c>
      <c r="AF852" s="193">
        <f>(((I852*'Appendix K'!$C$12*1000)-('Appendix K'!$E$38+'Appendix K'!$F$38+'Appendix K'!$H$38+'Appendix K'!$G$38))/((1+$Y$16)^AF$34))</f>
        <v>4350185.9630021332</v>
      </c>
      <c r="AG852" s="193">
        <f>(((J852*'Appendix K'!$C$13*1000)-('Appendix K'!$E$39+'Appendix K'!$F$39+'Appendix K'!$H$39+'Appendix K'!$G$39))/((1+$Y$16)^AG$34))</f>
        <v>2285518.0785208135</v>
      </c>
      <c r="AH852" s="193">
        <f>(((K852*'Appendix K'!$C$14*1000)-('Appendix K'!$E$40+'Appendix K'!$F$40+'Appendix K'!$H$40+'Appendix K'!$G$40))/((1+$Y$16)^AH$34))</f>
        <v>1497543.2666199184</v>
      </c>
      <c r="AI852" s="193">
        <f>(((L852*'Appendix K'!$C$15*1000)-('Appendix K'!$E$41+'Appendix K'!$F$41+'Appendix K'!$H$41+'Appendix K'!$G$41))/((1+$Y$16)^AI$34))</f>
        <v>875436.80408588878</v>
      </c>
      <c r="AJ852" s="193">
        <f>(((M852*'Appendix K'!$C$16*1000)-('Appendix K'!$E$42+'Appendix K'!$F$42+'Appendix K'!$H$42+'Appendix K'!$G$42))/((1+$Y$16)^AJ$34))</f>
        <v>1010470.0616693533</v>
      </c>
      <c r="AK852" s="193">
        <f>(((N852*'Appendix K'!$C$17*1000)-('Appendix K'!$E$43+'Appendix K'!$F$43+'Appendix K'!$H$43))/((1+$Y$16)^AK$34))</f>
        <v>1774061.2707316098</v>
      </c>
      <c r="AL852" s="193">
        <f>(((O852*'Appendix K'!$C$18*1000)-('Appendix K'!$E$44+'Appendix K'!$F$44+'Appendix K'!$H$44+'Appendix K'!$G$44))/((1+$Y$16)^AL$34))</f>
        <v>1967770.1673248722</v>
      </c>
      <c r="AM852" s="193">
        <f>(((P852*'Appendix K'!$C$19*1000)-('Appendix K'!$E$45+'Appendix K'!$F$45+'Appendix K'!$H$45+'Appendix K'!$G$45))/((1+$Y$16)^AM$34))</f>
        <v>694852.27871535579</v>
      </c>
      <c r="AN852" s="193">
        <f>(((Q852*'Appendix K'!$C$20*1000)-('Appendix K'!$E$46+'Appendix K'!$F$46+'Appendix K'!$H$46+'Appendix K'!$G$46))/((1+$Y$16)^AN$34))</f>
        <v>761568.5378084</v>
      </c>
      <c r="AO852" s="193">
        <f>(((R852*'Appendix K'!$C$21*1000)-('Appendix K'!$E$47+'Appendix K'!$F$47+'Appendix K'!$H$47+'Appendix K'!$G$47))/((1+$Y$16)^AO$34))</f>
        <v>553304.26775827329</v>
      </c>
      <c r="AP852" s="193">
        <f>(((S852*'Appendix K'!$C$22*1000)-('Appendix K'!$E$48+'Appendix K'!$F$48+'Appendix K'!$H$48+'Appendix K'!$G$48))/((1+$Y$16)^AP$34))</f>
        <v>176203.05766286174</v>
      </c>
      <c r="AQ852" s="193">
        <f>(((T852*'Appendix K'!$C$23*1000)-('Appendix K'!$E$49+'Appendix K'!$F$49+'Appendix K'!$H$49+'Appendix K'!$G$49))/((1+$Y$16)^AQ$34))</f>
        <v>238714.28369868468</v>
      </c>
      <c r="AR852" s="193">
        <f>(((U852*'Appendix K'!$C$24*1000)-('Appendix K'!$E$50+'Appendix K'!$F$50+'Appendix K'!$H$50+'Appendix K'!$G$50))/((1+$Y$16)^AR$34))</f>
        <v>212124.500467101</v>
      </c>
      <c r="AS852" s="209">
        <f t="shared" si="40"/>
        <v>75790400.456227899</v>
      </c>
      <c r="AU852" s="199">
        <f t="shared" si="39"/>
        <v>6.8786758037142932E-9</v>
      </c>
    </row>
    <row r="853" spans="1:47" x14ac:dyDescent="0.35">
      <c r="A853">
        <v>819</v>
      </c>
      <c r="B853" s="70">
        <v>56</v>
      </c>
      <c r="C853" s="70">
        <v>47.958988409200671</v>
      </c>
      <c r="D853" s="70">
        <v>40.664505313930185</v>
      </c>
      <c r="E853" s="70">
        <v>38.38784127070177</v>
      </c>
      <c r="F853" s="70">
        <v>50.387870950017906</v>
      </c>
      <c r="G853" s="70">
        <v>55.874475615270455</v>
      </c>
      <c r="H853" s="70">
        <v>51.817510631641795</v>
      </c>
      <c r="I853" s="70">
        <v>67.734088671996886</v>
      </c>
      <c r="J853" s="70">
        <v>73.841069909096532</v>
      </c>
      <c r="K853" s="70">
        <v>93.609296387739462</v>
      </c>
      <c r="L853" s="70">
        <v>117.11200557267442</v>
      </c>
      <c r="M853" s="70">
        <v>129.45640503653181</v>
      </c>
      <c r="N853" s="70">
        <v>200.09280982403143</v>
      </c>
      <c r="O853" s="70">
        <v>309.87064805020572</v>
      </c>
      <c r="P853" s="70">
        <v>256.06110722951018</v>
      </c>
      <c r="Q853" s="70">
        <v>212.06375369025739</v>
      </c>
      <c r="R853" s="70">
        <v>242.77006207235831</v>
      </c>
      <c r="S853" s="70">
        <v>118.63479498938908</v>
      </c>
      <c r="T853" s="70">
        <v>113.80990004233378</v>
      </c>
      <c r="U853" s="70">
        <v>85.943749020931392</v>
      </c>
      <c r="V853" s="70">
        <v>103.88254036753008</v>
      </c>
      <c r="X853" s="193">
        <f>((0-('Appendix K'!$I$30))/(1+$Y$16)^0)</f>
        <v>-33594902.4440751</v>
      </c>
      <c r="Y853" s="193">
        <f>(((B853*'Appendix K'!$C$5*1000)-('Appendix K'!$E$31+'Appendix K'!$F$31+'Appendix K'!$H$31+'Appendix K'!$G$31))/((1+$Y$16)^1))</f>
        <v>34971064.972647354</v>
      </c>
      <c r="Z853" s="193">
        <f>+(((C853*'Appendix K'!$C$6*1000)-('Appendix K'!$E$32+'Appendix K'!$F$32+'Appendix K'!$H$32+'Appendix K'!$G$32))/((1+$Y$16)^2))</f>
        <v>8628013.0508075226</v>
      </c>
      <c r="AA853" s="193">
        <f>(((D853*'Appendix K'!$C$7*1000)-('Appendix K'!$E$33+'Appendix K'!$F$33+'Appendix K'!$H$33+'Appendix K'!$G$33))/((1+$Y$16)^3))</f>
        <v>2214738.1109606745</v>
      </c>
      <c r="AB853" s="193">
        <f>(((E853*'Appendix K'!$C$8*1000)-('Appendix K'!$E$34+'Appendix K'!$F$34+'Appendix K'!$H$34+'Appendix K'!$G$34))/((1+$Y$16)^4))</f>
        <v>5121055.510819505</v>
      </c>
      <c r="AC853" s="193">
        <f>(((F853*'Appendix K'!$C$9*1000)-('Appendix K'!$E$35+'Appendix K'!$F$35+'Appendix K'!$H$35+'Appendix K'!$G$35))/((1+$Y$16)^AC$34))</f>
        <v>10408788.456199553</v>
      </c>
      <c r="AD853" s="193">
        <f>(((G853*'Appendix K'!$C$10*1000)-('Appendix K'!$E$36+'Appendix K'!$F$36+'Appendix K'!$H$36+'Appendix K'!$G$36))/((1+$Y$16)^AD$34))</f>
        <v>6258985.4617332816</v>
      </c>
      <c r="AE853" s="193">
        <f>(((H853*'Appendix K'!$C$11*1000)-('Appendix K'!$E$37+'Appendix K'!$F$37+'Appendix K'!$H$37+'Appendix K'!$G$37))/((1+$Y$16)^AE$34))</f>
        <v>2948214.6772188549</v>
      </c>
      <c r="AF853" s="193">
        <f>(((I853*'Appendix K'!$C$12*1000)-('Appendix K'!$E$38+'Appendix K'!$F$38+'Appendix K'!$H$38+'Appendix K'!$G$38))/((1+$Y$16)^AF$34))</f>
        <v>2451005.6448357729</v>
      </c>
      <c r="AG853" s="193">
        <f>(((J853*'Appendix K'!$C$13*1000)-('Appendix K'!$E$39+'Appendix K'!$F$39+'Appendix K'!$H$39+'Appendix K'!$G$39))/((1+$Y$16)^AG$34))</f>
        <v>1583143.3454354287</v>
      </c>
      <c r="AH853" s="193">
        <f>(((K853*'Appendix K'!$C$14*1000)-('Appendix K'!$E$40+'Appendix K'!$F$40+'Appendix K'!$H$40+'Appendix K'!$G$40))/((1+$Y$16)^AH$34))</f>
        <v>1522503.0972584784</v>
      </c>
      <c r="AI853" s="193">
        <f>(((L853*'Appendix K'!$C$15*1000)-('Appendix K'!$E$41+'Appendix K'!$F$41+'Appendix K'!$H$41+'Appendix K'!$G$41))/((1+$Y$16)^AI$34))</f>
        <v>1552072.1981973338</v>
      </c>
      <c r="AJ853" s="193">
        <f>(((M853*'Appendix K'!$C$16*1000)-('Appendix K'!$E$42+'Appendix K'!$F$42+'Appendix K'!$H$42+'Appendix K'!$G$42))/((1+$Y$16)^AJ$34))</f>
        <v>1212997.0904776154</v>
      </c>
      <c r="AK853" s="193">
        <f>(((N853*'Appendix K'!$C$17*1000)-('Appendix K'!$E$43+'Appendix K'!$F$43+'Appendix K'!$H$43))/((1+$Y$16)^AK$34))</f>
        <v>2069946.7967618804</v>
      </c>
      <c r="AL853" s="193">
        <f>(((O853*'Appendix K'!$C$18*1000)-('Appendix K'!$E$44+'Appendix K'!$F$44+'Appendix K'!$H$44+'Appendix K'!$G$44))/((1+$Y$16)^AL$34))</f>
        <v>2538398.8457658784</v>
      </c>
      <c r="AM853" s="193">
        <f>(((P853*'Appendix K'!$C$19*1000)-('Appendix K'!$E$45+'Appendix K'!$F$45+'Appendix K'!$H$45+'Appendix K'!$G$45))/((1+$Y$16)^AM$34))</f>
        <v>1346595.783229443</v>
      </c>
      <c r="AN853" s="193">
        <f>(((Q853*'Appendix K'!$C$20*1000)-('Appendix K'!$E$46+'Appendix K'!$F$46+'Appendix K'!$H$46+'Appendix K'!$G$46))/((1+$Y$16)^AN$34))</f>
        <v>618830.47753307363</v>
      </c>
      <c r="AO853" s="193">
        <f>(((R853*'Appendix K'!$C$21*1000)-('Appendix K'!$E$47+'Appendix K'!$F$47+'Appendix K'!$H$47+'Appendix K'!$G$47))/((1+$Y$16)^AO$34))</f>
        <v>591798.9627128602</v>
      </c>
      <c r="AP853" s="193">
        <f>(((S853*'Appendix K'!$C$22*1000)-('Appendix K'!$E$48+'Appendix K'!$F$48+'Appendix K'!$H$48+'Appendix K'!$G$48))/((1+$Y$16)^AP$34))</f>
        <v>-196225.86065958539</v>
      </c>
      <c r="AQ853" s="193">
        <f>(((T853*'Appendix K'!$C$23*1000)-('Appendix K'!$E$49+'Appendix K'!$F$49+'Appendix K'!$H$49+'Appendix K'!$G$49))/((1+$Y$16)^AQ$34))</f>
        <v>-248062.81882773212</v>
      </c>
      <c r="AR853" s="193">
        <f>(((U853*'Appendix K'!$C$24*1000)-('Appendix K'!$E$50+'Appendix K'!$F$50+'Appendix K'!$H$50+'Appendix K'!$G$50))/((1+$Y$16)^AR$34))</f>
        <v>-352547.58941515884</v>
      </c>
      <c r="AS853" s="209">
        <f t="shared" si="40"/>
        <v>52443250.03851939</v>
      </c>
      <c r="AU853" s="199">
        <f t="shared" si="39"/>
        <v>5.80123496860666E-9</v>
      </c>
    </row>
    <row r="854" spans="1:47" x14ac:dyDescent="0.35">
      <c r="A854">
        <v>820</v>
      </c>
      <c r="B854" s="70">
        <v>56</v>
      </c>
      <c r="C854" s="70">
        <v>51.562708565502682</v>
      </c>
      <c r="D854" s="70">
        <v>57.286292288512087</v>
      </c>
      <c r="E854" s="70">
        <v>51.452732740671571</v>
      </c>
      <c r="F854" s="70">
        <v>31.973062970874697</v>
      </c>
      <c r="G854" s="70">
        <v>46.371038656865913</v>
      </c>
      <c r="H854" s="70">
        <v>57.065216701443745</v>
      </c>
      <c r="I854" s="70">
        <v>49.621662534974348</v>
      </c>
      <c r="J854" s="70">
        <v>35.543124559512179</v>
      </c>
      <c r="K854" s="70">
        <v>32.087633549610665</v>
      </c>
      <c r="L854" s="70">
        <v>24.932189771092606</v>
      </c>
      <c r="M854" s="70">
        <v>27.890459531871372</v>
      </c>
      <c r="N854" s="70">
        <v>42.19262386539846</v>
      </c>
      <c r="O854" s="70">
        <v>51.979906318553354</v>
      </c>
      <c r="P854" s="70">
        <v>73.14952960682723</v>
      </c>
      <c r="Q854" s="70">
        <v>100.30470395527183</v>
      </c>
      <c r="R854" s="70">
        <v>80.368881818584683</v>
      </c>
      <c r="S854" s="70">
        <v>112.84723265720814</v>
      </c>
      <c r="T854" s="70">
        <v>155.19837178644457</v>
      </c>
      <c r="U854" s="70">
        <v>141.44523795894216</v>
      </c>
      <c r="V854" s="70">
        <v>148.36300156296937</v>
      </c>
      <c r="X854" s="193">
        <f>((0-('Appendix K'!$I$30))/(1+$Y$16)^0)</f>
        <v>-33594902.4440751</v>
      </c>
      <c r="Y854" s="193">
        <f>(((B854*'Appendix K'!$C$5*1000)-('Appendix K'!$E$31+'Appendix K'!$F$31+'Appendix K'!$H$31+'Appendix K'!$G$31))/((1+$Y$16)^1))</f>
        <v>34971064.972647354</v>
      </c>
      <c r="Z854" s="193">
        <f>+(((C854*'Appendix K'!$C$6*1000)-('Appendix K'!$E$32+'Appendix K'!$F$32+'Appendix K'!$H$32+'Appendix K'!$G$32))/((1+$Y$16)^2))</f>
        <v>9538374.3971624151</v>
      </c>
      <c r="AA854" s="193">
        <f>(((D854*'Appendix K'!$C$7*1000)-('Appendix K'!$E$33+'Appendix K'!$F$33+'Appendix K'!$H$33+'Appendix K'!$G$33))/((1+$Y$16)^3))</f>
        <v>4331936.1052176235</v>
      </c>
      <c r="AB854" s="193">
        <f>(((E854*'Appendix K'!$C$8*1000)-('Appendix K'!$E$34+'Appendix K'!$F$34+'Appendix K'!$H$34+'Appendix K'!$G$34))/((1+$Y$16)^4))</f>
        <v>7984760.1234667851</v>
      </c>
      <c r="AC854" s="193">
        <f>(((F854*'Appendix K'!$C$9*1000)-('Appendix K'!$E$35+'Appendix K'!$F$35+'Appendix K'!$H$35+'Appendix K'!$G$35))/((1+$Y$16)^AC$34))</f>
        <v>5514161.4117808696</v>
      </c>
      <c r="AD854" s="193">
        <f>(((G854*'Appendix K'!$C$10*1000)-('Appendix K'!$E$36+'Appendix K'!$F$36+'Appendix K'!$H$36+'Appendix K'!$G$36))/((1+$Y$16)^AD$34))</f>
        <v>4766528.1687992122</v>
      </c>
      <c r="AE854" s="193">
        <f>(((H854*'Appendix K'!$C$11*1000)-('Appendix K'!$E$37+'Appendix K'!$F$37+'Appendix K'!$H$37+'Appendix K'!$G$37))/((1+$Y$16)^AE$34))</f>
        <v>3471608.4374517212</v>
      </c>
      <c r="AF854" s="193">
        <f>(((I854*'Appendix K'!$C$12*1000)-('Appendix K'!$E$38+'Appendix K'!$F$38+'Appendix K'!$H$38+'Appendix K'!$G$38))/((1+$Y$16)^AF$34))</f>
        <v>1261699.7851135565</v>
      </c>
      <c r="AG854" s="193">
        <f>(((J854*'Appendix K'!$C$13*1000)-('Appendix K'!$E$39+'Appendix K'!$F$39+'Appendix K'!$H$39+'Appendix K'!$G$39))/((1+$Y$16)^AG$34))</f>
        <v>-179287.21886230557</v>
      </c>
      <c r="AH854" s="193">
        <f>(((K854*'Appendix K'!$C$14*1000)-('Appendix K'!$E$40+'Appendix K'!$F$40+'Appendix K'!$H$40+'Appendix K'!$G$40))/((1+$Y$16)^AH$34))</f>
        <v>-551178.47727806668</v>
      </c>
      <c r="AI854" s="193">
        <f>(((L854*'Appendix K'!$C$15*1000)-('Appendix K'!$E$41+'Appendix K'!$F$41+'Appendix K'!$H$41+'Appendix K'!$G$41))/((1+$Y$16)^AI$34))</f>
        <v>-863211.35290491232</v>
      </c>
      <c r="AJ854" s="193">
        <f>(((M854*'Appendix K'!$C$16*1000)-('Appendix K'!$E$42+'Appendix K'!$F$42+'Appendix K'!$H$42+'Appendix K'!$G$42))/((1+$Y$16)^AJ$34))</f>
        <v>-822574.07881628908</v>
      </c>
      <c r="AK854" s="193">
        <f>(((N854*'Appendix K'!$C$17*1000)-('Appendix K'!$E$43+'Appendix K'!$F$43+'Appendix K'!$H$43))/((1+$Y$16)^AK$34))</f>
        <v>-356015.46963580832</v>
      </c>
      <c r="AL854" s="193">
        <f>(((O854*'Appendix K'!$C$18*1000)-('Appendix K'!$E$44+'Appendix K'!$F$44+'Appendix K'!$H$44+'Appendix K'!$G$44))/((1+$Y$16)^AL$34))</f>
        <v>-518456.00087843771</v>
      </c>
      <c r="AM854" s="193">
        <f>(((P854*'Appendix K'!$C$19*1000)-('Appendix K'!$E$45+'Appendix K'!$F$45+'Appendix K'!$H$45+'Appendix K'!$G$45))/((1+$Y$16)^AM$34))</f>
        <v>-348762.57145665522</v>
      </c>
      <c r="AN854" s="193">
        <f>(((Q854*'Appendix K'!$C$20*1000)-('Appendix K'!$E$46+'Appendix K'!$F$46+'Appendix K'!$H$46+'Appendix K'!$G$46))/((1+$Y$16)^AN$34))</f>
        <v>-189882.24586848629</v>
      </c>
      <c r="AO854" s="193">
        <f>(((R854*'Appendix K'!$C$21*1000)-('Appendix K'!$E$47+'Appendix K'!$F$47+'Appendix K'!$H$47+'Appendix K'!$G$47))/((1+$Y$16)^AO$34))</f>
        <v>-368009.95467587089</v>
      </c>
      <c r="AP854" s="193">
        <f>(((S854*'Appendix K'!$C$22*1000)-('Appendix K'!$E$48+'Appendix K'!$F$48+'Appendix K'!$H$48+'Appendix K'!$G$48))/((1+$Y$16)^AP$34))</f>
        <v>-223946.65990323847</v>
      </c>
      <c r="AQ854" s="193">
        <f>(((T854*'Appendix K'!$C$23*1000)-('Appendix K'!$E$49+'Appendix K'!$F$49+'Appendix K'!$H$49+'Appendix K'!$G$49))/((1+$Y$16)^AQ$34))</f>
        <v>-86078.936141788479</v>
      </c>
      <c r="AR854" s="193">
        <f>(((U854*'Appendix K'!$C$24*1000)-('Appendix K'!$E$50+'Appendix K'!$F$50+'Appendix K'!$H$50+'Appendix K'!$G$50))/((1+$Y$16)^AR$34))</f>
        <v>-173831.23994639519</v>
      </c>
      <c r="AS854" s="209">
        <f t="shared" si="40"/>
        <v>38245230.957564436</v>
      </c>
      <c r="AU854" s="199">
        <f t="shared" si="39"/>
        <v>4.8149071028097768E-9</v>
      </c>
    </row>
    <row r="855" spans="1:47" x14ac:dyDescent="0.35">
      <c r="A855">
        <v>821</v>
      </c>
      <c r="B855" s="70">
        <v>56</v>
      </c>
      <c r="C855" s="70">
        <v>76.886978911379558</v>
      </c>
      <c r="D855" s="70">
        <v>71.197465439813371</v>
      </c>
      <c r="E855" s="70">
        <v>95.998985713365684</v>
      </c>
      <c r="F855" s="70">
        <v>59.602100284622217</v>
      </c>
      <c r="G855" s="70">
        <v>69.207243065335518</v>
      </c>
      <c r="H855" s="70">
        <v>70.633986256054499</v>
      </c>
      <c r="I855" s="70">
        <v>54.021071959546049</v>
      </c>
      <c r="J855" s="70">
        <v>75.47394920667341</v>
      </c>
      <c r="K855" s="70">
        <v>68.808022992026125</v>
      </c>
      <c r="L855" s="70">
        <v>63.053197911391813</v>
      </c>
      <c r="M855" s="70">
        <v>53.079222062718898</v>
      </c>
      <c r="N855" s="70">
        <v>61.841073026707726</v>
      </c>
      <c r="O855" s="70">
        <v>39.00905329934897</v>
      </c>
      <c r="P855" s="70">
        <v>36.340705543520976</v>
      </c>
      <c r="Q855" s="70">
        <v>39.989252949551187</v>
      </c>
      <c r="R855" s="70">
        <v>39.634761746826527</v>
      </c>
      <c r="S855" s="70">
        <v>36.538336070286029</v>
      </c>
      <c r="T855" s="70">
        <v>25.31076034107366</v>
      </c>
      <c r="U855" s="70">
        <v>16.4009031388842</v>
      </c>
      <c r="V855" s="70">
        <v>18.168102211448314</v>
      </c>
      <c r="X855" s="193">
        <f>((0-('Appendix K'!$I$30))/(1+$Y$16)^0)</f>
        <v>-33594902.4440751</v>
      </c>
      <c r="Y855" s="193">
        <f>(((B855*'Appendix K'!$C$5*1000)-('Appendix K'!$E$31+'Appendix K'!$F$31+'Appendix K'!$H$31+'Appendix K'!$G$31))/((1+$Y$16)^1))</f>
        <v>34971064.972647354</v>
      </c>
      <c r="Z855" s="193">
        <f>+(((C855*'Appendix K'!$C$6*1000)-('Appendix K'!$E$32+'Appendix K'!$F$32+'Appendix K'!$H$32+'Appendix K'!$G$32))/((1+$Y$16)^2))</f>
        <v>15935718.210669026</v>
      </c>
      <c r="AA855" s="193">
        <f>(((D855*'Appendix K'!$C$7*1000)-('Appendix K'!$E$33+'Appendix K'!$F$33+'Appendix K'!$H$33+'Appendix K'!$G$33))/((1+$Y$16)^3))</f>
        <v>6103870.0097211171</v>
      </c>
      <c r="AB855" s="193">
        <f>(((E855*'Appendix K'!$C$8*1000)-('Appendix K'!$E$34+'Appendix K'!$F$34+'Appendix K'!$H$34+'Appendix K'!$G$34))/((1+$Y$16)^4))</f>
        <v>17748890.993384503</v>
      </c>
      <c r="AC855" s="193">
        <f>(((F855*'Appendix K'!$C$9*1000)-('Appendix K'!$E$35+'Appendix K'!$F$35+'Appendix K'!$H$35+'Appendix K'!$G$35))/((1+$Y$16)^AC$34))</f>
        <v>12857916.144400874</v>
      </c>
      <c r="AD855" s="193">
        <f>(((G855*'Appendix K'!$C$10*1000)-('Appendix K'!$E$36+'Appendix K'!$F$36+'Appendix K'!$H$36+'Appendix K'!$G$36))/((1+$Y$16)^AD$34))</f>
        <v>8352815.9467396438</v>
      </c>
      <c r="AE855" s="193">
        <f>(((H855*'Appendix K'!$C$11*1000)-('Appendix K'!$E$37+'Appendix K'!$F$37+'Appendix K'!$H$37+'Appendix K'!$G$37))/((1+$Y$16)^AE$34))</f>
        <v>4824925.3390572602</v>
      </c>
      <c r="AF855" s="193">
        <f>(((I855*'Appendix K'!$C$12*1000)-('Appendix K'!$E$38+'Appendix K'!$F$38+'Appendix K'!$H$38+'Appendix K'!$G$38))/((1+$Y$16)^AF$34))</f>
        <v>1550575.6854693543</v>
      </c>
      <c r="AG855" s="193">
        <f>(((J855*'Appendix K'!$C$13*1000)-('Appendix K'!$E$39+'Appendix K'!$F$39+'Appendix K'!$H$39+'Appendix K'!$G$39))/((1+$Y$16)^AG$34))</f>
        <v>1658286.707712166</v>
      </c>
      <c r="AH855" s="193">
        <f>(((K855*'Appendix K'!$C$14*1000)-('Appendix K'!$E$40+'Appendix K'!$F$40+'Appendix K'!$H$40+'Appendix K'!$G$40))/((1+$Y$16)^AH$34))</f>
        <v>686538.31195914745</v>
      </c>
      <c r="AI855" s="193">
        <f>(((L855*'Appendix K'!$C$15*1000)-('Appendix K'!$E$41+'Appendix K'!$F$41+'Appendix K'!$H$41+'Appendix K'!$G$41))/((1+$Y$16)^AI$34))</f>
        <v>135630.34700570421</v>
      </c>
      <c r="AJ855" s="193">
        <f>(((M855*'Appendix K'!$C$16*1000)-('Appendix K'!$E$42+'Appendix K'!$F$42+'Appendix K'!$H$42+'Appendix K'!$G$42))/((1+$Y$16)^AJ$34))</f>
        <v>-317744.25083392585</v>
      </c>
      <c r="AK855" s="193">
        <f>(((N855*'Appendix K'!$C$17*1000)-('Appendix K'!$E$43+'Appendix K'!$F$43+'Appendix K'!$H$43))/((1+$Y$16)^AK$34))</f>
        <v>-54138.711421873581</v>
      </c>
      <c r="AL855" s="193">
        <f>(((O855*'Appendix K'!$C$18*1000)-('Appendix K'!$E$44+'Appendix K'!$F$44+'Appendix K'!$H$44+'Appendix K'!$G$44))/((1+$Y$16)^AL$34))</f>
        <v>-672203.33841614483</v>
      </c>
      <c r="AM855" s="193">
        <f>(((P855*'Appendix K'!$C$19*1000)-('Appendix K'!$E$45+'Appendix K'!$F$45+'Appendix K'!$H$45+'Appendix K'!$G$45))/((1+$Y$16)^AM$34))</f>
        <v>-689933.68928839057</v>
      </c>
      <c r="AN855" s="193">
        <f>(((Q855*'Appendix K'!$C$20*1000)-('Appendix K'!$E$46+'Appendix K'!$F$46+'Appendix K'!$H$46+'Appendix K'!$G$46))/((1+$Y$16)^AN$34))</f>
        <v>-626337.93121742911</v>
      </c>
      <c r="AO855" s="193">
        <f>(((R855*'Appendix K'!$C$21*1000)-('Appendix K'!$E$47+'Appendix K'!$F$47+'Appendix K'!$H$47+'Appendix K'!$G$47))/((1+$Y$16)^AO$34))</f>
        <v>-608753.10460718616</v>
      </c>
      <c r="AP855" s="193">
        <f>(((S855*'Appendix K'!$C$22*1000)-('Appendix K'!$E$48+'Appendix K'!$F$48+'Appendix K'!$H$48+'Appendix K'!$G$48))/((1+$Y$16)^AP$34))</f>
        <v>-589444.85782823968</v>
      </c>
      <c r="AQ855" s="193">
        <f>(((T855*'Appendix K'!$C$23*1000)-('Appendix K'!$E$49+'Appendix K'!$F$49+'Appendix K'!$H$49+'Appendix K'!$G$49))/((1+$Y$16)^AQ$34))</f>
        <v>-594425.79525765218</v>
      </c>
      <c r="AR855" s="193">
        <f>(((U855*'Appendix K'!$C$24*1000)-('Appendix K'!$E$50+'Appendix K'!$F$50+'Appendix K'!$H$50+'Appendix K'!$G$50))/((1+$Y$16)^AR$34))</f>
        <v>-576477.5016665142</v>
      </c>
      <c r="AS855" s="209">
        <f t="shared" si="40"/>
        <v>71231330.224691063</v>
      </c>
      <c r="AU855" s="199">
        <f t="shared" si="39"/>
        <v>6.7426843758249086E-9</v>
      </c>
    </row>
    <row r="856" spans="1:47" x14ac:dyDescent="0.35">
      <c r="A856">
        <v>822</v>
      </c>
      <c r="B856" s="70">
        <v>56</v>
      </c>
      <c r="C856" s="70">
        <v>58.869862039838466</v>
      </c>
      <c r="D856" s="70">
        <v>48.820775837352585</v>
      </c>
      <c r="E856" s="70">
        <v>63.92882901264462</v>
      </c>
      <c r="F856" s="70">
        <v>69.62948361946772</v>
      </c>
      <c r="G856" s="70">
        <v>72.122662887563664</v>
      </c>
      <c r="H856" s="70">
        <v>95.296484224551179</v>
      </c>
      <c r="I856" s="70">
        <v>56.294743308633954</v>
      </c>
      <c r="J856" s="70">
        <v>84.617815043299132</v>
      </c>
      <c r="K856" s="70">
        <v>102.53769358394337</v>
      </c>
      <c r="L856" s="70">
        <v>151.78210150445699</v>
      </c>
      <c r="M856" s="70">
        <v>139.38683020809091</v>
      </c>
      <c r="N856" s="70">
        <v>250.65814567125554</v>
      </c>
      <c r="O856" s="70">
        <v>204.8503258590209</v>
      </c>
      <c r="P856" s="70">
        <v>214.86269040771467</v>
      </c>
      <c r="Q856" s="70">
        <v>234.78464358459578</v>
      </c>
      <c r="R856" s="70">
        <v>148.28152096890608</v>
      </c>
      <c r="S856" s="70">
        <v>193.33494674045551</v>
      </c>
      <c r="T856" s="70">
        <v>240.00159735771632</v>
      </c>
      <c r="U856" s="70">
        <v>232.8045617749151</v>
      </c>
      <c r="V856" s="70">
        <v>260.78666477998047</v>
      </c>
      <c r="X856" s="193">
        <f>((0-('Appendix K'!$I$30))/(1+$Y$16)^0)</f>
        <v>-33594902.4440751</v>
      </c>
      <c r="Y856" s="193">
        <f>(((B856*'Appendix K'!$C$5*1000)-('Appendix K'!$E$31+'Appendix K'!$F$31+'Appendix K'!$H$31+'Appendix K'!$G$31))/((1+$Y$16)^1))</f>
        <v>34971064.972647354</v>
      </c>
      <c r="Z856" s="193">
        <f>+(((C856*'Appendix K'!$C$6*1000)-('Appendix K'!$E$32+'Appendix K'!$F$32+'Appendix K'!$H$32+'Appendix K'!$G$32))/((1+$Y$16)^2))</f>
        <v>11384286.339932222</v>
      </c>
      <c r="AA856" s="193">
        <f>(((D856*'Appendix K'!$C$7*1000)-('Appendix K'!$E$33+'Appendix K'!$F$33+'Appendix K'!$H$33+'Appendix K'!$G$33))/((1+$Y$16)^3))</f>
        <v>3253642.0278027058</v>
      </c>
      <c r="AB856" s="193">
        <f>(((E856*'Appendix K'!$C$8*1000)-('Appendix K'!$E$34+'Appendix K'!$F$34+'Appendix K'!$H$34+'Appendix K'!$G$34))/((1+$Y$16)^4))</f>
        <v>10719406.218614435</v>
      </c>
      <c r="AC856" s="193">
        <f>(((F856*'Appendix K'!$C$9*1000)-('Appendix K'!$E$35+'Appendix K'!$F$35+'Appendix K'!$H$35+'Appendix K'!$G$35))/((1+$Y$16)^AC$34))</f>
        <v>15523178.888985382</v>
      </c>
      <c r="AD856" s="193">
        <f>(((G856*'Appendix K'!$C$10*1000)-('Appendix K'!$E$36+'Appendix K'!$F$36+'Appendix K'!$H$36+'Appendix K'!$G$36))/((1+$Y$16)^AD$34))</f>
        <v>8810664.9959513564</v>
      </c>
      <c r="AE856" s="193">
        <f>(((H856*'Appendix K'!$C$11*1000)-('Appendix K'!$E$37+'Appendix K'!$F$37+'Appendix K'!$H$37+'Appendix K'!$G$37))/((1+$Y$16)^AE$34))</f>
        <v>7284704.4076197008</v>
      </c>
      <c r="AF856" s="193">
        <f>(((I856*'Appendix K'!$C$12*1000)-('Appendix K'!$E$38+'Appendix K'!$F$38+'Appendix K'!$H$38+'Appendix K'!$G$38))/((1+$Y$16)^AF$34))</f>
        <v>1699870.4645395908</v>
      </c>
      <c r="AG856" s="193">
        <f>(((J856*'Appendix K'!$C$13*1000)-('Appendix K'!$E$39+'Appendix K'!$F$39+'Appendix K'!$H$39+'Appendix K'!$G$39))/((1+$Y$16)^AG$34))</f>
        <v>2079077.6530019224</v>
      </c>
      <c r="AH856" s="193">
        <f>(((K856*'Appendix K'!$C$14*1000)-('Appendix K'!$E$40+'Appendix K'!$F$40+'Appendix K'!$H$40+'Appendix K'!$G$40))/((1+$Y$16)^AH$34))</f>
        <v>1823448.3562419058</v>
      </c>
      <c r="AI856" s="193">
        <f>(((L856*'Appendix K'!$C$15*1000)-('Appendix K'!$E$41+'Appendix K'!$F$41+'Appendix K'!$H$41+'Appendix K'!$G$41))/((1+$Y$16)^AI$34))</f>
        <v>2460493.5450073415</v>
      </c>
      <c r="AJ856" s="193">
        <f>(((M856*'Appendix K'!$C$16*1000)-('Appendix K'!$E$42+'Appendix K'!$F$42+'Appendix K'!$H$42+'Appendix K'!$G$42))/((1+$Y$16)^AJ$34))</f>
        <v>1412021.3508004686</v>
      </c>
      <c r="AK856" s="193">
        <f>(((N856*'Appendix K'!$C$17*1000)-('Appendix K'!$E$43+'Appendix K'!$F$43+'Appendix K'!$H$43))/((1+$Y$16)^AK$34))</f>
        <v>2846827.4318817733</v>
      </c>
      <c r="AL856" s="193">
        <f>(((O856*'Appendix K'!$C$18*1000)-('Appendix K'!$E$44+'Appendix K'!$F$44+'Appendix K'!$H$44+'Appendix K'!$G$44))/((1+$Y$16)^AL$34))</f>
        <v>1293562.0643806823</v>
      </c>
      <c r="AM856" s="193">
        <f>(((P856*'Appendix K'!$C$19*1000)-('Appendix K'!$E$45+'Appendix K'!$F$45+'Appendix K'!$H$45+'Appendix K'!$G$45))/((1+$Y$16)^AM$34))</f>
        <v>964738.70744196884</v>
      </c>
      <c r="AN856" s="193">
        <f>(((Q856*'Appendix K'!$C$20*1000)-('Appendix K'!$E$46+'Appendix K'!$F$46+'Appendix K'!$H$46+'Appendix K'!$G$46))/((1+$Y$16)^AN$34))</f>
        <v>783243.76476242358</v>
      </c>
      <c r="AO856" s="193">
        <f>(((R856*'Appendix K'!$C$21*1000)-('Appendix K'!$E$47+'Appendix K'!$F$47+'Appendix K'!$H$47+'Appendix K'!$G$47))/((1+$Y$16)^AO$34))</f>
        <v>33361.245693634475</v>
      </c>
      <c r="AP856" s="193">
        <f>(((S856*'Appendix K'!$C$22*1000)-('Appendix K'!$E$48+'Appendix K'!$F$48+'Appendix K'!$H$48+'Appendix K'!$G$48))/((1+$Y$16)^AP$34))</f>
        <v>161566.90100928233</v>
      </c>
      <c r="AQ856" s="193">
        <f>(((T856*'Appendix K'!$C$23*1000)-('Appendix K'!$E$49+'Appendix K'!$F$49+'Appendix K'!$H$49+'Appendix K'!$G$49))/((1+$Y$16)^AQ$34))</f>
        <v>245819.17856164029</v>
      </c>
      <c r="AR856" s="193">
        <f>(((U856*'Appendix K'!$C$24*1000)-('Appendix K'!$E$50+'Appendix K'!$F$50+'Appendix K'!$H$50+'Appendix K'!$G$50))/((1+$Y$16)^AR$34))</f>
        <v>120348.34252501077</v>
      </c>
      <c r="AS856" s="209">
        <f t="shared" si="40"/>
        <v>74276424.413325697</v>
      </c>
      <c r="AU856" s="199">
        <f t="shared" si="39"/>
        <v>6.8381066675241603E-9</v>
      </c>
    </row>
    <row r="857" spans="1:47" x14ac:dyDescent="0.35">
      <c r="A857">
        <v>823</v>
      </c>
      <c r="B857" s="70">
        <v>56</v>
      </c>
      <c r="C857" s="70">
        <v>85.59636910917115</v>
      </c>
      <c r="D857" s="70">
        <v>116.57285949195551</v>
      </c>
      <c r="E857" s="70">
        <v>81.998453454274809</v>
      </c>
      <c r="F857" s="70">
        <v>84.655069640223459</v>
      </c>
      <c r="G857" s="70">
        <v>123.03295016465381</v>
      </c>
      <c r="H857" s="70">
        <v>185.67859317795524</v>
      </c>
      <c r="I857" s="70">
        <v>196.13913578429779</v>
      </c>
      <c r="J857" s="70">
        <v>209.69722432889392</v>
      </c>
      <c r="K857" s="70">
        <v>294.1887701109805</v>
      </c>
      <c r="L857" s="70">
        <v>243.55336652885836</v>
      </c>
      <c r="M857" s="70">
        <v>241.57554640265613</v>
      </c>
      <c r="N857" s="70">
        <v>328.1181421327309</v>
      </c>
      <c r="O857" s="70">
        <v>278.58998403912653</v>
      </c>
      <c r="P857" s="70">
        <v>264.77472321751441</v>
      </c>
      <c r="Q857" s="70">
        <v>272.08339045920769</v>
      </c>
      <c r="R857" s="70">
        <v>332.62992072286625</v>
      </c>
      <c r="S857" s="70">
        <v>467.2261990137057</v>
      </c>
      <c r="T857" s="70">
        <v>500</v>
      </c>
      <c r="U857" s="70">
        <v>500</v>
      </c>
      <c r="V857" s="70">
        <v>381.88225356157773</v>
      </c>
      <c r="X857" s="193">
        <f>((0-('Appendix K'!$I$30))/(1+$Y$16)^0)</f>
        <v>-33594902.4440751</v>
      </c>
      <c r="Y857" s="193">
        <f>(((B857*'Appendix K'!$C$5*1000)-('Appendix K'!$E$31+'Appendix K'!$F$31+'Appendix K'!$H$31+'Appendix K'!$G$31))/((1+$Y$16)^1))</f>
        <v>34971064.972647354</v>
      </c>
      <c r="Z857" s="193">
        <f>+(((C857*'Appendix K'!$C$6*1000)-('Appendix K'!$E$32+'Appendix K'!$F$32+'Appendix K'!$H$32+'Appendix K'!$G$32))/((1+$Y$16)^2))</f>
        <v>18135859.132412445</v>
      </c>
      <c r="AA857" s="193">
        <f>(((D857*'Appendix K'!$C$7*1000)-('Appendix K'!$E$33+'Appendix K'!$F$33+'Appendix K'!$H$33+'Appendix K'!$G$33))/((1+$Y$16)^3))</f>
        <v>11883555.035327731</v>
      </c>
      <c r="AB857" s="193">
        <f>(((E857*'Appendix K'!$C$8*1000)-('Appendix K'!$E$34+'Appendix K'!$F$34+'Appendix K'!$H$34+'Appendix K'!$G$34))/((1+$Y$16)^4))</f>
        <v>14680102.484728925</v>
      </c>
      <c r="AC857" s="193">
        <f>(((F857*'Appendix K'!$C$9*1000)-('Appendix K'!$E$35+'Appendix K'!$F$35+'Appendix K'!$H$35+'Appendix K'!$G$35))/((1+$Y$16)^AC$34))</f>
        <v>19516956.058898192</v>
      </c>
      <c r="AD857" s="193">
        <f>(((G857*'Appendix K'!$C$10*1000)-('Appendix K'!$E$36+'Appendix K'!$F$36+'Appendix K'!$H$36+'Appendix K'!$G$36))/((1+$Y$16)^AD$34))</f>
        <v>16805817.682776533</v>
      </c>
      <c r="AE857" s="193">
        <f>(((H857*'Appendix K'!$C$11*1000)-('Appendix K'!$E$37+'Appendix K'!$F$37+'Appendix K'!$H$37+'Appendix K'!$G$37))/((1+$Y$16)^AE$34))</f>
        <v>16299201.643872894</v>
      </c>
      <c r="AF857" s="193">
        <f>(((I857*'Appendix K'!$C$12*1000)-('Appendix K'!$E$38+'Appendix K'!$F$38+'Appendix K'!$H$38+'Appendix K'!$G$38))/((1+$Y$16)^AF$34))</f>
        <v>10882392.682291532</v>
      </c>
      <c r="AG857" s="193">
        <f>(((J857*'Appendix K'!$C$13*1000)-('Appendix K'!$E$39+'Appendix K'!$F$39+'Appendix K'!$H$39+'Appendix K'!$G$39))/((1+$Y$16)^AG$34))</f>
        <v>7835098.5537845436</v>
      </c>
      <c r="AH857" s="193">
        <f>(((K857*'Appendix K'!$C$14*1000)-('Appendix K'!$E$40+'Appendix K'!$F$40+'Appendix K'!$H$40+'Appendix K'!$G$40))/((1+$Y$16)^AH$34))</f>
        <v>8283340.4950464247</v>
      </c>
      <c r="AI857" s="193">
        <f>(((L857*'Appendix K'!$C$15*1000)-('Appendix K'!$E$41+'Appendix K'!$F$41+'Appendix K'!$H$41+'Appendix K'!$G$41))/((1+$Y$16)^AI$34))</f>
        <v>4865072.3017537594</v>
      </c>
      <c r="AJ857" s="193">
        <f>(((M857*'Appendix K'!$C$16*1000)-('Appendix K'!$E$42+'Appendix K'!$F$42+'Appendix K'!$H$42+'Appendix K'!$G$42))/((1+$Y$16)^AJ$34))</f>
        <v>3460074.0074192095</v>
      </c>
      <c r="AK857" s="193">
        <f>(((N857*'Appendix K'!$C$17*1000)-('Appendix K'!$E$43+'Appendix K'!$F$43+'Appendix K'!$H$43))/((1+$Y$16)^AK$34))</f>
        <v>4036914.8749710931</v>
      </c>
      <c r="AL857" s="193">
        <f>(((O857*'Appendix K'!$C$18*1000)-('Appendix K'!$E$44+'Appendix K'!$F$44+'Appendix K'!$H$44+'Appendix K'!$G$44))/((1+$Y$16)^AL$34))</f>
        <v>2167619.9308406673</v>
      </c>
      <c r="AM857" s="193">
        <f>(((P857*'Appendix K'!$C$19*1000)-('Appendix K'!$E$45+'Appendix K'!$F$45+'Appendix K'!$H$45+'Appendix K'!$G$45))/((1+$Y$16)^AM$34))</f>
        <v>1427359.9527631127</v>
      </c>
      <c r="AN857" s="193">
        <f>(((Q857*'Appendix K'!$C$20*1000)-('Appendix K'!$E$46+'Appendix K'!$F$46+'Appendix K'!$H$46+'Appendix K'!$G$46))/((1+$Y$16)^AN$34))</f>
        <v>1053145.5869053348</v>
      </c>
      <c r="AO857" s="193">
        <f>(((R857*'Appendix K'!$C$21*1000)-('Appendix K'!$E$47+'Appendix K'!$F$47+'Appendix K'!$H$47+'Appendix K'!$G$47))/((1+$Y$16)^AO$34))</f>
        <v>1122880.6550581616</v>
      </c>
      <c r="AP857" s="193">
        <f>(((S857*'Appendix K'!$C$22*1000)-('Appendix K'!$E$48+'Appendix K'!$F$48+'Appendix K'!$H$48+'Appendix K'!$G$48))/((1+$Y$16)^AP$34))</f>
        <v>1473429.1295407226</v>
      </c>
      <c r="AQ857" s="193">
        <f>(((T857*'Appendix K'!$C$23*1000)-('Appendix K'!$E$49+'Appendix K'!$F$49+'Appendix K'!$H$49+'Appendix K'!$G$49))/((1+$Y$16)^AQ$34))</f>
        <v>1263386.3652054211</v>
      </c>
      <c r="AR857" s="193">
        <f>(((U857*'Appendix K'!$C$24*1000)-('Appendix K'!$E$50+'Appendix K'!$F$50+'Appendix K'!$H$50+'Appendix K'!$G$50))/((1+$Y$16)^AR$34))</f>
        <v>980725.14012097823</v>
      </c>
      <c r="AS857" s="209">
        <f t="shared" si="40"/>
        <v>147549094.24228993</v>
      </c>
      <c r="AU857" s="199">
        <f t="shared" si="39"/>
        <v>4.0249797856774122E-9</v>
      </c>
    </row>
    <row r="858" spans="1:47" x14ac:dyDescent="0.35">
      <c r="A858">
        <v>824</v>
      </c>
      <c r="B858" s="70">
        <v>56</v>
      </c>
      <c r="C858" s="70">
        <v>55.939391586780125</v>
      </c>
      <c r="D858" s="70">
        <v>71.374173490890882</v>
      </c>
      <c r="E858" s="70">
        <v>61.935184246682425</v>
      </c>
      <c r="F858" s="70">
        <v>79.84021981984155</v>
      </c>
      <c r="G858" s="70">
        <v>106.11808855283287</v>
      </c>
      <c r="H858" s="70">
        <v>85.43197657648011</v>
      </c>
      <c r="I858" s="70">
        <v>104.31739057856552</v>
      </c>
      <c r="J858" s="70">
        <v>72.495243999311469</v>
      </c>
      <c r="K858" s="70">
        <v>98.110757611414016</v>
      </c>
      <c r="L858" s="70">
        <v>103.10603376988786</v>
      </c>
      <c r="M858" s="70">
        <v>147.57894600969865</v>
      </c>
      <c r="N858" s="70">
        <v>134.46510033289437</v>
      </c>
      <c r="O858" s="70">
        <v>178.04843687358937</v>
      </c>
      <c r="P858" s="70">
        <v>213.99272999487221</v>
      </c>
      <c r="Q858" s="70">
        <v>236.00491110459723</v>
      </c>
      <c r="R858" s="70">
        <v>195.18585224884848</v>
      </c>
      <c r="S858" s="70">
        <v>246.43179676559373</v>
      </c>
      <c r="T858" s="70">
        <v>350.97317437951199</v>
      </c>
      <c r="U858" s="70">
        <v>411.57786121170346</v>
      </c>
      <c r="V858" s="70">
        <v>472.61237408357846</v>
      </c>
      <c r="X858" s="193">
        <f>((0-('Appendix K'!$I$30))/(1+$Y$16)^0)</f>
        <v>-33594902.4440751</v>
      </c>
      <c r="Y858" s="193">
        <f>(((B858*'Appendix K'!$C$5*1000)-('Appendix K'!$E$31+'Appendix K'!$F$31+'Appendix K'!$H$31+'Appendix K'!$G$31))/((1+$Y$16)^1))</f>
        <v>34971064.972647354</v>
      </c>
      <c r="Z858" s="193">
        <f>+(((C858*'Appendix K'!$C$6*1000)-('Appendix K'!$E$32+'Appendix K'!$F$32+'Appendix K'!$H$32+'Appendix K'!$G$32))/((1+$Y$16)^2))</f>
        <v>10643999.383289898</v>
      </c>
      <c r="AA858" s="193">
        <f>(((D858*'Appendix K'!$C$7*1000)-('Appendix K'!$E$33+'Appendix K'!$F$33+'Appendix K'!$H$33+'Appendix K'!$G$33))/((1+$Y$16)^3))</f>
        <v>6126378.1751718288</v>
      </c>
      <c r="AB858" s="193">
        <f>(((E858*'Appendix K'!$C$8*1000)-('Appendix K'!$E$34+'Appendix K'!$F$34+'Appendix K'!$H$34+'Appendix K'!$G$34))/((1+$Y$16)^4))</f>
        <v>10282417.535976781</v>
      </c>
      <c r="AC858" s="193">
        <f>(((F858*'Appendix K'!$C$9*1000)-('Appendix K'!$E$35+'Appendix K'!$F$35+'Appendix K'!$H$35+'Appendix K'!$G$35))/((1+$Y$16)^AC$34))</f>
        <v>18237176.537311662</v>
      </c>
      <c r="AD858" s="193">
        <f>(((G858*'Appendix K'!$C$10*1000)-('Appendix K'!$E$36+'Appendix K'!$F$36+'Appendix K'!$H$36+'Appendix K'!$G$36))/((1+$Y$16)^AD$34))</f>
        <v>14149440.975904489</v>
      </c>
      <c r="AE858" s="193">
        <f>(((H858*'Appendix K'!$C$11*1000)-('Appendix K'!$E$37+'Appendix K'!$F$37+'Appendix K'!$H$37+'Appendix K'!$G$37))/((1+$Y$16)^AE$34))</f>
        <v>6300841.8051617406</v>
      </c>
      <c r="AF858" s="193">
        <f>(((I858*'Appendix K'!$C$12*1000)-('Appendix K'!$E$38+'Appendix K'!$F$38+'Appendix K'!$H$38+'Appendix K'!$G$38))/((1+$Y$16)^AF$34))</f>
        <v>4853154.0371229537</v>
      </c>
      <c r="AG858" s="193">
        <f>(((J858*'Appendix K'!$C$13*1000)-('Appendix K'!$E$39+'Appendix K'!$F$39+'Appendix K'!$H$39+'Appendix K'!$G$39))/((1+$Y$16)^AG$34))</f>
        <v>1521209.8736531169</v>
      </c>
      <c r="AH858" s="193">
        <f>(((K858*'Appendix K'!$C$14*1000)-('Appendix K'!$E$40+'Appendix K'!$F$40+'Appendix K'!$H$40+'Appendix K'!$G$40))/((1+$Y$16)^AH$34))</f>
        <v>1674231.7204360599</v>
      </c>
      <c r="AI858" s="193">
        <f>(((L858*'Appendix K'!$C$15*1000)-('Appendix K'!$E$41+'Appendix K'!$F$41+'Appendix K'!$H$41+'Appendix K'!$G$41))/((1+$Y$16)^AI$34))</f>
        <v>1185089.5456686257</v>
      </c>
      <c r="AJ858" s="193">
        <f>(((M858*'Appendix K'!$C$16*1000)-('Appendix K'!$E$42+'Appendix K'!$F$42+'Appendix K'!$H$42+'Appendix K'!$G$42))/((1+$Y$16)^AJ$34))</f>
        <v>1576206.6459642353</v>
      </c>
      <c r="AK858" s="193">
        <f>(((N858*'Appendix K'!$C$17*1000)-('Appendix K'!$E$43+'Appendix K'!$F$43+'Appendix K'!$H$43))/((1+$Y$16)^AK$34))</f>
        <v>1061649.3974331787</v>
      </c>
      <c r="AL858" s="193">
        <f>(((O858*'Appendix K'!$C$18*1000)-('Appendix K'!$E$44+'Appendix K'!$F$44+'Appendix K'!$H$44+'Appendix K'!$G$44))/((1+$Y$16)^AL$34))</f>
        <v>975871.38772354682</v>
      </c>
      <c r="AM858" s="193">
        <f>(((P858*'Appendix K'!$C$19*1000)-('Appendix K'!$E$45+'Appendix K'!$F$45+'Appendix K'!$H$45+'Appendix K'!$G$45))/((1+$Y$16)^AM$34))</f>
        <v>956675.27770543715</v>
      </c>
      <c r="AN858" s="193">
        <f>(((Q858*'Appendix K'!$C$20*1000)-('Appendix K'!$E$46+'Appendix K'!$F$46+'Appendix K'!$H$46+'Appendix K'!$G$46))/((1+$Y$16)^AN$34))</f>
        <v>792073.88520205661</v>
      </c>
      <c r="AO858" s="193">
        <f>(((R858*'Appendix K'!$C$21*1000)-('Appendix K'!$E$47+'Appendix K'!$F$47+'Appendix K'!$H$47+'Appendix K'!$G$47))/((1+$Y$16)^AO$34))</f>
        <v>310571.02555050119</v>
      </c>
      <c r="AP858" s="193">
        <f>(((S858*'Appendix K'!$C$22*1000)-('Appendix K'!$E$48+'Appendix K'!$F$48+'Appendix K'!$H$48+'Appendix K'!$G$48))/((1+$Y$16)^AP$34))</f>
        <v>415885.91055722081</v>
      </c>
      <c r="AQ858" s="193">
        <f>(((T858*'Appendix K'!$C$23*1000)-('Appendix K'!$E$49+'Appendix K'!$F$49+'Appendix K'!$H$49+'Appendix K'!$G$49))/((1+$Y$16)^AQ$34))</f>
        <v>680133.52157263795</v>
      </c>
      <c r="AR858" s="193">
        <f>(((U858*'Appendix K'!$C$24*1000)-('Appendix K'!$E$50+'Appendix K'!$F$50+'Appendix K'!$H$50+'Appendix K'!$G$50))/((1+$Y$16)^AR$34))</f>
        <v>696003.37573526218</v>
      </c>
      <c r="AS858" s="209">
        <f t="shared" si="40"/>
        <v>83815172.545713484</v>
      </c>
      <c r="AU858" s="199">
        <f t="shared" si="39"/>
        <v>7.0139171659059669E-9</v>
      </c>
    </row>
    <row r="859" spans="1:47" x14ac:dyDescent="0.35">
      <c r="A859">
        <v>825</v>
      </c>
      <c r="B859" s="70">
        <v>56</v>
      </c>
      <c r="C859" s="70">
        <v>42.395693127825439</v>
      </c>
      <c r="D859" s="70">
        <v>28.961340967455371</v>
      </c>
      <c r="E859" s="70">
        <v>42.809656198281985</v>
      </c>
      <c r="F859" s="70">
        <v>54.41519740364388</v>
      </c>
      <c r="G859" s="70">
        <v>72.612624795522862</v>
      </c>
      <c r="H859" s="70">
        <v>85.618363145096566</v>
      </c>
      <c r="I859" s="70">
        <v>135.0356508722941</v>
      </c>
      <c r="J859" s="70">
        <v>214.74596982623282</v>
      </c>
      <c r="K859" s="70">
        <v>248.12261481737309</v>
      </c>
      <c r="L859" s="70">
        <v>223.88965566045076</v>
      </c>
      <c r="M859" s="70">
        <v>314.18181476545158</v>
      </c>
      <c r="N859" s="70">
        <v>338.59867331849046</v>
      </c>
      <c r="O859" s="70">
        <v>305.27905718322944</v>
      </c>
      <c r="P859" s="70">
        <v>303.55370697818273</v>
      </c>
      <c r="Q859" s="70">
        <v>290.52181952575842</v>
      </c>
      <c r="R859" s="70">
        <v>263.00240303408907</v>
      </c>
      <c r="S859" s="70">
        <v>216.39565506479335</v>
      </c>
      <c r="T859" s="70">
        <v>141.84613720553739</v>
      </c>
      <c r="U859" s="70">
        <v>256.10838635415649</v>
      </c>
      <c r="V859" s="70">
        <v>312.30945085969307</v>
      </c>
      <c r="X859" s="193">
        <f>((0-('Appendix K'!$I$30))/(1+$Y$16)^0)</f>
        <v>-33594902.4440751</v>
      </c>
      <c r="Y859" s="193">
        <f>(((B859*'Appendix K'!$C$5*1000)-('Appendix K'!$E$31+'Appendix K'!$F$31+'Appendix K'!$H$31+'Appendix K'!$G$31))/((1+$Y$16)^1))</f>
        <v>34971064.972647354</v>
      </c>
      <c r="Z859" s="193">
        <f>+(((C859*'Appendix K'!$C$6*1000)-('Appendix K'!$E$32+'Appendix K'!$F$32+'Appendix K'!$H$32+'Appendix K'!$G$32))/((1+$Y$16)^2))</f>
        <v>7222629.5130026173</v>
      </c>
      <c r="AA859" s="193">
        <f>(((D859*'Appendix K'!$C$7*1000)-('Appendix K'!$E$33+'Appendix K'!$F$33+'Appendix K'!$H$33+'Appendix K'!$G$33))/((1+$Y$16)^3))</f>
        <v>724049.04613831767</v>
      </c>
      <c r="AB859" s="193">
        <f>(((E859*'Appendix K'!$C$8*1000)-('Appendix K'!$E$34+'Appendix K'!$F$34+'Appendix K'!$H$34+'Appendix K'!$G$34))/((1+$Y$16)^4))</f>
        <v>6090276.8651254298</v>
      </c>
      <c r="AC859" s="193">
        <f>(((F859*'Appendix K'!$C$9*1000)-('Appendix K'!$E$35+'Appendix K'!$F$35+'Appendix K'!$H$35+'Appendix K'!$G$35))/((1+$Y$16)^AC$34))</f>
        <v>11479245.503535956</v>
      </c>
      <c r="AD859" s="193">
        <f>(((G859*'Appendix K'!$C$10*1000)-('Appendix K'!$E$36+'Appendix K'!$F$36+'Appendix K'!$H$36+'Appendix K'!$G$36))/((1+$Y$16)^AD$34))</f>
        <v>8887610.5500697438</v>
      </c>
      <c r="AE859" s="193">
        <f>(((H859*'Appendix K'!$C$11*1000)-('Appendix K'!$E$37+'Appendix K'!$F$37+'Appendix K'!$H$37+'Appendix K'!$G$37))/((1+$Y$16)^AE$34))</f>
        <v>6319431.5595625136</v>
      </c>
      <c r="AF859" s="193">
        <f>(((I859*'Appendix K'!$C$12*1000)-('Appendix K'!$E$38+'Appendix K'!$F$38+'Appendix K'!$H$38+'Appendix K'!$G$38))/((1+$Y$16)^AF$34))</f>
        <v>6870189.5624260996</v>
      </c>
      <c r="AG859" s="193">
        <f>(((J859*'Appendix K'!$C$13*1000)-('Appendix K'!$E$39+'Appendix K'!$F$39+'Appendix K'!$H$39+'Appendix K'!$G$39))/((1+$Y$16)^AG$34))</f>
        <v>8067436.4323482346</v>
      </c>
      <c r="AH859" s="193">
        <f>(((K859*'Appendix K'!$C$14*1000)-('Appendix K'!$E$40+'Appendix K'!$F$40+'Appendix K'!$H$40+'Appendix K'!$G$40))/((1+$Y$16)^AH$34))</f>
        <v>6730610.3990892479</v>
      </c>
      <c r="AI859" s="193">
        <f>(((L859*'Appendix K'!$C$15*1000)-('Appendix K'!$E$41+'Appendix K'!$F$41+'Appendix K'!$H$41+'Appendix K'!$G$41))/((1+$Y$16)^AI$34))</f>
        <v>4349846.3056818489</v>
      </c>
      <c r="AJ859" s="193">
        <f>(((M859*'Appendix K'!$C$16*1000)-('Appendix K'!$E$42+'Appendix K'!$F$42+'Appendix K'!$H$42+'Appendix K'!$G$42))/((1+$Y$16)^AJ$34))</f>
        <v>4915239.1797115384</v>
      </c>
      <c r="AK859" s="193">
        <f>(((N859*'Appendix K'!$C$17*1000)-('Appendix K'!$E$43+'Appendix K'!$F$43+'Appendix K'!$H$43))/((1+$Y$16)^AK$34))</f>
        <v>4197936.6814629361</v>
      </c>
      <c r="AL859" s="193">
        <f>(((O859*'Appendix K'!$C$18*1000)-('Appendix K'!$E$44+'Appendix K'!$F$44+'Appendix K'!$H$44+'Appendix K'!$G$44))/((1+$Y$16)^AL$34))</f>
        <v>2483973.3681342341</v>
      </c>
      <c r="AM859" s="193">
        <f>(((P859*'Appendix K'!$C$19*1000)-('Appendix K'!$E$45+'Appendix K'!$F$45+'Appendix K'!$H$45+'Appendix K'!$G$45))/((1+$Y$16)^AM$34))</f>
        <v>1786791.9524176419</v>
      </c>
      <c r="AN859" s="193">
        <f>(((Q859*'Appendix K'!$C$20*1000)-('Appendix K'!$E$46+'Appendix K'!$F$46+'Appendix K'!$H$46+'Appendix K'!$G$46))/((1+$Y$16)^AN$34))</f>
        <v>1186570.058758094</v>
      </c>
      <c r="AO859" s="193">
        <f>(((R859*'Appendix K'!$C$21*1000)-('Appendix K'!$E$47+'Appendix K'!$F$47+'Appendix K'!$H$47+'Appendix K'!$G$47))/((1+$Y$16)^AO$34))</f>
        <v>711374.33306653262</v>
      </c>
      <c r="AP859" s="193">
        <f>(((S859*'Appendix K'!$C$22*1000)-('Appendix K'!$E$48+'Appendix K'!$F$48+'Appendix K'!$H$48+'Appendix K'!$G$48))/((1+$Y$16)^AP$34))</f>
        <v>272021.22170331364</v>
      </c>
      <c r="AQ859" s="193">
        <f>(((T859*'Appendix K'!$C$23*1000)-('Appendix K'!$E$49+'Appendix K'!$F$49+'Appendix K'!$H$49+'Appendix K'!$G$49))/((1+$Y$16)^AQ$34))</f>
        <v>-138336.16403174124</v>
      </c>
      <c r="AR859" s="193">
        <f>(((U859*'Appendix K'!$C$24*1000)-('Appendix K'!$E$50+'Appendix K'!$F$50+'Appendix K'!$H$50+'Appendix K'!$G$50))/((1+$Y$16)^AR$34))</f>
        <v>195387.31061673304</v>
      </c>
      <c r="AS859" s="209">
        <f t="shared" si="40"/>
        <v>83866782.371423304</v>
      </c>
      <c r="AU859" s="199">
        <f t="shared" si="39"/>
        <v>7.0143415846788073E-9</v>
      </c>
    </row>
    <row r="860" spans="1:47" x14ac:dyDescent="0.35">
      <c r="A860">
        <v>826</v>
      </c>
      <c r="B860" s="70">
        <v>56</v>
      </c>
      <c r="C860" s="70">
        <v>41.557083364112145</v>
      </c>
      <c r="D860" s="70">
        <v>53.577079283135973</v>
      </c>
      <c r="E860" s="70">
        <v>49.241788460341311</v>
      </c>
      <c r="F860" s="70">
        <v>52.075712356339423</v>
      </c>
      <c r="G860" s="70">
        <v>63.002735900891309</v>
      </c>
      <c r="H860" s="70">
        <v>64.057011600725588</v>
      </c>
      <c r="I860" s="70">
        <v>93.361174936107616</v>
      </c>
      <c r="J860" s="70">
        <v>109.13990043197177</v>
      </c>
      <c r="K860" s="70">
        <v>77.293253192652756</v>
      </c>
      <c r="L860" s="70">
        <v>77.997301110507337</v>
      </c>
      <c r="M860" s="70">
        <v>59.227046198769422</v>
      </c>
      <c r="N860" s="70">
        <v>81.817121449534284</v>
      </c>
      <c r="O860" s="70">
        <v>105.37505946371169</v>
      </c>
      <c r="P860" s="70">
        <v>106.43915744980271</v>
      </c>
      <c r="Q860" s="70">
        <v>93.5389854269675</v>
      </c>
      <c r="R860" s="70">
        <v>69.953547336269907</v>
      </c>
      <c r="S860" s="70">
        <v>70.668237195852342</v>
      </c>
      <c r="T860" s="70">
        <v>72.914730716202456</v>
      </c>
      <c r="U860" s="70">
        <v>108.53546697843834</v>
      </c>
      <c r="V860" s="70">
        <v>183.27170656304392</v>
      </c>
      <c r="X860" s="193">
        <f>((0-('Appendix K'!$I$30))/(1+$Y$16)^0)</f>
        <v>-33594902.4440751</v>
      </c>
      <c r="Y860" s="193">
        <f>(((B860*'Appendix K'!$C$5*1000)-('Appendix K'!$E$31+'Appendix K'!$F$31+'Appendix K'!$H$31+'Appendix K'!$G$31))/((1+$Y$16)^1))</f>
        <v>34971064.972647354</v>
      </c>
      <c r="Z860" s="193">
        <f>+(((C860*'Appendix K'!$C$6*1000)-('Appendix K'!$E$32+'Appendix K'!$F$32+'Appendix K'!$H$32+'Appendix K'!$G$32))/((1+$Y$16)^2))</f>
        <v>7010782.3438417893</v>
      </c>
      <c r="AA860" s="193">
        <f>(((D860*'Appendix K'!$C$7*1000)-('Appendix K'!$E$33+'Appendix K'!$F$33+'Appendix K'!$H$33+'Appendix K'!$G$33))/((1+$Y$16)^3))</f>
        <v>3859475.572107486</v>
      </c>
      <c r="AB860" s="193">
        <f>(((E860*'Appendix K'!$C$8*1000)-('Appendix K'!$E$34+'Appendix K'!$F$34+'Appendix K'!$H$34+'Appendix K'!$G$34))/((1+$Y$16)^4))</f>
        <v>7500141.3764652452</v>
      </c>
      <c r="AC860" s="193">
        <f>(((F860*'Appendix K'!$C$9*1000)-('Appendix K'!$E$35+'Appendix K'!$F$35+'Appendix K'!$H$35+'Appendix K'!$G$35))/((1+$Y$16)^AC$34))</f>
        <v>10857414.051613193</v>
      </c>
      <c r="AD860" s="193">
        <f>(((G860*'Appendix K'!$C$10*1000)-('Appendix K'!$E$36+'Appendix K'!$F$36+'Appendix K'!$H$36+'Appendix K'!$G$36))/((1+$Y$16)^AD$34))</f>
        <v>7378435.6244240198</v>
      </c>
      <c r="AE860" s="193">
        <f>(((H860*'Appendix K'!$C$11*1000)-('Appendix K'!$E$37+'Appendix K'!$F$37+'Appendix K'!$H$37+'Appendix K'!$G$37))/((1+$Y$16)^AE$34))</f>
        <v>4168953.4820171087</v>
      </c>
      <c r="AF860" s="193">
        <f>(((I860*'Appendix K'!$C$12*1000)-('Appendix K'!$E$38+'Appendix K'!$F$38+'Appendix K'!$H$38+'Appendix K'!$G$38))/((1+$Y$16)^AF$34))</f>
        <v>4133742.326876089</v>
      </c>
      <c r="AG860" s="193">
        <f>(((J860*'Appendix K'!$C$13*1000)-('Appendix K'!$E$39+'Appendix K'!$F$39+'Appendix K'!$H$39+'Appendix K'!$G$39))/((1+$Y$16)^AG$34))</f>
        <v>3207557.8467777641</v>
      </c>
      <c r="AH860" s="193">
        <f>(((K860*'Appendix K'!$C$14*1000)-('Appendix K'!$E$40+'Appendix K'!$F$40+'Appendix K'!$H$40+'Appendix K'!$G$40))/((1+$Y$16)^AH$34))</f>
        <v>972545.95074870472</v>
      </c>
      <c r="AI860" s="193">
        <f>(((L860*'Appendix K'!$C$15*1000)-('Appendix K'!$E$41+'Appendix K'!$F$41+'Appendix K'!$H$41+'Appendix K'!$G$41))/((1+$Y$16)^AI$34))</f>
        <v>527193.79643254541</v>
      </c>
      <c r="AJ860" s="193">
        <f>(((M860*'Appendix K'!$C$16*1000)-('Appendix K'!$E$42+'Appendix K'!$F$42+'Appendix K'!$H$42+'Appendix K'!$G$42))/((1+$Y$16)^AJ$34))</f>
        <v>-194530.37729538418</v>
      </c>
      <c r="AK860" s="193">
        <f>(((N860*'Appendix K'!$C$17*1000)-('Appendix K'!$E$43+'Appendix K'!$F$43+'Appendix K'!$H$43))/((1+$Y$16)^AK$34))</f>
        <v>252771.24825484439</v>
      </c>
      <c r="AL860" s="193">
        <f>(((O860*'Appendix K'!$C$18*1000)-('Appendix K'!$E$44+'Appendix K'!$F$44+'Appendix K'!$H$44+'Appendix K'!$G$44))/((1+$Y$16)^AL$34))</f>
        <v>114452.46098845747</v>
      </c>
      <c r="AM860" s="193">
        <f>(((P860*'Appendix K'!$C$19*1000)-('Appendix K'!$E$45+'Appendix K'!$F$45+'Appendix K'!$H$45+'Appendix K'!$G$45))/((1+$Y$16)^AM$34))</f>
        <v>-40209.939515545382</v>
      </c>
      <c r="AN860" s="193">
        <f>(((Q860*'Appendix K'!$C$20*1000)-('Appendix K'!$E$46+'Appendix K'!$F$46+'Appendix K'!$H$46+'Appendix K'!$G$46))/((1+$Y$16)^AN$34))</f>
        <v>-238840.45256197566</v>
      </c>
      <c r="AO860" s="193">
        <f>(((R860*'Appendix K'!$C$21*1000)-('Appendix K'!$E$47+'Appendix K'!$F$47+'Appendix K'!$H$47+'Appendix K'!$G$47))/((1+$Y$16)^AO$34))</f>
        <v>-429565.73215292388</v>
      </c>
      <c r="AP860" s="193">
        <f>(((S860*'Appendix K'!$C$22*1000)-('Appendix K'!$E$48+'Appendix K'!$F$48+'Appendix K'!$H$48+'Appendix K'!$G$48))/((1+$Y$16)^AP$34))</f>
        <v>-425972.21027732693</v>
      </c>
      <c r="AQ860" s="193">
        <f>(((T860*'Appendix K'!$C$23*1000)-('Appendix K'!$E$49+'Appendix K'!$F$49+'Appendix K'!$H$49+'Appendix K'!$G$49))/((1+$Y$16)^AQ$34))</f>
        <v>-408116.04213836195</v>
      </c>
      <c r="AR860" s="193">
        <f>(((U860*'Appendix K'!$C$24*1000)-('Appendix K'!$E$50+'Appendix K'!$F$50+'Appendix K'!$H$50+'Appendix K'!$G$50))/((1+$Y$16)^AR$34))</f>
        <v>-279801.62459783617</v>
      </c>
      <c r="AS860" s="209">
        <f t="shared" si="40"/>
        <v>51359628.609119527</v>
      </c>
      <c r="AU860" s="199">
        <f t="shared" si="39"/>
        <v>5.7319403808787777E-9</v>
      </c>
    </row>
    <row r="861" spans="1:47" x14ac:dyDescent="0.35">
      <c r="A861">
        <v>827</v>
      </c>
      <c r="B861" s="70">
        <v>56</v>
      </c>
      <c r="C861" s="70">
        <v>58.882054598997193</v>
      </c>
      <c r="D861" s="70">
        <v>62.590564727991534</v>
      </c>
      <c r="E861" s="70">
        <v>77.472876641196009</v>
      </c>
      <c r="F861" s="70">
        <v>86.841769975001398</v>
      </c>
      <c r="G861" s="70">
        <v>65.96249779212387</v>
      </c>
      <c r="H861" s="70">
        <v>81.253139404527587</v>
      </c>
      <c r="I861" s="70">
        <v>110.02206245708749</v>
      </c>
      <c r="J861" s="70">
        <v>61.758569379682228</v>
      </c>
      <c r="K861" s="70">
        <v>75.362431444495002</v>
      </c>
      <c r="L861" s="70">
        <v>87.927114277459822</v>
      </c>
      <c r="M861" s="70">
        <v>91.217978823063447</v>
      </c>
      <c r="N861" s="70">
        <v>97.543381739069403</v>
      </c>
      <c r="O861" s="70">
        <v>60.57160377371568</v>
      </c>
      <c r="P861" s="70">
        <v>64.424413885221767</v>
      </c>
      <c r="Q861" s="70">
        <v>76.213686498780248</v>
      </c>
      <c r="R861" s="70">
        <v>83.542324373459579</v>
      </c>
      <c r="S861" s="70">
        <v>111.49857915809422</v>
      </c>
      <c r="T861" s="70">
        <v>86.795512824810615</v>
      </c>
      <c r="U861" s="70">
        <v>95.904092539572616</v>
      </c>
      <c r="V861" s="70">
        <v>138.52273017546486</v>
      </c>
      <c r="X861" s="193">
        <f>((0-('Appendix K'!$I$30))/(1+$Y$16)^0)</f>
        <v>-33594902.4440751</v>
      </c>
      <c r="Y861" s="193">
        <f>(((B861*'Appendix K'!$C$5*1000)-('Appendix K'!$E$31+'Appendix K'!$F$31+'Appendix K'!$H$31+'Appendix K'!$G$31))/((1+$Y$16)^1))</f>
        <v>34971064.972647354</v>
      </c>
      <c r="Z861" s="193">
        <f>+(((C861*'Appendix K'!$C$6*1000)-('Appendix K'!$E$32+'Appendix K'!$F$32+'Appendix K'!$H$32+'Appendix K'!$G$32))/((1+$Y$16)^2))</f>
        <v>11387366.38890657</v>
      </c>
      <c r="AA861" s="193">
        <f>(((D861*'Appendix K'!$C$7*1000)-('Appendix K'!$E$33+'Appendix K'!$F$33+'Appendix K'!$H$33+'Appendix K'!$G$33))/((1+$Y$16)^3))</f>
        <v>5007567.1301508369</v>
      </c>
      <c r="AB861" s="193">
        <f>(((E861*'Appendix K'!$C$8*1000)-('Appendix K'!$E$34+'Appendix K'!$F$34+'Appendix K'!$H$34+'Appendix K'!$G$34))/((1+$Y$16)^4))</f>
        <v>13688137.474970348</v>
      </c>
      <c r="AC861" s="193">
        <f>(((F861*'Appendix K'!$C$9*1000)-('Appendix K'!$E$35+'Appendix K'!$F$35+'Appendix K'!$H$35+'Appendix K'!$G$35))/((1+$Y$16)^AC$34))</f>
        <v>20098177.574146461</v>
      </c>
      <c r="AD861" s="193">
        <f>(((G861*'Appendix K'!$C$10*1000)-('Appendix K'!$E$36+'Appendix K'!$F$36+'Appendix K'!$H$36+'Appendix K'!$G$36))/((1+$Y$16)^AD$34))</f>
        <v>7843248.3273705905</v>
      </c>
      <c r="AE861" s="193">
        <f>(((H861*'Appendix K'!$C$11*1000)-('Appendix K'!$E$37+'Appendix K'!$F$37+'Appendix K'!$H$37+'Appendix K'!$G$37))/((1+$Y$16)^AE$34))</f>
        <v>5884054.4943374414</v>
      </c>
      <c r="AF861" s="193">
        <f>(((I861*'Appendix K'!$C$12*1000)-('Appendix K'!$E$38+'Appendix K'!$F$38+'Appendix K'!$H$38+'Appendix K'!$G$38))/((1+$Y$16)^AF$34))</f>
        <v>5227736.6381280581</v>
      </c>
      <c r="AG861" s="193">
        <f>(((J861*'Appendix K'!$C$13*1000)-('Appendix K'!$E$39+'Appendix K'!$F$39+'Appendix K'!$H$39+'Appendix K'!$G$39))/((1+$Y$16)^AG$34))</f>
        <v>1027119.5683944905</v>
      </c>
      <c r="AH861" s="193">
        <f>(((K861*'Appendix K'!$C$14*1000)-('Appendix K'!$E$40+'Appendix K'!$F$40+'Appendix K'!$H$40+'Appendix K'!$G$40))/((1+$Y$16)^AH$34))</f>
        <v>907464.65583305934</v>
      </c>
      <c r="AI861" s="193">
        <f>(((L861*'Appendix K'!$C$15*1000)-('Appendix K'!$E$41+'Appendix K'!$F$41+'Appendix K'!$H$41+'Appendix K'!$G$41))/((1+$Y$16)^AI$34))</f>
        <v>787373.4702483752</v>
      </c>
      <c r="AJ861" s="193">
        <f>(((M861*'Appendix K'!$C$16*1000)-('Appendix K'!$E$42+'Appendix K'!$F$42+'Appendix K'!$H$42+'Appendix K'!$G$42))/((1+$Y$16)^AJ$34))</f>
        <v>446627.63886120863</v>
      </c>
      <c r="AK861" s="193">
        <f>(((N861*'Appendix K'!$C$17*1000)-('Appendix K'!$E$43+'Appendix K'!$F$43+'Appendix K'!$H$43))/((1+$Y$16)^AK$34))</f>
        <v>494387.89881379635</v>
      </c>
      <c r="AL861" s="193">
        <f>(((O861*'Appendix K'!$C$18*1000)-('Appendix K'!$E$44+'Appendix K'!$F$44+'Appendix K'!$H$44+'Appendix K'!$G$44))/((1+$Y$16)^AL$34))</f>
        <v>-416616.08281715616</v>
      </c>
      <c r="AM861" s="193">
        <f>(((P861*'Appendix K'!$C$19*1000)-('Appendix K'!$E$45+'Appendix K'!$F$45+'Appendix K'!$H$45+'Appendix K'!$G$45))/((1+$Y$16)^AM$34))</f>
        <v>-429633.32893675717</v>
      </c>
      <c r="AN861" s="193">
        <f>(((Q861*'Appendix K'!$C$20*1000)-('Appendix K'!$E$46+'Appendix K'!$F$46+'Appendix K'!$H$46+'Appendix K'!$G$46))/((1+$Y$16)^AN$34))</f>
        <v>-364210.0733057562</v>
      </c>
      <c r="AO861" s="193">
        <f>(((R861*'Appendix K'!$C$21*1000)-('Appendix K'!$E$47+'Appendix K'!$F$47+'Appendix K'!$H$47+'Appendix K'!$G$47))/((1+$Y$16)^AO$34))</f>
        <v>-349254.55857449915</v>
      </c>
      <c r="AP861" s="193">
        <f>(((S861*'Appendix K'!$C$22*1000)-('Appendix K'!$E$48+'Appendix K'!$F$48+'Appendix K'!$H$48+'Appendix K'!$G$48))/((1+$Y$16)^AP$34))</f>
        <v>-230406.33165317521</v>
      </c>
      <c r="AQ861" s="193">
        <f>(((T861*'Appendix K'!$C$23*1000)-('Appendix K'!$E$49+'Appendix K'!$F$49+'Appendix K'!$H$49+'Appendix K'!$G$49))/((1+$Y$16)^AQ$34))</f>
        <v>-353790.21453662496</v>
      </c>
      <c r="AR861" s="193">
        <f>(((U861*'Appendix K'!$C$24*1000)-('Appendix K'!$E$50+'Appendix K'!$F$50+'Appendix K'!$H$50+'Appendix K'!$G$50))/((1+$Y$16)^AR$34))</f>
        <v>-320475.00420767767</v>
      </c>
      <c r="AS861" s="209">
        <f t="shared" si="40"/>
        <v>74175423.788733482</v>
      </c>
      <c r="AU861" s="199">
        <f t="shared" si="39"/>
        <v>6.8352356526493176E-9</v>
      </c>
    </row>
    <row r="862" spans="1:47" x14ac:dyDescent="0.35">
      <c r="A862">
        <v>828</v>
      </c>
      <c r="B862" s="70">
        <v>56</v>
      </c>
      <c r="C862" s="70">
        <v>69.822126905923653</v>
      </c>
      <c r="D862" s="70">
        <v>73.324652817719411</v>
      </c>
      <c r="E862" s="70">
        <v>98.051974072752557</v>
      </c>
      <c r="F862" s="70">
        <v>128.94492050993688</v>
      </c>
      <c r="G862" s="70">
        <v>123.61397925848125</v>
      </c>
      <c r="H862" s="70">
        <v>255.99236144170379</v>
      </c>
      <c r="I862" s="70">
        <v>297.86179828623938</v>
      </c>
      <c r="J862" s="70">
        <v>432.16046991640133</v>
      </c>
      <c r="K862" s="70">
        <v>500</v>
      </c>
      <c r="L862" s="70">
        <v>500</v>
      </c>
      <c r="M862" s="70">
        <v>500</v>
      </c>
      <c r="N862" s="70">
        <v>500</v>
      </c>
      <c r="O862" s="70">
        <v>500</v>
      </c>
      <c r="P862" s="70">
        <v>500</v>
      </c>
      <c r="Q862" s="70">
        <v>500</v>
      </c>
      <c r="R862" s="70">
        <v>500</v>
      </c>
      <c r="S862" s="70">
        <v>352.0920396839897</v>
      </c>
      <c r="T862" s="70">
        <v>294.84828765840274</v>
      </c>
      <c r="U862" s="70">
        <v>375.06636061319375</v>
      </c>
      <c r="V862" s="70">
        <v>500</v>
      </c>
      <c r="X862" s="193">
        <f>((0-('Appendix K'!$I$30))/(1+$Y$16)^0)</f>
        <v>-33594902.4440751</v>
      </c>
      <c r="Y862" s="193">
        <f>(((B862*'Appendix K'!$C$5*1000)-('Appendix K'!$E$31+'Appendix K'!$F$31+'Appendix K'!$H$31+'Appendix K'!$G$31))/((1+$Y$16)^1))</f>
        <v>34971064.972647354</v>
      </c>
      <c r="Z862" s="193">
        <f>+(((C862*'Appendix K'!$C$6*1000)-('Appendix K'!$E$32+'Appendix K'!$F$32+'Appendix K'!$H$32+'Appendix K'!$G$32))/((1+$Y$16)^2))</f>
        <v>14151015.763050364</v>
      </c>
      <c r="AA862" s="193">
        <f>(((D862*'Appendix K'!$C$7*1000)-('Appendix K'!$E$33+'Appendix K'!$F$33+'Appendix K'!$H$33+'Appendix K'!$G$33))/((1+$Y$16)^3))</f>
        <v>6374820.2304644343</v>
      </c>
      <c r="AB862" s="193">
        <f>(((E862*'Appendix K'!$C$8*1000)-('Appendix K'!$E$34+'Appendix K'!$F$34+'Appendix K'!$H$34+'Appendix K'!$G$34))/((1+$Y$16)^4))</f>
        <v>18198887.248462535</v>
      </c>
      <c r="AC862" s="193">
        <f>(((F862*'Appendix K'!$C$9*1000)-('Appendix K'!$E$35+'Appendix K'!$F$35+'Appendix K'!$H$35+'Appendix K'!$G$35))/((1+$Y$16)^AC$34))</f>
        <v>31289128.872521847</v>
      </c>
      <c r="AD862" s="193">
        <f>(((G862*'Appendix K'!$C$10*1000)-('Appendix K'!$E$36+'Appendix K'!$F$36+'Appendix K'!$H$36+'Appendix K'!$G$36))/((1+$Y$16)^AD$34))</f>
        <v>16897064.78761714</v>
      </c>
      <c r="AE862" s="193">
        <f>(((H862*'Appendix K'!$C$11*1000)-('Appendix K'!$E$37+'Appendix K'!$F$37+'Appendix K'!$H$37+'Appendix K'!$G$37))/((1+$Y$16)^AE$34))</f>
        <v>23312130.165057138</v>
      </c>
      <c r="AF862" s="193">
        <f>(((I862*'Appendix K'!$C$12*1000)-('Appendix K'!$E$38+'Appendix K'!$F$38+'Appendix K'!$H$38+'Appendix K'!$G$38))/((1+$Y$16)^AF$34))</f>
        <v>17561749.587042008</v>
      </c>
      <c r="AG862" s="193">
        <f>(((J862*'Appendix K'!$C$13*1000)-('Appendix K'!$E$39+'Appendix K'!$F$39+'Appendix K'!$H$39+'Appendix K'!$G$39))/((1+$Y$16)^AG$34))</f>
        <v>18072619.649953514</v>
      </c>
      <c r="AH862" s="193">
        <f>(((K862*'Appendix K'!$C$14*1000)-('Appendix K'!$E$40+'Appendix K'!$F$40+'Appendix K'!$H$40+'Appendix K'!$G$40))/((1+$Y$16)^AH$34))</f>
        <v>15220522.22201786</v>
      </c>
      <c r="AI862" s="193">
        <f>(((L862*'Appendix K'!$C$15*1000)-('Appendix K'!$E$41+'Appendix K'!$F$41+'Appendix K'!$H$41+'Appendix K'!$G$41))/((1+$Y$16)^AI$34))</f>
        <v>11584453.656253781</v>
      </c>
      <c r="AJ862" s="193">
        <f>(((M862*'Appendix K'!$C$16*1000)-('Appendix K'!$E$42+'Appendix K'!$F$42+'Appendix K'!$H$42+'Appendix K'!$G$42))/((1+$Y$16)^AJ$34))</f>
        <v>8639382.5302660316</v>
      </c>
      <c r="AK862" s="193">
        <f>(((N862*'Appendix K'!$C$17*1000)-('Appendix K'!$E$43+'Appendix K'!$F$43+'Appendix K'!$H$43))/((1+$Y$16)^AK$34))</f>
        <v>6677690.1149291173</v>
      </c>
      <c r="AL862" s="193">
        <f>(((O862*'Appendix K'!$C$18*1000)-('Appendix K'!$E$44+'Appendix K'!$F$44+'Appendix K'!$H$44+'Appendix K'!$G$44))/((1+$Y$16)^AL$34))</f>
        <v>4792058.0003928225</v>
      </c>
      <c r="AM862" s="193">
        <f>(((P862*'Appendix K'!$C$19*1000)-('Appendix K'!$E$45+'Appendix K'!$F$45+'Appendix K'!$H$45+'Appendix K'!$G$45))/((1+$Y$16)^AM$34))</f>
        <v>3607599.9540230581</v>
      </c>
      <c r="AN862" s="193">
        <f>(((Q862*'Appendix K'!$C$20*1000)-('Appendix K'!$E$46+'Appendix K'!$F$46+'Appendix K'!$H$46+'Appendix K'!$G$46))/((1+$Y$16)^AN$34))</f>
        <v>2702399.606577659</v>
      </c>
      <c r="AO862" s="193">
        <f>(((R862*'Appendix K'!$C$21*1000)-('Appendix K'!$E$47+'Appendix K'!$F$47+'Appendix K'!$H$47+'Appendix K'!$G$47))/((1+$Y$16)^AO$34))</f>
        <v>2112056.3146391152</v>
      </c>
      <c r="AP862" s="193">
        <f>(((S862*'Appendix K'!$C$22*1000)-('Appendix K'!$E$48+'Appendix K'!$F$48+'Appendix K'!$H$48+'Appendix K'!$G$48))/((1+$Y$16)^AP$34))</f>
        <v>921968.81971056981</v>
      </c>
      <c r="AQ862" s="193">
        <f>(((T862*'Appendix K'!$C$23*1000)-('Appendix K'!$E$49+'Appendix K'!$F$49+'Appendix K'!$H$49+'Appendix K'!$G$49))/((1+$Y$16)^AQ$34))</f>
        <v>460475.08328570944</v>
      </c>
      <c r="AR862" s="193">
        <f>(((U862*'Appendix K'!$C$24*1000)-('Appendix K'!$E$50+'Appendix K'!$F$50+'Appendix K'!$H$50+'Appendix K'!$G$50))/((1+$Y$16)^AR$34))</f>
        <v>578435.32079748972</v>
      </c>
      <c r="AS862" s="209">
        <f t="shared" si="40"/>
        <v>204530620.45563447</v>
      </c>
      <c r="AU862" s="199">
        <f t="shared" si="39"/>
        <v>8.4207751771292085E-10</v>
      </c>
    </row>
    <row r="863" spans="1:47" x14ac:dyDescent="0.35">
      <c r="A863">
        <v>829</v>
      </c>
      <c r="B863" s="70">
        <v>56</v>
      </c>
      <c r="C863" s="70">
        <v>71.249321283498972</v>
      </c>
      <c r="D863" s="70">
        <v>54.815318036433453</v>
      </c>
      <c r="E863" s="70">
        <v>34.190211003957401</v>
      </c>
      <c r="F863" s="70">
        <v>42.222457277504859</v>
      </c>
      <c r="G863" s="70">
        <v>42.397114104247663</v>
      </c>
      <c r="H863" s="70">
        <v>48.450075160338855</v>
      </c>
      <c r="I863" s="70">
        <v>71.852820727301889</v>
      </c>
      <c r="J863" s="70">
        <v>100.88120423845642</v>
      </c>
      <c r="K863" s="70">
        <v>77.538386598180196</v>
      </c>
      <c r="L863" s="70">
        <v>101.2139005385594</v>
      </c>
      <c r="M863" s="70">
        <v>88.913035139015776</v>
      </c>
      <c r="N863" s="70">
        <v>76.394794713331251</v>
      </c>
      <c r="O863" s="70">
        <v>111.02004797377374</v>
      </c>
      <c r="P863" s="70">
        <v>178.65168978731845</v>
      </c>
      <c r="Q863" s="70">
        <v>204.05764902564783</v>
      </c>
      <c r="R863" s="70">
        <v>235.81898700473113</v>
      </c>
      <c r="S863" s="70">
        <v>186.41228958054486</v>
      </c>
      <c r="T863" s="70">
        <v>281.40106106204325</v>
      </c>
      <c r="U863" s="70">
        <v>242.08171254925668</v>
      </c>
      <c r="V863" s="70">
        <v>222.84658908817676</v>
      </c>
      <c r="X863" s="193">
        <f>((0-('Appendix K'!$I$30))/(1+$Y$16)^0)</f>
        <v>-33594902.4440751</v>
      </c>
      <c r="Y863" s="193">
        <f>(((B863*'Appendix K'!$C$5*1000)-('Appendix K'!$E$31+'Appendix K'!$F$31+'Appendix K'!$H$31+'Appendix K'!$G$31))/((1+$Y$16)^1))</f>
        <v>34971064.972647354</v>
      </c>
      <c r="Z863" s="193">
        <f>+(((C863*'Appendix K'!$C$6*1000)-('Appendix K'!$E$32+'Appendix K'!$F$32+'Appendix K'!$H$32+'Appendix K'!$G$32))/((1+$Y$16)^2))</f>
        <v>14511549.472308425</v>
      </c>
      <c r="AA863" s="193">
        <f>(((D863*'Appendix K'!$C$7*1000)-('Appendix K'!$E$33+'Appendix K'!$F$33+'Appendix K'!$H$33+'Appendix K'!$G$33))/((1+$Y$16)^3))</f>
        <v>4017196.0752580562</v>
      </c>
      <c r="AB863" s="193">
        <f>(((E863*'Appendix K'!$C$8*1000)-('Appendix K'!$E$34+'Appendix K'!$F$34+'Appendix K'!$H$34+'Appendix K'!$G$34))/((1+$Y$16)^4))</f>
        <v>4200973.381955754</v>
      </c>
      <c r="AC863" s="193">
        <f>(((F863*'Appendix K'!$C$9*1000)-('Appendix K'!$E$35+'Appendix K'!$F$35+'Appendix K'!$H$35+'Appendix K'!$G$35))/((1+$Y$16)^AC$34))</f>
        <v>8238434.3240459589</v>
      </c>
      <c r="AD863" s="193">
        <f>(((G863*'Appendix K'!$C$10*1000)-('Appendix K'!$E$36+'Appendix K'!$F$36+'Appendix K'!$H$36+'Appendix K'!$G$36))/((1+$Y$16)^AD$34))</f>
        <v>4142447.354028326</v>
      </c>
      <c r="AE863" s="193">
        <f>(((H863*'Appendix K'!$C$11*1000)-('Appendix K'!$E$37+'Appendix K'!$F$37+'Appendix K'!$H$37+'Appendix K'!$G$37))/((1+$Y$16)^AE$34))</f>
        <v>2612354.6480512344</v>
      </c>
      <c r="AF863" s="193">
        <f>(((I863*'Appendix K'!$C$12*1000)-('Appendix K'!$E$38+'Appendix K'!$F$38+'Appendix K'!$H$38+'Appendix K'!$G$38))/((1+$Y$16)^AF$34))</f>
        <v>2721451.587910587</v>
      </c>
      <c r="AG863" s="193">
        <f>(((J863*'Appendix K'!$C$13*1000)-('Appendix K'!$E$39+'Appendix K'!$F$39+'Appendix K'!$H$39+'Appendix K'!$G$39))/((1+$Y$16)^AG$34))</f>
        <v>2827501.4636000493</v>
      </c>
      <c r="AH863" s="193">
        <f>(((K863*'Appendix K'!$C$14*1000)-('Appendix K'!$E$40+'Appendix K'!$F$40+'Appendix K'!$H$40+'Appendix K'!$G$40))/((1+$Y$16)^AH$34))</f>
        <v>980808.54644094326</v>
      </c>
      <c r="AI863" s="193">
        <f>(((L863*'Appendix K'!$C$15*1000)-('Appendix K'!$E$41+'Appendix K'!$F$41+'Appendix K'!$H$41+'Appendix K'!$G$41))/((1+$Y$16)^AI$34))</f>
        <v>1135512.116701327</v>
      </c>
      <c r="AJ863" s="193">
        <f>(((M863*'Appendix K'!$C$16*1000)-('Appendix K'!$E$42+'Appendix K'!$F$42+'Appendix K'!$H$42+'Appendix K'!$G$42))/((1+$Y$16)^AJ$34))</f>
        <v>400432.26415386429</v>
      </c>
      <c r="AK863" s="193">
        <f>(((N863*'Appendix K'!$C$17*1000)-('Appendix K'!$E$43+'Appendix K'!$F$43+'Appendix K'!$H$43))/((1+$Y$16)^AK$34))</f>
        <v>169463.17627097655</v>
      </c>
      <c r="AL863" s="193">
        <f>(((O863*'Appendix K'!$C$18*1000)-('Appendix K'!$E$44+'Appendix K'!$F$44+'Appendix K'!$H$44+'Appendix K'!$G$44))/((1+$Y$16)^AL$34))</f>
        <v>181364.1708480932</v>
      </c>
      <c r="AM863" s="193">
        <f>(((P863*'Appendix K'!$C$19*1000)-('Appendix K'!$E$45+'Appendix K'!$F$45+'Appendix K'!$H$45+'Appendix K'!$G$45))/((1+$Y$16)^AM$34))</f>
        <v>629108.65476169984</v>
      </c>
      <c r="AN863" s="193">
        <f>(((Q863*'Appendix K'!$C$20*1000)-('Appendix K'!$E$46+'Appendix K'!$F$46+'Appendix K'!$H$46+'Appendix K'!$G$46))/((1+$Y$16)^AN$34))</f>
        <v>560896.56772883283</v>
      </c>
      <c r="AO863" s="193">
        <f>(((R863*'Appendix K'!$C$21*1000)-('Appendix K'!$E$47+'Appendix K'!$F$47+'Appendix K'!$H$47+'Appendix K'!$G$47))/((1+$Y$16)^AO$34))</f>
        <v>550717.34110813029</v>
      </c>
      <c r="AP863" s="193">
        <f>(((S863*'Appendix K'!$C$22*1000)-('Appendix K'!$E$48+'Appendix K'!$F$48+'Appendix K'!$H$48+'Appendix K'!$G$48))/((1+$Y$16)^AP$34))</f>
        <v>128409.31611460615</v>
      </c>
      <c r="AQ863" s="193">
        <f>(((T863*'Appendix K'!$C$23*1000)-('Appendix K'!$E$49+'Appendix K'!$F$49+'Appendix K'!$H$49+'Appendix K'!$G$49))/((1+$Y$16)^AQ$34))</f>
        <v>407846.08096585597</v>
      </c>
      <c r="AR863" s="193">
        <f>(((U863*'Appendix K'!$C$24*1000)-('Appendix K'!$E$50+'Appendix K'!$F$50+'Appendix K'!$H$50+'Appendix K'!$G$50))/((1+$Y$16)^AR$34))</f>
        <v>150221.0279535662</v>
      </c>
      <c r="AS863" s="209">
        <f t="shared" si="40"/>
        <v>49942850.098778538</v>
      </c>
      <c r="AU863" s="199">
        <f t="shared" si="39"/>
        <v>5.6394859865644332E-9</v>
      </c>
    </row>
    <row r="864" spans="1:47" x14ac:dyDescent="0.35">
      <c r="A864">
        <v>830</v>
      </c>
      <c r="B864" s="70">
        <v>56</v>
      </c>
      <c r="C864" s="70">
        <v>64.589254448034012</v>
      </c>
      <c r="D864" s="70">
        <v>55.576836367302967</v>
      </c>
      <c r="E864" s="70">
        <v>95.467047889940616</v>
      </c>
      <c r="F864" s="70">
        <v>127.51541239474729</v>
      </c>
      <c r="G864" s="70">
        <v>129.1733802730763</v>
      </c>
      <c r="H864" s="70">
        <v>79.79619270686571</v>
      </c>
      <c r="I864" s="70">
        <v>93.774834054747686</v>
      </c>
      <c r="J864" s="70">
        <v>64.813836646655574</v>
      </c>
      <c r="K864" s="70">
        <v>2.2417929629896207</v>
      </c>
      <c r="L864" s="70">
        <v>3.6904723153216183</v>
      </c>
      <c r="M864" s="70">
        <v>2.7623204476229026</v>
      </c>
      <c r="N864" s="70">
        <v>4.3935633329041064</v>
      </c>
      <c r="O864" s="70">
        <v>4.4460703768139274</v>
      </c>
      <c r="P864" s="70">
        <v>3.0461626397056283</v>
      </c>
      <c r="Q864" s="70">
        <v>3.0355978512775805</v>
      </c>
      <c r="R864" s="70">
        <v>2.2028192937360678</v>
      </c>
      <c r="S864" s="70">
        <v>2.140994166127983</v>
      </c>
      <c r="T864" s="70">
        <v>2.6284299572464209</v>
      </c>
      <c r="U864" s="70">
        <v>2.7528712700113207</v>
      </c>
      <c r="V864" s="70">
        <v>3.6284333148126251</v>
      </c>
      <c r="X864" s="193">
        <f>((0-('Appendix K'!$I$30))/(1+$Y$16)^0)</f>
        <v>-33594902.4440751</v>
      </c>
      <c r="Y864" s="193">
        <f>(((B864*'Appendix K'!$C$5*1000)-('Appendix K'!$E$31+'Appendix K'!$F$31+'Appendix K'!$H$31+'Appendix K'!$G$31))/((1+$Y$16)^1))</f>
        <v>34971064.972647354</v>
      </c>
      <c r="Z864" s="193">
        <f>+(((C864*'Appendix K'!$C$6*1000)-('Appendix K'!$E$32+'Appendix K'!$F$32+'Appendix K'!$H$32+'Appendix K'!$G$32))/((1+$Y$16)^2))</f>
        <v>12829102.681720471</v>
      </c>
      <c r="AA864" s="193">
        <f>(((D864*'Appendix K'!$C$7*1000)-('Appendix K'!$E$33+'Appendix K'!$F$33+'Appendix K'!$H$33+'Appendix K'!$G$33))/((1+$Y$16)^3))</f>
        <v>4114194.3754511927</v>
      </c>
      <c r="AB864" s="193">
        <f>(((E864*'Appendix K'!$C$8*1000)-('Appendix K'!$E$34+'Appendix K'!$F$34+'Appendix K'!$H$34+'Appendix K'!$G$34))/((1+$Y$16)^4))</f>
        <v>17632295.091911815</v>
      </c>
      <c r="AC864" s="193">
        <f>(((F864*'Appendix K'!$C$9*1000)-('Appendix K'!$E$35+'Appendix K'!$F$35+'Appendix K'!$H$35+'Appendix K'!$G$35))/((1+$Y$16)^AC$34))</f>
        <v>30909167.860235013</v>
      </c>
      <c r="AD864" s="193">
        <f>(((G864*'Appendix K'!$C$10*1000)-('Appendix K'!$E$36+'Appendix K'!$F$36+'Appendix K'!$H$36+'Appendix K'!$G$36))/((1+$Y$16)^AD$34))</f>
        <v>17770135.091012973</v>
      </c>
      <c r="AE864" s="193">
        <f>(((H864*'Appendix K'!$C$11*1000)-('Appendix K'!$E$37+'Appendix K'!$F$37+'Appendix K'!$H$37+'Appendix K'!$G$37))/((1+$Y$16)^AE$34))</f>
        <v>5738742.0853715008</v>
      </c>
      <c r="AF864" s="193">
        <f>(((I864*'Appendix K'!$C$12*1000)-('Appendix K'!$E$38+'Appendix K'!$F$38+'Appendix K'!$H$38+'Appendix K'!$G$38))/((1+$Y$16)^AF$34))</f>
        <v>4160904.1885728254</v>
      </c>
      <c r="AG864" s="193">
        <f>(((J864*'Appendix K'!$C$13*1000)-('Appendix K'!$E$39+'Appendix K'!$F$39+'Appendix K'!$H$39+'Appendix K'!$G$39))/((1+$Y$16)^AG$34))</f>
        <v>1167719.7067115887</v>
      </c>
      <c r="AH864" s="193">
        <f>(((K864*'Appendix K'!$C$14*1000)-('Appendix K'!$E$40+'Appendix K'!$F$40+'Appendix K'!$H$40+'Appendix K'!$G$40))/((1+$Y$16)^AH$34))</f>
        <v>-1557178.1015709508</v>
      </c>
      <c r="AI864" s="193">
        <f>(((L864*'Appendix K'!$C$15*1000)-('Appendix K'!$E$41+'Appendix K'!$F$41+'Appendix K'!$H$41+'Appendix K'!$G$41))/((1+$Y$16)^AI$34))</f>
        <v>-1419784.0724525328</v>
      </c>
      <c r="AJ864" s="193">
        <f>(((M864*'Appendix K'!$C$16*1000)-('Appendix K'!$E$42+'Appendix K'!$F$42+'Appendix K'!$H$42+'Appendix K'!$G$42))/((1+$Y$16)^AJ$34))</f>
        <v>-1326188.8997461691</v>
      </c>
      <c r="AK864" s="193">
        <f>(((N864*'Appendix K'!$C$17*1000)-('Appendix K'!$E$43+'Appendix K'!$F$43+'Appendix K'!$H$43))/((1+$Y$16)^AK$34))</f>
        <v>-936756.35984056676</v>
      </c>
      <c r="AL864" s="193">
        <f>(((O864*'Appendix K'!$C$18*1000)-('Appendix K'!$E$44+'Appendix K'!$F$44+'Appendix K'!$H$44+'Appendix K'!$G$44))/((1+$Y$16)^AL$34))</f>
        <v>-1081888.5452281598</v>
      </c>
      <c r="AM864" s="193">
        <f>(((P864*'Appendix K'!$C$19*1000)-('Appendix K'!$E$45+'Appendix K'!$F$45+'Appendix K'!$H$45+'Appendix K'!$G$45))/((1+$Y$16)^AM$34))</f>
        <v>-998531.87761016772</v>
      </c>
      <c r="AN864" s="193">
        <f>(((Q864*'Appendix K'!$C$20*1000)-('Appendix K'!$E$46+'Appendix K'!$F$46+'Appendix K'!$H$46+'Appendix K'!$G$46))/((1+$Y$16)^AN$34))</f>
        <v>-893742.59441949532</v>
      </c>
      <c r="AO864" s="193">
        <f>(((R864*'Appendix K'!$C$21*1000)-('Appendix K'!$E$47+'Appendix K'!$F$47+'Appendix K'!$H$47+'Appendix K'!$G$47))/((1+$Y$16)^AO$34))</f>
        <v>-829980.01998745895</v>
      </c>
      <c r="AP864" s="193">
        <f>(((S864*'Appendix K'!$C$22*1000)-('Appendix K'!$E$48+'Appendix K'!$F$48+'Appendix K'!$H$48+'Appendix K'!$G$48))/((1+$Y$16)^AP$34))</f>
        <v>-754198.47164912825</v>
      </c>
      <c r="AQ864" s="193">
        <f>(((T864*'Appendix K'!$C$23*1000)-('Appendix K'!$E$49+'Appendix K'!$F$49+'Appendix K'!$H$49+'Appendix K'!$G$49))/((1+$Y$16)^AQ$34))</f>
        <v>-683198.62955445109</v>
      </c>
      <c r="AR864" s="193">
        <f>(((U864*'Appendix K'!$C$24*1000)-('Appendix K'!$E$50+'Appendix K'!$F$50+'Appendix K'!$H$50+'Appendix K'!$G$50))/((1+$Y$16)^AR$34))</f>
        <v>-620424.54668655957</v>
      </c>
      <c r="AS864" s="209">
        <f t="shared" si="40"/>
        <v>95698423.609559625</v>
      </c>
      <c r="AU864" s="199">
        <f t="shared" si="39"/>
        <v>6.9587603457649992E-9</v>
      </c>
    </row>
    <row r="865" spans="1:47" x14ac:dyDescent="0.35">
      <c r="A865">
        <v>831</v>
      </c>
      <c r="B865" s="70">
        <v>56</v>
      </c>
      <c r="C865" s="70">
        <v>60.653117597428356</v>
      </c>
      <c r="D865" s="70">
        <v>86.099219406117342</v>
      </c>
      <c r="E865" s="70">
        <v>83.083634079594759</v>
      </c>
      <c r="F865" s="70">
        <v>112.39402641996493</v>
      </c>
      <c r="G865" s="70">
        <v>47.525323931447176</v>
      </c>
      <c r="H865" s="70">
        <v>47.057122888870531</v>
      </c>
      <c r="I865" s="70">
        <v>54.823898437197585</v>
      </c>
      <c r="J865" s="70">
        <v>90.702379956087725</v>
      </c>
      <c r="K865" s="70">
        <v>165.5345826274376</v>
      </c>
      <c r="L865" s="70">
        <v>107.66468056254638</v>
      </c>
      <c r="M865" s="70">
        <v>133.1406822597159</v>
      </c>
      <c r="N865" s="70">
        <v>115.19257395596635</v>
      </c>
      <c r="O865" s="70">
        <v>135.60236975371811</v>
      </c>
      <c r="P865" s="70">
        <v>184.63950262301819</v>
      </c>
      <c r="Q865" s="70">
        <v>260.09241595226024</v>
      </c>
      <c r="R865" s="70">
        <v>123.04444637075784</v>
      </c>
      <c r="S865" s="70">
        <v>136.51772282175585</v>
      </c>
      <c r="T865" s="70">
        <v>139.53449255739793</v>
      </c>
      <c r="U865" s="70">
        <v>80.924720442739272</v>
      </c>
      <c r="V865" s="70">
        <v>72.293857931105876</v>
      </c>
      <c r="X865" s="193">
        <f>((0-('Appendix K'!$I$30))/(1+$Y$16)^0)</f>
        <v>-33594902.4440751</v>
      </c>
      <c r="Y865" s="193">
        <f>(((B865*'Appendix K'!$C$5*1000)-('Appendix K'!$E$31+'Appendix K'!$F$31+'Appendix K'!$H$31+'Appendix K'!$G$31))/((1+$Y$16)^1))</f>
        <v>34971064.972647354</v>
      </c>
      <c r="Z865" s="193">
        <f>+(((C865*'Appendix K'!$C$6*1000)-('Appendix K'!$E$32+'Appendix K'!$F$32+'Appendix K'!$H$32+'Appendix K'!$G$32))/((1+$Y$16)^2))</f>
        <v>11834767.193020506</v>
      </c>
      <c r="AA865" s="193">
        <f>(((D865*'Appendix K'!$C$7*1000)-('Appendix K'!$E$33+'Appendix K'!$F$33+'Appendix K'!$H$33+'Appendix K'!$G$33))/((1+$Y$16)^3))</f>
        <v>8001979.0190963205</v>
      </c>
      <c r="AB865" s="193">
        <f>(((E865*'Appendix K'!$C$8*1000)-('Appendix K'!$E$34+'Appendix K'!$F$34+'Appendix K'!$H$34+'Appendix K'!$G$34))/((1+$Y$16)^4))</f>
        <v>14917964.143926572</v>
      </c>
      <c r="AC865" s="193">
        <f>(((F865*'Appendix K'!$C$9*1000)-('Appendix K'!$E$35+'Appendix K'!$F$35+'Appendix K'!$H$35+'Appendix K'!$G$35))/((1+$Y$16)^AC$34))</f>
        <v>26889927.212974854</v>
      </c>
      <c r="AD865" s="193">
        <f>(((G865*'Appendix K'!$C$10*1000)-('Appendix K'!$E$36+'Appendix K'!$F$36+'Appendix K'!$H$36+'Appendix K'!$G$36))/((1+$Y$16)^AD$34))</f>
        <v>4947801.6894965526</v>
      </c>
      <c r="AE865" s="193">
        <f>(((H865*'Appendix K'!$C$11*1000)-('Appendix K'!$E$37+'Appendix K'!$F$37+'Appendix K'!$H$37+'Appendix K'!$G$37))/((1+$Y$16)^AE$34))</f>
        <v>2473424.8914125902</v>
      </c>
      <c r="AF865" s="193">
        <f>(((I865*'Appendix K'!$C$12*1000)-('Appendix K'!$E$38+'Appendix K'!$F$38+'Appendix K'!$H$38+'Appendix K'!$G$38))/((1+$Y$16)^AF$34))</f>
        <v>1603291.2204831564</v>
      </c>
      <c r="AG865" s="193">
        <f>(((J865*'Appendix K'!$C$13*1000)-('Appendix K'!$E$39+'Appendix K'!$F$39+'Appendix K'!$H$39+'Appendix K'!$G$39))/((1+$Y$16)^AG$34))</f>
        <v>2359082.8353913892</v>
      </c>
      <c r="AH865" s="193">
        <f>(((K865*'Appendix K'!$C$14*1000)-('Appendix K'!$E$40+'Appendix K'!$F$40+'Appendix K'!$H$40+'Appendix K'!$G$40))/((1+$Y$16)^AH$34))</f>
        <v>3946854.6823409824</v>
      </c>
      <c r="AI865" s="193">
        <f>(((L865*'Appendix K'!$C$15*1000)-('Appendix K'!$E$41+'Appendix K'!$F$41+'Appendix K'!$H$41+'Appendix K'!$G$41))/((1+$Y$16)^AI$34))</f>
        <v>1304534.6163475823</v>
      </c>
      <c r="AJ865" s="193">
        <f>(((M865*'Appendix K'!$C$16*1000)-('Appendix K'!$E$42+'Appendix K'!$F$42+'Appendix K'!$H$42+'Appendix K'!$G$42))/((1+$Y$16)^AJ$34))</f>
        <v>1286836.8844945545</v>
      </c>
      <c r="AK865" s="193">
        <f>(((N865*'Appendix K'!$C$17*1000)-('Appendix K'!$E$43+'Appendix K'!$F$43+'Appendix K'!$H$43))/((1+$Y$16)^AK$34))</f>
        <v>765548.27833234158</v>
      </c>
      <c r="AL865" s="193">
        <f>(((O865*'Appendix K'!$C$18*1000)-('Appendix K'!$E$44+'Appendix K'!$F$44+'Appendix K'!$H$44+'Appendix K'!$G$44))/((1+$Y$16)^AL$34))</f>
        <v>472745.66430622054</v>
      </c>
      <c r="AM865" s="193">
        <f>(((P865*'Appendix K'!$C$19*1000)-('Appendix K'!$E$45+'Appendix K'!$F$45+'Appendix K'!$H$45+'Appendix K'!$G$45))/((1+$Y$16)^AM$34))</f>
        <v>684608.08595812786</v>
      </c>
      <c r="AN865" s="193">
        <f>(((Q865*'Appendix K'!$C$20*1000)-('Appendix K'!$E$46+'Appendix K'!$F$46+'Appendix K'!$H$46+'Appendix K'!$G$46))/((1+$Y$16)^AN$34))</f>
        <v>966376.2946399902</v>
      </c>
      <c r="AO865" s="193">
        <f>(((R865*'Appendix K'!$C$21*1000)-('Appendix K'!$E$47+'Appendix K'!$F$47+'Appendix K'!$H$47+'Appendix K'!$G$47))/((1+$Y$16)^AO$34))</f>
        <v>-115792.65337443874</v>
      </c>
      <c r="AP865" s="193">
        <f>(((S865*'Appendix K'!$C$22*1000)-('Appendix K'!$E$48+'Appendix K'!$F$48+'Appendix K'!$H$48+'Appendix K'!$G$48))/((1+$Y$16)^AP$34))</f>
        <v>-110571.6553349459</v>
      </c>
      <c r="AQ865" s="193">
        <f>(((T865*'Appendix K'!$C$23*1000)-('Appendix K'!$E$49+'Appendix K'!$F$49+'Appendix K'!$H$49+'Appendix K'!$G$49))/((1+$Y$16)^AQ$34))</f>
        <v>-147383.3493883519</v>
      </c>
      <c r="AR865" s="193">
        <f>(((U865*'Appendix K'!$C$24*1000)-('Appendix K'!$E$50+'Appendix K'!$F$50+'Appendix K'!$H$50+'Appendix K'!$G$50))/((1+$Y$16)^AR$34))</f>
        <v>-368709.00206438941</v>
      </c>
      <c r="AS865" s="209">
        <f t="shared" si="40"/>
        <v>83831905.240793973</v>
      </c>
      <c r="AU865" s="199">
        <f t="shared" si="39"/>
        <v>7.0140554016234134E-9</v>
      </c>
    </row>
    <row r="866" spans="1:47" x14ac:dyDescent="0.35">
      <c r="A866">
        <v>832</v>
      </c>
      <c r="B866" s="70">
        <v>56</v>
      </c>
      <c r="C866" s="70">
        <v>67.283325613774878</v>
      </c>
      <c r="D866" s="70">
        <v>86.392836572328449</v>
      </c>
      <c r="E866" s="70">
        <v>96.163583379001608</v>
      </c>
      <c r="F866" s="70">
        <v>160.75997228876312</v>
      </c>
      <c r="G866" s="70">
        <v>173.56447182609838</v>
      </c>
      <c r="H866" s="70">
        <v>195.28249847088284</v>
      </c>
      <c r="I866" s="70">
        <v>186.01363868045311</v>
      </c>
      <c r="J866" s="70">
        <v>184.31358625871462</v>
      </c>
      <c r="K866" s="70">
        <v>220.87763104601598</v>
      </c>
      <c r="L866" s="70">
        <v>339.52029033980534</v>
      </c>
      <c r="M866" s="70">
        <v>434.72232086712813</v>
      </c>
      <c r="N866" s="70">
        <v>476.74369300319563</v>
      </c>
      <c r="O866" s="70">
        <v>324.06448593548504</v>
      </c>
      <c r="P866" s="70">
        <v>333.04288802123591</v>
      </c>
      <c r="Q866" s="70">
        <v>275.62186254809882</v>
      </c>
      <c r="R866" s="70">
        <v>230.42195326960896</v>
      </c>
      <c r="S866" s="70">
        <v>250.68277587107846</v>
      </c>
      <c r="T866" s="70">
        <v>491.68420538318765</v>
      </c>
      <c r="U866" s="70">
        <v>500</v>
      </c>
      <c r="V866" s="70">
        <v>500</v>
      </c>
      <c r="X866" s="193">
        <f>((0-('Appendix K'!$I$30))/(1+$Y$16)^0)</f>
        <v>-33594902.4440751</v>
      </c>
      <c r="Y866" s="193">
        <f>(((B866*'Appendix K'!$C$5*1000)-('Appendix K'!$E$31+'Appendix K'!$F$31+'Appendix K'!$H$31+'Appendix K'!$G$31))/((1+$Y$16)^1))</f>
        <v>34971064.972647354</v>
      </c>
      <c r="Z866" s="193">
        <f>+(((C866*'Appendix K'!$C$6*1000)-('Appendix K'!$E$32+'Appendix K'!$F$32+'Appendix K'!$H$32+'Appendix K'!$G$32))/((1+$Y$16)^2))</f>
        <v>13509671.135220053</v>
      </c>
      <c r="AA866" s="193">
        <f>(((D866*'Appendix K'!$C$7*1000)-('Appendix K'!$E$33+'Appendix K'!$F$33+'Appendix K'!$H$33+'Appendix K'!$G$33))/((1+$Y$16)^3))</f>
        <v>8039378.4681647141</v>
      </c>
      <c r="AB866" s="193">
        <f>(((E866*'Appendix K'!$C$8*1000)-('Appendix K'!$E$34+'Appendix K'!$F$34+'Appendix K'!$H$34+'Appendix K'!$G$34))/((1+$Y$16)^4))</f>
        <v>17784969.294945292</v>
      </c>
      <c r="AC866" s="193">
        <f>(((F866*'Appendix K'!$C$9*1000)-('Appendix K'!$E$35+'Appendix K'!$F$35+'Appendix K'!$H$35+'Appendix K'!$G$35))/((1+$Y$16)^AC$34))</f>
        <v>39745519.676737502</v>
      </c>
      <c r="AD866" s="193">
        <f>(((G866*'Appendix K'!$C$10*1000)-('Appendix K'!$E$36+'Appendix K'!$F$36+'Appendix K'!$H$36+'Appendix K'!$G$36))/((1+$Y$16)^AD$34))</f>
        <v>24741487.520622209</v>
      </c>
      <c r="AE866" s="193">
        <f>(((H866*'Appendix K'!$C$11*1000)-('Appendix K'!$E$37+'Appendix K'!$F$37+'Appendix K'!$H$37+'Appendix K'!$G$37))/((1+$Y$16)^AE$34))</f>
        <v>17257072.385359645</v>
      </c>
      <c r="AF866" s="193">
        <f>(((I866*'Appendix K'!$C$12*1000)-('Appendix K'!$E$38+'Appendix K'!$F$38+'Appendix K'!$H$38+'Appendix K'!$G$38))/((1+$Y$16)^AF$34))</f>
        <v>10217527.967476336</v>
      </c>
      <c r="AG866" s="193">
        <f>(((J866*'Appendix K'!$C$13*1000)-('Appendix K'!$E$39+'Appendix K'!$F$39+'Appendix K'!$H$39+'Appendix K'!$G$39))/((1+$Y$16)^AG$34))</f>
        <v>6666970.6252600141</v>
      </c>
      <c r="AH866" s="193">
        <f>(((K866*'Appendix K'!$C$14*1000)-('Appendix K'!$E$40+'Appendix K'!$F$40+'Appendix K'!$H$40+'Appendix K'!$G$40))/((1+$Y$16)^AH$34))</f>
        <v>5812276.6246289844</v>
      </c>
      <c r="AI866" s="193">
        <f>(((L866*'Appendix K'!$C$15*1000)-('Appendix K'!$E$41+'Appendix K'!$F$41+'Appendix K'!$H$41+'Appendix K'!$G$41))/((1+$Y$16)^AI$34))</f>
        <v>7379585.1646280773</v>
      </c>
      <c r="AJ866" s="193">
        <f>(((M866*'Appendix K'!$C$16*1000)-('Appendix K'!$E$42+'Appendix K'!$F$42+'Appendix K'!$H$42+'Appendix K'!$G$42))/((1+$Y$16)^AJ$34))</f>
        <v>7331095.9684558501</v>
      </c>
      <c r="AK866" s="193">
        <f>(((N866*'Appendix K'!$C$17*1000)-('Appendix K'!$E$43+'Appendix K'!$F$43+'Appendix K'!$H$43))/((1+$Y$16)^AK$34))</f>
        <v>6320382.5988709116</v>
      </c>
      <c r="AL866" s="193">
        <f>(((O866*'Appendix K'!$C$18*1000)-('Appendix K'!$E$44+'Appendix K'!$F$44+'Appendix K'!$H$44+'Appendix K'!$G$44))/((1+$Y$16)^AL$34))</f>
        <v>2706642.5827870681</v>
      </c>
      <c r="AM866" s="193">
        <f>(((P866*'Appendix K'!$C$19*1000)-('Appendix K'!$E$45+'Appendix K'!$F$45+'Appendix K'!$H$45+'Appendix K'!$G$45))/((1+$Y$16)^AM$34))</f>
        <v>2060119.2622794711</v>
      </c>
      <c r="AN866" s="193">
        <f>(((Q866*'Appendix K'!$C$20*1000)-('Appendix K'!$E$46+'Appendix K'!$F$46+'Appendix K'!$H$46+'Appendix K'!$G$46))/((1+$Y$16)^AN$34))</f>
        <v>1078750.738402894</v>
      </c>
      <c r="AO866" s="193">
        <f>(((R866*'Appendix K'!$C$21*1000)-('Appendix K'!$E$47+'Appendix K'!$F$47+'Appendix K'!$H$47+'Appendix K'!$G$47))/((1+$Y$16)^AO$34))</f>
        <v>518820.27546905418</v>
      </c>
      <c r="AP866" s="193">
        <f>(((S866*'Appendix K'!$C$22*1000)-('Appendix K'!$E$48+'Appendix K'!$F$48+'Appendix K'!$H$48+'Appendix K'!$G$48))/((1+$Y$16)^AP$34))</f>
        <v>436246.90739985858</v>
      </c>
      <c r="AQ866" s="193">
        <f>(((T866*'Appendix K'!$C$23*1000)-('Appendix K'!$E$49+'Appendix K'!$F$49+'Appendix K'!$H$49+'Appendix K'!$G$49))/((1+$Y$16)^AQ$34))</f>
        <v>1230840.4739732374</v>
      </c>
      <c r="AR866" s="193">
        <f>(((U866*'Appendix K'!$C$24*1000)-('Appendix K'!$E$50+'Appendix K'!$F$50+'Appendix K'!$H$50+'Appendix K'!$G$50))/((1+$Y$16)^AR$34))</f>
        <v>980725.14012097823</v>
      </c>
      <c r="AS866" s="209">
        <f t="shared" si="40"/>
        <v>175194245.33937445</v>
      </c>
      <c r="AU866" s="199">
        <f t="shared" si="39"/>
        <v>2.1370791627012317E-9</v>
      </c>
    </row>
    <row r="867" spans="1:47" x14ac:dyDescent="0.35">
      <c r="A867">
        <v>833</v>
      </c>
      <c r="B867" s="70">
        <v>56</v>
      </c>
      <c r="C867" s="70">
        <v>62.777691970369261</v>
      </c>
      <c r="D867" s="70">
        <v>40.002564487053483</v>
      </c>
      <c r="E867" s="70">
        <v>48.848104072889853</v>
      </c>
      <c r="F867" s="70">
        <v>62.048827989306076</v>
      </c>
      <c r="G867" s="70">
        <v>63.876339240118774</v>
      </c>
      <c r="H867" s="70">
        <v>52.009520107509829</v>
      </c>
      <c r="I867" s="70">
        <v>36.585858036827602</v>
      </c>
      <c r="J867" s="70">
        <v>55.554174116851982</v>
      </c>
      <c r="K867" s="70">
        <v>51.950963329625836</v>
      </c>
      <c r="L867" s="70">
        <v>69.534544209538865</v>
      </c>
      <c r="M867" s="70">
        <v>69.582594773528854</v>
      </c>
      <c r="N867" s="70">
        <v>83.750621453989311</v>
      </c>
      <c r="O867" s="70">
        <v>94.523698665234861</v>
      </c>
      <c r="P867" s="70">
        <v>61.046798267578311</v>
      </c>
      <c r="Q867" s="70">
        <v>57.286353595061271</v>
      </c>
      <c r="R867" s="70">
        <v>51.768565059554376</v>
      </c>
      <c r="S867" s="70">
        <v>47.043240286089159</v>
      </c>
      <c r="T867" s="70">
        <v>55.92894150262044</v>
      </c>
      <c r="U867" s="70">
        <v>70.444078949658206</v>
      </c>
      <c r="V867" s="70">
        <v>73.64261640518248</v>
      </c>
      <c r="X867" s="193">
        <f>((0-('Appendix K'!$I$30))/(1+$Y$16)^0)</f>
        <v>-33594902.4440751</v>
      </c>
      <c r="Y867" s="193">
        <f>(((B867*'Appendix K'!$C$5*1000)-('Appendix K'!$E$31+'Appendix K'!$F$31+'Appendix K'!$H$31+'Appendix K'!$G$31))/((1+$Y$16)^1))</f>
        <v>34971064.972647354</v>
      </c>
      <c r="Z867" s="193">
        <f>+(((C867*'Appendix K'!$C$6*1000)-('Appendix K'!$E$32+'Appendix K'!$F$32+'Appendix K'!$H$32+'Appendix K'!$G$32))/((1+$Y$16)^2))</f>
        <v>12371471.01648451</v>
      </c>
      <c r="AA867" s="193">
        <f>(((D867*'Appendix K'!$C$7*1000)-('Appendix K'!$E$33+'Appendix K'!$F$33+'Appendix K'!$H$33+'Appendix K'!$G$33))/((1+$Y$16)^3))</f>
        <v>2130423.4826283981</v>
      </c>
      <c r="AB867" s="193">
        <f>(((E867*'Appendix K'!$C$8*1000)-('Appendix K'!$E$34+'Appendix K'!$F$34+'Appendix K'!$H$34+'Appendix K'!$G$34))/((1+$Y$16)^4))</f>
        <v>7413849.3625695826</v>
      </c>
      <c r="AC867" s="193">
        <f>(((F867*'Appendix K'!$C$9*1000)-('Appendix K'!$E$35+'Appendix K'!$F$35+'Appendix K'!$H$35+'Appendix K'!$G$35))/((1+$Y$16)^AC$34))</f>
        <v>13508252.526253888</v>
      </c>
      <c r="AD867" s="193">
        <f>(((G867*'Appendix K'!$C$10*1000)-('Appendix K'!$E$36+'Appendix K'!$F$36+'Appendix K'!$H$36+'Appendix K'!$G$36))/((1+$Y$16)^AD$34))</f>
        <v>7515629.7448741533</v>
      </c>
      <c r="AE867" s="193">
        <f>(((H867*'Appendix K'!$C$11*1000)-('Appendix K'!$E$37+'Appendix K'!$F$37+'Appendix K'!$H$37+'Appendix K'!$G$37))/((1+$Y$16)^AE$34))</f>
        <v>2967365.2470560679</v>
      </c>
      <c r="AF867" s="193">
        <f>(((I867*'Appendix K'!$C$12*1000)-('Appendix K'!$E$38+'Appendix K'!$F$38+'Appendix K'!$H$38+'Appendix K'!$G$38))/((1+$Y$16)^AF$34))</f>
        <v>405737.22335882578</v>
      </c>
      <c r="AG867" s="193">
        <f>(((J867*'Appendix K'!$C$13*1000)-('Appendix K'!$E$39+'Appendix K'!$F$39+'Appendix K'!$H$39+'Appendix K'!$G$39))/((1+$Y$16)^AG$34))</f>
        <v>741599.92120760097</v>
      </c>
      <c r="AH867" s="193">
        <f>(((K867*'Appendix K'!$C$14*1000)-('Appendix K'!$E$40+'Appendix K'!$F$40+'Appendix K'!$H$40+'Appendix K'!$G$40))/((1+$Y$16)^AH$34))</f>
        <v>118345.37941834817</v>
      </c>
      <c r="AI867" s="193">
        <f>(((L867*'Appendix K'!$C$15*1000)-('Appendix K'!$E$41+'Appendix K'!$F$41+'Appendix K'!$H$41+'Appendix K'!$G$41))/((1+$Y$16)^AI$34))</f>
        <v>305453.74019416596</v>
      </c>
      <c r="AJ867" s="193">
        <f>(((M867*'Appendix K'!$C$16*1000)-('Appendix K'!$E$42+'Appendix K'!$F$42+'Appendix K'!$H$42+'Appendix K'!$G$42))/((1+$Y$16)^AJ$34))</f>
        <v>13014.149723621771</v>
      </c>
      <c r="AK867" s="193">
        <f>(((N867*'Appendix K'!$C$17*1000)-('Appendix K'!$E$43+'Appendix K'!$F$43+'Appendix K'!$H$43))/((1+$Y$16)^AK$34))</f>
        <v>282477.34406727424</v>
      </c>
      <c r="AL867" s="193">
        <f>(((O867*'Appendix K'!$C$18*1000)-('Appendix K'!$E$44+'Appendix K'!$F$44+'Appendix K'!$H$44+'Appendix K'!$G$44))/((1+$Y$16)^AL$34))</f>
        <v>-14171.911591873943</v>
      </c>
      <c r="AM867" s="193">
        <f>(((P867*'Appendix K'!$C$19*1000)-('Appendix K'!$E$45+'Appendix K'!$F$45+'Appendix K'!$H$45+'Appendix K'!$G$45))/((1+$Y$16)^AM$34))</f>
        <v>-460939.54219408549</v>
      </c>
      <c r="AN867" s="193">
        <f>(((Q867*'Appendix K'!$C$20*1000)-('Appendix K'!$E$46+'Appendix K'!$F$46+'Appendix K'!$H$46+'Appendix K'!$G$46))/((1+$Y$16)^AN$34))</f>
        <v>-501172.35936305096</v>
      </c>
      <c r="AO867" s="193">
        <f>(((R867*'Appendix K'!$C$21*1000)-('Appendix K'!$E$47+'Appendix K'!$F$47+'Appendix K'!$H$47+'Appendix K'!$G$47))/((1+$Y$16)^AO$34))</f>
        <v>-537040.98648588639</v>
      </c>
      <c r="AP867" s="193">
        <f>(((S867*'Appendix K'!$C$22*1000)-('Appendix K'!$E$48+'Appendix K'!$F$48+'Appendix K'!$H$48+'Appendix K'!$G$48))/((1+$Y$16)^AP$34))</f>
        <v>-539129.31492326187</v>
      </c>
      <c r="AQ867" s="193">
        <f>(((T867*'Appendix K'!$C$23*1000)-('Appendix K'!$E$49+'Appendix K'!$F$49+'Appendix K'!$H$49+'Appendix K'!$G$49))/((1+$Y$16)^AQ$34))</f>
        <v>-474594.07264676172</v>
      </c>
      <c r="AR867" s="193">
        <f>(((U867*'Appendix K'!$C$24*1000)-('Appendix K'!$E$50+'Appendix K'!$F$50+'Appendix K'!$H$50+'Appendix K'!$G$50))/((1+$Y$16)^AR$34))</f>
        <v>-402456.96132772212</v>
      </c>
      <c r="AS867" s="209">
        <f t="shared" si="40"/>
        <v>49149781.666408695</v>
      </c>
      <c r="AU867" s="199">
        <f t="shared" ref="AU867:AU930" si="41">_xlfn.NORM.DIST(AS867,$Y$17,$Y$19,FALSE)</f>
        <v>5.5868651979082322E-9</v>
      </c>
    </row>
    <row r="868" spans="1:47" x14ac:dyDescent="0.35">
      <c r="A868">
        <v>834</v>
      </c>
      <c r="B868" s="70">
        <v>56</v>
      </c>
      <c r="C868" s="70">
        <v>46.133046975617717</v>
      </c>
      <c r="D868" s="70">
        <v>59.754712673439826</v>
      </c>
      <c r="E868" s="70">
        <v>38.225670424291437</v>
      </c>
      <c r="F868" s="70">
        <v>31.543877156560161</v>
      </c>
      <c r="G868" s="70">
        <v>34.889583403437435</v>
      </c>
      <c r="H868" s="70">
        <v>30.132570172151116</v>
      </c>
      <c r="I868" s="70">
        <v>21.561822755803291</v>
      </c>
      <c r="J868" s="70">
        <v>27.731867069227231</v>
      </c>
      <c r="K868" s="70">
        <v>19.695010711778231</v>
      </c>
      <c r="L868" s="70">
        <v>21.569562529053954</v>
      </c>
      <c r="M868" s="70">
        <v>27.281408868611237</v>
      </c>
      <c r="N868" s="70">
        <v>24.140392864557558</v>
      </c>
      <c r="O868" s="70">
        <v>35.110000883062057</v>
      </c>
      <c r="P868" s="70">
        <v>38.298467365720448</v>
      </c>
      <c r="Q868" s="70">
        <v>36.642429654894343</v>
      </c>
      <c r="R868" s="70">
        <v>47.524747686745755</v>
      </c>
      <c r="S868" s="70">
        <v>55.580801971558571</v>
      </c>
      <c r="T868" s="70">
        <v>49.956359798072356</v>
      </c>
      <c r="U868" s="70">
        <v>70.231561575014041</v>
      </c>
      <c r="V868" s="70">
        <v>17.421506903758512</v>
      </c>
      <c r="X868" s="193">
        <f>((0-('Appendix K'!$I$30))/(1+$Y$16)^0)</f>
        <v>-33594902.4440751</v>
      </c>
      <c r="Y868" s="193">
        <f>(((B868*'Appendix K'!$C$5*1000)-('Appendix K'!$E$31+'Appendix K'!$F$31+'Appendix K'!$H$31+'Appendix K'!$G$31))/((1+$Y$16)^1))</f>
        <v>34971064.972647354</v>
      </c>
      <c r="Z868" s="193">
        <f>+(((C868*'Appendix K'!$C$6*1000)-('Appendix K'!$E$32+'Appendix K'!$F$32+'Appendix K'!$H$32+'Appendix K'!$G$32))/((1+$Y$16)^2))</f>
        <v>8166749.0153815569</v>
      </c>
      <c r="AA868" s="193">
        <f>(((D868*'Appendix K'!$C$7*1000)-('Appendix K'!$E$33+'Appendix K'!$F$33+'Appendix K'!$H$33+'Appendix K'!$G$33))/((1+$Y$16)^3))</f>
        <v>4646350.8366748262</v>
      </c>
      <c r="AB868" s="193">
        <f>(((E868*'Appendix K'!$C$8*1000)-('Appendix K'!$E$34+'Appendix K'!$F$34+'Appendix K'!$H$34+'Appendix K'!$G$34))/((1+$Y$16)^4))</f>
        <v>5085509.1458175723</v>
      </c>
      <c r="AC868" s="193">
        <f>(((F868*'Appendix K'!$C$9*1000)-('Appendix K'!$E$35+'Appendix K'!$F$35+'Appendix K'!$H$35+'Appendix K'!$G$35))/((1+$Y$16)^AC$34))</f>
        <v>5400084.496278733</v>
      </c>
      <c r="AD868" s="193">
        <f>(((G868*'Appendix K'!$C$10*1000)-('Appendix K'!$E$36+'Appendix K'!$F$36+'Appendix K'!$H$36+'Appendix K'!$G$36))/((1+$Y$16)^AD$34))</f>
        <v>2963435.066643015</v>
      </c>
      <c r="AE868" s="193">
        <f>(((H868*'Appendix K'!$C$11*1000)-('Appendix K'!$E$37+'Appendix K'!$F$37+'Appendix K'!$H$37+'Appendix K'!$G$37))/((1+$Y$16)^AE$34))</f>
        <v>785410.13432893681</v>
      </c>
      <c r="AF868" s="193">
        <f>(((I868*'Appendix K'!$C$12*1000)-('Appendix K'!$E$38+'Appendix K'!$F$38+'Appendix K'!$H$38+'Appendix K'!$G$38))/((1+$Y$16)^AF$34))</f>
        <v>-580777.39711337327</v>
      </c>
      <c r="AG868" s="193">
        <f>(((J868*'Appendix K'!$C$13*1000)-('Appendix K'!$E$39+'Appendix K'!$F$39+'Appendix K'!$H$39+'Appendix K'!$G$39))/((1+$Y$16)^AG$34))</f>
        <v>-538752.95053052437</v>
      </c>
      <c r="AH868" s="193">
        <f>(((K868*'Appendix K'!$C$14*1000)-('Appendix K'!$E$40+'Appendix K'!$F$40+'Appendix K'!$H$40+'Appendix K'!$G$40))/((1+$Y$16)^AH$34))</f>
        <v>-968890.75054040516</v>
      </c>
      <c r="AI868" s="193">
        <f>(((L868*'Appendix K'!$C$15*1000)-('Appendix K'!$E$41+'Appendix K'!$F$41+'Appendix K'!$H$41+'Appendix K'!$G$41))/((1+$Y$16)^AI$34))</f>
        <v>-951318.47479010152</v>
      </c>
      <c r="AJ868" s="193">
        <f>(((M868*'Appendix K'!$C$16*1000)-('Appendix K'!$E$42+'Appendix K'!$F$42+'Appendix K'!$H$42+'Appendix K'!$G$42))/((1+$Y$16)^AJ$34))</f>
        <v>-834780.59119217959</v>
      </c>
      <c r="AK868" s="193">
        <f>(((N868*'Appendix K'!$C$17*1000)-('Appendix K'!$E$43+'Appendix K'!$F$43+'Appendix K'!$H$43))/((1+$Y$16)^AK$34))</f>
        <v>-633368.09570432908</v>
      </c>
      <c r="AL868" s="193">
        <f>(((O868*'Appendix K'!$C$18*1000)-('Appendix K'!$E$44+'Appendix K'!$F$44+'Appendix K'!$H$44+'Appendix K'!$G$44))/((1+$Y$16)^AL$34))</f>
        <v>-718419.95401085657</v>
      </c>
      <c r="AM868" s="193">
        <f>(((P868*'Appendix K'!$C$19*1000)-('Appendix K'!$E$45+'Appendix K'!$F$45+'Appendix K'!$H$45+'Appendix K'!$G$45))/((1+$Y$16)^AM$34))</f>
        <v>-671787.72004527261</v>
      </c>
      <c r="AN868" s="193">
        <f>(((Q868*'Appendix K'!$C$20*1000)-('Appendix K'!$E$46+'Appendix K'!$F$46+'Appendix K'!$H$46+'Appendix K'!$G$46))/((1+$Y$16)^AN$34))</f>
        <v>-650556.27047303226</v>
      </c>
      <c r="AO868" s="193">
        <f>(((R868*'Appendix K'!$C$21*1000)-('Appendix K'!$E$47+'Appendix K'!$F$47+'Appendix K'!$H$47+'Appendix K'!$G$47))/((1+$Y$16)^AO$34))</f>
        <v>-562122.41601629939</v>
      </c>
      <c r="AP868" s="193">
        <f>(((S868*'Appendix K'!$C$22*1000)-('Appendix K'!$E$48+'Appendix K'!$F$48+'Appendix K'!$H$48+'Appendix K'!$G$48))/((1+$Y$16)^AP$34))</f>
        <v>-498236.79058754252</v>
      </c>
      <c r="AQ868" s="193">
        <f>(((T868*'Appendix K'!$C$23*1000)-('Appendix K'!$E$49+'Appendix K'!$F$49+'Appendix K'!$H$49+'Appendix K'!$G$49))/((1+$Y$16)^AQ$34))</f>
        <v>-497969.22841823311</v>
      </c>
      <c r="AR868" s="193">
        <f>(((U868*'Appendix K'!$C$24*1000)-('Appendix K'!$E$50+'Appendix K'!$F$50+'Appendix K'!$H$50+'Appendix K'!$G$50))/((1+$Y$16)^AR$34))</f>
        <v>-403141.27322857059</v>
      </c>
      <c r="AS868" s="209">
        <f t="shared" ref="AS868:AS931" si="42">SUMIF(Y868:AR868,"&gt;0")+X868</f>
        <v>28423701.223696895</v>
      </c>
      <c r="AU868" s="199">
        <f t="shared" si="41"/>
        <v>4.0803460545850376E-9</v>
      </c>
    </row>
    <row r="869" spans="1:47" x14ac:dyDescent="0.35">
      <c r="A869">
        <v>835</v>
      </c>
      <c r="B869" s="70">
        <v>56</v>
      </c>
      <c r="C869" s="70">
        <v>53.545361954666994</v>
      </c>
      <c r="D869" s="70">
        <v>85.796276939165409</v>
      </c>
      <c r="E869" s="70">
        <v>119.57270486333856</v>
      </c>
      <c r="F869" s="70">
        <v>129.16463784150653</v>
      </c>
      <c r="G869" s="70">
        <v>178.01238220560555</v>
      </c>
      <c r="H869" s="70">
        <v>160.72472258552281</v>
      </c>
      <c r="I869" s="70">
        <v>270.20892973073296</v>
      </c>
      <c r="J869" s="70">
        <v>286.84247775129131</v>
      </c>
      <c r="K869" s="70">
        <v>403.71927560653251</v>
      </c>
      <c r="L869" s="70">
        <v>500</v>
      </c>
      <c r="M869" s="70">
        <v>500</v>
      </c>
      <c r="N869" s="70">
        <v>443.45393598092994</v>
      </c>
      <c r="O869" s="70">
        <v>500</v>
      </c>
      <c r="P869" s="70">
        <v>500</v>
      </c>
      <c r="Q869" s="70">
        <v>467.49586874823081</v>
      </c>
      <c r="R869" s="70">
        <v>500</v>
      </c>
      <c r="S869" s="70">
        <v>500</v>
      </c>
      <c r="T869" s="70">
        <v>420.79013963435966</v>
      </c>
      <c r="U869" s="70">
        <v>423.91514753270428</v>
      </c>
      <c r="V869" s="70">
        <v>265.95091244934372</v>
      </c>
      <c r="X869" s="193">
        <f>((0-('Appendix K'!$I$30))/(1+$Y$16)^0)</f>
        <v>-33594902.4440751</v>
      </c>
      <c r="Y869" s="193">
        <f>(((B869*'Appendix K'!$C$5*1000)-('Appendix K'!$E$31+'Appendix K'!$F$31+'Appendix K'!$H$31+'Appendix K'!$G$31))/((1+$Y$16)^1))</f>
        <v>34971064.972647354</v>
      </c>
      <c r="Z869" s="193">
        <f>+(((C869*'Appendix K'!$C$6*1000)-('Appendix K'!$E$32+'Appendix K'!$F$32+'Appendix K'!$H$32+'Appendix K'!$G$32))/((1+$Y$16)^2))</f>
        <v>10039226.552832255</v>
      </c>
      <c r="AA869" s="193">
        <f>(((D869*'Appendix K'!$C$7*1000)-('Appendix K'!$E$33+'Appendix K'!$F$33+'Appendix K'!$H$33+'Appendix K'!$G$33))/((1+$Y$16)^3))</f>
        <v>7963391.7610363588</v>
      </c>
      <c r="AB869" s="193">
        <f>(((E869*'Appendix K'!$C$8*1000)-('Appendix K'!$E$34+'Appendix K'!$F$34+'Appendix K'!$H$34+'Appendix K'!$G$34))/((1+$Y$16)^4))</f>
        <v>22916034.434430238</v>
      </c>
      <c r="AC869" s="193">
        <f>(((F869*'Appendix K'!$C$9*1000)-('Appendix K'!$E$35+'Appendix K'!$F$35+'Appendix K'!$H$35+'Appendix K'!$G$35))/((1+$Y$16)^AC$34))</f>
        <v>31347529.394234937</v>
      </c>
      <c r="AD869" s="193">
        <f>(((G869*'Appendix K'!$C$10*1000)-('Appendix K'!$E$36+'Appendix K'!$F$36+'Appendix K'!$H$36+'Appendix K'!$G$36))/((1+$Y$16)^AD$34))</f>
        <v>25440004.942610465</v>
      </c>
      <c r="AE869" s="193">
        <f>(((H869*'Appendix K'!$C$11*1000)-('Appendix K'!$E$37+'Appendix K'!$F$37+'Appendix K'!$H$37+'Appendix K'!$G$37))/((1+$Y$16)^AE$34))</f>
        <v>13810361.760691239</v>
      </c>
      <c r="AF869" s="193">
        <f>(((I869*'Appendix K'!$C$12*1000)-('Appendix K'!$E$38+'Appendix K'!$F$38+'Appendix K'!$H$38+'Appendix K'!$G$38))/((1+$Y$16)^AF$34))</f>
        <v>15745995.123095946</v>
      </c>
      <c r="AG869" s="193">
        <f>(((J869*'Appendix K'!$C$13*1000)-('Appendix K'!$E$39+'Appendix K'!$F$39+'Appendix K'!$H$39+'Appendix K'!$G$39))/((1+$Y$16)^AG$34))</f>
        <v>11385240.768492235</v>
      </c>
      <c r="AH869" s="193">
        <f>(((K869*'Appendix K'!$C$14*1000)-('Appendix K'!$E$40+'Appendix K'!$F$40+'Appendix K'!$H$40+'Appendix K'!$G$40))/((1+$Y$16)^AH$34))</f>
        <v>11975233.409147447</v>
      </c>
      <c r="AI869" s="193">
        <f>(((L869*'Appendix K'!$C$15*1000)-('Appendix K'!$E$41+'Appendix K'!$F$41+'Appendix K'!$H$41+'Appendix K'!$G$41))/((1+$Y$16)^AI$34))</f>
        <v>11584453.656253781</v>
      </c>
      <c r="AJ869" s="193">
        <f>(((M869*'Appendix K'!$C$16*1000)-('Appendix K'!$E$42+'Appendix K'!$F$42+'Appendix K'!$H$42+'Appendix K'!$G$42))/((1+$Y$16)^AJ$34))</f>
        <v>8639382.5302660316</v>
      </c>
      <c r="AK869" s="193">
        <f>(((N869*'Appendix K'!$C$17*1000)-('Appendix K'!$E$43+'Appendix K'!$F$43+'Appendix K'!$H$43))/((1+$Y$16)^AK$34))</f>
        <v>5808922.1854251567</v>
      </c>
      <c r="AL869" s="193">
        <f>(((O869*'Appendix K'!$C$18*1000)-('Appendix K'!$E$44+'Appendix K'!$F$44+'Appendix K'!$H$44+'Appendix K'!$G$44))/((1+$Y$16)^AL$34))</f>
        <v>4792058.0003928225</v>
      </c>
      <c r="AM869" s="193">
        <f>(((P869*'Appendix K'!$C$19*1000)-('Appendix K'!$E$45+'Appendix K'!$F$45+'Appendix K'!$H$45+'Appendix K'!$G$45))/((1+$Y$16)^AM$34))</f>
        <v>3607599.9540230581</v>
      </c>
      <c r="AN869" s="193">
        <f>(((Q869*'Appendix K'!$C$20*1000)-('Appendix K'!$E$46+'Appendix K'!$F$46+'Appendix K'!$H$46+'Appendix K'!$G$46))/((1+$Y$16)^AN$34))</f>
        <v>2467192.6629900634</v>
      </c>
      <c r="AO869" s="193">
        <f>(((R869*'Appendix K'!$C$21*1000)-('Appendix K'!$E$47+'Appendix K'!$F$47+'Appendix K'!$H$47+'Appendix K'!$G$47))/((1+$Y$16)^AO$34))</f>
        <v>2112056.3146391152</v>
      </c>
      <c r="AP869" s="193">
        <f>(((S869*'Appendix K'!$C$22*1000)-('Appendix K'!$E$48+'Appendix K'!$F$48+'Appendix K'!$H$48+'Appendix K'!$G$48))/((1+$Y$16)^AP$34))</f>
        <v>1630406.4380253027</v>
      </c>
      <c r="AQ869" s="193">
        <f>(((T869*'Appendix K'!$C$23*1000)-('Appendix K'!$E$49+'Appendix K'!$F$49+'Appendix K'!$H$49+'Appendix K'!$G$49))/((1+$Y$16)^AQ$34))</f>
        <v>953379.2499786173</v>
      </c>
      <c r="AR869" s="193">
        <f>(((U869*'Appendix K'!$C$24*1000)-('Appendix K'!$E$50+'Appendix K'!$F$50+'Appendix K'!$H$50+'Appendix K'!$G$50))/((1+$Y$16)^AR$34))</f>
        <v>735729.78336556547</v>
      </c>
      <c r="AS869" s="209">
        <f t="shared" si="42"/>
        <v>194330361.4505029</v>
      </c>
      <c r="AU869" s="199">
        <f t="shared" si="41"/>
        <v>1.1999032086775853E-9</v>
      </c>
    </row>
    <row r="870" spans="1:47" x14ac:dyDescent="0.35">
      <c r="A870">
        <v>836</v>
      </c>
      <c r="B870" s="70">
        <v>56</v>
      </c>
      <c r="C870" s="70">
        <v>76.560952142471677</v>
      </c>
      <c r="D870" s="70">
        <v>61.517417975395858</v>
      </c>
      <c r="E870" s="70">
        <v>59.645560038174459</v>
      </c>
      <c r="F870" s="70">
        <v>31.08931942692961</v>
      </c>
      <c r="G870" s="70">
        <v>28.686733112753569</v>
      </c>
      <c r="H870" s="70">
        <v>28.233276324400972</v>
      </c>
      <c r="I870" s="70">
        <v>33.496145810024679</v>
      </c>
      <c r="J870" s="70">
        <v>55.694446481865398</v>
      </c>
      <c r="K870" s="70">
        <v>59.669372644560561</v>
      </c>
      <c r="L870" s="70">
        <v>106.03875365383657</v>
      </c>
      <c r="M870" s="70">
        <v>82.619201177164442</v>
      </c>
      <c r="N870" s="70">
        <v>93.920772768471494</v>
      </c>
      <c r="O870" s="70">
        <v>100.25645909074943</v>
      </c>
      <c r="P870" s="70">
        <v>170.61775586818572</v>
      </c>
      <c r="Q870" s="70">
        <v>366.65055401809184</v>
      </c>
      <c r="R870" s="70">
        <v>491.10639648263032</v>
      </c>
      <c r="S870" s="70">
        <v>466.40893952714811</v>
      </c>
      <c r="T870" s="70">
        <v>489.53118024883833</v>
      </c>
      <c r="U870" s="70">
        <v>483.36804690325641</v>
      </c>
      <c r="V870" s="70">
        <v>500</v>
      </c>
      <c r="X870" s="193">
        <f>((0-('Appendix K'!$I$30))/(1+$Y$16)^0)</f>
        <v>-33594902.4440751</v>
      </c>
      <c r="Y870" s="193">
        <f>(((B870*'Appendix K'!$C$5*1000)-('Appendix K'!$E$31+'Appendix K'!$F$31+'Appendix K'!$H$31+'Appendix K'!$G$31))/((1+$Y$16)^1))</f>
        <v>34971064.972647354</v>
      </c>
      <c r="Z870" s="193">
        <f>+(((C870*'Appendix K'!$C$6*1000)-('Appendix K'!$E$32+'Appendix K'!$F$32+'Appendix K'!$H$32+'Appendix K'!$G$32))/((1+$Y$16)^2))</f>
        <v>15853358.272766609</v>
      </c>
      <c r="AA870" s="193">
        <f>(((D870*'Appendix K'!$C$7*1000)-('Appendix K'!$E$33+'Appendix K'!$F$33+'Appendix K'!$H$33+'Appendix K'!$G$33))/((1+$Y$16)^3))</f>
        <v>4870875.1995170629</v>
      </c>
      <c r="AB870" s="193">
        <f>(((E870*'Appendix K'!$C$8*1000)-('Appendix K'!$E$34+'Appendix K'!$F$34+'Appendix K'!$H$34+'Appendix K'!$G$34))/((1+$Y$16)^4))</f>
        <v>9780552.868964104</v>
      </c>
      <c r="AC870" s="193">
        <f>(((F870*'Appendix K'!$C$9*1000)-('Appendix K'!$E$35+'Appendix K'!$F$35+'Appendix K'!$H$35+'Appendix K'!$G$35))/((1+$Y$16)^AC$34))</f>
        <v>5279263.7655266561</v>
      </c>
      <c r="AD870" s="193">
        <f>(((G870*'Appendix K'!$C$10*1000)-('Appendix K'!$E$36+'Appendix K'!$F$36+'Appendix K'!$H$36+'Appendix K'!$G$36))/((1+$Y$16)^AD$34))</f>
        <v>1989314.9463298775</v>
      </c>
      <c r="AE870" s="193">
        <f>(((H870*'Appendix K'!$C$11*1000)-('Appendix K'!$E$37+'Appendix K'!$F$37+'Appendix K'!$H$37+'Appendix K'!$G$37))/((1+$Y$16)^AE$34))</f>
        <v>595979.06949061726</v>
      </c>
      <c r="AF870" s="193">
        <f>(((I870*'Appendix K'!$C$12*1000)-('Appendix K'!$E$38+'Appendix K'!$F$38+'Appendix K'!$H$38+'Appendix K'!$G$38))/((1+$Y$16)^AF$34))</f>
        <v>202859.21969475361</v>
      </c>
      <c r="AG870" s="193">
        <f>(((J870*'Appendix K'!$C$13*1000)-('Appendix K'!$E$39+'Appendix K'!$F$39+'Appendix K'!$H$39+'Appendix K'!$G$39))/((1+$Y$16)^AG$34))</f>
        <v>748055.1057134365</v>
      </c>
      <c r="AH870" s="193">
        <f>(((K870*'Appendix K'!$C$14*1000)-('Appendix K'!$E$40+'Appendix K'!$F$40+'Appendix K'!$H$40+'Appendix K'!$G$40))/((1+$Y$16)^AH$34))</f>
        <v>378506.14950715279</v>
      </c>
      <c r="AI870" s="193">
        <f>(((L870*'Appendix K'!$C$15*1000)-('Appendix K'!$E$41+'Appendix K'!$F$41+'Appendix K'!$H$41+'Appendix K'!$G$41))/((1+$Y$16)^AI$34))</f>
        <v>1261932.2908411566</v>
      </c>
      <c r="AJ870" s="193">
        <f>(((M870*'Appendix K'!$C$16*1000)-('Appendix K'!$E$42+'Appendix K'!$F$42+'Appendix K'!$H$42+'Appendix K'!$G$42))/((1+$Y$16)^AJ$34))</f>
        <v>274292.08110914938</v>
      </c>
      <c r="AK870" s="193">
        <f>(((N870*'Appendix K'!$C$17*1000)-('Appendix K'!$E$43+'Appendix K'!$F$43+'Appendix K'!$H$43))/((1+$Y$16)^AK$34))</f>
        <v>438730.50604234834</v>
      </c>
      <c r="AL870" s="193">
        <f>(((O870*'Appendix K'!$C$18*1000)-('Appendix K'!$E$44+'Appendix K'!$F$44+'Appendix K'!$H$44+'Appendix K'!$G$44))/((1+$Y$16)^AL$34))</f>
        <v>53780.184608693526</v>
      </c>
      <c r="AM870" s="193">
        <f>(((P870*'Appendix K'!$C$19*1000)-('Appendix K'!$E$45+'Appendix K'!$F$45+'Appendix K'!$H$45+'Appendix K'!$G$45))/((1+$Y$16)^AM$34))</f>
        <v>554644.27602841705</v>
      </c>
      <c r="AN870" s="193">
        <f>(((Q870*'Appendix K'!$C$20*1000)-('Appendix K'!$E$46+'Appendix K'!$F$46+'Appendix K'!$H$46+'Appendix K'!$G$46))/((1+$Y$16)^AN$34))</f>
        <v>1737454.0931732173</v>
      </c>
      <c r="AO870" s="193">
        <f>(((R870*'Appendix K'!$C$21*1000)-('Appendix K'!$E$47+'Appendix K'!$F$47+'Appendix K'!$H$47+'Appendix K'!$G$47))/((1+$Y$16)^AO$34))</f>
        <v>2059494.1352857854</v>
      </c>
      <c r="AP870" s="193">
        <f>(((S870*'Appendix K'!$C$22*1000)-('Appendix K'!$E$48+'Appendix K'!$F$48+'Appendix K'!$H$48+'Appendix K'!$G$48))/((1+$Y$16)^AP$34))</f>
        <v>1469514.6859707823</v>
      </c>
      <c r="AQ870" s="193">
        <f>(((T870*'Appendix K'!$C$23*1000)-('Appendix K'!$E$49+'Appendix K'!$F$49+'Appendix K'!$H$49+'Appendix K'!$G$49))/((1+$Y$16)^AQ$34))</f>
        <v>1222414.0847859641</v>
      </c>
      <c r="AR870" s="193">
        <f>(((U870*'Appendix K'!$C$24*1000)-('Appendix K'!$E$50+'Appendix K'!$F$50+'Appendix K'!$H$50+'Appendix K'!$G$50))/((1+$Y$16)^AR$34))</f>
        <v>927169.78514112253</v>
      </c>
      <c r="AS870" s="209">
        <f t="shared" si="42"/>
        <v>51074353.249069177</v>
      </c>
      <c r="AU870" s="199">
        <f t="shared" si="41"/>
        <v>5.7134894591237526E-9</v>
      </c>
    </row>
    <row r="871" spans="1:47" x14ac:dyDescent="0.35">
      <c r="A871">
        <v>837</v>
      </c>
      <c r="B871" s="70">
        <v>56</v>
      </c>
      <c r="C871" s="70">
        <v>38.154647913172553</v>
      </c>
      <c r="D871" s="70">
        <v>41.150776238032378</v>
      </c>
      <c r="E871" s="70">
        <v>34.316324670546258</v>
      </c>
      <c r="F871" s="70">
        <v>29.366210362435709</v>
      </c>
      <c r="G871" s="70">
        <v>38.188435532219636</v>
      </c>
      <c r="H871" s="70">
        <v>54.001880315548092</v>
      </c>
      <c r="I871" s="70">
        <v>71.330138482540605</v>
      </c>
      <c r="J871" s="70">
        <v>79.838425685378596</v>
      </c>
      <c r="K871" s="70">
        <v>81.741553848222267</v>
      </c>
      <c r="L871" s="70">
        <v>107.5527469243313</v>
      </c>
      <c r="M871" s="70">
        <v>185.00321313322451</v>
      </c>
      <c r="N871" s="70">
        <v>185.8745996431314</v>
      </c>
      <c r="O871" s="70">
        <v>136.41061236045732</v>
      </c>
      <c r="P871" s="70">
        <v>127.4282890699657</v>
      </c>
      <c r="Q871" s="70">
        <v>179.25165574396985</v>
      </c>
      <c r="R871" s="70">
        <v>137.76318950019805</v>
      </c>
      <c r="S871" s="70">
        <v>134.31122719892264</v>
      </c>
      <c r="T871" s="70">
        <v>189.00390908533996</v>
      </c>
      <c r="U871" s="70">
        <v>296.62422027718986</v>
      </c>
      <c r="V871" s="70">
        <v>341.32078608375724</v>
      </c>
      <c r="X871" s="193">
        <f>((0-('Appendix K'!$I$30))/(1+$Y$16)^0)</f>
        <v>-33594902.4440751</v>
      </c>
      <c r="Y871" s="193">
        <f>(((B871*'Appendix K'!$C$5*1000)-('Appendix K'!$E$31+'Appendix K'!$F$31+'Appendix K'!$H$31+'Appendix K'!$G$31))/((1+$Y$16)^1))</f>
        <v>34971064.972647354</v>
      </c>
      <c r="Z871" s="193">
        <f>+(((C871*'Appendix K'!$C$6*1000)-('Appendix K'!$E$32+'Appendix K'!$F$32+'Appendix K'!$H$32+'Appendix K'!$G$32))/((1+$Y$16)^2))</f>
        <v>6151268.9566587387</v>
      </c>
      <c r="AA871" s="193">
        <f>(((D871*'Appendix K'!$C$7*1000)-('Appendix K'!$E$33+'Appendix K'!$F$33+'Appendix K'!$H$33+'Appendix K'!$G$33))/((1+$Y$16)^3))</f>
        <v>2276676.8078498235</v>
      </c>
      <c r="AB871" s="193">
        <f>(((E871*'Appendix K'!$C$8*1000)-('Appendix K'!$E$34+'Appendix K'!$F$34+'Appendix K'!$H$34+'Appendix K'!$G$34))/((1+$Y$16)^4))</f>
        <v>4228616.34321253</v>
      </c>
      <c r="AC871" s="193">
        <f>(((F871*'Appendix K'!$C$9*1000)-('Appendix K'!$E$35+'Appendix K'!$F$35+'Appendix K'!$H$35+'Appendix K'!$G$35))/((1+$Y$16)^AC$34))</f>
        <v>4821264.0819509588</v>
      </c>
      <c r="AD871" s="193">
        <f>(((G871*'Appendix K'!$C$10*1000)-('Appendix K'!$E$36+'Appendix K'!$F$36+'Appendix K'!$H$36+'Appendix K'!$G$36))/((1+$Y$16)^AD$34))</f>
        <v>3481499.8404149902</v>
      </c>
      <c r="AE871" s="193">
        <f>(((H871*'Appendix K'!$C$11*1000)-('Appendix K'!$E$37+'Appendix K'!$F$37+'Appendix K'!$H$37+'Appendix K'!$G$37))/((1+$Y$16)^AE$34))</f>
        <v>3166078.5299939662</v>
      </c>
      <c r="AF871" s="193">
        <f>(((I871*'Appendix K'!$C$12*1000)-('Appendix K'!$E$38+'Appendix K'!$F$38+'Appendix K'!$H$38+'Appendix K'!$G$38))/((1+$Y$16)^AF$34))</f>
        <v>2687131.0031493474</v>
      </c>
      <c r="AG871" s="193">
        <f>(((J871*'Appendix K'!$C$13*1000)-('Appendix K'!$E$39+'Appendix K'!$F$39+'Appendix K'!$H$39+'Appendix K'!$G$39))/((1+$Y$16)^AG$34))</f>
        <v>1859135.2564532293</v>
      </c>
      <c r="AH871" s="193">
        <f>(((K871*'Appendix K'!$C$14*1000)-('Appendix K'!$E$40+'Appendix K'!$F$40+'Appendix K'!$H$40+'Appendix K'!$G$40))/((1+$Y$16)^AH$34))</f>
        <v>1122482.7158150813</v>
      </c>
      <c r="AI871" s="193">
        <f>(((L871*'Appendix K'!$C$15*1000)-('Appendix K'!$E$41+'Appendix K'!$F$41+'Appendix K'!$H$41+'Appendix K'!$G$41))/((1+$Y$16)^AI$34))</f>
        <v>1301601.7457094172</v>
      </c>
      <c r="AJ871" s="193">
        <f>(((M871*'Appendix K'!$C$16*1000)-('Appendix K'!$E$42+'Appendix K'!$F$42+'Appendix K'!$H$42+'Appendix K'!$G$42))/((1+$Y$16)^AJ$34))</f>
        <v>2326258.8294011271</v>
      </c>
      <c r="AK871" s="193">
        <f>(((N871*'Appendix K'!$C$17*1000)-('Appendix K'!$E$43+'Appendix K'!$F$43+'Appendix K'!$H$43))/((1+$Y$16)^AK$34))</f>
        <v>1851499.6734404969</v>
      </c>
      <c r="AL871" s="193">
        <f>(((O871*'Appendix K'!$C$18*1000)-('Appendix K'!$E$44+'Appendix K'!$F$44+'Appendix K'!$H$44+'Appendix K'!$G$44))/((1+$Y$16)^AL$34))</f>
        <v>482326.00175100588</v>
      </c>
      <c r="AM871" s="193">
        <f>(((P871*'Appendix K'!$C$19*1000)-('Appendix K'!$E$45+'Appendix K'!$F$45+'Appendix K'!$H$45+'Appendix K'!$G$45))/((1+$Y$16)^AM$34))</f>
        <v>154332.69202445334</v>
      </c>
      <c r="AN871" s="193">
        <f>(((Q871*'Appendix K'!$C$20*1000)-('Appendix K'!$E$46+'Appendix K'!$F$46+'Appendix K'!$H$46+'Appendix K'!$G$46))/((1+$Y$16)^AN$34))</f>
        <v>381395.02014877467</v>
      </c>
      <c r="AO871" s="193">
        <f>(((R871*'Appendix K'!$C$21*1000)-('Appendix K'!$E$47+'Appendix K'!$F$47+'Appendix K'!$H$47+'Appendix K'!$G$47))/((1+$Y$16)^AO$34))</f>
        <v>-28803.25535211384</v>
      </c>
      <c r="AP871" s="193">
        <f>(((S871*'Appendix K'!$C$22*1000)-('Appendix K'!$E$48+'Appendix K'!$F$48+'Appendix K'!$H$48+'Appendix K'!$G$48))/((1+$Y$16)^AP$34))</f>
        <v>-121140.15009697287</v>
      </c>
      <c r="AQ871" s="193">
        <f>(((T871*'Appendix K'!$C$23*1000)-('Appendix K'!$E$49+'Appendix K'!$F$49+'Appendix K'!$H$49+'Appendix K'!$G$49))/((1+$Y$16)^AQ$34))</f>
        <v>46227.282406586499</v>
      </c>
      <c r="AR871" s="193">
        <f>(((U871*'Appendix K'!$C$24*1000)-('Appendix K'!$E$50+'Appendix K'!$F$50+'Appendix K'!$H$50+'Appendix K'!$G$50))/((1+$Y$16)^AR$34))</f>
        <v>325849.43105632102</v>
      </c>
      <c r="AS871" s="209">
        <f t="shared" si="42"/>
        <v>38039806.740009107</v>
      </c>
      <c r="AU871" s="199">
        <f t="shared" si="41"/>
        <v>4.7997370802043252E-9</v>
      </c>
    </row>
    <row r="872" spans="1:47" x14ac:dyDescent="0.35">
      <c r="A872">
        <v>838</v>
      </c>
      <c r="B872" s="70">
        <v>56</v>
      </c>
      <c r="C872" s="70">
        <v>56.486746056771636</v>
      </c>
      <c r="D872" s="70">
        <v>60.313068327290949</v>
      </c>
      <c r="E872" s="70">
        <v>71.999123016366184</v>
      </c>
      <c r="F872" s="70">
        <v>88.115862121311437</v>
      </c>
      <c r="G872" s="70">
        <v>88.559027585681477</v>
      </c>
      <c r="H872" s="70">
        <v>110.18600256853121</v>
      </c>
      <c r="I872" s="70">
        <v>162.17631896228528</v>
      </c>
      <c r="J872" s="70">
        <v>247.43428825521335</v>
      </c>
      <c r="K872" s="70">
        <v>188.53087716729465</v>
      </c>
      <c r="L872" s="70">
        <v>160.86872738890801</v>
      </c>
      <c r="M872" s="70">
        <v>238.77048194388527</v>
      </c>
      <c r="N872" s="70">
        <v>191.51113694315725</v>
      </c>
      <c r="O872" s="70">
        <v>259.55963584433249</v>
      </c>
      <c r="P872" s="70">
        <v>321.12316697389809</v>
      </c>
      <c r="Q872" s="70">
        <v>400.30302770267389</v>
      </c>
      <c r="R872" s="70">
        <v>419.06042209832606</v>
      </c>
      <c r="S872" s="70">
        <v>500</v>
      </c>
      <c r="T872" s="70">
        <v>500</v>
      </c>
      <c r="U872" s="70">
        <v>477.56885055290695</v>
      </c>
      <c r="V872" s="70">
        <v>470.18885874959358</v>
      </c>
      <c r="X872" s="193">
        <f>((0-('Appendix K'!$I$30))/(1+$Y$16)^0)</f>
        <v>-33594902.4440751</v>
      </c>
      <c r="Y872" s="193">
        <f>(((B872*'Appendix K'!$C$5*1000)-('Appendix K'!$E$31+'Appendix K'!$F$31+'Appendix K'!$H$31+'Appendix K'!$G$31))/((1+$Y$16)^1))</f>
        <v>34971064.972647354</v>
      </c>
      <c r="Z872" s="193">
        <f>+(((C872*'Appendix K'!$C$6*1000)-('Appendix K'!$E$32+'Appendix K'!$F$32+'Appendix K'!$H$32+'Appendix K'!$G$32))/((1+$Y$16)^2))</f>
        <v>10782270.483881172</v>
      </c>
      <c r="AA872" s="193">
        <f>(((D872*'Appendix K'!$C$7*1000)-('Appendix K'!$E$33+'Appendix K'!$F$33+'Appendix K'!$H$33+'Appendix K'!$G$33))/((1+$Y$16)^3))</f>
        <v>4717471.3168147393</v>
      </c>
      <c r="AB872" s="193">
        <f>(((E872*'Appendix K'!$C$8*1000)-('Appendix K'!$E$34+'Appendix K'!$F$34+'Appendix K'!$H$34+'Appendix K'!$G$34))/((1+$Y$16)^4))</f>
        <v>12488340.787799232</v>
      </c>
      <c r="AC872" s="193">
        <f>(((F872*'Appendix K'!$C$9*1000)-('Appendix K'!$E$35+'Appendix K'!$F$35+'Appendix K'!$H$35+'Appendix K'!$G$35))/((1+$Y$16)^AC$34))</f>
        <v>20436829.265951972</v>
      </c>
      <c r="AD872" s="193">
        <f>(((G872*'Appendix K'!$C$10*1000)-('Appendix K'!$E$36+'Appendix K'!$F$36+'Appendix K'!$H$36+'Appendix K'!$G$36))/((1+$Y$16)^AD$34))</f>
        <v>11391896.656707091</v>
      </c>
      <c r="AE872" s="193">
        <f>(((H872*'Appendix K'!$C$11*1000)-('Appendix K'!$E$37+'Appendix K'!$F$37+'Appendix K'!$H$37+'Appendix K'!$G$37))/((1+$Y$16)^AE$34))</f>
        <v>8769749.6617655866</v>
      </c>
      <c r="AF872" s="193">
        <f>(((I872*'Appendix K'!$C$12*1000)-('Appendix K'!$E$38+'Appendix K'!$F$38+'Appendix K'!$H$38+'Appendix K'!$G$38))/((1+$Y$16)^AF$34))</f>
        <v>8652311.7006759066</v>
      </c>
      <c r="AG872" s="193">
        <f>(((J872*'Appendix K'!$C$13*1000)-('Appendix K'!$E$39+'Appendix K'!$F$39+'Appendix K'!$H$39+'Appendix K'!$G$39))/((1+$Y$16)^AG$34))</f>
        <v>9571717.9536898863</v>
      </c>
      <c r="AH872" s="193">
        <f>(((K872*'Appendix K'!$C$14*1000)-('Appendix K'!$E$40+'Appendix K'!$F$40+'Appendix K'!$H$40+'Appendix K'!$G$40))/((1+$Y$16)^AH$34))</f>
        <v>4721979.8995410986</v>
      </c>
      <c r="AI872" s="193">
        <f>(((L872*'Appendix K'!$C$15*1000)-('Appendix K'!$E$41+'Appendix K'!$F$41+'Appendix K'!$H$41+'Appendix K'!$G$41))/((1+$Y$16)^AI$34))</f>
        <v>2698580.1352536827</v>
      </c>
      <c r="AJ872" s="193">
        <f>(((M872*'Appendix K'!$C$16*1000)-('Appendix K'!$E$42+'Appendix K'!$F$42+'Appendix K'!$H$42+'Appendix K'!$G$42))/((1+$Y$16)^AJ$34))</f>
        <v>3403855.2786719543</v>
      </c>
      <c r="AK872" s="193">
        <f>(((N872*'Appendix K'!$C$17*1000)-('Appendix K'!$E$43+'Appendix K'!$F$43+'Appendix K'!$H$43))/((1+$Y$16)^AK$34))</f>
        <v>1938098.8545623485</v>
      </c>
      <c r="AL872" s="193">
        <f>(((O872*'Appendix K'!$C$18*1000)-('Appendix K'!$E$44+'Appendix K'!$F$44+'Appendix K'!$H$44+'Appendix K'!$G$44))/((1+$Y$16)^AL$34))</f>
        <v>1942047.6139673581</v>
      </c>
      <c r="AM872" s="193">
        <f>(((P872*'Appendix K'!$C$19*1000)-('Appendix K'!$E$45+'Appendix K'!$F$45+'Appendix K'!$H$45+'Appendix K'!$G$45))/((1+$Y$16)^AM$34))</f>
        <v>1949638.5648529904</v>
      </c>
      <c r="AN872" s="193">
        <f>(((Q872*'Appendix K'!$C$20*1000)-('Appendix K'!$E$46+'Appendix K'!$F$46+'Appendix K'!$H$46+'Appendix K'!$G$46))/((1+$Y$16)^AN$34))</f>
        <v>1980970.6916696532</v>
      </c>
      <c r="AO872" s="193">
        <f>(((R872*'Appendix K'!$C$21*1000)-('Appendix K'!$E$47+'Appendix K'!$F$47+'Appendix K'!$H$47+'Appendix K'!$G$47))/((1+$Y$16)^AO$34))</f>
        <v>1633694.4670323983</v>
      </c>
      <c r="AP872" s="193">
        <f>(((S872*'Appendix K'!$C$22*1000)-('Appendix K'!$E$48+'Appendix K'!$F$48+'Appendix K'!$H$48+'Appendix K'!$G$48))/((1+$Y$16)^AP$34))</f>
        <v>1630406.4380253027</v>
      </c>
      <c r="AQ872" s="193">
        <f>(((T872*'Appendix K'!$C$23*1000)-('Appendix K'!$E$49+'Appendix K'!$F$49+'Appendix K'!$H$49+'Appendix K'!$G$49))/((1+$Y$16)^AQ$34))</f>
        <v>1263386.3652054211</v>
      </c>
      <c r="AR872" s="193">
        <f>(((U872*'Appendix K'!$C$24*1000)-('Appendix K'!$E$50+'Appendix K'!$F$50+'Appendix K'!$H$50+'Appendix K'!$G$50))/((1+$Y$16)^AR$34))</f>
        <v>908496.21040613472</v>
      </c>
      <c r="AS872" s="209">
        <f t="shared" si="42"/>
        <v>112257904.87504613</v>
      </c>
      <c r="AU872" s="199">
        <f t="shared" si="41"/>
        <v>6.3973203751899332E-9</v>
      </c>
    </row>
    <row r="873" spans="1:47" x14ac:dyDescent="0.35">
      <c r="A873">
        <v>839</v>
      </c>
      <c r="B873" s="70">
        <v>56</v>
      </c>
      <c r="C873" s="70">
        <v>61.092963214578873</v>
      </c>
      <c r="D873" s="70">
        <v>98.20219939743555</v>
      </c>
      <c r="E873" s="70">
        <v>44.068658386883669</v>
      </c>
      <c r="F873" s="70">
        <v>68.530110061654142</v>
      </c>
      <c r="G873" s="70">
        <v>78.746787412749768</v>
      </c>
      <c r="H873" s="70">
        <v>95.723664317979598</v>
      </c>
      <c r="I873" s="70">
        <v>77.266695359409567</v>
      </c>
      <c r="J873" s="70">
        <v>105.38657704610833</v>
      </c>
      <c r="K873" s="70">
        <v>162.93351203793119</v>
      </c>
      <c r="L873" s="70">
        <v>144.5859777582572</v>
      </c>
      <c r="M873" s="70">
        <v>171.33201113590795</v>
      </c>
      <c r="N873" s="70">
        <v>210.85610530896284</v>
      </c>
      <c r="O873" s="70">
        <v>187.50846793774977</v>
      </c>
      <c r="P873" s="70">
        <v>223.36799280134113</v>
      </c>
      <c r="Q873" s="70">
        <v>224.46728965495919</v>
      </c>
      <c r="R873" s="70">
        <v>230.99422034860484</v>
      </c>
      <c r="S873" s="70">
        <v>153.97840404599748</v>
      </c>
      <c r="T873" s="70">
        <v>256.58150298310886</v>
      </c>
      <c r="U873" s="70">
        <v>272.29737069017034</v>
      </c>
      <c r="V873" s="70">
        <v>311.45152887676005</v>
      </c>
      <c r="X873" s="193">
        <f>((0-('Appendix K'!$I$30))/(1+$Y$16)^0)</f>
        <v>-33594902.4440751</v>
      </c>
      <c r="Y873" s="193">
        <f>(((B873*'Appendix K'!$C$5*1000)-('Appendix K'!$E$31+'Appendix K'!$F$31+'Appendix K'!$H$31+'Appendix K'!$G$31))/((1+$Y$16)^1))</f>
        <v>34971064.972647354</v>
      </c>
      <c r="Z873" s="193">
        <f>+(((C873*'Appendix K'!$C$6*1000)-('Appendix K'!$E$32+'Appendix K'!$F$32+'Appendix K'!$H$32+'Appendix K'!$G$32))/((1+$Y$16)^2))</f>
        <v>11945879.718646895</v>
      </c>
      <c r="AA873" s="193">
        <f>(((D873*'Appendix K'!$C$7*1000)-('Appendix K'!$E$33+'Appendix K'!$F$33+'Appendix K'!$H$33+'Appendix K'!$G$33))/((1+$Y$16)^3))</f>
        <v>9543594.5506475214</v>
      </c>
      <c r="AB873" s="193">
        <f>(((E873*'Appendix K'!$C$8*1000)-('Appendix K'!$E$34+'Appendix K'!$F$34+'Appendix K'!$H$34+'Appendix K'!$G$34))/((1+$Y$16)^4))</f>
        <v>6366238.6198111735</v>
      </c>
      <c r="AC873" s="193">
        <f>(((F873*'Appendix K'!$C$9*1000)-('Appendix K'!$E$35+'Appendix K'!$F$35+'Appendix K'!$H$35+'Appendix K'!$G$35))/((1+$Y$16)^AC$34))</f>
        <v>15230967.12364481</v>
      </c>
      <c r="AD873" s="193">
        <f>(((G873*'Appendix K'!$C$10*1000)-('Appendix K'!$E$36+'Appendix K'!$F$36+'Appendix K'!$H$36+'Appendix K'!$G$36))/((1+$Y$16)^AD$34))</f>
        <v>9850943.6867227349</v>
      </c>
      <c r="AE873" s="193">
        <f>(((H873*'Appendix K'!$C$11*1000)-('Appendix K'!$E$37+'Appendix K'!$F$37+'Appendix K'!$H$37+'Appendix K'!$G$37))/((1+$Y$16)^AE$34))</f>
        <v>7327310.3372243987</v>
      </c>
      <c r="AF873" s="193">
        <f>(((I873*'Appendix K'!$C$12*1000)-('Appendix K'!$E$38+'Appendix K'!$F$38+'Appendix K'!$H$38+'Appendix K'!$G$38))/((1+$Y$16)^AF$34))</f>
        <v>3076939.7359398589</v>
      </c>
      <c r="AG873" s="193">
        <f>(((J873*'Appendix K'!$C$13*1000)-('Appendix K'!$E$39+'Appendix K'!$F$39+'Appendix K'!$H$39+'Appendix K'!$G$39))/((1+$Y$16)^AG$34))</f>
        <v>3034833.9110011165</v>
      </c>
      <c r="AH873" s="193">
        <f>(((K873*'Appendix K'!$C$14*1000)-('Appendix K'!$E$40+'Appendix K'!$F$40+'Appendix K'!$H$40+'Appendix K'!$G$40))/((1+$Y$16)^AH$34))</f>
        <v>3859181.6269211364</v>
      </c>
      <c r="AI873" s="193">
        <f>(((L873*'Appendix K'!$C$15*1000)-('Appendix K'!$E$41+'Appendix K'!$F$41+'Appendix K'!$H$41+'Appendix K'!$G$41))/((1+$Y$16)^AI$34))</f>
        <v>2271941.6460395162</v>
      </c>
      <c r="AJ873" s="193">
        <f>(((M873*'Appendix K'!$C$16*1000)-('Appendix K'!$E$42+'Appendix K'!$F$42+'Appendix K'!$H$42+'Appendix K'!$G$42))/((1+$Y$16)^AJ$34))</f>
        <v>2052262.4175422539</v>
      </c>
      <c r="AK873" s="193">
        <f>(((N873*'Appendix K'!$C$17*1000)-('Appendix K'!$E$43+'Appendix K'!$F$43+'Appendix K'!$H$43))/((1+$Y$16)^AK$34))</f>
        <v>2235312.9649522896</v>
      </c>
      <c r="AL873" s="193">
        <f>(((O873*'Appendix K'!$C$18*1000)-('Appendix K'!$E$44+'Appendix K'!$F$44+'Appendix K'!$H$44+'Appendix K'!$G$44))/((1+$Y$16)^AL$34))</f>
        <v>1088003.919561293</v>
      </c>
      <c r="AM873" s="193">
        <f>(((P873*'Appendix K'!$C$19*1000)-('Appendix K'!$E$45+'Appendix K'!$F$45+'Appendix K'!$H$45+'Appendix K'!$G$45))/((1+$Y$16)^AM$34))</f>
        <v>1043572.0741406666</v>
      </c>
      <c r="AN873" s="193">
        <f>(((Q873*'Appendix K'!$C$20*1000)-('Appendix K'!$E$46+'Appendix K'!$F$46+'Appendix K'!$H$46+'Appendix K'!$G$46))/((1+$Y$16)^AN$34))</f>
        <v>708585.15398754855</v>
      </c>
      <c r="AO873" s="193">
        <f>(((R873*'Appendix K'!$C$21*1000)-('Appendix K'!$E$47+'Appendix K'!$F$47+'Appendix K'!$H$47+'Appendix K'!$G$47))/((1+$Y$16)^AO$34))</f>
        <v>522202.43713000958</v>
      </c>
      <c r="AP873" s="193">
        <f>(((S873*'Appendix K'!$C$22*1000)-('Appendix K'!$E$48+'Appendix K'!$F$48+'Appendix K'!$H$48+'Appendix K'!$G$48))/((1+$Y$16)^AP$34))</f>
        <v>-26939.892756204299</v>
      </c>
      <c r="AQ873" s="193">
        <f>(((T873*'Appendix K'!$C$23*1000)-('Appendix K'!$E$49+'Appendix K'!$F$49+'Appendix K'!$H$49+'Appendix K'!$G$49))/((1+$Y$16)^AQ$34))</f>
        <v>310708.68461472989</v>
      </c>
      <c r="AR873" s="193">
        <f>(((U873*'Appendix K'!$C$24*1000)-('Appendix K'!$E$50+'Appendix K'!$F$50+'Appendix K'!$H$50+'Appendix K'!$G$50))/((1+$Y$16)^AR$34))</f>
        <v>247516.29377556016</v>
      </c>
      <c r="AS873" s="209">
        <f t="shared" si="42"/>
        <v>82092157.430875748</v>
      </c>
      <c r="AU873" s="199">
        <f t="shared" si="41"/>
        <v>6.9964405293334649E-9</v>
      </c>
    </row>
    <row r="874" spans="1:47" x14ac:dyDescent="0.35">
      <c r="A874">
        <v>840</v>
      </c>
      <c r="B874" s="70">
        <v>56</v>
      </c>
      <c r="C874" s="70">
        <v>79.710905276698</v>
      </c>
      <c r="D874" s="70">
        <v>138.30695407903494</v>
      </c>
      <c r="E874" s="70">
        <v>94.509588967976555</v>
      </c>
      <c r="F874" s="70">
        <v>135.40620111674625</v>
      </c>
      <c r="G874" s="70">
        <v>221.9283849114575</v>
      </c>
      <c r="H874" s="70">
        <v>163.53296649444852</v>
      </c>
      <c r="I874" s="70">
        <v>160.44786309409241</v>
      </c>
      <c r="J874" s="70">
        <v>231.88049771956494</v>
      </c>
      <c r="K874" s="70">
        <v>158.13884435556096</v>
      </c>
      <c r="L874" s="70">
        <v>208.35439035121675</v>
      </c>
      <c r="M874" s="70">
        <v>229.0274398473716</v>
      </c>
      <c r="N874" s="70">
        <v>201.69148041852162</v>
      </c>
      <c r="O874" s="70">
        <v>194.99299384238839</v>
      </c>
      <c r="P874" s="70">
        <v>86.549976624570263</v>
      </c>
      <c r="Q874" s="70">
        <v>78.74851060358462</v>
      </c>
      <c r="R874" s="70">
        <v>77.703019023866418</v>
      </c>
      <c r="S874" s="70">
        <v>79.165526952762093</v>
      </c>
      <c r="T874" s="70">
        <v>58.737291865269071</v>
      </c>
      <c r="U874" s="70">
        <v>77.40612654550354</v>
      </c>
      <c r="V874" s="70">
        <v>68.419748767898653</v>
      </c>
      <c r="X874" s="193">
        <f>((0-('Appendix K'!$I$30))/(1+$Y$16)^0)</f>
        <v>-33594902.4440751</v>
      </c>
      <c r="Y874" s="193">
        <f>(((B874*'Appendix K'!$C$5*1000)-('Appendix K'!$E$31+'Appendix K'!$F$31+'Appendix K'!$H$31+'Appendix K'!$G$31))/((1+$Y$16)^1))</f>
        <v>34971064.972647354</v>
      </c>
      <c r="Z874" s="193">
        <f>+(((C874*'Appendix K'!$C$6*1000)-('Appendix K'!$E$32+'Appendix K'!$F$32+'Appendix K'!$H$32+'Appendix K'!$G$32))/((1+$Y$16)^2))</f>
        <v>16649090.308511497</v>
      </c>
      <c r="AA874" s="193">
        <f>(((D874*'Appendix K'!$C$7*1000)-('Appendix K'!$E$33+'Appendix K'!$F$33+'Appendix K'!$H$33+'Appendix K'!$G$33))/((1+$Y$16)^3))</f>
        <v>14651932.559183758</v>
      </c>
      <c r="AB874" s="193">
        <f>(((E874*'Appendix K'!$C$8*1000)-('Appendix K'!$E$34+'Appendix K'!$F$34+'Appendix K'!$H$34+'Appendix K'!$G$34))/((1+$Y$16)^4))</f>
        <v>17422428.860910121</v>
      </c>
      <c r="AC874" s="193">
        <f>(((F874*'Appendix K'!$C$9*1000)-('Appendix K'!$E$35+'Appendix K'!$F$35+'Appendix K'!$H$35+'Appendix K'!$G$35))/((1+$Y$16)^AC$34))</f>
        <v>33006527.111780521</v>
      </c>
      <c r="AD874" s="193">
        <f>(((G874*'Appendix K'!$C$10*1000)-('Appendix K'!$E$36+'Appendix K'!$F$36+'Appendix K'!$H$36+'Appendix K'!$G$36))/((1+$Y$16)^AD$34))</f>
        <v>32336747.542338774</v>
      </c>
      <c r="AE874" s="193">
        <f>(((H874*'Appendix K'!$C$11*1000)-('Appendix K'!$E$37+'Appendix K'!$F$37+'Appendix K'!$H$37+'Appendix K'!$G$37))/((1+$Y$16)^AE$34))</f>
        <v>14090449.349361984</v>
      </c>
      <c r="AF874" s="193">
        <f>(((I874*'Appendix K'!$C$12*1000)-('Appendix K'!$E$38+'Appendix K'!$F$38+'Appendix K'!$H$38+'Appendix K'!$G$38))/((1+$Y$16)^AF$34))</f>
        <v>8538817.0933404937</v>
      </c>
      <c r="AG874" s="193">
        <f>(((J874*'Appendix K'!$C$13*1000)-('Appendix K'!$E$39+'Appendix K'!$F$39+'Appendix K'!$H$39+'Appendix K'!$G$39))/((1+$Y$16)^AG$34))</f>
        <v>8855949.1159496363</v>
      </c>
      <c r="AH874" s="193">
        <f>(((K874*'Appendix K'!$C$14*1000)-('Appendix K'!$E$40+'Appendix K'!$F$40+'Appendix K'!$H$40+'Appendix K'!$G$40))/((1+$Y$16)^AH$34))</f>
        <v>3697570.0323984511</v>
      </c>
      <c r="AI874" s="193">
        <f>(((L874*'Appendix K'!$C$15*1000)-('Appendix K'!$E$41+'Appendix K'!$F$41+'Appendix K'!$H$41+'Appendix K'!$G$41))/((1+$Y$16)^AI$34))</f>
        <v>3942793.3034913368</v>
      </c>
      <c r="AJ874" s="193">
        <f>(((M874*'Appendix K'!$C$16*1000)-('Appendix K'!$E$42+'Appendix K'!$F$42+'Appendix K'!$H$42+'Appendix K'!$G$42))/((1+$Y$16)^AJ$34))</f>
        <v>3208586.5250130808</v>
      </c>
      <c r="AK874" s="193">
        <f>(((N874*'Appendix K'!$C$17*1000)-('Appendix K'!$E$43+'Appendix K'!$F$43+'Appendix K'!$H$43))/((1+$Y$16)^AK$34))</f>
        <v>2094508.6078521397</v>
      </c>
      <c r="AL874" s="193">
        <f>(((O874*'Appendix K'!$C$18*1000)-('Appendix K'!$E$44+'Appendix K'!$F$44+'Appendix K'!$H$44+'Appendix K'!$G$44))/((1+$Y$16)^AL$34))</f>
        <v>1176720.2074466341</v>
      </c>
      <c r="AM874" s="193">
        <f>(((P874*'Appendix K'!$C$19*1000)-('Appendix K'!$E$45+'Appendix K'!$F$45+'Appendix K'!$H$45+'Appendix K'!$G$45))/((1+$Y$16)^AM$34))</f>
        <v>-224557.42215263585</v>
      </c>
      <c r="AN874" s="193">
        <f>(((Q874*'Appendix K'!$C$20*1000)-('Appendix K'!$E$46+'Appendix K'!$F$46+'Appendix K'!$H$46+'Appendix K'!$G$46))/((1+$Y$16)^AN$34))</f>
        <v>-345867.53630314837</v>
      </c>
      <c r="AO874" s="193">
        <f>(((R874*'Appendix K'!$C$21*1000)-('Appendix K'!$E$47+'Appendix K'!$F$47+'Appendix K'!$H$47+'Appendix K'!$G$47))/((1+$Y$16)^AO$34))</f>
        <v>-383765.49831728468</v>
      </c>
      <c r="AP874" s="193">
        <f>(((S874*'Appendix K'!$C$22*1000)-('Appendix K'!$E$48+'Appendix K'!$F$48+'Appendix K'!$H$48+'Appendix K'!$G$48))/((1+$Y$16)^AP$34))</f>
        <v>-385272.57717675669</v>
      </c>
      <c r="AQ874" s="193">
        <f>(((T874*'Appendix K'!$C$23*1000)-('Appendix K'!$E$49+'Appendix K'!$F$49+'Appendix K'!$H$49+'Appendix K'!$G$49))/((1+$Y$16)^AQ$34))</f>
        <v>-463602.90828348632</v>
      </c>
      <c r="AR874" s="193">
        <f>(((U874*'Appendix K'!$C$24*1000)-('Appendix K'!$E$50+'Appendix K'!$F$50+'Appendix K'!$H$50+'Appendix K'!$G$50))/((1+$Y$16)^AR$34))</f>
        <v>-380038.97300047323</v>
      </c>
      <c r="AS874" s="209">
        <f t="shared" si="42"/>
        <v>161048283.14615065</v>
      </c>
      <c r="AU874" s="199">
        <f t="shared" si="41"/>
        <v>3.0435700533472187E-9</v>
      </c>
    </row>
    <row r="875" spans="1:47" x14ac:dyDescent="0.35">
      <c r="A875">
        <v>841</v>
      </c>
      <c r="B875" s="70">
        <v>56</v>
      </c>
      <c r="C875" s="70">
        <v>61.730973482431502</v>
      </c>
      <c r="D875" s="70">
        <v>57.532296128251794</v>
      </c>
      <c r="E875" s="70">
        <v>98.64918655352767</v>
      </c>
      <c r="F875" s="70">
        <v>91.578692274225531</v>
      </c>
      <c r="G875" s="70">
        <v>73.365921486152942</v>
      </c>
      <c r="H875" s="70">
        <v>73.383672911695328</v>
      </c>
      <c r="I875" s="70">
        <v>82.876534164641185</v>
      </c>
      <c r="J875" s="70">
        <v>78.236263465358604</v>
      </c>
      <c r="K875" s="70">
        <v>77.995530931156225</v>
      </c>
      <c r="L875" s="70">
        <v>76.950935163270842</v>
      </c>
      <c r="M875" s="70">
        <v>62.808894827448</v>
      </c>
      <c r="N875" s="70">
        <v>67.714079112963773</v>
      </c>
      <c r="O875" s="70">
        <v>50.07308885429218</v>
      </c>
      <c r="P875" s="70">
        <v>48.852820154940822</v>
      </c>
      <c r="Q875" s="70">
        <v>56.31477579874042</v>
      </c>
      <c r="R875" s="70">
        <v>79.199859284158464</v>
      </c>
      <c r="S875" s="70">
        <v>72.487903268141807</v>
      </c>
      <c r="T875" s="70">
        <v>68.917077069655349</v>
      </c>
      <c r="U875" s="70">
        <v>56.025217967202678</v>
      </c>
      <c r="V875" s="70">
        <v>52.496566032011728</v>
      </c>
      <c r="X875" s="193">
        <f>((0-('Appendix K'!$I$30))/(1+$Y$16)^0)</f>
        <v>-33594902.4440751</v>
      </c>
      <c r="Y875" s="193">
        <f>(((B875*'Appendix K'!$C$5*1000)-('Appendix K'!$E$31+'Appendix K'!$F$31+'Appendix K'!$H$31+'Appendix K'!$G$31))/((1+$Y$16)^1))</f>
        <v>34971064.972647354</v>
      </c>
      <c r="Z875" s="193">
        <f>+(((C875*'Appendix K'!$C$6*1000)-('Appendix K'!$E$32+'Appendix K'!$F$32+'Appendix K'!$H$32+'Appendix K'!$G$32))/((1+$Y$16)^2))</f>
        <v>12107052.024275247</v>
      </c>
      <c r="AA875" s="193">
        <f>(((D875*'Appendix K'!$C$7*1000)-('Appendix K'!$E$33+'Appendix K'!$F$33+'Appendix K'!$H$33+'Appendix K'!$G$33))/((1+$Y$16)^3))</f>
        <v>4363270.8129041605</v>
      </c>
      <c r="AB875" s="193">
        <f>(((E875*'Appendix K'!$C$8*1000)-('Appendix K'!$E$34+'Appendix K'!$F$34+'Appendix K'!$H$34+'Appendix K'!$G$34))/((1+$Y$16)^4))</f>
        <v>18329790.757294375</v>
      </c>
      <c r="AC875" s="193">
        <f>(((F875*'Appendix K'!$C$9*1000)-('Appendix K'!$E$35+'Appendix K'!$F$35+'Appendix K'!$H$35+'Appendix K'!$G$35))/((1+$Y$16)^AC$34))</f>
        <v>21357244.082977418</v>
      </c>
      <c r="AD875" s="193">
        <f>(((G875*'Appendix K'!$C$10*1000)-('Appendix K'!$E$36+'Appendix K'!$F$36+'Appendix K'!$H$36+'Appendix K'!$G$36))/((1+$Y$16)^AD$34))</f>
        <v>9005911.2390304562</v>
      </c>
      <c r="AE875" s="193">
        <f>(((H875*'Appendix K'!$C$11*1000)-('Appendix K'!$E$37+'Appendix K'!$F$37+'Appendix K'!$H$37+'Appendix K'!$G$37))/((1+$Y$16)^AE$34))</f>
        <v>5099172.5661341958</v>
      </c>
      <c r="AF875" s="193">
        <f>(((I875*'Appendix K'!$C$12*1000)-('Appendix K'!$E$38+'Appendix K'!$F$38+'Appendix K'!$H$38+'Appendix K'!$G$38))/((1+$Y$16)^AF$34))</f>
        <v>3445295.367189147</v>
      </c>
      <c r="AG875" s="193">
        <f>(((J875*'Appendix K'!$C$13*1000)-('Appendix K'!$E$39+'Appendix K'!$F$39+'Appendix K'!$H$39+'Appendix K'!$G$39))/((1+$Y$16)^AG$34))</f>
        <v>1785405.4612970774</v>
      </c>
      <c r="AH875" s="193">
        <f>(((K875*'Appendix K'!$C$14*1000)-('Appendix K'!$E$40+'Appendix K'!$F$40+'Appendix K'!$H$40+'Appendix K'!$G$40))/((1+$Y$16)^AH$34))</f>
        <v>996217.29413182393</v>
      </c>
      <c r="AI875" s="193">
        <f>(((L875*'Appendix K'!$C$15*1000)-('Appendix K'!$E$41+'Appendix K'!$F$41+'Appendix K'!$H$41+'Appendix K'!$G$41))/((1+$Y$16)^AI$34))</f>
        <v>499777.05190103309</v>
      </c>
      <c r="AJ875" s="193">
        <f>(((M875*'Appendix K'!$C$16*1000)-('Appendix K'!$E$42+'Appendix K'!$F$42+'Appendix K'!$H$42+'Appendix K'!$G$42))/((1+$Y$16)^AJ$34))</f>
        <v>-122743.44354426318</v>
      </c>
      <c r="AK875" s="193">
        <f>(((N875*'Appendix K'!$C$17*1000)-('Appendix K'!$E$43+'Appendix K'!$F$43+'Appendix K'!$H$43))/((1+$Y$16)^AK$34))</f>
        <v>36093.551884730558</v>
      </c>
      <c r="AL875" s="193">
        <f>(((O875*'Appendix K'!$C$18*1000)-('Appendix K'!$E$44+'Appendix K'!$F$44+'Appendix K'!$H$44+'Appendix K'!$G$44))/((1+$Y$16)^AL$34))</f>
        <v>-541058.06936741818</v>
      </c>
      <c r="AM875" s="193">
        <f>(((P875*'Appendix K'!$C$19*1000)-('Appendix K'!$E$45+'Appendix K'!$F$45+'Appendix K'!$H$45+'Appendix K'!$G$45))/((1+$Y$16)^AM$34))</f>
        <v>-573962.25480096485</v>
      </c>
      <c r="AN875" s="193">
        <f>(((Q875*'Appendix K'!$C$20*1000)-('Appendix K'!$E$46+'Appendix K'!$F$46+'Appendix K'!$H$46+'Appendix K'!$G$46))/((1+$Y$16)^AN$34))</f>
        <v>-508202.90702359681</v>
      </c>
      <c r="AO875" s="193">
        <f>(((R875*'Appendix K'!$C$21*1000)-('Appendix K'!$E$47+'Appendix K'!$F$47+'Appendix K'!$H$47+'Appendix K'!$G$47))/((1+$Y$16)^AO$34))</f>
        <v>-374919.00700798654</v>
      </c>
      <c r="AP875" s="193">
        <f>(((S875*'Appendix K'!$C$22*1000)-('Appendix K'!$E$48+'Appendix K'!$F$48+'Appendix K'!$H$48+'Appendix K'!$G$48))/((1+$Y$16)^AP$34))</f>
        <v>-417256.52049547463</v>
      </c>
      <c r="AQ875" s="193">
        <f>(((T875*'Appendix K'!$C$23*1000)-('Appendix K'!$E$49+'Appendix K'!$F$49+'Appendix K'!$H$49+'Appendix K'!$G$49))/((1+$Y$16)^AQ$34))</f>
        <v>-423761.83508536691</v>
      </c>
      <c r="AR875" s="193">
        <f>(((U875*'Appendix K'!$C$24*1000)-('Appendix K'!$E$50+'Appendix K'!$F$50+'Appendix K'!$H$50+'Appendix K'!$G$50))/((1+$Y$16)^AR$34))</f>
        <v>-448886.09769125545</v>
      </c>
      <c r="AS875" s="209">
        <f t="shared" si="42"/>
        <v>78401392.737591922</v>
      </c>
      <c r="AU875" s="199">
        <f t="shared" si="41"/>
        <v>6.9375976948075886E-9</v>
      </c>
    </row>
    <row r="876" spans="1:47" x14ac:dyDescent="0.35">
      <c r="A876">
        <v>842</v>
      </c>
      <c r="B876" s="70">
        <v>56</v>
      </c>
      <c r="C876" s="70">
        <v>70.3635749271957</v>
      </c>
      <c r="D876" s="70">
        <v>42.929247145147649</v>
      </c>
      <c r="E876" s="70">
        <v>38.497614223461945</v>
      </c>
      <c r="F876" s="70">
        <v>24.675121274773026</v>
      </c>
      <c r="G876" s="70">
        <v>25.351963011927705</v>
      </c>
      <c r="H876" s="70">
        <v>18.171778652502432</v>
      </c>
      <c r="I876" s="70">
        <v>18.071985502331042</v>
      </c>
      <c r="J876" s="70">
        <v>20.566332663741129</v>
      </c>
      <c r="K876" s="70">
        <v>18.888630248756041</v>
      </c>
      <c r="L876" s="70">
        <v>14.564067575906963</v>
      </c>
      <c r="M876" s="70">
        <v>17.251665323743243</v>
      </c>
      <c r="N876" s="70">
        <v>14.427153250269821</v>
      </c>
      <c r="O876" s="70">
        <v>15.627826396218342</v>
      </c>
      <c r="P876" s="70">
        <v>17.689878217682228</v>
      </c>
      <c r="Q876" s="70">
        <v>25.806520461807061</v>
      </c>
      <c r="R876" s="70">
        <v>27.890890470158723</v>
      </c>
      <c r="S876" s="70">
        <v>28.055421281560886</v>
      </c>
      <c r="T876" s="70">
        <v>23.524539005275308</v>
      </c>
      <c r="U876" s="70">
        <v>29.840372046188516</v>
      </c>
      <c r="V876" s="70">
        <v>41.845204307720294</v>
      </c>
      <c r="X876" s="193">
        <f>((0-('Appendix K'!$I$30))/(1+$Y$16)^0)</f>
        <v>-33594902.4440751</v>
      </c>
      <c r="Y876" s="193">
        <f>(((B876*'Appendix K'!$C$5*1000)-('Appendix K'!$E$31+'Appendix K'!$F$31+'Appendix K'!$H$31+'Appendix K'!$G$31))/((1+$Y$16)^1))</f>
        <v>34971064.972647354</v>
      </c>
      <c r="Z876" s="193">
        <f>+(((C876*'Appendix K'!$C$6*1000)-('Appendix K'!$E$32+'Appendix K'!$F$32+'Appendix K'!$H$32+'Appendix K'!$G$32))/((1+$Y$16)^2))</f>
        <v>14287794.793676376</v>
      </c>
      <c r="AA876" s="193">
        <f>(((D876*'Appendix K'!$C$7*1000)-('Appendix K'!$E$33+'Appendix K'!$F$33+'Appendix K'!$H$33+'Appendix K'!$G$33))/((1+$Y$16)^3))</f>
        <v>2503209.3126368728</v>
      </c>
      <c r="AB876" s="193">
        <f>(((E876*'Appendix K'!$C$8*1000)-('Appendix K'!$E$34+'Appendix K'!$F$34+'Appendix K'!$H$34+'Appendix K'!$G$34))/((1+$Y$16)^4))</f>
        <v>5145116.7371898722</v>
      </c>
      <c r="AC876" s="193">
        <f>(((F876*'Appendix K'!$C$9*1000)-('Appendix K'!$E$35+'Appendix K'!$F$35+'Appendix K'!$H$35+'Appendix K'!$G$35))/((1+$Y$16)^AC$34))</f>
        <v>3574379.9687819728</v>
      </c>
      <c r="AD876" s="193">
        <f>(((G876*'Appendix K'!$C$10*1000)-('Appendix K'!$E$36+'Appendix K'!$F$36+'Appendix K'!$H$36+'Appendix K'!$G$36))/((1+$Y$16)^AD$34))</f>
        <v>1465609.4722977132</v>
      </c>
      <c r="AE876" s="193">
        <f>(((H876*'Appendix K'!$C$11*1000)-('Appendix K'!$E$37+'Appendix K'!$F$37+'Appendix K'!$H$37+'Appendix K'!$G$37))/((1+$Y$16)^AE$34))</f>
        <v>-407530.85084833845</v>
      </c>
      <c r="AF876" s="193">
        <f>(((I876*'Appendix K'!$C$12*1000)-('Appendix K'!$E$38+'Appendix K'!$F$38+'Appendix K'!$H$38+'Appendix K'!$G$38))/((1+$Y$16)^AF$34))</f>
        <v>-809928.58114761335</v>
      </c>
      <c r="AG876" s="193">
        <f>(((J876*'Appendix K'!$C$13*1000)-('Appendix K'!$E$39+'Appendix K'!$F$39+'Appendix K'!$H$39+'Appendix K'!$G$39))/((1+$Y$16)^AG$34))</f>
        <v>-868503.19510579284</v>
      </c>
      <c r="AH876" s="193">
        <f>(((K876*'Appendix K'!$C$14*1000)-('Appendix K'!$E$40+'Appendix K'!$F$40+'Appendix K'!$H$40+'Appendix K'!$G$40))/((1+$Y$16)^AH$34))</f>
        <v>-996071.03519290348</v>
      </c>
      <c r="AI876" s="193">
        <f>(((L876*'Appendix K'!$C$15*1000)-('Appendix K'!$E$41+'Appendix K'!$F$41+'Appendix K'!$H$41+'Appendix K'!$G$41))/((1+$Y$16)^AI$34))</f>
        <v>-1134875.5429023528</v>
      </c>
      <c r="AJ876" s="193">
        <f>(((M876*'Appendix K'!$C$16*1000)-('Appendix K'!$E$42+'Appendix K'!$F$42+'Appendix K'!$H$42+'Appendix K'!$G$42))/((1+$Y$16)^AJ$34))</f>
        <v>-1035795.3771413551</v>
      </c>
      <c r="AK876" s="193">
        <f>(((N876*'Appendix K'!$C$17*1000)-('Appendix K'!$E$43+'Appendix K'!$F$43+'Appendix K'!$H$43))/((1+$Y$16)^AK$34))</f>
        <v>-782601.31316814269</v>
      </c>
      <c r="AL876" s="193">
        <f>(((O876*'Appendix K'!$C$18*1000)-('Appendix K'!$E$44+'Appendix K'!$F$44+'Appendix K'!$H$44+'Appendix K'!$G$44))/((1+$Y$16)^AL$34))</f>
        <v>-949347.9008746777</v>
      </c>
      <c r="AM876" s="193">
        <f>(((P876*'Appendix K'!$C$19*1000)-('Appendix K'!$E$45+'Appendix K'!$F$45+'Appendix K'!$H$45+'Appendix K'!$G$45))/((1+$Y$16)^AM$34))</f>
        <v>-862803.20547557843</v>
      </c>
      <c r="AN876" s="193">
        <f>(((Q876*'Appendix K'!$C$20*1000)-('Appendix K'!$E$46+'Appendix K'!$F$46+'Appendix K'!$H$46+'Appendix K'!$G$46))/((1+$Y$16)^AN$34))</f>
        <v>-728967.25960414659</v>
      </c>
      <c r="AO876" s="193">
        <f>(((R876*'Appendix K'!$C$21*1000)-('Appendix K'!$E$47+'Appendix K'!$F$47+'Appendix K'!$H$47+'Appendix K'!$G$47))/((1+$Y$16)^AO$34))</f>
        <v>-678160.68131566397</v>
      </c>
      <c r="AP876" s="193">
        <f>(((S876*'Appendix K'!$C$22*1000)-('Appendix K'!$E$48+'Appendix K'!$F$48+'Appendix K'!$H$48+'Appendix K'!$G$48))/((1+$Y$16)^AP$34))</f>
        <v>-630075.63886565983</v>
      </c>
      <c r="AQ876" s="193">
        <f>(((T876*'Appendix K'!$C$23*1000)-('Appendix K'!$E$49+'Appendix K'!$F$49+'Appendix K'!$H$49+'Appendix K'!$G$49))/((1+$Y$16)^AQ$34))</f>
        <v>-601416.60828157747</v>
      </c>
      <c r="AR876" s="193">
        <f>(((U876*'Appendix K'!$C$24*1000)-('Appendix K'!$E$50+'Appendix K'!$F$50+'Appendix K'!$H$50+'Appendix K'!$G$50))/((1+$Y$16)^AR$34))</f>
        <v>-533202.03522641561</v>
      </c>
      <c r="AS876" s="209">
        <f t="shared" si="42"/>
        <v>28352272.813155062</v>
      </c>
      <c r="AU876" s="199">
        <f t="shared" si="41"/>
        <v>4.0749897199459717E-9</v>
      </c>
    </row>
    <row r="877" spans="1:47" x14ac:dyDescent="0.35">
      <c r="A877">
        <v>843</v>
      </c>
      <c r="B877" s="70">
        <v>56</v>
      </c>
      <c r="C877" s="70">
        <v>75.452705015900506</v>
      </c>
      <c r="D877" s="70">
        <v>63.339816233285802</v>
      </c>
      <c r="E877" s="70">
        <v>88.81343145378753</v>
      </c>
      <c r="F877" s="70">
        <v>90.714463807159504</v>
      </c>
      <c r="G877" s="70">
        <v>63.744232322594954</v>
      </c>
      <c r="H877" s="70">
        <v>84.096322176038967</v>
      </c>
      <c r="I877" s="70">
        <v>131.60219921299611</v>
      </c>
      <c r="J877" s="70">
        <v>144.28153855661361</v>
      </c>
      <c r="K877" s="70">
        <v>155.91913776746122</v>
      </c>
      <c r="L877" s="70">
        <v>196.82574347518127</v>
      </c>
      <c r="M877" s="70">
        <v>142.45860746927218</v>
      </c>
      <c r="N877" s="70">
        <v>113.15729455557801</v>
      </c>
      <c r="O877" s="70">
        <v>92.804032244832456</v>
      </c>
      <c r="P877" s="70">
        <v>136.29593376232393</v>
      </c>
      <c r="Q877" s="70">
        <v>92.794036789658648</v>
      </c>
      <c r="R877" s="70">
        <v>143.03907246156706</v>
      </c>
      <c r="S877" s="70">
        <v>187.48781590399201</v>
      </c>
      <c r="T877" s="70">
        <v>265.2049508415962</v>
      </c>
      <c r="U877" s="70">
        <v>274.71049163403632</v>
      </c>
      <c r="V877" s="70">
        <v>263.5456398790858</v>
      </c>
      <c r="X877" s="193">
        <f>((0-('Appendix K'!$I$30))/(1+$Y$16)^0)</f>
        <v>-33594902.4440751</v>
      </c>
      <c r="Y877" s="193">
        <f>(((B877*'Appendix K'!$C$5*1000)-('Appendix K'!$E$31+'Appendix K'!$F$31+'Appendix K'!$H$31+'Appendix K'!$G$31))/((1+$Y$16)^1))</f>
        <v>34971064.972647354</v>
      </c>
      <c r="Z877" s="193">
        <f>+(((C877*'Appendix K'!$C$6*1000)-('Appendix K'!$E$32+'Appendix K'!$F$32+'Appendix K'!$H$32+'Appendix K'!$G$32))/((1+$Y$16)^2))</f>
        <v>15573396.094106607</v>
      </c>
      <c r="AA877" s="193">
        <f>(((D877*'Appendix K'!$C$7*1000)-('Appendix K'!$E$33+'Appendix K'!$F$33+'Appendix K'!$H$33+'Appendix K'!$G$33))/((1+$Y$16)^3))</f>
        <v>5103002.9450020818</v>
      </c>
      <c r="AB877" s="193">
        <f>(((E877*'Appendix K'!$C$8*1000)-('Appendix K'!$E$34+'Appendix K'!$F$34+'Appendix K'!$H$34+'Appendix K'!$G$34))/((1+$Y$16)^4))</f>
        <v>16173883.277103117</v>
      </c>
      <c r="AC877" s="193">
        <f>(((F877*'Appendix K'!$C$9*1000)-('Appendix K'!$E$35+'Appendix K'!$F$35+'Appendix K'!$H$35+'Appendix K'!$G$35))/((1+$Y$16)^AC$34))</f>
        <v>21127533.513513494</v>
      </c>
      <c r="AD877" s="193">
        <f>(((G877*'Appendix K'!$C$10*1000)-('Appendix K'!$E$36+'Appendix K'!$F$36+'Appendix K'!$H$36+'Appendix K'!$G$36))/((1+$Y$16)^AD$34))</f>
        <v>7494883.1525235688</v>
      </c>
      <c r="AE877" s="193">
        <f>(((H877*'Appendix K'!$C$11*1000)-('Appendix K'!$E$37+'Appendix K'!$F$37+'Appendix K'!$H$37+'Appendix K'!$G$37))/((1+$Y$16)^AE$34))</f>
        <v>6167626.8023167262</v>
      </c>
      <c r="AF877" s="193">
        <f>(((I877*'Appendix K'!$C$12*1000)-('Appendix K'!$E$38+'Appendix K'!$F$38+'Appendix K'!$H$38+'Appendix K'!$G$38))/((1+$Y$16)^AF$34))</f>
        <v>6644740.7933553793</v>
      </c>
      <c r="AG877" s="193">
        <f>(((J877*'Appendix K'!$C$13*1000)-('Appendix K'!$E$39+'Appendix K'!$F$39+'Appendix K'!$H$39+'Appendix K'!$G$39))/((1+$Y$16)^AG$34))</f>
        <v>4824738.5217465712</v>
      </c>
      <c r="AH877" s="193">
        <f>(((K877*'Appendix K'!$C$14*1000)-('Appendix K'!$E$40+'Appendix K'!$F$40+'Appendix K'!$H$40+'Appendix K'!$G$40))/((1+$Y$16)^AH$34))</f>
        <v>3622751.4328958536</v>
      </c>
      <c r="AI877" s="193">
        <f>(((L877*'Appendix K'!$C$15*1000)-('Appendix K'!$E$41+'Appendix K'!$F$41+'Appendix K'!$H$41+'Appendix K'!$G$41))/((1+$Y$16)^AI$34))</f>
        <v>3640721.1966638351</v>
      </c>
      <c r="AJ877" s="193">
        <f>(((M877*'Appendix K'!$C$16*1000)-('Appendix K'!$E$42+'Appendix K'!$F$42+'Appendix K'!$H$42+'Appendix K'!$G$42))/((1+$Y$16)^AJ$34))</f>
        <v>1473585.5020549486</v>
      </c>
      <c r="AK877" s="193">
        <f>(((N877*'Appendix K'!$C$17*1000)-('Appendix K'!$E$43+'Appendix K'!$F$43+'Appendix K'!$H$43))/((1+$Y$16)^AK$34))</f>
        <v>734278.45431698416</v>
      </c>
      <c r="AL877" s="193">
        <f>(((O877*'Appendix K'!$C$18*1000)-('Appendix K'!$E$44+'Appendix K'!$F$44+'Appendix K'!$H$44+'Appendix K'!$G$44))/((1+$Y$16)^AL$34))</f>
        <v>-34555.623688403968</v>
      </c>
      <c r="AM877" s="193">
        <f>(((P877*'Appendix K'!$C$19*1000)-('Appendix K'!$E$45+'Appendix K'!$F$45+'Appendix K'!$H$45+'Appendix K'!$G$45))/((1+$Y$16)^AM$34))</f>
        <v>236524.51230709133</v>
      </c>
      <c r="AN877" s="193">
        <f>(((Q877*'Appendix K'!$C$20*1000)-('Appendix K'!$E$46+'Appendix K'!$F$46+'Appendix K'!$H$46+'Appendix K'!$G$46))/((1+$Y$16)^AN$34))</f>
        <v>-244231.06247411179</v>
      </c>
      <c r="AO877" s="193">
        <f>(((R877*'Appendix K'!$C$21*1000)-('Appendix K'!$E$47+'Appendix K'!$F$47+'Appendix K'!$H$47+'Appendix K'!$G$47))/((1+$Y$16)^AO$34))</f>
        <v>2377.7958293388892</v>
      </c>
      <c r="AP877" s="193">
        <f>(((S877*'Appendix K'!$C$22*1000)-('Appendix K'!$E$48+'Appendix K'!$F$48+'Appendix K'!$H$48+'Appendix K'!$G$48))/((1+$Y$16)^AP$34))</f>
        <v>133560.78534851194</v>
      </c>
      <c r="AQ877" s="193">
        <f>(((T877*'Appendix K'!$C$23*1000)-('Appendix K'!$E$49+'Appendix K'!$F$49+'Appendix K'!$H$49+'Appendix K'!$G$49))/((1+$Y$16)^AQ$34))</f>
        <v>344458.65187357954</v>
      </c>
      <c r="AR877" s="193">
        <f>(((U877*'Appendix K'!$C$24*1000)-('Appendix K'!$E$50+'Appendix K'!$F$50+'Appendix K'!$H$50+'Appendix K'!$G$50))/((1+$Y$16)^AR$34))</f>
        <v>255286.610827703</v>
      </c>
      <c r="AS877" s="209">
        <f t="shared" si="42"/>
        <v>94929512.570357621</v>
      </c>
      <c r="AU877" s="199">
        <f t="shared" si="41"/>
        <v>6.9715593198302354E-9</v>
      </c>
    </row>
    <row r="878" spans="1:47" x14ac:dyDescent="0.35">
      <c r="A878">
        <v>844</v>
      </c>
      <c r="B878" s="70">
        <v>56</v>
      </c>
      <c r="C878" s="70">
        <v>87.304906213508076</v>
      </c>
      <c r="D878" s="70">
        <v>135.5756225834586</v>
      </c>
      <c r="E878" s="70">
        <v>177.65765443836966</v>
      </c>
      <c r="F878" s="70">
        <v>258.5121392845374</v>
      </c>
      <c r="G878" s="70">
        <v>228.9165142190285</v>
      </c>
      <c r="H878" s="70">
        <v>205.88753591362314</v>
      </c>
      <c r="I878" s="70">
        <v>343.29683574326054</v>
      </c>
      <c r="J878" s="70">
        <v>423.8224394465343</v>
      </c>
      <c r="K878" s="70">
        <v>500</v>
      </c>
      <c r="L878" s="70">
        <v>188.77248303982873</v>
      </c>
      <c r="M878" s="70">
        <v>252.40721518985748</v>
      </c>
      <c r="N878" s="70">
        <v>221.51074813745228</v>
      </c>
      <c r="O878" s="70">
        <v>179.11088334142903</v>
      </c>
      <c r="P878" s="70">
        <v>137.42282089567044</v>
      </c>
      <c r="Q878" s="70">
        <v>164.4956617978593</v>
      </c>
      <c r="R878" s="70">
        <v>237.9747230358856</v>
      </c>
      <c r="S878" s="70">
        <v>339.10085032304619</v>
      </c>
      <c r="T878" s="70">
        <v>208.6150771165245</v>
      </c>
      <c r="U878" s="70">
        <v>171.37706060601292</v>
      </c>
      <c r="V878" s="70">
        <v>189.22799678513508</v>
      </c>
      <c r="X878" s="193">
        <f>((0-('Appendix K'!$I$30))/(1+$Y$16)^0)</f>
        <v>-33594902.4440751</v>
      </c>
      <c r="Y878" s="193">
        <f>(((B878*'Appendix K'!$C$5*1000)-('Appendix K'!$E$31+'Appendix K'!$F$31+'Appendix K'!$H$31+'Appendix K'!$G$31))/((1+$Y$16)^1))</f>
        <v>34971064.972647354</v>
      </c>
      <c r="Z878" s="193">
        <f>+(((C878*'Appendix K'!$C$6*1000)-('Appendix K'!$E$32+'Appendix K'!$F$32+'Appendix K'!$H$32+'Appendix K'!$G$32))/((1+$Y$16)^2))</f>
        <v>18567464.826290052</v>
      </c>
      <c r="AA878" s="193">
        <f>(((D878*'Appendix K'!$C$7*1000)-('Appendix K'!$E$33+'Appendix K'!$F$33+'Appendix K'!$H$33+'Appendix K'!$G$33))/((1+$Y$16)^3))</f>
        <v>14304029.558566067</v>
      </c>
      <c r="AB878" s="193">
        <f>(((E878*'Appendix K'!$C$8*1000)-('Appendix K'!$E$34+'Appendix K'!$F$34+'Appendix K'!$H$34+'Appendix K'!$G$34))/((1+$Y$16)^4))</f>
        <v>35647723.664741598</v>
      </c>
      <c r="AC878" s="193">
        <f>(((F878*'Appendix K'!$C$9*1000)-('Appendix K'!$E$35+'Appendix K'!$F$35+'Appendix K'!$H$35+'Appendix K'!$G$35))/((1+$Y$16)^AC$34))</f>
        <v>65727892.165766828</v>
      </c>
      <c r="AD878" s="193">
        <f>(((G878*'Appendix K'!$C$10*1000)-('Appendix K'!$E$36+'Appendix K'!$F$36+'Appendix K'!$H$36+'Appendix K'!$G$36))/((1+$Y$16)^AD$34))</f>
        <v>33434190.982506715</v>
      </c>
      <c r="AE878" s="193">
        <f>(((H878*'Appendix K'!$C$11*1000)-('Appendix K'!$E$37+'Appendix K'!$F$37+'Appendix K'!$H$37+'Appendix K'!$G$37))/((1+$Y$16)^AE$34))</f>
        <v>18314793.673620682</v>
      </c>
      <c r="AF878" s="193">
        <f>(((I878*'Appendix K'!$C$12*1000)-('Appendix K'!$E$38+'Appendix K'!$F$38+'Appendix K'!$H$38+'Appendix K'!$G$38))/((1+$Y$16)^AF$34))</f>
        <v>20545124.419079643</v>
      </c>
      <c r="AG878" s="193">
        <f>(((J878*'Appendix K'!$C$13*1000)-('Appendix K'!$E$39+'Appendix K'!$F$39+'Appendix K'!$H$39+'Appendix K'!$G$39))/((1+$Y$16)^AG$34))</f>
        <v>17688912.388062533</v>
      </c>
      <c r="AH878" s="193">
        <f>(((K878*'Appendix K'!$C$14*1000)-('Appendix K'!$E$40+'Appendix K'!$F$40+'Appendix K'!$H$40+'Appendix K'!$G$40))/((1+$Y$16)^AH$34))</f>
        <v>15220522.22201786</v>
      </c>
      <c r="AI878" s="193">
        <f>(((L878*'Appendix K'!$C$15*1000)-('Appendix K'!$E$41+'Appendix K'!$F$41+'Appendix K'!$H$41+'Appendix K'!$G$41))/((1+$Y$16)^AI$34))</f>
        <v>3429710.7135867397</v>
      </c>
      <c r="AJ878" s="193">
        <f>(((M878*'Appendix K'!$C$16*1000)-('Appendix K'!$E$42+'Appendix K'!$F$42+'Appendix K'!$H$42+'Appendix K'!$G$42))/((1+$Y$16)^AJ$34))</f>
        <v>3677160.8724014885</v>
      </c>
      <c r="AK878" s="193">
        <f>(((N878*'Appendix K'!$C$17*1000)-('Appendix K'!$E$43+'Appendix K'!$F$43+'Appendix K'!$H$43))/((1+$Y$16)^AK$34))</f>
        <v>2399009.804870083</v>
      </c>
      <c r="AL878" s="193">
        <f>(((O878*'Appendix K'!$C$18*1000)-('Appendix K'!$E$44+'Appendix K'!$F$44+'Appendix K'!$H$44+'Appendix K'!$G$44))/((1+$Y$16)^AL$34))</f>
        <v>988464.87833398243</v>
      </c>
      <c r="AM878" s="193">
        <f>(((P878*'Appendix K'!$C$19*1000)-('Appendix K'!$E$45+'Appendix K'!$F$45+'Appendix K'!$H$45+'Appendix K'!$G$45))/((1+$Y$16)^AM$34))</f>
        <v>246969.32690624311</v>
      </c>
      <c r="AN878" s="193">
        <f>(((Q878*'Appendix K'!$C$20*1000)-('Appendix K'!$E$46+'Appendix K'!$F$46+'Appendix K'!$H$46+'Appendix K'!$G$46))/((1+$Y$16)^AN$34))</f>
        <v>274617.4475141326</v>
      </c>
      <c r="AO878" s="193">
        <f>(((R878*'Appendix K'!$C$21*1000)-('Appendix K'!$E$47+'Appendix K'!$F$47+'Appendix K'!$H$47+'Appendix K'!$G$47))/((1+$Y$16)^AO$34))</f>
        <v>563457.97921805677</v>
      </c>
      <c r="AP878" s="193">
        <f>(((S878*'Appendix K'!$C$22*1000)-('Appendix K'!$E$48+'Appendix K'!$F$48+'Appendix K'!$H$48+'Appendix K'!$G$48))/((1+$Y$16)^AP$34))</f>
        <v>859744.66875696927</v>
      </c>
      <c r="AQ878" s="193">
        <f>(((T878*'Appendix K'!$C$23*1000)-('Appendix K'!$E$49+'Appendix K'!$F$49+'Appendix K'!$H$49+'Appendix K'!$G$49))/((1+$Y$16)^AQ$34))</f>
        <v>122980.37349286796</v>
      </c>
      <c r="AR878" s="193">
        <f>(((U878*'Appendix K'!$C$24*1000)-('Appendix K'!$E$50+'Appendix K'!$F$50+'Appendix K'!$H$50+'Appendix K'!$G$50))/((1+$Y$16)^AR$34))</f>
        <v>-77449.932367321861</v>
      </c>
      <c r="AS878" s="209">
        <f t="shared" si="42"/>
        <v>253388932.49430484</v>
      </c>
      <c r="AU878" s="199">
        <f t="shared" si="41"/>
        <v>9.8660773970049424E-11</v>
      </c>
    </row>
    <row r="879" spans="1:47" x14ac:dyDescent="0.35">
      <c r="A879">
        <v>845</v>
      </c>
      <c r="B879" s="70">
        <v>56</v>
      </c>
      <c r="C879" s="70">
        <v>68.1264491792668</v>
      </c>
      <c r="D879" s="70">
        <v>92.571155846941579</v>
      </c>
      <c r="E879" s="70">
        <v>63.663083732955357</v>
      </c>
      <c r="F879" s="70">
        <v>47.549174438774124</v>
      </c>
      <c r="G879" s="70">
        <v>64.241437684704124</v>
      </c>
      <c r="H879" s="70">
        <v>78.584122163229395</v>
      </c>
      <c r="I879" s="70">
        <v>104.20220760463414</v>
      </c>
      <c r="J879" s="70">
        <v>119.4600491781278</v>
      </c>
      <c r="K879" s="70">
        <v>89.596756240016333</v>
      </c>
      <c r="L879" s="70">
        <v>117.0182789318803</v>
      </c>
      <c r="M879" s="70">
        <v>142.70636037627168</v>
      </c>
      <c r="N879" s="70">
        <v>205.54417341732017</v>
      </c>
      <c r="O879" s="70">
        <v>181.94173370751287</v>
      </c>
      <c r="P879" s="70">
        <v>246.91725185990529</v>
      </c>
      <c r="Q879" s="70">
        <v>192.34279465706709</v>
      </c>
      <c r="R879" s="70">
        <v>328.76003592895546</v>
      </c>
      <c r="S879" s="70">
        <v>368.59884726236834</v>
      </c>
      <c r="T879" s="70">
        <v>421.54089879688706</v>
      </c>
      <c r="U879" s="70">
        <v>373.01189458877519</v>
      </c>
      <c r="V879" s="70">
        <v>285.87135146894366</v>
      </c>
      <c r="X879" s="193">
        <f>((0-('Appendix K'!$I$30))/(1+$Y$16)^0)</f>
        <v>-33594902.4440751</v>
      </c>
      <c r="Y879" s="193">
        <f>(((B879*'Appendix K'!$C$5*1000)-('Appendix K'!$E$31+'Appendix K'!$F$31+'Appendix K'!$H$31+'Appendix K'!$G$31))/((1+$Y$16)^1))</f>
        <v>34971064.972647354</v>
      </c>
      <c r="Z879" s="193">
        <f>+(((C879*'Appendix K'!$C$6*1000)-('Appendix K'!$E$32+'Appendix K'!$F$32+'Appendix K'!$H$32+'Appendix K'!$G$32))/((1+$Y$16)^2))</f>
        <v>13722658.567910273</v>
      </c>
      <c r="AA879" s="193">
        <f>(((D879*'Appendix K'!$C$7*1000)-('Appendix K'!$E$33+'Appendix K'!$F$33+'Appendix K'!$H$33+'Appendix K'!$G$33))/((1+$Y$16)^3))</f>
        <v>8826341.0971583985</v>
      </c>
      <c r="AB879" s="193">
        <f>(((E879*'Appendix K'!$C$8*1000)-('Appendix K'!$E$34+'Appendix K'!$F$34+'Appendix K'!$H$34+'Appendix K'!$G$34))/((1+$Y$16)^4))</f>
        <v>10661157.28597044</v>
      </c>
      <c r="AC879" s="193">
        <f>(((F879*'Appendix K'!$C$9*1000)-('Appendix K'!$E$35+'Appendix K'!$F$35+'Appendix K'!$H$35+'Appendix K'!$G$35))/((1+$Y$16)^AC$34))</f>
        <v>9654267.3810643852</v>
      </c>
      <c r="AD879" s="193">
        <f>(((G879*'Appendix K'!$C$10*1000)-('Appendix K'!$E$36+'Appendix K'!$F$36+'Appendix K'!$H$36+'Appendix K'!$G$36))/((1+$Y$16)^AD$34))</f>
        <v>7572966.2473042961</v>
      </c>
      <c r="AE879" s="193">
        <f>(((H879*'Appendix K'!$C$11*1000)-('Appendix K'!$E$37+'Appendix K'!$F$37+'Appendix K'!$H$37+'Appendix K'!$G$37))/((1+$Y$16)^AE$34))</f>
        <v>5617853.043366666</v>
      </c>
      <c r="AF879" s="193">
        <f>(((I879*'Appendix K'!$C$12*1000)-('Appendix K'!$E$38+'Appendix K'!$F$38+'Appendix K'!$H$38+'Appendix K'!$G$38))/((1+$Y$16)^AF$34))</f>
        <v>4845590.8435010454</v>
      </c>
      <c r="AG879" s="193">
        <f>(((J879*'Appendix K'!$C$13*1000)-('Appendix K'!$E$39+'Appendix K'!$F$39+'Appendix K'!$H$39+'Appendix K'!$G$39))/((1+$Y$16)^AG$34))</f>
        <v>3682480.0759547856</v>
      </c>
      <c r="AH879" s="193">
        <f>(((K879*'Appendix K'!$C$14*1000)-('Appendix K'!$E$40+'Appendix K'!$F$40+'Appendix K'!$H$40+'Appendix K'!$G$40))/((1+$Y$16)^AH$34))</f>
        <v>1387254.3054091015</v>
      </c>
      <c r="AI879" s="193">
        <f>(((L879*'Appendix K'!$C$15*1000)-('Appendix K'!$E$41+'Appendix K'!$F$41+'Appendix K'!$H$41+'Appendix K'!$G$41))/((1+$Y$16)^AI$34))</f>
        <v>1549616.3849388503</v>
      </c>
      <c r="AJ879" s="193">
        <f>(((M879*'Appendix K'!$C$16*1000)-('Appendix K'!$E$42+'Appendix K'!$F$42+'Appendix K'!$H$42+'Appendix K'!$G$42))/((1+$Y$16)^AJ$34))</f>
        <v>1478550.9328604322</v>
      </c>
      <c r="AK879" s="193">
        <f>(((N879*'Appendix K'!$C$17*1000)-('Appendix K'!$E$43+'Appendix K'!$F$43+'Appendix K'!$H$43))/((1+$Y$16)^AK$34))</f>
        <v>2153700.9880406498</v>
      </c>
      <c r="AL879" s="193">
        <f>(((O879*'Appendix K'!$C$18*1000)-('Appendix K'!$E$44+'Appendix K'!$F$44+'Appendix K'!$H$44+'Appendix K'!$G$44))/((1+$Y$16)^AL$34))</f>
        <v>1022019.7807069126</v>
      </c>
      <c r="AM879" s="193">
        <f>(((P879*'Appendix K'!$C$19*1000)-('Appendix K'!$E$45+'Appendix K'!$F$45+'Appendix K'!$H$45+'Appendix K'!$G$45))/((1+$Y$16)^AM$34))</f>
        <v>1261843.8402612435</v>
      </c>
      <c r="AN879" s="193">
        <f>(((Q879*'Appendix K'!$C$20*1000)-('Appendix K'!$E$46+'Appendix K'!$F$46+'Appendix K'!$H$46+'Appendix K'!$G$46))/((1+$Y$16)^AN$34))</f>
        <v>476125.34067265084</v>
      </c>
      <c r="AO879" s="193">
        <f>(((R879*'Appendix K'!$C$21*1000)-('Appendix K'!$E$47+'Appendix K'!$F$47+'Appendix K'!$H$47+'Appendix K'!$G$47))/((1+$Y$16)^AO$34))</f>
        <v>1100009.208381121</v>
      </c>
      <c r="AP879" s="193">
        <f>(((S879*'Appendix K'!$C$22*1000)-('Appendix K'!$E$48+'Appendix K'!$F$48+'Appendix K'!$H$48+'Appendix K'!$G$48))/((1+$Y$16)^AP$34))</f>
        <v>1001031.795238198</v>
      </c>
      <c r="AQ879" s="193">
        <f>(((T879*'Appendix K'!$C$23*1000)-('Appendix K'!$E$49+'Appendix K'!$F$49+'Appendix K'!$H$49+'Appendix K'!$G$49))/((1+$Y$16)^AQ$34))</f>
        <v>956317.52914147498</v>
      </c>
      <c r="AR879" s="193">
        <f>(((U879*'Appendix K'!$C$24*1000)-('Appendix K'!$E$50+'Appendix K'!$F$50+'Appendix K'!$H$50+'Appendix K'!$G$50))/((1+$Y$16)^AR$34))</f>
        <v>571819.88263506885</v>
      </c>
      <c r="AS879" s="209">
        <f t="shared" si="42"/>
        <v>78917767.05908826</v>
      </c>
      <c r="AU879" s="199">
        <f t="shared" si="41"/>
        <v>6.9475682724679072E-9</v>
      </c>
    </row>
    <row r="880" spans="1:47" x14ac:dyDescent="0.35">
      <c r="A880">
        <v>846</v>
      </c>
      <c r="B880" s="70">
        <v>56</v>
      </c>
      <c r="C880" s="70">
        <v>45.410263061659137</v>
      </c>
      <c r="D880" s="70">
        <v>39.979262668573647</v>
      </c>
      <c r="E880" s="70">
        <v>38.239072127767272</v>
      </c>
      <c r="F880" s="70">
        <v>37.083990494053175</v>
      </c>
      <c r="G880" s="70">
        <v>40.061386733916009</v>
      </c>
      <c r="H880" s="70">
        <v>48.442859336008311</v>
      </c>
      <c r="I880" s="70">
        <v>65.196530845212109</v>
      </c>
      <c r="J880" s="70">
        <v>100.40410126002749</v>
      </c>
      <c r="K880" s="70">
        <v>117.61230792413819</v>
      </c>
      <c r="L880" s="70">
        <v>105.90735550341128</v>
      </c>
      <c r="M880" s="70">
        <v>128.16943797593891</v>
      </c>
      <c r="N880" s="70">
        <v>129.8717574662565</v>
      </c>
      <c r="O880" s="70">
        <v>154.1767763702409</v>
      </c>
      <c r="P880" s="70">
        <v>179.14582534054756</v>
      </c>
      <c r="Q880" s="70">
        <v>239.12501394475012</v>
      </c>
      <c r="R880" s="70">
        <v>191.23175555451934</v>
      </c>
      <c r="S880" s="70">
        <v>99.609904860572925</v>
      </c>
      <c r="T880" s="70">
        <v>66.710128430911965</v>
      </c>
      <c r="U880" s="70">
        <v>48.21300543798899</v>
      </c>
      <c r="V880" s="70">
        <v>44.609357101976521</v>
      </c>
      <c r="X880" s="193">
        <f>((0-('Appendix K'!$I$30))/(1+$Y$16)^0)</f>
        <v>-33594902.4440751</v>
      </c>
      <c r="Y880" s="193">
        <f>(((B880*'Appendix K'!$C$5*1000)-('Appendix K'!$E$31+'Appendix K'!$F$31+'Appendix K'!$H$31+'Appendix K'!$G$31))/((1+$Y$16)^1))</f>
        <v>34971064.972647354</v>
      </c>
      <c r="Z880" s="193">
        <f>+(((C880*'Appendix K'!$C$6*1000)-('Appendix K'!$E$32+'Appendix K'!$F$32+'Appendix K'!$H$32+'Appendix K'!$G$32))/((1+$Y$16)^2))</f>
        <v>7984161.4368526526</v>
      </c>
      <c r="AA880" s="193">
        <f>(((D880*'Appendix K'!$C$7*1000)-('Appendix K'!$E$33+'Appendix K'!$F$33+'Appendix K'!$H$33+'Appendix K'!$G$33))/((1+$Y$16)^3))</f>
        <v>2127455.4164738087</v>
      </c>
      <c r="AB880" s="193">
        <f>(((E880*'Appendix K'!$C$8*1000)-('Appendix K'!$E$34+'Appendix K'!$F$34+'Appendix K'!$H$34+'Appendix K'!$G$34))/((1+$Y$16)^4))</f>
        <v>5088446.6765386881</v>
      </c>
      <c r="AC880" s="193">
        <f>(((F880*'Appendix K'!$C$9*1000)-('Appendix K'!$E$35+'Appendix K'!$F$35+'Appendix K'!$H$35+'Appendix K'!$G$35))/((1+$Y$16)^AC$34))</f>
        <v>6872637.9218453048</v>
      </c>
      <c r="AD880" s="193">
        <f>(((G880*'Appendix K'!$C$10*1000)-('Appendix K'!$E$36+'Appendix K'!$F$36+'Appendix K'!$H$36+'Appendix K'!$G$36))/((1+$Y$16)^AD$34))</f>
        <v>3775635.4981266251</v>
      </c>
      <c r="AE880" s="193">
        <f>(((H880*'Appendix K'!$C$11*1000)-('Appendix K'!$E$37+'Appendix K'!$F$37+'Appendix K'!$H$37+'Appendix K'!$G$37))/((1+$Y$16)^AE$34))</f>
        <v>2611634.9588424056</v>
      </c>
      <c r="AF880" s="193">
        <f>(((I880*'Appendix K'!$C$12*1000)-('Appendix K'!$E$38+'Appendix K'!$F$38+'Appendix K'!$H$38+'Appendix K'!$G$38))/((1+$Y$16)^AF$34))</f>
        <v>2284383.439177176</v>
      </c>
      <c r="AG880" s="193">
        <f>(((J880*'Appendix K'!$C$13*1000)-('Appendix K'!$E$39+'Appendix K'!$F$39+'Appendix K'!$H$39+'Appendix K'!$G$39))/((1+$Y$16)^AG$34))</f>
        <v>2805545.6938106976</v>
      </c>
      <c r="AH880" s="193">
        <f>(((K880*'Appendix K'!$C$14*1000)-('Appendix K'!$E$40+'Appendix K'!$F$40+'Appendix K'!$H$40+'Appendix K'!$G$40))/((1+$Y$16)^AH$34))</f>
        <v>2331561.2478384031</v>
      </c>
      <c r="AI880" s="193">
        <f>(((L880*'Appendix K'!$C$15*1000)-('Appendix K'!$E$41+'Appendix K'!$F$41+'Appendix K'!$H$41+'Appendix K'!$G$41))/((1+$Y$16)^AI$34))</f>
        <v>1258489.4135842677</v>
      </c>
      <c r="AJ880" s="193">
        <f>(((M880*'Appendix K'!$C$16*1000)-('Appendix K'!$E$42+'Appendix K'!$F$42+'Appendix K'!$H$42+'Appendix K'!$G$42))/((1+$Y$16)^AJ$34))</f>
        <v>1187203.8678442123</v>
      </c>
      <c r="AK880" s="193">
        <f>(((N880*'Appendix K'!$C$17*1000)-('Appendix K'!$E$43+'Appendix K'!$F$43+'Appendix K'!$H$43))/((1+$Y$16)^AK$34))</f>
        <v>991077.74861947948</v>
      </c>
      <c r="AL880" s="193">
        <f>(((O880*'Appendix K'!$C$18*1000)-('Appendix K'!$E$44+'Appendix K'!$F$44+'Appendix K'!$H$44+'Appendix K'!$G$44))/((1+$Y$16)^AL$34))</f>
        <v>692913.57149050222</v>
      </c>
      <c r="AM880" s="193">
        <f>(((P880*'Appendix K'!$C$19*1000)-('Appendix K'!$E$45+'Appendix K'!$F$45+'Appendix K'!$H$45+'Appendix K'!$G$45))/((1+$Y$16)^AM$34))</f>
        <v>633688.66467360675</v>
      </c>
      <c r="AN880" s="193">
        <f>(((Q880*'Appendix K'!$C$20*1000)-('Appendix K'!$E$46+'Appendix K'!$F$46+'Appendix K'!$H$46+'Appendix K'!$G$46))/((1+$Y$16)^AN$34))</f>
        <v>814651.62607526919</v>
      </c>
      <c r="AO880" s="193">
        <f>(((R880*'Appendix K'!$C$21*1000)-('Appendix K'!$E$47+'Appendix K'!$F$47+'Appendix K'!$H$47+'Appendix K'!$G$47))/((1+$Y$16)^AO$34))</f>
        <v>287201.87723825406</v>
      </c>
      <c r="AP880" s="193">
        <f>(((S880*'Appendix K'!$C$22*1000)-('Appendix K'!$E$48+'Appendix K'!$F$48+'Appendix K'!$H$48+'Appendix K'!$G$48))/((1+$Y$16)^AP$34))</f>
        <v>-287349.74488300312</v>
      </c>
      <c r="AQ880" s="193">
        <f>(((T880*'Appendix K'!$C$23*1000)-('Appendix K'!$E$49+'Appendix K'!$F$49+'Appendix K'!$H$49+'Appendix K'!$G$49))/((1+$Y$16)^AQ$34))</f>
        <v>-432399.26706406719</v>
      </c>
      <c r="AR880" s="193">
        <f>(((U880*'Appendix K'!$C$24*1000)-('Appendix K'!$E$50+'Appendix K'!$F$50+'Appendix K'!$H$50+'Appendix K'!$G$50))/((1+$Y$16)^AR$34))</f>
        <v>-474041.64092460158</v>
      </c>
      <c r="AS880" s="209">
        <f t="shared" si="42"/>
        <v>43122851.587603606</v>
      </c>
      <c r="AU880" s="199">
        <f t="shared" si="41"/>
        <v>5.1695981370391E-9</v>
      </c>
    </row>
    <row r="881" spans="1:47" x14ac:dyDescent="0.35">
      <c r="A881">
        <v>847</v>
      </c>
      <c r="B881" s="70">
        <v>56</v>
      </c>
      <c r="C881" s="70">
        <v>67.692119058497937</v>
      </c>
      <c r="D881" s="70">
        <v>102.40928774835362</v>
      </c>
      <c r="E881" s="70">
        <v>116.71362180372959</v>
      </c>
      <c r="F881" s="70">
        <v>93.948479123104903</v>
      </c>
      <c r="G881" s="70">
        <v>33.201836524443706</v>
      </c>
      <c r="H881" s="70">
        <v>35.087857236520136</v>
      </c>
      <c r="I881" s="70">
        <v>26.288125834277288</v>
      </c>
      <c r="J881" s="70">
        <v>33.247588014579335</v>
      </c>
      <c r="K881" s="70">
        <v>44.709277529236765</v>
      </c>
      <c r="L881" s="70">
        <v>53.321319095192109</v>
      </c>
      <c r="M881" s="70">
        <v>78.856891085512686</v>
      </c>
      <c r="N881" s="70">
        <v>84.455974692720247</v>
      </c>
      <c r="O881" s="70">
        <v>64.142971436101277</v>
      </c>
      <c r="P881" s="70">
        <v>81.353343737110436</v>
      </c>
      <c r="Q881" s="70">
        <v>99.343883241034405</v>
      </c>
      <c r="R881" s="70">
        <v>79.571562278526557</v>
      </c>
      <c r="S881" s="70">
        <v>75.485968779292207</v>
      </c>
      <c r="T881" s="70">
        <v>59.029199993700686</v>
      </c>
      <c r="U881" s="70">
        <v>43.075760767607392</v>
      </c>
      <c r="V881" s="70">
        <v>49.552547147188143</v>
      </c>
      <c r="X881" s="193">
        <f>((0-('Appendix K'!$I$30))/(1+$Y$16)^0)</f>
        <v>-33594902.4440751</v>
      </c>
      <c r="Y881" s="193">
        <f>(((B881*'Appendix K'!$C$5*1000)-('Appendix K'!$E$31+'Appendix K'!$F$31+'Appendix K'!$H$31+'Appendix K'!$G$31))/((1+$Y$16)^1))</f>
        <v>34971064.972647354</v>
      </c>
      <c r="Z881" s="193">
        <f>+(((C881*'Appendix K'!$C$6*1000)-('Appendix K'!$E$32+'Appendix K'!$F$32+'Appendix K'!$H$32+'Appendix K'!$G$32))/((1+$Y$16)^2))</f>
        <v>13612939.351002112</v>
      </c>
      <c r="AA881" s="193">
        <f>(((D881*'Appendix K'!$C$7*1000)-('Appendix K'!$E$33+'Appendix K'!$F$33+'Appendix K'!$H$33+'Appendix K'!$G$33))/((1+$Y$16)^3))</f>
        <v>10079471.892346492</v>
      </c>
      <c r="AB881" s="193">
        <f>(((E881*'Appendix K'!$C$8*1000)-('Appendix K'!$E$34+'Appendix K'!$F$34+'Appendix K'!$H$34+'Appendix K'!$G$34))/((1+$Y$16)^4))</f>
        <v>22289349.600150257</v>
      </c>
      <c r="AC881" s="193">
        <f>(((F881*'Appendix K'!$C$9*1000)-('Appendix K'!$E$35+'Appendix K'!$F$35+'Appendix K'!$H$35+'Appendix K'!$G$35))/((1+$Y$16)^AC$34))</f>
        <v>21987129.70617643</v>
      </c>
      <c r="AD881" s="193">
        <f>(((G881*'Appendix K'!$C$10*1000)-('Appendix K'!$E$36+'Appendix K'!$F$36+'Appendix K'!$H$36+'Appendix K'!$G$36))/((1+$Y$16)^AD$34))</f>
        <v>2698384.627606506</v>
      </c>
      <c r="AE881" s="193">
        <f>(((H881*'Appendix K'!$C$11*1000)-('Appendix K'!$E$37+'Appendix K'!$F$37+'Appendix K'!$H$37+'Appendix K'!$G$37))/((1+$Y$16)^AE$34))</f>
        <v>1279638.7163332002</v>
      </c>
      <c r="AF881" s="193">
        <f>(((I881*'Appendix K'!$C$12*1000)-('Appendix K'!$E$38+'Appendix K'!$F$38+'Appendix K'!$H$38+'Appendix K'!$G$38))/((1+$Y$16)^AF$34))</f>
        <v>-270436.86605869146</v>
      </c>
      <c r="AG881" s="193">
        <f>(((J881*'Appendix K'!$C$13*1000)-('Appendix K'!$E$39+'Appendix K'!$F$39+'Appendix K'!$H$39+'Appendix K'!$G$39))/((1+$Y$16)^AG$34))</f>
        <v>-284925.36031670001</v>
      </c>
      <c r="AH881" s="193">
        <f>(((K881*'Appendix K'!$C$14*1000)-('Appendix K'!$E$40+'Appendix K'!$F$40+'Appendix K'!$H$40+'Appendix K'!$G$40))/((1+$Y$16)^AH$34))</f>
        <v>-125746.69677213496</v>
      </c>
      <c r="AI881" s="193">
        <f>(((L881*'Appendix K'!$C$15*1000)-('Appendix K'!$E$41+'Appendix K'!$F$41+'Appendix K'!$H$41+'Appendix K'!$G$41))/((1+$Y$16)^AI$34))</f>
        <v>-119363.07668135157</v>
      </c>
      <c r="AJ881" s="193">
        <f>(((M881*'Appendix K'!$C$16*1000)-('Appendix K'!$E$42+'Appendix K'!$F$42+'Appendix K'!$H$42+'Appendix K'!$G$42))/((1+$Y$16)^AJ$34))</f>
        <v>198888.36272247409</v>
      </c>
      <c r="AK881" s="193">
        <f>(((N881*'Appendix K'!$C$17*1000)-('Appendix K'!$E$43+'Appendix K'!$F$43+'Appendix K'!$H$43))/((1+$Y$16)^AK$34))</f>
        <v>293314.31890206592</v>
      </c>
      <c r="AL881" s="193">
        <f>(((O881*'Appendix K'!$C$18*1000)-('Appendix K'!$E$44+'Appendix K'!$F$44+'Appendix K'!$H$44+'Appendix K'!$G$44))/((1+$Y$16)^AL$34))</f>
        <v>-374283.61103237217</v>
      </c>
      <c r="AM881" s="193">
        <f>(((P881*'Appendix K'!$C$19*1000)-('Appendix K'!$E$45+'Appendix K'!$F$45+'Appendix K'!$H$45+'Appendix K'!$G$45))/((1+$Y$16)^AM$34))</f>
        <v>-272723.61860940407</v>
      </c>
      <c r="AN881" s="193">
        <f>(((Q881*'Appendix K'!$C$20*1000)-('Appendix K'!$E$46+'Appendix K'!$F$46+'Appendix K'!$H$46+'Appendix K'!$G$46))/((1+$Y$16)^AN$34))</f>
        <v>-196834.95294996334</v>
      </c>
      <c r="AO881" s="193">
        <f>(((R881*'Appendix K'!$C$21*1000)-('Appendix K'!$E$47+'Appendix K'!$F$47+'Appendix K'!$H$47+'Appendix K'!$G$47))/((1+$Y$16)^AO$34))</f>
        <v>-372722.20124550926</v>
      </c>
      <c r="AP881" s="193">
        <f>(((S881*'Appendix K'!$C$22*1000)-('Appendix K'!$E$48+'Appendix K'!$F$48+'Appendix K'!$H$48+'Appendix K'!$G$48))/((1+$Y$16)^AP$34))</f>
        <v>-402896.62812907971</v>
      </c>
      <c r="AQ881" s="193">
        <f>(((T881*'Appendix K'!$C$23*1000)-('Appendix K'!$E$49+'Appendix K'!$F$49+'Appendix K'!$H$49+'Appendix K'!$G$49))/((1+$Y$16)^AQ$34))</f>
        <v>-462460.45459920238</v>
      </c>
      <c r="AR881" s="193">
        <f>(((U881*'Appendix K'!$C$24*1000)-('Appendix K'!$E$50+'Appendix K'!$F$50+'Appendix K'!$H$50+'Appendix K'!$G$50))/((1+$Y$16)^AR$34))</f>
        <v>-490583.71270296222</v>
      </c>
      <c r="AS881" s="209">
        <f t="shared" si="42"/>
        <v>73815279.1038118</v>
      </c>
      <c r="AU881" s="199">
        <f t="shared" si="41"/>
        <v>6.8248321240641276E-9</v>
      </c>
    </row>
    <row r="882" spans="1:47" x14ac:dyDescent="0.35">
      <c r="A882">
        <v>848</v>
      </c>
      <c r="B882" s="70">
        <v>56</v>
      </c>
      <c r="C882" s="70">
        <v>63.735549300828531</v>
      </c>
      <c r="D882" s="70">
        <v>84.690176435132429</v>
      </c>
      <c r="E882" s="70">
        <v>97.051245778436709</v>
      </c>
      <c r="F882" s="70">
        <v>145.84643349088509</v>
      </c>
      <c r="G882" s="70">
        <v>171.51013006941696</v>
      </c>
      <c r="H882" s="70">
        <v>142.40756740801481</v>
      </c>
      <c r="I882" s="70">
        <v>206.57916439052542</v>
      </c>
      <c r="J882" s="70">
        <v>243.88573001618198</v>
      </c>
      <c r="K882" s="70">
        <v>283.4418458096232</v>
      </c>
      <c r="L882" s="70">
        <v>380.99905854674614</v>
      </c>
      <c r="M882" s="70">
        <v>500</v>
      </c>
      <c r="N882" s="70">
        <v>453.36143012873038</v>
      </c>
      <c r="O882" s="70">
        <v>500</v>
      </c>
      <c r="P882" s="70">
        <v>500</v>
      </c>
      <c r="Q882" s="70">
        <v>500</v>
      </c>
      <c r="R882" s="70">
        <v>497.496434434967</v>
      </c>
      <c r="S882" s="70">
        <v>500</v>
      </c>
      <c r="T882" s="70">
        <v>500</v>
      </c>
      <c r="U882" s="70">
        <v>317.57319587208235</v>
      </c>
      <c r="V882" s="70">
        <v>279.45398352356852</v>
      </c>
      <c r="X882" s="193">
        <f>((0-('Appendix K'!$I$30))/(1+$Y$16)^0)</f>
        <v>-33594902.4440751</v>
      </c>
      <c r="Y882" s="193">
        <f>(((B882*'Appendix K'!$C$5*1000)-('Appendix K'!$E$31+'Appendix K'!$F$31+'Appendix K'!$H$31+'Appendix K'!$G$31))/((1+$Y$16)^1))</f>
        <v>34971064.972647354</v>
      </c>
      <c r="Z882" s="193">
        <f>+(((C882*'Appendix K'!$C$6*1000)-('Appendix K'!$E$32+'Appendix K'!$F$32+'Appendix K'!$H$32+'Appendix K'!$G$32))/((1+$Y$16)^2))</f>
        <v>12613442.160511298</v>
      </c>
      <c r="AA882" s="193">
        <f>(((D882*'Appendix K'!$C$7*1000)-('Appendix K'!$E$33+'Appendix K'!$F$33+'Appendix K'!$H$33+'Appendix K'!$G$33))/((1+$Y$16)^3))</f>
        <v>7822502.3505195267</v>
      </c>
      <c r="AB882" s="193">
        <f>(((E882*'Appendix K'!$C$8*1000)-('Appendix K'!$E$34+'Appendix K'!$F$34+'Appendix K'!$H$34+'Appendix K'!$G$34))/((1+$Y$16)^4))</f>
        <v>17979536.767134309</v>
      </c>
      <c r="AC882" s="193">
        <f>(((F882*'Appendix K'!$C$9*1000)-('Appendix K'!$E$35+'Appendix K'!$F$35+'Appendix K'!$H$35+'Appendix K'!$G$35))/((1+$Y$16)^AC$34))</f>
        <v>35781524.482719876</v>
      </c>
      <c r="AD882" s="193">
        <f>(((G882*'Appendix K'!$C$10*1000)-('Appendix K'!$E$36+'Appendix K'!$F$36+'Appendix K'!$H$36+'Appendix K'!$G$36))/((1+$Y$16)^AD$34))</f>
        <v>24418865.573387988</v>
      </c>
      <c r="AE882" s="193">
        <f>(((H882*'Appendix K'!$C$11*1000)-('Appendix K'!$E$37+'Appendix K'!$F$37+'Appendix K'!$H$37+'Appendix K'!$G$37))/((1+$Y$16)^AE$34))</f>
        <v>11983452.136256678</v>
      </c>
      <c r="AF882" s="193">
        <f>(((I882*'Appendix K'!$C$12*1000)-('Appendix K'!$E$38+'Appendix K'!$F$38+'Appendix K'!$H$38+'Appendix K'!$G$38))/((1+$Y$16)^AF$34))</f>
        <v>11567910.298933428</v>
      </c>
      <c r="AG882" s="193">
        <f>(((J882*'Appendix K'!$C$13*1000)-('Appendix K'!$E$39+'Appendix K'!$F$39+'Appendix K'!$H$39+'Appendix K'!$G$39))/((1+$Y$16)^AG$34))</f>
        <v>9408417.0913963076</v>
      </c>
      <c r="AH882" s="193">
        <f>(((K882*'Appendix K'!$C$14*1000)-('Appendix K'!$E$40+'Appendix K'!$F$40+'Appendix K'!$H$40+'Appendix K'!$G$40))/((1+$Y$16)^AH$34))</f>
        <v>7921099.0035363501</v>
      </c>
      <c r="AI882" s="193">
        <f>(((L882*'Appendix K'!$C$15*1000)-('Appendix K'!$E$41+'Appendix K'!$F$41+'Appendix K'!$H$41+'Appendix K'!$G$41))/((1+$Y$16)^AI$34))</f>
        <v>8466406.4573268164</v>
      </c>
      <c r="AJ882" s="193">
        <f>(((M882*'Appendix K'!$C$16*1000)-('Appendix K'!$E$42+'Appendix K'!$F$42+'Appendix K'!$H$42+'Appendix K'!$G$42))/((1+$Y$16)^AJ$34))</f>
        <v>8639382.5302660316</v>
      </c>
      <c r="AK882" s="193">
        <f>(((N882*'Appendix K'!$C$17*1000)-('Appendix K'!$E$43+'Appendix K'!$F$43+'Appendix K'!$H$43))/((1+$Y$16)^AK$34))</f>
        <v>5961139.9096235083</v>
      </c>
      <c r="AL882" s="193">
        <f>(((O882*'Appendix K'!$C$18*1000)-('Appendix K'!$E$44+'Appendix K'!$F$44+'Appendix K'!$H$44+'Appendix K'!$G$44))/((1+$Y$16)^AL$34))</f>
        <v>4792058.0003928225</v>
      </c>
      <c r="AM882" s="193">
        <f>(((P882*'Appendix K'!$C$19*1000)-('Appendix K'!$E$45+'Appendix K'!$F$45+'Appendix K'!$H$45+'Appendix K'!$G$45))/((1+$Y$16)^AM$34))</f>
        <v>3607599.9540230581</v>
      </c>
      <c r="AN882" s="193">
        <f>(((Q882*'Appendix K'!$C$20*1000)-('Appendix K'!$E$46+'Appendix K'!$F$46+'Appendix K'!$H$46+'Appendix K'!$G$46))/((1+$Y$16)^AN$34))</f>
        <v>2702399.606577659</v>
      </c>
      <c r="AO882" s="193">
        <f>(((R882*'Appendix K'!$C$21*1000)-('Appendix K'!$E$47+'Appendix K'!$F$47+'Appendix K'!$H$47+'Appendix K'!$G$47))/((1+$Y$16)^AO$34))</f>
        <v>2097259.9655557456</v>
      </c>
      <c r="AP882" s="193">
        <f>(((S882*'Appendix K'!$C$22*1000)-('Appendix K'!$E$48+'Appendix K'!$F$48+'Appendix K'!$H$48+'Appendix K'!$G$48))/((1+$Y$16)^AP$34))</f>
        <v>1630406.4380253027</v>
      </c>
      <c r="AQ882" s="193">
        <f>(((T882*'Appendix K'!$C$23*1000)-('Appendix K'!$E$49+'Appendix K'!$F$49+'Appendix K'!$H$49+'Appendix K'!$G$49))/((1+$Y$16)^AQ$34))</f>
        <v>1263386.3652054211</v>
      </c>
      <c r="AR882" s="193">
        <f>(((U882*'Appendix K'!$C$24*1000)-('Appendix K'!$E$50+'Appendix K'!$F$50+'Appendix K'!$H$50+'Appendix K'!$G$50))/((1+$Y$16)^AR$34))</f>
        <v>393305.7194382592</v>
      </c>
      <c r="AS882" s="209">
        <f t="shared" si="42"/>
        <v>180426257.33940259</v>
      </c>
      <c r="AU882" s="199">
        <f t="shared" si="41"/>
        <v>1.845815894349696E-9</v>
      </c>
    </row>
    <row r="883" spans="1:47" x14ac:dyDescent="0.35">
      <c r="A883">
        <v>849</v>
      </c>
      <c r="B883" s="70">
        <v>56</v>
      </c>
      <c r="C883" s="70">
        <v>39.661219674920467</v>
      </c>
      <c r="D883" s="70">
        <v>49.85514258816071</v>
      </c>
      <c r="E883" s="70">
        <v>40.026353584074826</v>
      </c>
      <c r="F883" s="70">
        <v>79.197267827286524</v>
      </c>
      <c r="G883" s="70">
        <v>90.513993498143861</v>
      </c>
      <c r="H883" s="70">
        <v>96.184937848935377</v>
      </c>
      <c r="I883" s="70">
        <v>97.163343146144825</v>
      </c>
      <c r="J883" s="70">
        <v>109.67975710175359</v>
      </c>
      <c r="K883" s="70">
        <v>69.593946302378185</v>
      </c>
      <c r="L883" s="70">
        <v>84.810723467479448</v>
      </c>
      <c r="M883" s="70">
        <v>101.6353684786345</v>
      </c>
      <c r="N883" s="70">
        <v>91.991758781888365</v>
      </c>
      <c r="O883" s="70">
        <v>108.66608510836724</v>
      </c>
      <c r="P883" s="70">
        <v>104.8280325148534</v>
      </c>
      <c r="Q883" s="70">
        <v>118.48565959627992</v>
      </c>
      <c r="R883" s="70">
        <v>30.94715994385443</v>
      </c>
      <c r="S883" s="70">
        <v>43.339147902254709</v>
      </c>
      <c r="T883" s="70">
        <v>48.478744141293667</v>
      </c>
      <c r="U883" s="70">
        <v>42.466774359310122</v>
      </c>
      <c r="V883" s="70">
        <v>40.692801115436971</v>
      </c>
      <c r="X883" s="193">
        <f>((0-('Appendix K'!$I$30))/(1+$Y$16)^0)</f>
        <v>-33594902.4440751</v>
      </c>
      <c r="Y883" s="193">
        <f>(((B883*'Appendix K'!$C$5*1000)-('Appendix K'!$E$31+'Appendix K'!$F$31+'Appendix K'!$H$31+'Appendix K'!$G$31))/((1+$Y$16)^1))</f>
        <v>34971064.972647354</v>
      </c>
      <c r="Z883" s="193">
        <f>+(((C883*'Appendix K'!$C$6*1000)-('Appendix K'!$E$32+'Appendix K'!$F$32+'Appendix K'!$H$32+'Appendix K'!$G$32))/((1+$Y$16)^2))</f>
        <v>6531854.7507600468</v>
      </c>
      <c r="AA883" s="193">
        <f>(((D883*'Appendix K'!$C$7*1000)-('Appendix K'!$E$33+'Appendix K'!$F$33+'Appendix K'!$H$33+'Appendix K'!$G$33))/((1+$Y$16)^3))</f>
        <v>3385394.360658729</v>
      </c>
      <c r="AB883" s="193">
        <f>(((E883*'Appendix K'!$C$8*1000)-('Appendix K'!$E$34+'Appendix K'!$F$34+'Appendix K'!$H$34+'Appendix K'!$G$34))/((1+$Y$16)^4))</f>
        <v>5480202.4107743232</v>
      </c>
      <c r="AC883" s="193">
        <f>(((F883*'Appendix K'!$C$9*1000)-('Appendix K'!$E$35+'Appendix K'!$F$35+'Appendix K'!$H$35+'Appendix K'!$G$35))/((1+$Y$16)^AC$34))</f>
        <v>18066280.907306343</v>
      </c>
      <c r="AD883" s="193">
        <f>(((G883*'Appendix K'!$C$10*1000)-('Appendix K'!$E$36+'Appendix K'!$F$36+'Appendix K'!$H$36+'Appendix K'!$G$36))/((1+$Y$16)^AD$34))</f>
        <v>11698912.228679888</v>
      </c>
      <c r="AE883" s="193">
        <f>(((H883*'Appendix K'!$C$11*1000)-('Appendix K'!$E$37+'Appendix K'!$F$37+'Appendix K'!$H$37+'Appendix K'!$G$37))/((1+$Y$16)^AE$34))</f>
        <v>7373316.6654469613</v>
      </c>
      <c r="AF883" s="193">
        <f>(((I883*'Appendix K'!$C$12*1000)-('Appendix K'!$E$38+'Appendix K'!$F$38+'Appendix K'!$H$38+'Appendix K'!$G$38))/((1+$Y$16)^AF$34))</f>
        <v>4383401.9195578098</v>
      </c>
      <c r="AG883" s="193">
        <f>(((J883*'Appendix K'!$C$13*1000)-('Appendix K'!$E$39+'Appendix K'!$F$39+'Appendix K'!$H$39+'Appendix K'!$G$39))/((1+$Y$16)^AG$34))</f>
        <v>3232401.4744574884</v>
      </c>
      <c r="AH883" s="193">
        <f>(((K883*'Appendix K'!$C$14*1000)-('Appendix K'!$E$40+'Appendix K'!$F$40+'Appendix K'!$H$40+'Appendix K'!$G$40))/((1+$Y$16)^AH$34))</f>
        <v>713029.05704781506</v>
      </c>
      <c r="AI883" s="193">
        <f>(((L883*'Appendix K'!$C$15*1000)-('Appendix K'!$E$41+'Appendix K'!$F$41+'Appendix K'!$H$41+'Appendix K'!$G$41))/((1+$Y$16)^AI$34))</f>
        <v>705718.20334749867</v>
      </c>
      <c r="AJ883" s="193">
        <f>(((M883*'Appendix K'!$C$16*1000)-('Appendix K'!$E$42+'Appendix K'!$F$42+'Appendix K'!$H$42+'Appendix K'!$G$42))/((1+$Y$16)^AJ$34))</f>
        <v>655411.57659561397</v>
      </c>
      <c r="AK883" s="193">
        <f>(((N883*'Appendix K'!$C$17*1000)-('Appendix K'!$E$43+'Appendix K'!$F$43+'Appendix K'!$H$43))/((1+$Y$16)^AK$34))</f>
        <v>409093.33294851799</v>
      </c>
      <c r="AL883" s="193">
        <f>(((O883*'Appendix K'!$C$18*1000)-('Appendix K'!$E$44+'Appendix K'!$F$44+'Appendix K'!$H$44+'Appendix K'!$G$44))/((1+$Y$16)^AL$34))</f>
        <v>153461.95634585214</v>
      </c>
      <c r="AM883" s="193">
        <f>(((P883*'Appendix K'!$C$19*1000)-('Appendix K'!$E$45+'Appendix K'!$F$45+'Appendix K'!$H$45+'Appendix K'!$G$45))/((1+$Y$16)^AM$34))</f>
        <v>-55143.024421433125</v>
      </c>
      <c r="AN883" s="193">
        <f>(((Q883*'Appendix K'!$C$20*1000)-('Appendix K'!$E$46+'Appendix K'!$F$46+'Appendix K'!$H$46+'Appendix K'!$G$46))/((1+$Y$16)^AN$34))</f>
        <v>-58320.907566592461</v>
      </c>
      <c r="AO883" s="193">
        <f>(((R883*'Appendix K'!$C$21*1000)-('Appendix K'!$E$47+'Appendix K'!$F$47+'Appendix K'!$H$47+'Appendix K'!$G$47))/((1+$Y$16)^AO$34))</f>
        <v>-660097.79106934799</v>
      </c>
      <c r="AP883" s="193">
        <f>(((S883*'Appendix K'!$C$22*1000)-('Appendix K'!$E$48+'Appendix K'!$F$48+'Appendix K'!$H$48+'Appendix K'!$G$48))/((1+$Y$16)^AP$34))</f>
        <v>-556870.8778575008</v>
      </c>
      <c r="AQ883" s="193">
        <f>(((T883*'Appendix K'!$C$23*1000)-('Appendix K'!$E$49+'Appendix K'!$F$49+'Appendix K'!$H$49+'Appendix K'!$G$49))/((1+$Y$16)^AQ$34))</f>
        <v>-503752.23781955527</v>
      </c>
      <c r="AR883" s="193">
        <f>(((U883*'Appendix K'!$C$24*1000)-('Appendix K'!$E$50+'Appendix K'!$F$50+'Appendix K'!$H$50+'Appendix K'!$G$50))/((1+$Y$16)^AR$34))</f>
        <v>-492544.66600078344</v>
      </c>
      <c r="AS883" s="209">
        <f t="shared" si="42"/>
        <v>64164641.37249916</v>
      </c>
      <c r="AU883" s="199">
        <f t="shared" si="41"/>
        <v>6.4543399245393934E-9</v>
      </c>
    </row>
    <row r="884" spans="1:47" x14ac:dyDescent="0.35">
      <c r="A884">
        <v>850</v>
      </c>
      <c r="B884" s="70">
        <v>56</v>
      </c>
      <c r="C884" s="70">
        <v>71.591733677955602</v>
      </c>
      <c r="D884" s="70">
        <v>91.548241051461275</v>
      </c>
      <c r="E884" s="70">
        <v>117.3716372467639</v>
      </c>
      <c r="F884" s="70">
        <v>130.45516601636194</v>
      </c>
      <c r="G884" s="70">
        <v>146.0089399198875</v>
      </c>
      <c r="H884" s="70">
        <v>133.86050880951615</v>
      </c>
      <c r="I884" s="70">
        <v>145.18531649333445</v>
      </c>
      <c r="J884" s="70">
        <v>228.66805040707038</v>
      </c>
      <c r="K884" s="70">
        <v>337.89973994081583</v>
      </c>
      <c r="L884" s="70">
        <v>380.51355274342967</v>
      </c>
      <c r="M884" s="70">
        <v>388.27133840489819</v>
      </c>
      <c r="N884" s="70">
        <v>500</v>
      </c>
      <c r="O884" s="70">
        <v>500</v>
      </c>
      <c r="P884" s="70">
        <v>500</v>
      </c>
      <c r="Q884" s="70">
        <v>500</v>
      </c>
      <c r="R884" s="70">
        <v>500</v>
      </c>
      <c r="S884" s="70">
        <v>401.17403766828193</v>
      </c>
      <c r="T884" s="70">
        <v>451.04335429971377</v>
      </c>
      <c r="U884" s="70">
        <v>500</v>
      </c>
      <c r="V884" s="70">
        <v>500</v>
      </c>
      <c r="X884" s="193">
        <f>((0-('Appendix K'!$I$30))/(1+$Y$16)^0)</f>
        <v>-33594902.4440751</v>
      </c>
      <c r="Y884" s="193">
        <f>(((B884*'Appendix K'!$C$5*1000)-('Appendix K'!$E$31+'Appendix K'!$F$31+'Appendix K'!$H$31+'Appendix K'!$G$31))/((1+$Y$16)^1))</f>
        <v>34971064.972647354</v>
      </c>
      <c r="Z884" s="193">
        <f>+(((C884*'Appendix K'!$C$6*1000)-('Appendix K'!$E$32+'Appendix K'!$F$32+'Appendix K'!$H$32+'Appendix K'!$G$32))/((1+$Y$16)^2))</f>
        <v>14598048.69946984</v>
      </c>
      <c r="AA884" s="193">
        <f>(((D884*'Appendix K'!$C$7*1000)-('Appendix K'!$E$33+'Appendix K'!$F$33+'Appendix K'!$H$33+'Appendix K'!$G$33))/((1+$Y$16)^3))</f>
        <v>8696047.4556505121</v>
      </c>
      <c r="AB884" s="193">
        <f>(((E884*'Appendix K'!$C$8*1000)-('Appendix K'!$E$34+'Appendix K'!$F$34+'Appendix K'!$H$34+'Appendix K'!$G$34))/((1+$Y$16)^4))</f>
        <v>22433580.561711773</v>
      </c>
      <c r="AC884" s="193">
        <f>(((F884*'Appendix K'!$C$9*1000)-('Appendix K'!$E$35+'Appendix K'!$F$35+'Appendix K'!$H$35+'Appendix K'!$G$35))/((1+$Y$16)^AC$34))</f>
        <v>31690549.756618619</v>
      </c>
      <c r="AD884" s="193">
        <f>(((G884*'Appendix K'!$C$10*1000)-('Appendix K'!$E$36+'Appendix K'!$F$36+'Appendix K'!$H$36+'Appendix K'!$G$36))/((1+$Y$16)^AD$34))</f>
        <v>20414057.90393687</v>
      </c>
      <c r="AE884" s="193">
        <f>(((H884*'Appendix K'!$C$11*1000)-('Appendix K'!$E$37+'Appendix K'!$F$37+'Appendix K'!$H$37+'Appendix K'!$G$37))/((1+$Y$16)^AE$34))</f>
        <v>11130988.778115949</v>
      </c>
      <c r="AF884" s="193">
        <f>(((I884*'Appendix K'!$C$12*1000)-('Appendix K'!$E$38+'Appendix K'!$F$38+'Appendix K'!$H$38+'Appendix K'!$G$38))/((1+$Y$16)^AF$34))</f>
        <v>7536641.2407382987</v>
      </c>
      <c r="AG884" s="193">
        <f>(((J884*'Appendix K'!$C$13*1000)-('Appendix K'!$E$39+'Appendix K'!$F$39+'Appendix K'!$H$39+'Appendix K'!$G$39))/((1+$Y$16)^AG$34))</f>
        <v>8708115.7197176386</v>
      </c>
      <c r="AH884" s="193">
        <f>(((K884*'Appendix K'!$C$14*1000)-('Appendix K'!$E$40+'Appendix K'!$F$40+'Appendix K'!$H$40+'Appendix K'!$G$40))/((1+$Y$16)^AH$34))</f>
        <v>9756685.4691532608</v>
      </c>
      <c r="AI884" s="193">
        <f>(((L884*'Appendix K'!$C$15*1000)-('Appendix K'!$E$41+'Appendix K'!$F$41+'Appendix K'!$H$41+'Appendix K'!$G$41))/((1+$Y$16)^AI$34))</f>
        <v>8453685.2973796222</v>
      </c>
      <c r="AJ884" s="193">
        <f>(((M884*'Appendix K'!$C$16*1000)-('Appendix K'!$E$42+'Appendix K'!$F$42+'Appendix K'!$H$42+'Appendix K'!$G$42))/((1+$Y$16)^AJ$34))</f>
        <v>6400131.5569528509</v>
      </c>
      <c r="AK884" s="193">
        <f>(((N884*'Appendix K'!$C$17*1000)-('Appendix K'!$E$43+'Appendix K'!$F$43+'Appendix K'!$H$43))/((1+$Y$16)^AK$34))</f>
        <v>6677690.1149291173</v>
      </c>
      <c r="AL884" s="193">
        <f>(((O884*'Appendix K'!$C$18*1000)-('Appendix K'!$E$44+'Appendix K'!$F$44+'Appendix K'!$H$44+'Appendix K'!$G$44))/((1+$Y$16)^AL$34))</f>
        <v>4792058.0003928225</v>
      </c>
      <c r="AM884" s="193">
        <f>(((P884*'Appendix K'!$C$19*1000)-('Appendix K'!$E$45+'Appendix K'!$F$45+'Appendix K'!$H$45+'Appendix K'!$G$45))/((1+$Y$16)^AM$34))</f>
        <v>3607599.9540230581</v>
      </c>
      <c r="AN884" s="193">
        <f>(((Q884*'Appendix K'!$C$20*1000)-('Appendix K'!$E$46+'Appendix K'!$F$46+'Appendix K'!$H$46+'Appendix K'!$G$46))/((1+$Y$16)^AN$34))</f>
        <v>2702399.606577659</v>
      </c>
      <c r="AO884" s="193">
        <f>(((R884*'Appendix K'!$C$21*1000)-('Appendix K'!$E$47+'Appendix K'!$F$47+'Appendix K'!$H$47+'Appendix K'!$G$47))/((1+$Y$16)^AO$34))</f>
        <v>2112056.3146391152</v>
      </c>
      <c r="AP884" s="193">
        <f>(((S884*'Appendix K'!$C$22*1000)-('Appendix K'!$E$48+'Appendix K'!$F$48+'Appendix K'!$H$48+'Appendix K'!$G$48))/((1+$Y$16)^AP$34))</f>
        <v>1157057.8147844654</v>
      </c>
      <c r="AQ884" s="193">
        <f>(((T884*'Appendix K'!$C$23*1000)-('Appendix K'!$E$49+'Appendix K'!$F$49+'Appendix K'!$H$49+'Appendix K'!$G$49))/((1+$Y$16)^AQ$34))</f>
        <v>1071782.587157229</v>
      </c>
      <c r="AR884" s="193">
        <f>(((U884*'Appendix K'!$C$24*1000)-('Appendix K'!$E$50+'Appendix K'!$F$50+'Appendix K'!$H$50+'Appendix K'!$G$50))/((1+$Y$16)^AR$34))</f>
        <v>980725.14012097823</v>
      </c>
      <c r="AS884" s="209">
        <f t="shared" si="42"/>
        <v>174296064.50064197</v>
      </c>
      <c r="AU884" s="199">
        <f t="shared" si="41"/>
        <v>2.1896421335909499E-9</v>
      </c>
    </row>
    <row r="885" spans="1:47" x14ac:dyDescent="0.35">
      <c r="A885">
        <v>851</v>
      </c>
      <c r="B885" s="70">
        <v>56</v>
      </c>
      <c r="C885" s="70">
        <v>52.339978122994602</v>
      </c>
      <c r="D885" s="70">
        <v>54.208462040312831</v>
      </c>
      <c r="E885" s="70">
        <v>55.853283154892708</v>
      </c>
      <c r="F885" s="70">
        <v>45.905877084986308</v>
      </c>
      <c r="G885" s="70">
        <v>74.644729982253125</v>
      </c>
      <c r="H885" s="70">
        <v>58.572766792621451</v>
      </c>
      <c r="I885" s="70">
        <v>75.086443668448567</v>
      </c>
      <c r="J885" s="70">
        <v>75.117243644580896</v>
      </c>
      <c r="K885" s="70">
        <v>71.779242967917881</v>
      </c>
      <c r="L885" s="70">
        <v>74.070419926241414</v>
      </c>
      <c r="M885" s="70">
        <v>125.56674318305825</v>
      </c>
      <c r="N885" s="70">
        <v>164.7639581564944</v>
      </c>
      <c r="O885" s="70">
        <v>220.18746977317102</v>
      </c>
      <c r="P885" s="70">
        <v>265.2445723342114</v>
      </c>
      <c r="Q885" s="70">
        <v>313.77704859947266</v>
      </c>
      <c r="R885" s="70">
        <v>399.11828931327068</v>
      </c>
      <c r="S885" s="70">
        <v>262.5011481762121</v>
      </c>
      <c r="T885" s="70">
        <v>181.54958756989595</v>
      </c>
      <c r="U885" s="70">
        <v>157.96989888762704</v>
      </c>
      <c r="V885" s="70">
        <v>156.29253486429099</v>
      </c>
      <c r="X885" s="193">
        <f>((0-('Appendix K'!$I$30))/(1+$Y$16)^0)</f>
        <v>-33594902.4440751</v>
      </c>
      <c r="Y885" s="193">
        <f>(((B885*'Appendix K'!$C$5*1000)-('Appendix K'!$E$31+'Appendix K'!$F$31+'Appendix K'!$H$31+'Appendix K'!$G$31))/((1+$Y$16)^1))</f>
        <v>34971064.972647354</v>
      </c>
      <c r="Z885" s="193">
        <f>+(((C885*'Appendix K'!$C$6*1000)-('Appendix K'!$E$32+'Appendix K'!$F$32+'Appendix K'!$H$32+'Appendix K'!$G$32))/((1+$Y$16)^2))</f>
        <v>9734725.9811225645</v>
      </c>
      <c r="AA885" s="193">
        <f>(((D885*'Appendix K'!$C$7*1000)-('Appendix K'!$E$33+'Appendix K'!$F$33+'Appendix K'!$H$33+'Appendix K'!$G$33))/((1+$Y$16)^3))</f>
        <v>3939897.8702122238</v>
      </c>
      <c r="AB885" s="193">
        <f>(((E885*'Appendix K'!$C$8*1000)-('Appendix K'!$E$34+'Appendix K'!$F$34+'Appendix K'!$H$34+'Appendix K'!$G$34))/((1+$Y$16)^4))</f>
        <v>8949320.4911022857</v>
      </c>
      <c r="AC885" s="193">
        <f>(((F885*'Appendix K'!$C$9*1000)-('Appendix K'!$E$35+'Appendix K'!$F$35+'Appendix K'!$H$35+'Appendix K'!$G$35))/((1+$Y$16)^AC$34))</f>
        <v>9217481.5248674899</v>
      </c>
      <c r="AD885" s="193">
        <f>(((G885*'Appendix K'!$C$10*1000)-('Appendix K'!$E$36+'Appendix K'!$F$36+'Appendix K'!$H$36+'Appendix K'!$G$36))/((1+$Y$16)^AD$34))</f>
        <v>9206740.3784906678</v>
      </c>
      <c r="AE885" s="193">
        <f>(((H885*'Appendix K'!$C$11*1000)-('Appendix K'!$E$37+'Appendix K'!$F$37+'Appendix K'!$H$37+'Appendix K'!$G$37))/((1+$Y$16)^AE$34))</f>
        <v>3621967.908898009</v>
      </c>
      <c r="AF885" s="193">
        <f>(((I885*'Appendix K'!$C$12*1000)-('Appendix K'!$E$38+'Appendix K'!$F$38+'Appendix K'!$H$38+'Appendix K'!$G$38))/((1+$Y$16)^AF$34))</f>
        <v>2933779.118355392</v>
      </c>
      <c r="AG885" s="193">
        <f>(((J885*'Appendix K'!$C$13*1000)-('Appendix K'!$E$39+'Appendix K'!$F$39+'Appendix K'!$H$39+'Appendix K'!$G$39))/((1+$Y$16)^AG$34))</f>
        <v>1641871.4985058142</v>
      </c>
      <c r="AH885" s="193">
        <f>(((K885*'Appendix K'!$C$14*1000)-('Appendix K'!$E$40+'Appendix K'!$F$40+'Appendix K'!$H$40+'Appendix K'!$G$40))/((1+$Y$16)^AH$34))</f>
        <v>786687.81757496577</v>
      </c>
      <c r="AI885" s="193">
        <f>(((L885*'Appendix K'!$C$15*1000)-('Appendix K'!$E$41+'Appendix K'!$F$41+'Appendix K'!$H$41+'Appendix K'!$G$41))/((1+$Y$16)^AI$34))</f>
        <v>424302.16610095539</v>
      </c>
      <c r="AJ885" s="193">
        <f>(((M885*'Appendix K'!$C$16*1000)-('Appendix K'!$E$42+'Appendix K'!$F$42+'Appendix K'!$H$42+'Appendix K'!$G$42))/((1+$Y$16)^AJ$34))</f>
        <v>1135041.0050211004</v>
      </c>
      <c r="AK885" s="193">
        <f>(((N885*'Appendix K'!$C$17*1000)-('Appendix K'!$E$43+'Appendix K'!$F$43+'Appendix K'!$H$43))/((1+$Y$16)^AK$34))</f>
        <v>1527157.9422695905</v>
      </c>
      <c r="AL885" s="193">
        <f>(((O885*'Appendix K'!$C$18*1000)-('Appendix K'!$E$44+'Appendix K'!$F$44+'Appendix K'!$H$44+'Appendix K'!$G$44))/((1+$Y$16)^AL$34))</f>
        <v>1475357.744182308</v>
      </c>
      <c r="AM885" s="193">
        <f>(((P885*'Appendix K'!$C$19*1000)-('Appendix K'!$E$45+'Appendix K'!$F$45+'Appendix K'!$H$45+'Appendix K'!$G$45))/((1+$Y$16)^AM$34))</f>
        <v>1431714.8582086132</v>
      </c>
      <c r="AN885" s="193">
        <f>(((Q885*'Appendix K'!$C$20*1000)-('Appendix K'!$E$46+'Appendix K'!$F$46+'Appendix K'!$H$46+'Appendix K'!$G$46))/((1+$Y$16)^AN$34))</f>
        <v>1354849.9401827054</v>
      </c>
      <c r="AO885" s="193">
        <f>(((R885*'Appendix K'!$C$21*1000)-('Appendix K'!$E$47+'Appendix K'!$F$47+'Appendix K'!$H$47+'Appendix K'!$G$47))/((1+$Y$16)^AO$34))</f>
        <v>1515834.2590650888</v>
      </c>
      <c r="AP885" s="193">
        <f>(((S885*'Appendix K'!$C$22*1000)-('Appendix K'!$E$48+'Appendix K'!$F$48+'Appendix K'!$H$48+'Appendix K'!$G$48))/((1+$Y$16)^AP$34))</f>
        <v>492853.5938169884</v>
      </c>
      <c r="AQ885" s="193">
        <f>(((T885*'Appendix K'!$C$23*1000)-('Appendix K'!$E$49+'Appendix K'!$F$49+'Appendix K'!$H$49+'Appendix K'!$G$49))/((1+$Y$16)^AQ$34))</f>
        <v>17052.976350388697</v>
      </c>
      <c r="AR885" s="193">
        <f>(((U885*'Appendix K'!$C$24*1000)-('Appendix K'!$E$50+'Appendix K'!$F$50+'Appendix K'!$H$50+'Appendix K'!$G$50))/((1+$Y$16)^AR$34))</f>
        <v>-120621.36875389234</v>
      </c>
      <c r="AS885" s="209">
        <f t="shared" si="42"/>
        <v>60782799.602899395</v>
      </c>
      <c r="AU885" s="199">
        <f t="shared" si="41"/>
        <v>6.2861664785277522E-9</v>
      </c>
    </row>
    <row r="886" spans="1:47" x14ac:dyDescent="0.35">
      <c r="A886">
        <v>852</v>
      </c>
      <c r="B886" s="70">
        <v>56</v>
      </c>
      <c r="C886" s="70">
        <v>66.281984155884857</v>
      </c>
      <c r="D886" s="70">
        <v>85.171142089216289</v>
      </c>
      <c r="E886" s="70">
        <v>65.520013187167194</v>
      </c>
      <c r="F886" s="70">
        <v>70.995468771068161</v>
      </c>
      <c r="G886" s="70">
        <v>111.39097094247023</v>
      </c>
      <c r="H886" s="70">
        <v>144.18634293575047</v>
      </c>
      <c r="I886" s="70">
        <v>256.3744452031533</v>
      </c>
      <c r="J886" s="70">
        <v>284.08170250719616</v>
      </c>
      <c r="K886" s="70">
        <v>296.70966627655719</v>
      </c>
      <c r="L886" s="70">
        <v>333.99488795037649</v>
      </c>
      <c r="M886" s="70">
        <v>480.72950399750357</v>
      </c>
      <c r="N886" s="70">
        <v>500</v>
      </c>
      <c r="O886" s="70">
        <v>500</v>
      </c>
      <c r="P886" s="70">
        <v>438.09687167424192</v>
      </c>
      <c r="Q886" s="70">
        <v>500</v>
      </c>
      <c r="R886" s="70">
        <v>500</v>
      </c>
      <c r="S886" s="70">
        <v>500</v>
      </c>
      <c r="T886" s="70">
        <v>500</v>
      </c>
      <c r="U886" s="70">
        <v>500</v>
      </c>
      <c r="V886" s="70">
        <v>396.20793012792433</v>
      </c>
      <c r="X886" s="193">
        <f>((0-('Appendix K'!$I$30))/(1+$Y$16)^0)</f>
        <v>-33594902.4440751</v>
      </c>
      <c r="Y886" s="193">
        <f>(((B886*'Appendix K'!$C$5*1000)-('Appendix K'!$E$31+'Appendix K'!$F$31+'Appendix K'!$H$31+'Appendix K'!$G$31))/((1+$Y$16)^1))</f>
        <v>34971064.972647354</v>
      </c>
      <c r="Z886" s="193">
        <f>+(((C886*'Appendix K'!$C$6*1000)-('Appendix K'!$E$32+'Appendix K'!$F$32+'Appendix K'!$H$32+'Appendix K'!$G$32))/((1+$Y$16)^2))</f>
        <v>13256715.156889828</v>
      </c>
      <c r="AA886" s="193">
        <f>(((D886*'Appendix K'!$C$7*1000)-('Appendix K'!$E$33+'Appendix K'!$F$33+'Appendix K'!$H$33+'Appendix K'!$G$33))/((1+$Y$16)^3))</f>
        <v>7883765.2893172624</v>
      </c>
      <c r="AB886" s="193">
        <f>(((E886*'Appendix K'!$C$8*1000)-('Appendix K'!$E$34+'Appendix K'!$F$34+'Appendix K'!$H$34+'Appendix K'!$G$34))/((1+$Y$16)^4))</f>
        <v>11068179.223780638</v>
      </c>
      <c r="AC886" s="193">
        <f>(((F886*'Appendix K'!$C$9*1000)-('Appendix K'!$E$35+'Appendix K'!$F$35+'Appendix K'!$H$35+'Appendix K'!$G$35))/((1+$Y$16)^AC$34))</f>
        <v>15886255.597299177</v>
      </c>
      <c r="AD886" s="193">
        <f>(((G886*'Appendix K'!$C$10*1000)-('Appendix K'!$E$36+'Appendix K'!$F$36+'Appendix K'!$H$36+'Appendix K'!$G$36))/((1+$Y$16)^AD$34))</f>
        <v>14977515.262253949</v>
      </c>
      <c r="AE886" s="193">
        <f>(((H886*'Appendix K'!$C$11*1000)-('Appendix K'!$E$37+'Appendix K'!$F$37+'Appendix K'!$H$37+'Appendix K'!$G$37))/((1+$Y$16)^AE$34))</f>
        <v>12160862.989625398</v>
      </c>
      <c r="AF886" s="193">
        <f>(((I886*'Appendix K'!$C$12*1000)-('Appendix K'!$E$38+'Appendix K'!$F$38+'Appendix K'!$H$38+'Appendix K'!$G$38))/((1+$Y$16)^AF$34))</f>
        <v>14837589.292181043</v>
      </c>
      <c r="AG886" s="193">
        <f>(((J886*'Appendix K'!$C$13*1000)-('Appendix K'!$E$39+'Appendix K'!$F$39+'Appendix K'!$H$39+'Appendix K'!$G$39))/((1+$Y$16)^AG$34))</f>
        <v>11258192.838715956</v>
      </c>
      <c r="AH886" s="193">
        <f>(((K886*'Appendix K'!$C$14*1000)-('Appendix K'!$E$40+'Appendix K'!$F$40+'Appendix K'!$H$40+'Appendix K'!$G$40))/((1+$Y$16)^AH$34))</f>
        <v>8368311.1491009239</v>
      </c>
      <c r="AI886" s="193">
        <f>(((L886*'Appendix K'!$C$15*1000)-('Appendix K'!$E$41+'Appendix K'!$F$41+'Appendix K'!$H$41+'Appendix K'!$G$41))/((1+$Y$16)^AI$34))</f>
        <v>7234809.2894719075</v>
      </c>
      <c r="AJ886" s="193">
        <f>(((M886*'Appendix K'!$C$16*1000)-('Appendix K'!$E$42+'Appendix K'!$F$42+'Appendix K'!$H$42+'Appendix K'!$G$42))/((1+$Y$16)^AJ$34))</f>
        <v>8253165.8127849223</v>
      </c>
      <c r="AK886" s="193">
        <f>(((N886*'Appendix K'!$C$17*1000)-('Appendix K'!$E$43+'Appendix K'!$F$43+'Appendix K'!$H$43))/((1+$Y$16)^AK$34))</f>
        <v>6677690.1149291173</v>
      </c>
      <c r="AL886" s="193">
        <f>(((O886*'Appendix K'!$C$18*1000)-('Appendix K'!$E$44+'Appendix K'!$F$44+'Appendix K'!$H$44+'Appendix K'!$G$44))/((1+$Y$16)^AL$34))</f>
        <v>4792058.0003928225</v>
      </c>
      <c r="AM886" s="193">
        <f>(((P886*'Appendix K'!$C$19*1000)-('Appendix K'!$E$45+'Appendix K'!$F$45+'Appendix K'!$H$45+'Appendix K'!$G$45))/((1+$Y$16)^AM$34))</f>
        <v>3033836.4604689735</v>
      </c>
      <c r="AN886" s="193">
        <f>(((Q886*'Appendix K'!$C$20*1000)-('Appendix K'!$E$46+'Appendix K'!$F$46+'Appendix K'!$H$46+'Appendix K'!$G$46))/((1+$Y$16)^AN$34))</f>
        <v>2702399.606577659</v>
      </c>
      <c r="AO886" s="193">
        <f>(((R886*'Appendix K'!$C$21*1000)-('Appendix K'!$E$47+'Appendix K'!$F$47+'Appendix K'!$H$47+'Appendix K'!$G$47))/((1+$Y$16)^AO$34))</f>
        <v>2112056.3146391152</v>
      </c>
      <c r="AP886" s="193">
        <f>(((S886*'Appendix K'!$C$22*1000)-('Appendix K'!$E$48+'Appendix K'!$F$48+'Appendix K'!$H$48+'Appendix K'!$G$48))/((1+$Y$16)^AP$34))</f>
        <v>1630406.4380253027</v>
      </c>
      <c r="AQ886" s="193">
        <f>(((T886*'Appendix K'!$C$23*1000)-('Appendix K'!$E$49+'Appendix K'!$F$49+'Appendix K'!$H$49+'Appendix K'!$G$49))/((1+$Y$16)^AQ$34))</f>
        <v>1263386.3652054211</v>
      </c>
      <c r="AR886" s="193">
        <f>(((U886*'Appendix K'!$C$24*1000)-('Appendix K'!$E$50+'Appendix K'!$F$50+'Appendix K'!$H$50+'Appendix K'!$G$50))/((1+$Y$16)^AR$34))</f>
        <v>980725.14012097823</v>
      </c>
      <c r="AS886" s="209">
        <f t="shared" si="42"/>
        <v>149754082.8703526</v>
      </c>
      <c r="AU886" s="199">
        <f t="shared" si="41"/>
        <v>3.8602569151104461E-9</v>
      </c>
    </row>
    <row r="887" spans="1:47" x14ac:dyDescent="0.35">
      <c r="A887">
        <v>853</v>
      </c>
      <c r="B887" s="70">
        <v>56</v>
      </c>
      <c r="C887" s="70">
        <v>72.463232904195934</v>
      </c>
      <c r="D887" s="70">
        <v>95.685789701805291</v>
      </c>
      <c r="E887" s="70">
        <v>85.919810569787174</v>
      </c>
      <c r="F887" s="70">
        <v>133.87486543787867</v>
      </c>
      <c r="G887" s="70">
        <v>142.58221713434716</v>
      </c>
      <c r="H887" s="70">
        <v>98.023532224026212</v>
      </c>
      <c r="I887" s="70">
        <v>139.75521980942787</v>
      </c>
      <c r="J887" s="70">
        <v>193.26083245514371</v>
      </c>
      <c r="K887" s="70">
        <v>207.62799858735445</v>
      </c>
      <c r="L887" s="70">
        <v>260.72188712397485</v>
      </c>
      <c r="M887" s="70">
        <v>279.35522352687201</v>
      </c>
      <c r="N887" s="70">
        <v>304.48418781764747</v>
      </c>
      <c r="O887" s="70">
        <v>405.47465108487256</v>
      </c>
      <c r="P887" s="70">
        <v>427.55403538971098</v>
      </c>
      <c r="Q887" s="70">
        <v>226.08156925848482</v>
      </c>
      <c r="R887" s="70">
        <v>86.658595227195633</v>
      </c>
      <c r="S887" s="70">
        <v>82.366880026238277</v>
      </c>
      <c r="T887" s="70">
        <v>79.17770850810777</v>
      </c>
      <c r="U887" s="70">
        <v>76.325464558272444</v>
      </c>
      <c r="V887" s="70">
        <v>138.10660286221403</v>
      </c>
      <c r="X887" s="193">
        <f>((0-('Appendix K'!$I$30))/(1+$Y$16)^0)</f>
        <v>-33594902.4440751</v>
      </c>
      <c r="Y887" s="193">
        <f>(((B887*'Appendix K'!$C$5*1000)-('Appendix K'!$E$31+'Appendix K'!$F$31+'Appendix K'!$H$31+'Appendix K'!$G$31))/((1+$Y$16)^1))</f>
        <v>34971064.972647354</v>
      </c>
      <c r="Z887" s="193">
        <f>+(((C887*'Appendix K'!$C$6*1000)-('Appendix K'!$E$32+'Appendix K'!$F$32+'Appendix K'!$H$32+'Appendix K'!$G$32))/((1+$Y$16)^2))</f>
        <v>14818204.309377555</v>
      </c>
      <c r="AA887" s="193">
        <f>(((D887*'Appendix K'!$C$7*1000)-('Appendix K'!$E$33+'Appendix K'!$F$33+'Appendix K'!$H$33+'Appendix K'!$G$33))/((1+$Y$16)^3))</f>
        <v>9223067.186865015</v>
      </c>
      <c r="AB887" s="193">
        <f>(((E887*'Appendix K'!$C$8*1000)-('Appendix K'!$E$34+'Appendix K'!$F$34+'Appendix K'!$H$34+'Appendix K'!$G$34))/((1+$Y$16)^4))</f>
        <v>15539628.0678799</v>
      </c>
      <c r="AC887" s="193">
        <f>(((F887*'Appendix K'!$C$9*1000)-('Appendix K'!$E$35+'Appendix K'!$F$35+'Appendix K'!$H$35+'Appendix K'!$G$35))/((1+$Y$16)^AC$34))</f>
        <v>32599500.492966045</v>
      </c>
      <c r="AD887" s="193">
        <f>(((G887*'Appendix K'!$C$10*1000)-('Appendix K'!$E$36+'Appendix K'!$F$36+'Appendix K'!$H$36+'Appendix K'!$G$36))/((1+$Y$16)^AD$34))</f>
        <v>19875911.81694461</v>
      </c>
      <c r="AE887" s="193">
        <f>(((H887*'Appendix K'!$C$11*1000)-('Appendix K'!$E$37+'Appendix K'!$F$37+'Appendix K'!$H$37+'Appendix K'!$G$37))/((1+$Y$16)^AE$34))</f>
        <v>7556693.7088106163</v>
      </c>
      <c r="AF887" s="193">
        <f>(((I887*'Appendix K'!$C$12*1000)-('Appendix K'!$E$38+'Appendix K'!$F$38+'Appendix K'!$H$38+'Appendix K'!$G$38))/((1+$Y$16)^AF$34))</f>
        <v>7180087.9134163577</v>
      </c>
      <c r="AG887" s="193">
        <f>(((J887*'Appendix K'!$C$13*1000)-('Appendix K'!$E$39+'Appendix K'!$F$39+'Appendix K'!$H$39+'Appendix K'!$G$39))/((1+$Y$16)^AG$34))</f>
        <v>7078713.3445872385</v>
      </c>
      <c r="AH887" s="193">
        <f>(((K887*'Appendix K'!$C$14*1000)-('Appendix K'!$E$40+'Appendix K'!$F$40+'Appendix K'!$H$40+'Appendix K'!$G$40))/((1+$Y$16)^AH$34))</f>
        <v>5365677.5336518884</v>
      </c>
      <c r="AI887" s="193">
        <f>(((L887*'Appendix K'!$C$15*1000)-('Appendix K'!$E$41+'Appendix K'!$F$41+'Appendix K'!$H$41+'Appendix K'!$G$41))/((1+$Y$16)^AI$34))</f>
        <v>5314919.6466367533</v>
      </c>
      <c r="AJ887" s="193">
        <f>(((M887*'Appendix K'!$C$16*1000)-('Appendix K'!$E$42+'Appendix K'!$F$42+'Appendix K'!$H$42+'Appendix K'!$G$42))/((1+$Y$16)^AJ$34))</f>
        <v>4217249.2708125636</v>
      </c>
      <c r="AK887" s="193">
        <f>(((N887*'Appendix K'!$C$17*1000)-('Appendix K'!$E$43+'Appendix K'!$F$43+'Appendix K'!$H$43))/((1+$Y$16)^AK$34))</f>
        <v>3673805.2242378145</v>
      </c>
      <c r="AL887" s="193">
        <f>(((O887*'Appendix K'!$C$18*1000)-('Appendix K'!$E$44+'Appendix K'!$F$44+'Appendix K'!$H$44+'Appendix K'!$G$44))/((1+$Y$16)^AL$34))</f>
        <v>3671621.225416936</v>
      </c>
      <c r="AM887" s="193">
        <f>(((P887*'Appendix K'!$C$19*1000)-('Appendix K'!$E$45+'Appendix K'!$F$45+'Appendix K'!$H$45+'Appendix K'!$G$45))/((1+$Y$16)^AM$34))</f>
        <v>2936117.7386178169</v>
      </c>
      <c r="AN887" s="193">
        <f>(((Q887*'Appendix K'!$C$20*1000)-('Appendix K'!$E$46+'Appendix K'!$F$46+'Appendix K'!$H$46+'Appendix K'!$G$46))/((1+$Y$16)^AN$34))</f>
        <v>720266.43132119195</v>
      </c>
      <c r="AO887" s="193">
        <f>(((R887*'Appendix K'!$C$21*1000)-('Appendix K'!$E$47+'Appendix K'!$F$47+'Appendix K'!$H$47+'Appendix K'!$G$47))/((1+$Y$16)^AO$34))</f>
        <v>-330837.05354318972</v>
      </c>
      <c r="AP887" s="193">
        <f>(((S887*'Appendix K'!$C$22*1000)-('Appendix K'!$E$48+'Appendix K'!$F$48+'Appendix K'!$H$48+'Appendix K'!$G$48))/((1+$Y$16)^AP$34))</f>
        <v>-369938.99444116605</v>
      </c>
      <c r="AQ887" s="193">
        <f>(((T887*'Appendix K'!$C$23*1000)-('Appendix K'!$E$49+'Appendix K'!$F$49+'Appendix K'!$H$49+'Appendix K'!$G$49))/((1+$Y$16)^AQ$34))</f>
        <v>-383604.3504242794</v>
      </c>
      <c r="AR887" s="193">
        <f>(((U887*'Appendix K'!$C$24*1000)-('Appendix K'!$E$50+'Appendix K'!$F$50+'Appendix K'!$H$50+'Appendix K'!$G$50))/((1+$Y$16)^AR$34))</f>
        <v>-383518.73487827275</v>
      </c>
      <c r="AS887" s="209">
        <f t="shared" si="42"/>
        <v>141147626.44011456</v>
      </c>
      <c r="AU887" s="199">
        <f t="shared" si="41"/>
        <v>4.5054117225398182E-9</v>
      </c>
    </row>
    <row r="888" spans="1:47" x14ac:dyDescent="0.35">
      <c r="A888">
        <v>854</v>
      </c>
      <c r="B888" s="70">
        <v>56</v>
      </c>
      <c r="C888" s="70">
        <v>61.364561361240924</v>
      </c>
      <c r="D888" s="70">
        <v>63.779094691789808</v>
      </c>
      <c r="E888" s="70">
        <v>66.033003870093353</v>
      </c>
      <c r="F888" s="70">
        <v>62.465294428760494</v>
      </c>
      <c r="G888" s="70">
        <v>74.758204091383618</v>
      </c>
      <c r="H888" s="70">
        <v>70.733347343276549</v>
      </c>
      <c r="I888" s="70">
        <v>92.418071415736307</v>
      </c>
      <c r="J888" s="70">
        <v>129.05498339469634</v>
      </c>
      <c r="K888" s="70">
        <v>150.35597369755587</v>
      </c>
      <c r="L888" s="70">
        <v>179.00262251447481</v>
      </c>
      <c r="M888" s="70">
        <v>210.41353123168591</v>
      </c>
      <c r="N888" s="70">
        <v>328.7764175529299</v>
      </c>
      <c r="O888" s="70">
        <v>397.46749705390545</v>
      </c>
      <c r="P888" s="70">
        <v>388.86106867511893</v>
      </c>
      <c r="Q888" s="70">
        <v>441.73304330118197</v>
      </c>
      <c r="R888" s="70">
        <v>446.77846267516668</v>
      </c>
      <c r="S888" s="70">
        <v>499.75684137885304</v>
      </c>
      <c r="T888" s="70">
        <v>500</v>
      </c>
      <c r="U888" s="70">
        <v>500</v>
      </c>
      <c r="V888" s="70">
        <v>500</v>
      </c>
      <c r="X888" s="193">
        <f>((0-('Appendix K'!$I$30))/(1+$Y$16)^0)</f>
        <v>-33594902.4440751</v>
      </c>
      <c r="Y888" s="193">
        <f>(((B888*'Appendix K'!$C$5*1000)-('Appendix K'!$E$31+'Appendix K'!$F$31+'Appendix K'!$H$31+'Appendix K'!$G$31))/((1+$Y$16)^1))</f>
        <v>34971064.972647354</v>
      </c>
      <c r="Z888" s="193">
        <f>+(((C888*'Appendix K'!$C$6*1000)-('Appendix K'!$E$32+'Appendix K'!$F$32+'Appendix K'!$H$32+'Appendix K'!$G$32))/((1+$Y$16)^2))</f>
        <v>12014490.055670531</v>
      </c>
      <c r="AA888" s="193">
        <f>(((D888*'Appendix K'!$C$7*1000)-('Appendix K'!$E$33+'Appendix K'!$F$33+'Appendix K'!$H$33+'Appendix K'!$G$33))/((1+$Y$16)^3))</f>
        <v>5158955.9825838516</v>
      </c>
      <c r="AB888" s="193">
        <f>(((E888*'Appendix K'!$C$8*1000)-('Appendix K'!$E$34+'Appendix K'!$F$34+'Appendix K'!$H$34+'Appendix K'!$G$34))/((1+$Y$16)^4))</f>
        <v>11180622.085500341</v>
      </c>
      <c r="AC888" s="193">
        <f>(((F888*'Appendix K'!$C$9*1000)-('Appendix K'!$E$35+'Appendix K'!$F$35+'Appendix K'!$H$35+'Appendix K'!$G$35))/((1+$Y$16)^AC$34))</f>
        <v>13618948.651891209</v>
      </c>
      <c r="AD888" s="193">
        <f>(((G888*'Appendix K'!$C$10*1000)-('Appendix K'!$E$36+'Appendix K'!$F$36+'Appendix K'!$H$36+'Appendix K'!$G$36))/((1+$Y$16)^AD$34))</f>
        <v>9224560.8009833135</v>
      </c>
      <c r="AE888" s="193">
        <f>(((H888*'Appendix K'!$C$11*1000)-('Appendix K'!$E$37+'Appendix K'!$F$37+'Appendix K'!$H$37+'Appendix K'!$G$37))/((1+$Y$16)^AE$34))</f>
        <v>4834835.378295402</v>
      </c>
      <c r="AF888" s="193">
        <f>(((I888*'Appendix K'!$C$12*1000)-('Appendix K'!$E$38+'Appendix K'!$F$38+'Appendix K'!$H$38+'Appendix K'!$G$38))/((1+$Y$16)^AF$34))</f>
        <v>4071815.8607794479</v>
      </c>
      <c r="AG888" s="193">
        <f>(((J888*'Appendix K'!$C$13*1000)-('Appendix K'!$E$39+'Appendix K'!$F$39+'Appendix K'!$H$39+'Appendix K'!$G$39))/((1+$Y$16)^AG$34))</f>
        <v>4124028.7066018875</v>
      </c>
      <c r="AH888" s="193">
        <f>(((K888*'Appendix K'!$C$14*1000)-('Appendix K'!$E$40+'Appendix K'!$F$40+'Appendix K'!$H$40+'Appendix K'!$G$40))/((1+$Y$16)^AH$34))</f>
        <v>3435236.4943247079</v>
      </c>
      <c r="AI888" s="193">
        <f>(((L888*'Appendix K'!$C$15*1000)-('Appendix K'!$E$41+'Appendix K'!$F$41+'Appendix K'!$H$41+'Appendix K'!$G$41))/((1+$Y$16)^AI$34))</f>
        <v>3173722.0980936987</v>
      </c>
      <c r="AJ888" s="193">
        <f>(((M888*'Appendix K'!$C$16*1000)-('Appendix K'!$E$42+'Appendix K'!$F$42+'Appendix K'!$H$42+'Appendix K'!$G$42))/((1+$Y$16)^AJ$34))</f>
        <v>2835529.0445978311</v>
      </c>
      <c r="AK888" s="193">
        <f>(((N888*'Appendix K'!$C$17*1000)-('Appendix K'!$E$43+'Appendix K'!$F$43+'Appendix K'!$H$43))/((1+$Y$16)^AK$34))</f>
        <v>4047028.5510291965</v>
      </c>
      <c r="AL888" s="193">
        <f>(((O888*'Appendix K'!$C$18*1000)-('Appendix K'!$E$44+'Appendix K'!$F$44+'Appendix K'!$H$44+'Appendix K'!$G$44))/((1+$Y$16)^AL$34))</f>
        <v>3576710.0725657856</v>
      </c>
      <c r="AM888" s="193">
        <f>(((P888*'Appendix K'!$C$19*1000)-('Appendix K'!$E$45+'Appendix K'!$F$45+'Appendix K'!$H$45+'Appendix K'!$G$45))/((1+$Y$16)^AM$34))</f>
        <v>2577483.0078929318</v>
      </c>
      <c r="AN888" s="193">
        <f>(((Q888*'Appendix K'!$C$20*1000)-('Appendix K'!$E$46+'Appendix K'!$F$46+'Appendix K'!$H$46+'Appendix K'!$G$46))/((1+$Y$16)^AN$34))</f>
        <v>2280767.2703332067</v>
      </c>
      <c r="AO888" s="193">
        <f>(((R888*'Appendix K'!$C$21*1000)-('Appendix K'!$E$47+'Appendix K'!$F$47+'Appendix K'!$H$47+'Appendix K'!$G$47))/((1+$Y$16)^AO$34))</f>
        <v>1797511.1491317649</v>
      </c>
      <c r="AP888" s="193">
        <f>(((S888*'Appendix K'!$C$22*1000)-('Appendix K'!$E$48+'Appendix K'!$F$48+'Appendix K'!$H$48+'Appendix K'!$G$48))/((1+$Y$16)^AP$34))</f>
        <v>1629241.7764744977</v>
      </c>
      <c r="AQ888" s="193">
        <f>(((T888*'Appendix K'!$C$23*1000)-('Appendix K'!$E$49+'Appendix K'!$F$49+'Appendix K'!$H$49+'Appendix K'!$G$49))/((1+$Y$16)^AQ$34))</f>
        <v>1263386.3652054211</v>
      </c>
      <c r="AR888" s="193">
        <f>(((U888*'Appendix K'!$C$24*1000)-('Appendix K'!$E$50+'Appendix K'!$F$50+'Appendix K'!$H$50+'Appendix K'!$G$50))/((1+$Y$16)^AR$34))</f>
        <v>980725.14012097823</v>
      </c>
      <c r="AS888" s="209">
        <f t="shared" si="42"/>
        <v>93201761.020648241</v>
      </c>
      <c r="AU888" s="199">
        <f t="shared" si="41"/>
        <v>6.9957183007702803E-9</v>
      </c>
    </row>
    <row r="889" spans="1:47" x14ac:dyDescent="0.35">
      <c r="A889">
        <v>855</v>
      </c>
      <c r="B889" s="70">
        <v>56</v>
      </c>
      <c r="C889" s="70">
        <v>66.915995514405722</v>
      </c>
      <c r="D889" s="70">
        <v>76.588958505834057</v>
      </c>
      <c r="E889" s="70">
        <v>116.72826634525623</v>
      </c>
      <c r="F889" s="70">
        <v>175.37499537646056</v>
      </c>
      <c r="G889" s="70">
        <v>183.7224747754571</v>
      </c>
      <c r="H889" s="70">
        <v>161.80500443287801</v>
      </c>
      <c r="I889" s="70">
        <v>167.44528431932207</v>
      </c>
      <c r="J889" s="70">
        <v>195.80667831279467</v>
      </c>
      <c r="K889" s="70">
        <v>204.79984259854996</v>
      </c>
      <c r="L889" s="70">
        <v>256.48597551174868</v>
      </c>
      <c r="M889" s="70">
        <v>281.35424787854765</v>
      </c>
      <c r="N889" s="70">
        <v>314.71342914824356</v>
      </c>
      <c r="O889" s="70">
        <v>427.10321722306691</v>
      </c>
      <c r="P889" s="70">
        <v>457.51553574417352</v>
      </c>
      <c r="Q889" s="70">
        <v>500</v>
      </c>
      <c r="R889" s="70">
        <v>500</v>
      </c>
      <c r="S889" s="70">
        <v>500</v>
      </c>
      <c r="T889" s="70">
        <v>500</v>
      </c>
      <c r="U889" s="70">
        <v>500</v>
      </c>
      <c r="V889" s="70">
        <v>500</v>
      </c>
      <c r="X889" s="193">
        <f>((0-('Appendix K'!$I$30))/(1+$Y$16)^0)</f>
        <v>-33594902.4440751</v>
      </c>
      <c r="Y889" s="193">
        <f>(((B889*'Appendix K'!$C$5*1000)-('Appendix K'!$E$31+'Appendix K'!$F$31+'Appendix K'!$H$31+'Appendix K'!$G$31))/((1+$Y$16)^1))</f>
        <v>34971064.972647354</v>
      </c>
      <c r="Z889" s="193">
        <f>+(((C889*'Appendix K'!$C$6*1000)-('Appendix K'!$E$32+'Appendix K'!$F$32+'Appendix K'!$H$32+'Appendix K'!$G$32))/((1+$Y$16)^2))</f>
        <v>13416877.269627137</v>
      </c>
      <c r="AA889" s="193">
        <f>(((D889*'Appendix K'!$C$7*1000)-('Appendix K'!$E$33+'Appendix K'!$F$33+'Appendix K'!$H$33+'Appendix K'!$G$33))/((1+$Y$16)^3))</f>
        <v>6790610.7508270461</v>
      </c>
      <c r="AB889" s="193">
        <f>(((E889*'Appendix K'!$C$8*1000)-('Appendix K'!$E$34+'Appendix K'!$F$34+'Appendix K'!$H$34+'Appendix K'!$G$34))/((1+$Y$16)^4))</f>
        <v>22292559.549595024</v>
      </c>
      <c r="AC889" s="193">
        <f>(((F889*'Appendix K'!$C$9*1000)-('Appendix K'!$E$35+'Appendix K'!$F$35+'Appendix K'!$H$35+'Appendix K'!$G$35))/((1+$Y$16)^AC$34))</f>
        <v>43630169.863742903</v>
      </c>
      <c r="AD889" s="193">
        <f>(((G889*'Appendix K'!$C$10*1000)-('Appendix K'!$E$36+'Appendix K'!$F$36+'Appendix K'!$H$36+'Appendix K'!$G$36))/((1+$Y$16)^AD$34))</f>
        <v>26336740.443303917</v>
      </c>
      <c r="AE889" s="193">
        <f>(((H889*'Appendix K'!$C$11*1000)-('Appendix K'!$E$37+'Appendix K'!$F$37+'Appendix K'!$H$37+'Appendix K'!$G$37))/((1+$Y$16)^AE$34))</f>
        <v>13918106.510621538</v>
      </c>
      <c r="AF889" s="193">
        <f>(((I889*'Appendix K'!$C$12*1000)-('Appendix K'!$E$38+'Appendix K'!$F$38+'Appendix K'!$H$38+'Appendix K'!$G$38))/((1+$Y$16)^AF$34))</f>
        <v>8998284.7540035564</v>
      </c>
      <c r="AG889" s="193">
        <f>(((J889*'Appendix K'!$C$13*1000)-('Appendix K'!$E$39+'Appendix K'!$F$39+'Appendix K'!$H$39+'Appendix K'!$G$39))/((1+$Y$16)^AG$34))</f>
        <v>7195870.4534231974</v>
      </c>
      <c r="AH889" s="193">
        <f>(((K889*'Appendix K'!$C$14*1000)-('Appendix K'!$E$40+'Appendix K'!$F$40+'Appendix K'!$H$40+'Appendix K'!$G$40))/((1+$Y$16)^AH$34))</f>
        <v>5270350.2181446692</v>
      </c>
      <c r="AI889" s="193">
        <f>(((L889*'Appendix K'!$C$15*1000)-('Appendix K'!$E$41+'Appendix K'!$F$41+'Appendix K'!$H$41+'Appendix K'!$G$41))/((1+$Y$16)^AI$34))</f>
        <v>5203930.8412028709</v>
      </c>
      <c r="AJ889" s="193">
        <f>(((M889*'Appendix K'!$C$16*1000)-('Appendix K'!$E$42+'Appendix K'!$F$42+'Appendix K'!$H$42+'Appendix K'!$G$42))/((1+$Y$16)^AJ$34))</f>
        <v>4257313.4509545248</v>
      </c>
      <c r="AK889" s="193">
        <f>(((N889*'Appendix K'!$C$17*1000)-('Appendix K'!$E$43+'Appendix K'!$F$43+'Appendix K'!$H$43))/((1+$Y$16)^AK$34))</f>
        <v>3830966.2391615272</v>
      </c>
      <c r="AL889" s="193">
        <f>(((O889*'Appendix K'!$C$18*1000)-('Appendix K'!$E$44+'Appendix K'!$F$44+'Appendix K'!$H$44+'Appendix K'!$G$44))/((1+$Y$16)^AL$34))</f>
        <v>3927990.984104522</v>
      </c>
      <c r="AM889" s="193">
        <f>(((P889*'Appendix K'!$C$19*1000)-('Appendix K'!$E$45+'Appendix K'!$F$45+'Appendix K'!$H$45+'Appendix K'!$G$45))/((1+$Y$16)^AM$34))</f>
        <v>3213822.84949741</v>
      </c>
      <c r="AN889" s="193">
        <f>(((Q889*'Appendix K'!$C$20*1000)-('Appendix K'!$E$46+'Appendix K'!$F$46+'Appendix K'!$H$46+'Appendix K'!$G$46))/((1+$Y$16)^AN$34))</f>
        <v>2702399.606577659</v>
      </c>
      <c r="AO889" s="193">
        <f>(((R889*'Appendix K'!$C$21*1000)-('Appendix K'!$E$47+'Appendix K'!$F$47+'Appendix K'!$H$47+'Appendix K'!$G$47))/((1+$Y$16)^AO$34))</f>
        <v>2112056.3146391152</v>
      </c>
      <c r="AP889" s="193">
        <f>(((S889*'Appendix K'!$C$22*1000)-('Appendix K'!$E$48+'Appendix K'!$F$48+'Appendix K'!$H$48+'Appendix K'!$G$48))/((1+$Y$16)^AP$34))</f>
        <v>1630406.4380253027</v>
      </c>
      <c r="AQ889" s="193">
        <f>(((T889*'Appendix K'!$C$23*1000)-('Appendix K'!$E$49+'Appendix K'!$F$49+'Appendix K'!$H$49+'Appendix K'!$G$49))/((1+$Y$16)^AQ$34))</f>
        <v>1263386.3652054211</v>
      </c>
      <c r="AR889" s="193">
        <f>(((U889*'Appendix K'!$C$24*1000)-('Appendix K'!$E$50+'Appendix K'!$F$50+'Appendix K'!$H$50+'Appendix K'!$G$50))/((1+$Y$16)^AR$34))</f>
        <v>980725.14012097823</v>
      </c>
      <c r="AS889" s="209">
        <f t="shared" si="42"/>
        <v>178348730.57135057</v>
      </c>
      <c r="AU889" s="199">
        <f t="shared" si="41"/>
        <v>1.9583815759758557E-9</v>
      </c>
    </row>
    <row r="890" spans="1:47" x14ac:dyDescent="0.35">
      <c r="A890">
        <v>856</v>
      </c>
      <c r="B890" s="70">
        <v>56</v>
      </c>
      <c r="C890" s="70">
        <v>69.620132175711674</v>
      </c>
      <c r="D890" s="70">
        <v>46.255165524348804</v>
      </c>
      <c r="E890" s="70">
        <v>61.156721722083446</v>
      </c>
      <c r="F890" s="70">
        <v>53.825276512101212</v>
      </c>
      <c r="G890" s="70">
        <v>54.222307678923805</v>
      </c>
      <c r="H890" s="70">
        <v>68.303115253765782</v>
      </c>
      <c r="I890" s="70">
        <v>82.829305069086217</v>
      </c>
      <c r="J890" s="70">
        <v>60.615068647011135</v>
      </c>
      <c r="K890" s="70">
        <v>32.706980578578744</v>
      </c>
      <c r="L890" s="70">
        <v>35.515055181119664</v>
      </c>
      <c r="M890" s="70">
        <v>45.293431661823448</v>
      </c>
      <c r="N890" s="70">
        <v>65.587553155978213</v>
      </c>
      <c r="O890" s="70">
        <v>72.659979226291895</v>
      </c>
      <c r="P890" s="70">
        <v>106.36272499958977</v>
      </c>
      <c r="Q890" s="70">
        <v>187.26138481016139</v>
      </c>
      <c r="R890" s="70">
        <v>279.50771331243243</v>
      </c>
      <c r="S890" s="70">
        <v>367.2029617413109</v>
      </c>
      <c r="T890" s="70">
        <v>411.84266264175045</v>
      </c>
      <c r="U890" s="70">
        <v>432.9945571917396</v>
      </c>
      <c r="V890" s="70">
        <v>500</v>
      </c>
      <c r="X890" s="193">
        <f>((0-('Appendix K'!$I$30))/(1+$Y$16)^0)</f>
        <v>-33594902.4440751</v>
      </c>
      <c r="Y890" s="193">
        <f>(((B890*'Appendix K'!$C$5*1000)-('Appendix K'!$E$31+'Appendix K'!$F$31+'Appendix K'!$H$31+'Appendix K'!$G$31))/((1+$Y$16)^1))</f>
        <v>34971064.972647354</v>
      </c>
      <c r="Z890" s="193">
        <f>+(((C890*'Appendix K'!$C$6*1000)-('Appendix K'!$E$32+'Appendix K'!$F$32+'Appendix K'!$H$32+'Appendix K'!$G$32))/((1+$Y$16)^2))</f>
        <v>14099988.439457882</v>
      </c>
      <c r="AA890" s="193">
        <f>(((D890*'Appendix K'!$C$7*1000)-('Appendix K'!$E$33+'Appendix K'!$F$33+'Appendix K'!$H$33+'Appendix K'!$G$33))/((1+$Y$16)^3))</f>
        <v>2926847.7416622895</v>
      </c>
      <c r="AB890" s="193">
        <f>(((E890*'Appendix K'!$C$8*1000)-('Appendix K'!$E$34+'Appendix K'!$F$34+'Appendix K'!$H$34+'Appendix K'!$G$34))/((1+$Y$16)^4))</f>
        <v>10111785.676723205</v>
      </c>
      <c r="AC890" s="193">
        <f>(((F890*'Appendix K'!$C$9*1000)-('Appendix K'!$E$35+'Appendix K'!$F$35+'Appendix K'!$H$35+'Appendix K'!$G$35))/((1+$Y$16)^AC$34))</f>
        <v>11322445.456905948</v>
      </c>
      <c r="AD890" s="193">
        <f>(((G890*'Appendix K'!$C$10*1000)-('Appendix K'!$E$36+'Appendix K'!$F$36+'Appendix K'!$H$36+'Appendix K'!$G$36))/((1+$Y$16)^AD$34))</f>
        <v>5999522.4804408429</v>
      </c>
      <c r="AE890" s="193">
        <f>(((H890*'Appendix K'!$C$11*1000)-('Appendix K'!$E$37+'Appendix K'!$F$37+'Appendix K'!$H$37+'Appendix K'!$G$37))/((1+$Y$16)^AE$34))</f>
        <v>4592449.7921652673</v>
      </c>
      <c r="AF890" s="193">
        <f>(((I890*'Appendix K'!$C$12*1000)-('Appendix K'!$E$38+'Appendix K'!$F$38+'Appendix K'!$H$38+'Appendix K'!$G$38))/((1+$Y$16)^AF$34))</f>
        <v>3442194.1901481482</v>
      </c>
      <c r="AG890" s="193">
        <f>(((J890*'Appendix K'!$C$13*1000)-('Appendix K'!$E$39+'Appendix K'!$F$39+'Appendix K'!$H$39+'Appendix K'!$G$39))/((1+$Y$16)^AG$34))</f>
        <v>974496.88529333915</v>
      </c>
      <c r="AH890" s="193">
        <f>(((K890*'Appendix K'!$C$14*1000)-('Appendix K'!$E$40+'Appendix K'!$F$40+'Appendix K'!$H$40+'Appendix K'!$G$40))/((1+$Y$16)^AH$34))</f>
        <v>-530302.44007480901</v>
      </c>
      <c r="AI890" s="193">
        <f>(((L890*'Appendix K'!$C$15*1000)-('Appendix K'!$E$41+'Appendix K'!$F$41+'Appendix K'!$H$41+'Appendix K'!$G$41))/((1+$Y$16)^AI$34))</f>
        <v>-585920.48910684581</v>
      </c>
      <c r="AJ890" s="193">
        <f>(((M890*'Appendix K'!$C$16*1000)-('Appendix K'!$E$42+'Appendix K'!$F$42+'Appendix K'!$H$42+'Appendix K'!$G$42))/((1+$Y$16)^AJ$34))</f>
        <v>-473786.02636685566</v>
      </c>
      <c r="AK890" s="193">
        <f>(((N890*'Appendix K'!$C$17*1000)-('Appendix K'!$E$43+'Appendix K'!$F$43+'Appendix K'!$H$43))/((1+$Y$16)^AK$34))</f>
        <v>3421.8251299963754</v>
      </c>
      <c r="AL890" s="193">
        <f>(((O890*'Appendix K'!$C$18*1000)-('Appendix K'!$E$44+'Appendix K'!$F$44+'Appendix K'!$H$44+'Appendix K'!$G$44))/((1+$Y$16)^AL$34))</f>
        <v>-273329.01154759299</v>
      </c>
      <c r="AM890" s="193">
        <f>(((P890*'Appendix K'!$C$19*1000)-('Appendix K'!$E$45+'Appendix K'!$F$45+'Appendix K'!$H$45+'Appendix K'!$G$45))/((1+$Y$16)^AM$34))</f>
        <v>-40918.371396795243</v>
      </c>
      <c r="AN890" s="193">
        <f>(((Q890*'Appendix K'!$C$20*1000)-('Appendix K'!$E$46+'Appendix K'!$F$46+'Appendix K'!$H$46+'Appendix K'!$G$46))/((1+$Y$16)^AN$34))</f>
        <v>439355.15690896258</v>
      </c>
      <c r="AO890" s="193">
        <f>(((R890*'Appendix K'!$C$21*1000)-('Appendix K'!$E$47+'Appendix K'!$F$47+'Appendix K'!$H$47+'Appendix K'!$G$47))/((1+$Y$16)^AO$34))</f>
        <v>808922.54031888547</v>
      </c>
      <c r="AP890" s="193">
        <f>(((S890*'Appendix K'!$C$22*1000)-('Appendix K'!$E$48+'Appendix K'!$F$48+'Appendix K'!$H$48+'Appendix K'!$G$48))/((1+$Y$16)^AP$34))</f>
        <v>994345.89535921125</v>
      </c>
      <c r="AQ890" s="193">
        <f>(((T890*'Appendix K'!$C$23*1000)-('Appendix K'!$E$49+'Appendix K'!$F$49+'Appendix K'!$H$49+'Appendix K'!$G$49))/((1+$Y$16)^AQ$34))</f>
        <v>918361.11564240034</v>
      </c>
      <c r="AR890" s="193">
        <f>(((U890*'Appendix K'!$C$24*1000)-('Appendix K'!$E$50+'Appendix K'!$F$50+'Appendix K'!$H$50+'Appendix K'!$G$50))/((1+$Y$16)^AR$34))</f>
        <v>764965.73686235433</v>
      </c>
      <c r="AS890" s="209">
        <f t="shared" si="42"/>
        <v>58775265.461590983</v>
      </c>
      <c r="AU890" s="199">
        <f t="shared" si="41"/>
        <v>6.1780294253669305E-9</v>
      </c>
    </row>
    <row r="891" spans="1:47" x14ac:dyDescent="0.35">
      <c r="A891">
        <v>857</v>
      </c>
      <c r="B891" s="70">
        <v>56</v>
      </c>
      <c r="C891" s="70">
        <v>40.803531696196359</v>
      </c>
      <c r="D891" s="70">
        <v>34.66323993495498</v>
      </c>
      <c r="E891" s="70">
        <v>29.991312738342444</v>
      </c>
      <c r="F891" s="70">
        <v>41.948396762093395</v>
      </c>
      <c r="G891" s="70">
        <v>44.813507909762727</v>
      </c>
      <c r="H891" s="70">
        <v>52.75109153801403</v>
      </c>
      <c r="I891" s="70">
        <v>56.273518794028533</v>
      </c>
      <c r="J891" s="70">
        <v>77.882661919650573</v>
      </c>
      <c r="K891" s="70">
        <v>61.506131842859901</v>
      </c>
      <c r="L891" s="70">
        <v>98.296814939300631</v>
      </c>
      <c r="M891" s="70">
        <v>77.070195669756828</v>
      </c>
      <c r="N891" s="70">
        <v>116.48051365252923</v>
      </c>
      <c r="O891" s="70">
        <v>146.71558568726769</v>
      </c>
      <c r="P891" s="70">
        <v>200.27643048663072</v>
      </c>
      <c r="Q891" s="70">
        <v>214.34027249558645</v>
      </c>
      <c r="R891" s="70">
        <v>206.96918772623937</v>
      </c>
      <c r="S891" s="70">
        <v>182.50168920212067</v>
      </c>
      <c r="T891" s="70">
        <v>226.53525656367248</v>
      </c>
      <c r="U891" s="70">
        <v>252.86186178888502</v>
      </c>
      <c r="V891" s="70">
        <v>291.21337370738081</v>
      </c>
      <c r="X891" s="193">
        <f>((0-('Appendix K'!$I$30))/(1+$Y$16)^0)</f>
        <v>-33594902.4440751</v>
      </c>
      <c r="Y891" s="193">
        <f>(((B891*'Appendix K'!$C$5*1000)-('Appendix K'!$E$31+'Appendix K'!$F$31+'Appendix K'!$H$31+'Appendix K'!$G$31))/((1+$Y$16)^1))</f>
        <v>34971064.972647354</v>
      </c>
      <c r="Z891" s="193">
        <f>+(((C891*'Appendix K'!$C$6*1000)-('Appendix K'!$E$32+'Appendix K'!$F$32+'Appendix K'!$H$32+'Appendix K'!$G$32))/((1+$Y$16)^2))</f>
        <v>6820422.3044385817</v>
      </c>
      <c r="AA891" s="193">
        <f>(((D891*'Appendix K'!$C$7*1000)-('Appendix K'!$E$33+'Appendix K'!$F$33+'Appendix K'!$H$33+'Appendix K'!$G$33))/((1+$Y$16)^3))</f>
        <v>1450327.6993244379</v>
      </c>
      <c r="AB891" s="193">
        <f>(((E891*'Appendix K'!$C$8*1000)-('Appendix K'!$E$34+'Appendix K'!$F$34+'Appendix K'!$H$34+'Appendix K'!$G$34))/((1+$Y$16)^4))</f>
        <v>3280613.3193469816</v>
      </c>
      <c r="AC891" s="193">
        <f>(((F891*'Appendix K'!$C$9*1000)-('Appendix K'!$E$35+'Appendix K'!$F$35+'Appendix K'!$H$35+'Appendix K'!$G$35))/((1+$Y$16)^AC$34))</f>
        <v>8165589.4694018271</v>
      </c>
      <c r="AD891" s="193">
        <f>(((G891*'Appendix K'!$C$10*1000)-('Appendix K'!$E$36+'Appendix K'!$F$36+'Appendix K'!$H$36+'Appendix K'!$G$36))/((1+$Y$16)^AD$34))</f>
        <v>4521927.3856659653</v>
      </c>
      <c r="AE891" s="193">
        <f>(((H891*'Appendix K'!$C$11*1000)-('Appendix K'!$E$37+'Appendix K'!$F$37+'Appendix K'!$H$37+'Appendix K'!$G$37))/((1+$Y$16)^AE$34))</f>
        <v>3041327.8231474357</v>
      </c>
      <c r="AF891" s="193">
        <f>(((I891*'Appendix K'!$C$12*1000)-('Appendix K'!$E$38+'Appendix K'!$F$38+'Appendix K'!$H$38+'Appendix K'!$G$38))/((1+$Y$16)^AF$34))</f>
        <v>1698476.8113978733</v>
      </c>
      <c r="AG891" s="193">
        <f>(((J891*'Appendix K'!$C$13*1000)-('Appendix K'!$E$39+'Appendix K'!$F$39+'Appendix K'!$H$39+'Appendix K'!$G$39))/((1+$Y$16)^AG$34))</f>
        <v>1769133.0956113937</v>
      </c>
      <c r="AH891" s="193">
        <f>(((K891*'Appendix K'!$C$14*1000)-('Appendix K'!$E$40+'Appendix K'!$F$40+'Appendix K'!$H$40+'Appendix K'!$G$40))/((1+$Y$16)^AH$34))</f>
        <v>440416.92256924353</v>
      </c>
      <c r="AI891" s="193">
        <f>(((L891*'Appendix K'!$C$15*1000)-('Appendix K'!$E$41+'Appendix K'!$F$41+'Appendix K'!$H$41+'Appendix K'!$G$41))/((1+$Y$16)^AI$34))</f>
        <v>1059079.0190239283</v>
      </c>
      <c r="AJ891" s="193">
        <f>(((M891*'Appendix K'!$C$16*1000)-('Appendix K'!$E$42+'Appendix K'!$F$42+'Appendix K'!$H$42+'Appendix K'!$G$42))/((1+$Y$16)^AJ$34))</f>
        <v>163079.65086978613</v>
      </c>
      <c r="AK891" s="193">
        <f>(((N891*'Appendix K'!$C$17*1000)-('Appendix K'!$E$43+'Appendix K'!$F$43+'Appendix K'!$H$43))/((1+$Y$16)^AK$34))</f>
        <v>785336.05176837661</v>
      </c>
      <c r="AL891" s="193">
        <f>(((O891*'Appendix K'!$C$18*1000)-('Appendix K'!$E$44+'Appendix K'!$F$44+'Appendix K'!$H$44+'Appendix K'!$G$44))/((1+$Y$16)^AL$34))</f>
        <v>604473.8828539995</v>
      </c>
      <c r="AM891" s="193">
        <f>(((P891*'Appendix K'!$C$19*1000)-('Appendix K'!$E$45+'Appendix K'!$F$45+'Appendix K'!$H$45+'Appendix K'!$G$45))/((1+$Y$16)^AM$34))</f>
        <v>829542.57638106646</v>
      </c>
      <c r="AN891" s="193">
        <f>(((Q891*'Appendix K'!$C$20*1000)-('Appendix K'!$E$46+'Appendix K'!$F$46+'Appendix K'!$H$46+'Appendix K'!$G$46))/((1+$Y$16)^AN$34))</f>
        <v>635303.86136461317</v>
      </c>
      <c r="AO891" s="193">
        <f>(((R891*'Appendix K'!$C$21*1000)-('Appendix K'!$E$47+'Appendix K'!$F$47+'Appendix K'!$H$47+'Appendix K'!$G$47))/((1+$Y$16)^AO$34))</f>
        <v>380211.84004525887</v>
      </c>
      <c r="AP891" s="193">
        <f>(((S891*'Appendix K'!$C$22*1000)-('Appendix K'!$E$48+'Appendix K'!$F$48+'Appendix K'!$H$48+'Appendix K'!$G$48))/((1+$Y$16)^AP$34))</f>
        <v>109678.63784446813</v>
      </c>
      <c r="AQ891" s="193">
        <f>(((T891*'Appendix K'!$C$23*1000)-('Appendix K'!$E$49+'Appendix K'!$F$49+'Appendix K'!$H$49+'Appendix K'!$G$49))/((1+$Y$16)^AQ$34))</f>
        <v>193115.36816541036</v>
      </c>
      <c r="AR891" s="193">
        <f>(((U891*'Appendix K'!$C$24*1000)-('Appendix K'!$E$50+'Appendix K'!$F$50+'Appendix K'!$H$50+'Appendix K'!$G$50))/((1+$Y$16)^AR$34))</f>
        <v>184933.41055264618</v>
      </c>
      <c r="AS891" s="209">
        <f t="shared" si="42"/>
        <v>37509151.658345573</v>
      </c>
      <c r="AU891" s="199">
        <f t="shared" si="41"/>
        <v>4.7604817892713457E-9</v>
      </c>
    </row>
    <row r="892" spans="1:47" x14ac:dyDescent="0.35">
      <c r="A892">
        <v>858</v>
      </c>
      <c r="B892" s="70">
        <v>56</v>
      </c>
      <c r="C892" s="70">
        <v>39.837354938906081</v>
      </c>
      <c r="D892" s="70">
        <v>57.596747823160953</v>
      </c>
      <c r="E892" s="70">
        <v>45.227143515238524</v>
      </c>
      <c r="F892" s="70">
        <v>50.767328467930533</v>
      </c>
      <c r="G892" s="70">
        <v>56.109055708002046</v>
      </c>
      <c r="H892" s="70">
        <v>55.401052775225821</v>
      </c>
      <c r="I892" s="70">
        <v>74.084466668468508</v>
      </c>
      <c r="J892" s="70">
        <v>66.900405501207672</v>
      </c>
      <c r="K892" s="70">
        <v>131.07646851778543</v>
      </c>
      <c r="L892" s="70">
        <v>195.09231681859436</v>
      </c>
      <c r="M892" s="70">
        <v>176.39071802601273</v>
      </c>
      <c r="N892" s="70">
        <v>198.72800116588832</v>
      </c>
      <c r="O892" s="70">
        <v>337.57818115313387</v>
      </c>
      <c r="P892" s="70">
        <v>178.14413077376992</v>
      </c>
      <c r="Q892" s="70">
        <v>195.24129477727507</v>
      </c>
      <c r="R892" s="70">
        <v>236.98697608180743</v>
      </c>
      <c r="S892" s="70">
        <v>220.07817130710785</v>
      </c>
      <c r="T892" s="70">
        <v>226.86017693470473</v>
      </c>
      <c r="U892" s="70">
        <v>222.22173820719277</v>
      </c>
      <c r="V892" s="70">
        <v>167.5060645295938</v>
      </c>
      <c r="X892" s="193">
        <f>((0-('Appendix K'!$I$30))/(1+$Y$16)^0)</f>
        <v>-33594902.4440751</v>
      </c>
      <c r="Y892" s="193">
        <f>(((B892*'Appendix K'!$C$5*1000)-('Appendix K'!$E$31+'Appendix K'!$F$31+'Appendix K'!$H$31+'Appendix K'!$G$31))/((1+$Y$16)^1))</f>
        <v>34971064.972647354</v>
      </c>
      <c r="Z892" s="193">
        <f>+(((C892*'Appendix K'!$C$6*1000)-('Appendix K'!$E$32+'Appendix K'!$F$32+'Appendix K'!$H$32+'Appendix K'!$G$32))/((1+$Y$16)^2))</f>
        <v>6576349.5309060887</v>
      </c>
      <c r="AA892" s="193">
        <f>(((D892*'Appendix K'!$C$7*1000)-('Appendix K'!$E$33+'Appendix K'!$F$33+'Appendix K'!$H$33+'Appendix K'!$G$33))/((1+$Y$16)^3))</f>
        <v>4371480.3393165013</v>
      </c>
      <c r="AB892" s="193">
        <f>(((E892*'Appendix K'!$C$8*1000)-('Appendix K'!$E$34+'Appendix K'!$F$34+'Appendix K'!$H$34+'Appendix K'!$G$34))/((1+$Y$16)^4))</f>
        <v>6620167.9550359333</v>
      </c>
      <c r="AC892" s="193">
        <f>(((F892*'Appendix K'!$C$9*1000)-('Appendix K'!$E$35+'Appendix K'!$F$35+'Appendix K'!$H$35+'Appendix K'!$G$35))/((1+$Y$16)^AC$34))</f>
        <v>10509647.668605497</v>
      </c>
      <c r="AD892" s="193">
        <f>(((G892*'Appendix K'!$C$10*1000)-('Appendix K'!$E$36+'Appendix K'!$F$36+'Appendix K'!$H$36+'Appendix K'!$G$36))/((1+$Y$16)^AD$34))</f>
        <v>6295824.8464429146</v>
      </c>
      <c r="AE892" s="193">
        <f>(((H892*'Appendix K'!$C$11*1000)-('Appendix K'!$E$37+'Appendix K'!$F$37+'Appendix K'!$H$37+'Appendix K'!$G$37))/((1+$Y$16)^AE$34))</f>
        <v>3305628.6734555326</v>
      </c>
      <c r="AF892" s="193">
        <f>(((I892*'Appendix K'!$C$12*1000)-('Appendix K'!$E$38+'Appendix K'!$F$38+'Appendix K'!$H$38+'Appendix K'!$G$38))/((1+$Y$16)^AF$34))</f>
        <v>2867986.8766994062</v>
      </c>
      <c r="AG892" s="193">
        <f>(((J892*'Appendix K'!$C$13*1000)-('Appendix K'!$E$39+'Appendix K'!$F$39+'Appendix K'!$H$39+'Appendix K'!$G$39))/((1+$Y$16)^AG$34))</f>
        <v>1263741.3781147583</v>
      </c>
      <c r="AH892" s="193">
        <f>(((K892*'Appendix K'!$C$14*1000)-('Appendix K'!$E$40+'Appendix K'!$F$40+'Appendix K'!$H$40+'Appendix K'!$G$40))/((1+$Y$16)^AH$34))</f>
        <v>2785391.3371373438</v>
      </c>
      <c r="AI892" s="193">
        <f>(((L892*'Appendix K'!$C$15*1000)-('Appendix K'!$E$41+'Appendix K'!$F$41+'Appendix K'!$H$41+'Appendix K'!$G$41))/((1+$Y$16)^AI$34))</f>
        <v>3595302.1767375157</v>
      </c>
      <c r="AJ892" s="193">
        <f>(((M892*'Appendix K'!$C$16*1000)-('Appendix K'!$E$42+'Appendix K'!$F$42+'Appendix K'!$H$42+'Appendix K'!$G$42))/((1+$Y$16)^AJ$34))</f>
        <v>2153648.3481141622</v>
      </c>
      <c r="AK892" s="193">
        <f>(((N892*'Appendix K'!$C$17*1000)-('Appendix K'!$E$43+'Appendix K'!$F$43+'Appendix K'!$H$43))/((1+$Y$16)^AK$34))</f>
        <v>2048978.0164820682</v>
      </c>
      <c r="AL892" s="193">
        <f>(((O892*'Appendix K'!$C$18*1000)-('Appendix K'!$E$44+'Appendix K'!$F$44+'Appendix K'!$H$44+'Appendix K'!$G$44))/((1+$Y$16)^AL$34))</f>
        <v>2866824.3886354091</v>
      </c>
      <c r="AM892" s="193">
        <f>(((P892*'Appendix K'!$C$19*1000)-('Appendix K'!$E$45+'Appendix K'!$F$45+'Appendix K'!$H$45+'Appendix K'!$G$45))/((1+$Y$16)^AM$34))</f>
        <v>624404.22639636789</v>
      </c>
      <c r="AN892" s="193">
        <f>(((Q892*'Appendix K'!$C$20*1000)-('Appendix K'!$E$46+'Appendix K'!$F$46+'Appendix K'!$H$46+'Appendix K'!$G$46))/((1+$Y$16)^AN$34))</f>
        <v>497099.51620073203</v>
      </c>
      <c r="AO892" s="193">
        <f>(((R892*'Appendix K'!$C$21*1000)-('Appendix K'!$E$47+'Appendix K'!$F$47+'Appendix K'!$H$47+'Appendix K'!$G$47))/((1+$Y$16)^AO$34))</f>
        <v>557620.28559313156</v>
      </c>
      <c r="AP892" s="193">
        <f>(((S892*'Appendix K'!$C$22*1000)-('Appendix K'!$E$48+'Appendix K'!$F$48+'Appendix K'!$H$48+'Appendix K'!$G$48))/((1+$Y$16)^AP$34))</f>
        <v>289659.44097519561</v>
      </c>
      <c r="AQ892" s="193">
        <f>(((T892*'Appendix K'!$C$23*1000)-('Appendix K'!$E$49+'Appendix K'!$F$49+'Appendix K'!$H$49+'Appendix K'!$G$49))/((1+$Y$16)^AQ$34))</f>
        <v>194387.02331588228</v>
      </c>
      <c r="AR892" s="193">
        <f>(((U892*'Appendix K'!$C$24*1000)-('Appendix K'!$E$50+'Appendix K'!$F$50+'Appendix K'!$H$50+'Appendix K'!$G$50))/((1+$Y$16)^AR$34))</f>
        <v>86271.354118308082</v>
      </c>
      <c r="AS892" s="209">
        <f t="shared" si="42"/>
        <v>58886575.910855003</v>
      </c>
      <c r="AU892" s="199">
        <f t="shared" si="41"/>
        <v>6.1841788595233305E-9</v>
      </c>
    </row>
    <row r="893" spans="1:47" x14ac:dyDescent="0.35">
      <c r="A893">
        <v>859</v>
      </c>
      <c r="B893" s="70">
        <v>56</v>
      </c>
      <c r="C893" s="70">
        <v>65.854436733000256</v>
      </c>
      <c r="D893" s="70">
        <v>102.39330623237079</v>
      </c>
      <c r="E893" s="70">
        <v>100.66467794226264</v>
      </c>
      <c r="F893" s="70">
        <v>98.968435669752111</v>
      </c>
      <c r="G893" s="70">
        <v>153.6214174063827</v>
      </c>
      <c r="H893" s="70">
        <v>193.7516096816839</v>
      </c>
      <c r="I893" s="70">
        <v>128.19559568394902</v>
      </c>
      <c r="J893" s="70">
        <v>153.17809949748766</v>
      </c>
      <c r="K893" s="70">
        <v>262.19298352738076</v>
      </c>
      <c r="L893" s="70">
        <v>325.16258796767579</v>
      </c>
      <c r="M893" s="70">
        <v>87.151282028969888</v>
      </c>
      <c r="N893" s="70">
        <v>108.61123247197563</v>
      </c>
      <c r="O893" s="70">
        <v>105.11129666719657</v>
      </c>
      <c r="P893" s="70">
        <v>92.086238255677912</v>
      </c>
      <c r="Q893" s="70">
        <v>122.71150359721213</v>
      </c>
      <c r="R893" s="70">
        <v>155.79611312312917</v>
      </c>
      <c r="S893" s="70">
        <v>147.44015724109838</v>
      </c>
      <c r="T893" s="70">
        <v>164.00967805304546</v>
      </c>
      <c r="U893" s="70">
        <v>182.46213322033427</v>
      </c>
      <c r="V893" s="70">
        <v>120.38086655466176</v>
      </c>
      <c r="X893" s="193">
        <f>((0-('Appendix K'!$I$30))/(1+$Y$16)^0)</f>
        <v>-33594902.4440751</v>
      </c>
      <c r="Y893" s="193">
        <f>(((B893*'Appendix K'!$C$5*1000)-('Appendix K'!$E$31+'Appendix K'!$F$31+'Appendix K'!$H$31+'Appendix K'!$G$31))/((1+$Y$16)^1))</f>
        <v>34971064.972647354</v>
      </c>
      <c r="Z893" s="193">
        <f>+(((C893*'Appendix K'!$C$6*1000)-('Appendix K'!$E$32+'Appendix K'!$F$32+'Appendix K'!$H$32+'Appendix K'!$G$32))/((1+$Y$16)^2))</f>
        <v>13148709.365472553</v>
      </c>
      <c r="AA893" s="193">
        <f>(((D893*'Appendix K'!$C$7*1000)-('Appendix K'!$E$33+'Appendix K'!$F$33+'Appendix K'!$H$33+'Appendix K'!$G$33))/((1+$Y$16)^3))</f>
        <v>10077436.248788083</v>
      </c>
      <c r="AB893" s="193">
        <f>(((E893*'Appendix K'!$C$8*1000)-('Appendix K'!$E$34+'Appendix K'!$F$34+'Appendix K'!$H$34+'Appendix K'!$G$34))/((1+$Y$16)^4))</f>
        <v>18771568.019657243</v>
      </c>
      <c r="AC893" s="193">
        <f>(((F893*'Appendix K'!$C$9*1000)-('Appendix K'!$E$35+'Appendix K'!$F$35+'Appendix K'!$H$35+'Appendix K'!$G$35))/((1+$Y$16)^AC$34))</f>
        <v>23321426.273528922</v>
      </c>
      <c r="AD893" s="193">
        <f>(((G893*'Appendix K'!$C$10*1000)-('Appendix K'!$E$36+'Appendix K'!$F$36+'Appendix K'!$H$36+'Appendix K'!$G$36))/((1+$Y$16)^AD$34))</f>
        <v>21609551.449245092</v>
      </c>
      <c r="AE893" s="193">
        <f>(((H893*'Appendix K'!$C$11*1000)-('Appendix K'!$E$37+'Appendix K'!$F$37+'Appendix K'!$H$37+'Appendix K'!$G$37))/((1+$Y$16)^AE$34))</f>
        <v>17104385.167512584</v>
      </c>
      <c r="AF893" s="193">
        <f>(((I893*'Appendix K'!$C$12*1000)-('Appendix K'!$E$38+'Appendix K'!$F$38+'Appendix K'!$H$38+'Appendix K'!$G$38))/((1+$Y$16)^AF$34))</f>
        <v>6421054.937678393</v>
      </c>
      <c r="AG893" s="193">
        <f>(((J893*'Appendix K'!$C$13*1000)-('Appendix K'!$E$39+'Appendix K'!$F$39+'Appendix K'!$H$39+'Appendix K'!$G$39))/((1+$Y$16)^AG$34))</f>
        <v>5234148.7597165303</v>
      </c>
      <c r="AH893" s="193">
        <f>(((K893*'Appendix K'!$C$14*1000)-('Appendix K'!$E$40+'Appendix K'!$F$40+'Appendix K'!$H$40+'Appendix K'!$G$40))/((1+$Y$16)^AH$34))</f>
        <v>7204873.6584820896</v>
      </c>
      <c r="AI893" s="193">
        <f>(((L893*'Appendix K'!$C$15*1000)-('Appendix K'!$E$41+'Appendix K'!$F$41+'Appendix K'!$H$41+'Appendix K'!$G$41))/((1+$Y$16)^AI$34))</f>
        <v>7003386.5134431934</v>
      </c>
      <c r="AJ893" s="193">
        <f>(((M893*'Appendix K'!$C$16*1000)-('Appendix K'!$E$42+'Appendix K'!$F$42+'Appendix K'!$H$42+'Appendix K'!$G$42))/((1+$Y$16)^AJ$34))</f>
        <v>365123.44267433888</v>
      </c>
      <c r="AK893" s="193">
        <f>(((N893*'Appendix K'!$C$17*1000)-('Appendix K'!$E$43+'Appendix K'!$F$43+'Appendix K'!$H$43))/((1+$Y$16)^AK$34))</f>
        <v>664433.22260579502</v>
      </c>
      <c r="AL893" s="193">
        <f>(((O893*'Appendix K'!$C$18*1000)-('Appendix K'!$E$44+'Appendix K'!$F$44+'Appendix K'!$H$44+'Appendix K'!$G$44))/((1+$Y$16)^AL$34))</f>
        <v>111326.00294859995</v>
      </c>
      <c r="AM893" s="193">
        <f>(((P893*'Appendix K'!$C$19*1000)-('Appendix K'!$E$45+'Appendix K'!$F$45+'Appendix K'!$H$45+'Appendix K'!$G$45))/((1+$Y$16)^AM$34))</f>
        <v>-173243.29796204952</v>
      </c>
      <c r="AN893" s="193">
        <f>(((Q893*'Appendix K'!$C$20*1000)-('Appendix K'!$E$46+'Appendix K'!$F$46+'Appendix K'!$H$46+'Appendix K'!$G$46))/((1+$Y$16)^AN$34))</f>
        <v>-27741.783828801777</v>
      </c>
      <c r="AO893" s="193">
        <f>(((R893*'Appendix K'!$C$21*1000)-('Appendix K'!$E$47+'Appendix K'!$F$47+'Appendix K'!$H$47+'Appendix K'!$G$47))/((1+$Y$16)^AO$34))</f>
        <v>77773.315537536517</v>
      </c>
      <c r="AP893" s="193">
        <f>(((S893*'Appendix K'!$C$22*1000)-('Appendix K'!$E$48+'Appendix K'!$F$48+'Appendix K'!$H$48+'Appendix K'!$G$48))/((1+$Y$16)^AP$34))</f>
        <v>-58256.259938337935</v>
      </c>
      <c r="AQ893" s="193">
        <f>(((T893*'Appendix K'!$C$23*1000)-('Appendix K'!$E$49+'Appendix K'!$F$49+'Appendix K'!$H$49+'Appendix K'!$G$49))/((1+$Y$16)^AQ$34))</f>
        <v>-51593.739166568201</v>
      </c>
      <c r="AR893" s="193">
        <f>(((U893*'Appendix K'!$C$24*1000)-('Appendix K'!$E$50+'Appendix K'!$F$50+'Appendix K'!$H$50+'Appendix K'!$G$50))/((1+$Y$16)^AR$34))</f>
        <v>-41755.687958125316</v>
      </c>
      <c r="AS893" s="209">
        <f t="shared" si="42"/>
        <v>132491358.90586323</v>
      </c>
      <c r="AU893" s="199">
        <f t="shared" si="41"/>
        <v>5.1424044278987404E-9</v>
      </c>
    </row>
    <row r="894" spans="1:47" x14ac:dyDescent="0.35">
      <c r="A894">
        <v>860</v>
      </c>
      <c r="B894" s="70">
        <v>56</v>
      </c>
      <c r="C894" s="70">
        <v>91.183879283426066</v>
      </c>
      <c r="D894" s="70">
        <v>114.22952958542405</v>
      </c>
      <c r="E894" s="70">
        <v>97.745146376670519</v>
      </c>
      <c r="F894" s="70">
        <v>149.64262514265474</v>
      </c>
      <c r="G894" s="70">
        <v>63.309734565520429</v>
      </c>
      <c r="H894" s="70">
        <v>47.240907253252871</v>
      </c>
      <c r="I894" s="70">
        <v>42.927855770427513</v>
      </c>
      <c r="J894" s="70">
        <v>57.16458360517241</v>
      </c>
      <c r="K894" s="70">
        <v>67.484568988392226</v>
      </c>
      <c r="L894" s="70">
        <v>35.002397375024842</v>
      </c>
      <c r="M894" s="70">
        <v>32.544831261801271</v>
      </c>
      <c r="N894" s="70">
        <v>41.079054429426776</v>
      </c>
      <c r="O894" s="70">
        <v>41.147913368881547</v>
      </c>
      <c r="P894" s="70">
        <v>26.4458850706669</v>
      </c>
      <c r="Q894" s="70">
        <v>28.411186859493558</v>
      </c>
      <c r="R894" s="70">
        <v>34.406889684719062</v>
      </c>
      <c r="S894" s="70">
        <v>42.203073728679648</v>
      </c>
      <c r="T894" s="70">
        <v>30.915220014362042</v>
      </c>
      <c r="U894" s="70">
        <v>44.264738399112311</v>
      </c>
      <c r="V894" s="70">
        <v>55.334939953367659</v>
      </c>
      <c r="X894" s="193">
        <f>((0-('Appendix K'!$I$30))/(1+$Y$16)^0)</f>
        <v>-33594902.4440751</v>
      </c>
      <c r="Y894" s="193">
        <f>(((B894*'Appendix K'!$C$5*1000)-('Appendix K'!$E$31+'Appendix K'!$F$31+'Appendix K'!$H$31+'Appendix K'!$G$31))/((1+$Y$16)^1))</f>
        <v>34971064.972647354</v>
      </c>
      <c r="Z894" s="193">
        <f>+(((C894*'Appendix K'!$C$6*1000)-('Appendix K'!$E$32+'Appendix K'!$F$32+'Appendix K'!$H$32+'Appendix K'!$G$32))/((1+$Y$16)^2))</f>
        <v>19547359.766309079</v>
      </c>
      <c r="AA894" s="193">
        <f>(((D894*'Appendix K'!$C$7*1000)-('Appendix K'!$E$33+'Appendix K'!$F$33+'Appendix K'!$H$33+'Appendix K'!$G$33))/((1+$Y$16)^3))</f>
        <v>11585073.687589511</v>
      </c>
      <c r="AB894" s="193">
        <f>(((E894*'Appendix K'!$C$8*1000)-('Appendix K'!$E$34+'Appendix K'!$F$34+'Appendix K'!$H$34+'Appendix K'!$G$34))/((1+$Y$16)^4))</f>
        <v>18131633.426218569</v>
      </c>
      <c r="AC894" s="193">
        <f>(((F894*'Appendix K'!$C$9*1000)-('Appendix K'!$E$35+'Appendix K'!$F$35+'Appendix K'!$H$35+'Appendix K'!$G$35))/((1+$Y$16)^AC$34))</f>
        <v>36790546.262669638</v>
      </c>
      <c r="AD894" s="193">
        <f>(((G894*'Appendix K'!$C$10*1000)-('Appendix K'!$E$36+'Appendix K'!$F$36+'Appendix K'!$H$36+'Appendix K'!$G$36))/((1+$Y$16)^AD$34))</f>
        <v>7426647.9078276092</v>
      </c>
      <c r="AE894" s="193">
        <f>(((H894*'Appendix K'!$C$11*1000)-('Appendix K'!$E$37+'Appendix K'!$F$37+'Appendix K'!$H$37+'Appendix K'!$G$37))/((1+$Y$16)^AE$34))</f>
        <v>2491755.1081333044</v>
      </c>
      <c r="AF894" s="193">
        <f>(((I894*'Appendix K'!$C$12*1000)-('Appendix K'!$E$38+'Appendix K'!$F$38+'Appendix K'!$H$38+'Appendix K'!$G$38))/((1+$Y$16)^AF$34))</f>
        <v>822168.18682307762</v>
      </c>
      <c r="AG894" s="193">
        <f>(((J894*'Appendix K'!$C$13*1000)-('Appendix K'!$E$39+'Appendix K'!$F$39+'Appendix K'!$H$39+'Appendix K'!$G$39))/((1+$Y$16)^AG$34))</f>
        <v>815709.24684748927</v>
      </c>
      <c r="AH894" s="193">
        <f>(((K894*'Appendix K'!$C$14*1000)-('Appendix K'!$E$40+'Appendix K'!$F$40+'Appendix K'!$H$40+'Appendix K'!$G$40))/((1+$Y$16)^AH$34))</f>
        <v>641929.27417512098</v>
      </c>
      <c r="AI894" s="193">
        <f>(((L894*'Appendix K'!$C$15*1000)-('Appendix K'!$E$41+'Appendix K'!$F$41+'Appendix K'!$H$41+'Appendix K'!$G$41))/((1+$Y$16)^AI$34))</f>
        <v>-599353.08230132842</v>
      </c>
      <c r="AJ894" s="193">
        <f>(((M894*'Appendix K'!$C$16*1000)-('Appendix K'!$E$42+'Appendix K'!$F$42+'Appendix K'!$H$42+'Appendix K'!$G$42))/((1+$Y$16)^AJ$34))</f>
        <v>-729291.77973911294</v>
      </c>
      <c r="AK894" s="193">
        <f>(((N894*'Appendix K'!$C$17*1000)-('Appendix K'!$E$43+'Appendix K'!$F$43+'Appendix K'!$H$43))/((1+$Y$16)^AK$34))</f>
        <v>-373124.23626758921</v>
      </c>
      <c r="AL894" s="193">
        <f>(((O894*'Appendix K'!$C$18*1000)-('Appendix K'!$E$44+'Appendix K'!$F$44+'Appendix K'!$H$44+'Appendix K'!$G$44))/((1+$Y$16)^AL$34))</f>
        <v>-646850.80064785236</v>
      </c>
      <c r="AM894" s="193">
        <f>(((P894*'Appendix K'!$C$19*1000)-('Appendix K'!$E$45+'Appendix K'!$F$45+'Appendix K'!$H$45+'Appendix K'!$G$45))/((1+$Y$16)^AM$34))</f>
        <v>-781646.12638396281</v>
      </c>
      <c r="AN894" s="193">
        <f>(((Q894*'Appendix K'!$C$20*1000)-('Appendix K'!$E$46+'Appendix K'!$F$46+'Appendix K'!$H$46+'Appendix K'!$G$46))/((1+$Y$16)^AN$34))</f>
        <v>-710119.3286220869</v>
      </c>
      <c r="AO894" s="193">
        <f>(((R894*'Appendix K'!$C$21*1000)-('Appendix K'!$E$47+'Appendix K'!$F$47+'Appendix K'!$H$47+'Appendix K'!$G$47))/((1+$Y$16)^AO$34))</f>
        <v>-639650.40606975707</v>
      </c>
      <c r="AP894" s="193">
        <f>(((S894*'Appendix K'!$C$22*1000)-('Appendix K'!$E$48+'Appendix K'!$F$48+'Appendix K'!$H$48+'Appendix K'!$G$48))/((1+$Y$16)^AP$34))</f>
        <v>-562312.35430026182</v>
      </c>
      <c r="AQ894" s="193">
        <f>(((T894*'Appendix K'!$C$23*1000)-('Appendix K'!$E$49+'Appendix K'!$F$49+'Appendix K'!$H$49+'Appendix K'!$G$49))/((1+$Y$16)^AQ$34))</f>
        <v>-572491.37487487437</v>
      </c>
      <c r="AR894" s="193">
        <f>(((U894*'Appendix K'!$C$24*1000)-('Appendix K'!$E$50+'Appendix K'!$F$50+'Appendix K'!$H$50+'Appendix K'!$G$50))/((1+$Y$16)^AR$34))</f>
        <v>-486755.17141572019</v>
      </c>
      <c r="AS894" s="209">
        <f t="shared" si="42"/>
        <v>99628985.395165682</v>
      </c>
      <c r="AU894" s="199">
        <f t="shared" si="41"/>
        <v>6.8739596848093537E-9</v>
      </c>
    </row>
    <row r="895" spans="1:47" x14ac:dyDescent="0.35">
      <c r="A895">
        <v>861</v>
      </c>
      <c r="B895" s="70">
        <v>56</v>
      </c>
      <c r="C895" s="70">
        <v>52.436953613909992</v>
      </c>
      <c r="D895" s="70">
        <v>44.895036690515234</v>
      </c>
      <c r="E895" s="70">
        <v>40.91182857423793</v>
      </c>
      <c r="F895" s="70">
        <v>55.07391518878854</v>
      </c>
      <c r="G895" s="70">
        <v>56.912973118019544</v>
      </c>
      <c r="H895" s="70">
        <v>45.483485297432281</v>
      </c>
      <c r="I895" s="70">
        <v>59.009300598389991</v>
      </c>
      <c r="J895" s="70">
        <v>74.416518237410429</v>
      </c>
      <c r="K895" s="70">
        <v>46.751122322326324</v>
      </c>
      <c r="L895" s="70">
        <v>59.246065217185979</v>
      </c>
      <c r="M895" s="70">
        <v>52.544337818571648</v>
      </c>
      <c r="N895" s="70">
        <v>27.287780172225155</v>
      </c>
      <c r="O895" s="70">
        <v>31.764207621453473</v>
      </c>
      <c r="P895" s="70">
        <v>29.678754376356054</v>
      </c>
      <c r="Q895" s="70">
        <v>35.96451404256343</v>
      </c>
      <c r="R895" s="70">
        <v>34.641806140693632</v>
      </c>
      <c r="S895" s="70">
        <v>9.140187379280782</v>
      </c>
      <c r="T895" s="70">
        <v>8.935457538142078</v>
      </c>
      <c r="U895" s="70">
        <v>12.301058044203723</v>
      </c>
      <c r="V895" s="70">
        <v>20.38170549400202</v>
      </c>
      <c r="X895" s="193">
        <f>((0-('Appendix K'!$I$30))/(1+$Y$16)^0)</f>
        <v>-33594902.4440751</v>
      </c>
      <c r="Y895" s="193">
        <f>(((B895*'Appendix K'!$C$5*1000)-('Appendix K'!$E$31+'Appendix K'!$F$31+'Appendix K'!$H$31+'Appendix K'!$G$31))/((1+$Y$16)^1))</f>
        <v>34971064.972647354</v>
      </c>
      <c r="Z895" s="193">
        <f>+(((C895*'Appendix K'!$C$6*1000)-('Appendix K'!$E$32+'Appendix K'!$F$32+'Appendix K'!$H$32+'Appendix K'!$G$32))/((1+$Y$16)^2))</f>
        <v>9759223.648711646</v>
      </c>
      <c r="AA895" s="193">
        <f>(((D895*'Appendix K'!$C$7*1000)-('Appendix K'!$E$33+'Appendix K'!$F$33+'Appendix K'!$H$33+'Appendix K'!$G$33))/((1+$Y$16)^3))</f>
        <v>2753601.5050616721</v>
      </c>
      <c r="AB895" s="193">
        <f>(((E895*'Appendix K'!$C$8*1000)-('Appendix K'!$E$34+'Appendix K'!$F$34+'Appendix K'!$H$34+'Appendix K'!$G$34))/((1+$Y$16)^4))</f>
        <v>5674290.4228747208</v>
      </c>
      <c r="AC895" s="193">
        <f>(((F895*'Appendix K'!$C$9*1000)-('Appendix K'!$E$35+'Appendix K'!$F$35+'Appendix K'!$H$35+'Appendix K'!$G$35))/((1+$Y$16)^AC$34))</f>
        <v>11654331.656454867</v>
      </c>
      <c r="AD895" s="193">
        <f>(((G895*'Appendix K'!$C$10*1000)-('Appendix K'!$E$36+'Appendix K'!$F$36+'Appendix K'!$H$36+'Appendix K'!$G$36))/((1+$Y$16)^AD$34))</f>
        <v>6422075.2132048272</v>
      </c>
      <c r="AE895" s="193">
        <f>(((H895*'Appendix K'!$C$11*1000)-('Appendix K'!$E$37+'Appendix K'!$F$37+'Appendix K'!$H$37+'Appendix K'!$G$37))/((1+$Y$16)^AE$34))</f>
        <v>2316474.0093945847</v>
      </c>
      <c r="AF895" s="193">
        <f>(((I895*'Appendix K'!$C$12*1000)-('Appendix K'!$E$38+'Appendix K'!$F$38+'Appendix K'!$H$38+'Appendix K'!$G$38))/((1+$Y$16)^AF$34))</f>
        <v>1878114.8845214867</v>
      </c>
      <c r="AG895" s="193">
        <f>(((J895*'Appendix K'!$C$13*1000)-('Appendix K'!$E$39+'Appendix K'!$F$39+'Appendix K'!$H$39+'Appendix K'!$G$39))/((1+$Y$16)^AG$34))</f>
        <v>1609624.8632489019</v>
      </c>
      <c r="AH895" s="193">
        <f>(((K895*'Appendix K'!$C$14*1000)-('Appendix K'!$E$40+'Appendix K'!$F$40+'Appendix K'!$H$40+'Appendix K'!$G$40))/((1+$Y$16)^AH$34))</f>
        <v>-56923.200621945536</v>
      </c>
      <c r="AI895" s="193">
        <f>(((L895*'Appendix K'!$C$15*1000)-('Appendix K'!$E$41+'Appendix K'!$F$41+'Appendix K'!$H$41+'Appendix K'!$G$41))/((1+$Y$16)^AI$34))</f>
        <v>35876.351044463729</v>
      </c>
      <c r="AJ895" s="193">
        <f>(((M895*'Appendix K'!$C$16*1000)-('Appendix K'!$E$42+'Appendix K'!$F$42+'Appendix K'!$H$42+'Appendix K'!$G$42))/((1+$Y$16)^AJ$34))</f>
        <v>-328464.32970372523</v>
      </c>
      <c r="AK895" s="193">
        <f>(((N895*'Appendix K'!$C$17*1000)-('Appendix K'!$E$43+'Appendix K'!$F$43+'Appendix K'!$H$43))/((1+$Y$16)^AK$34))</f>
        <v>-585011.95983416005</v>
      </c>
      <c r="AL895" s="193">
        <f>(((O895*'Appendix K'!$C$18*1000)-('Appendix K'!$E$44+'Appendix K'!$F$44+'Appendix K'!$H$44+'Appendix K'!$G$44))/((1+$Y$16)^AL$34))</f>
        <v>-758078.62604748365</v>
      </c>
      <c r="AM895" s="193">
        <f>(((P895*'Appendix K'!$C$19*1000)-('Appendix K'!$E$45+'Appendix K'!$F$45+'Appendix K'!$H$45+'Appendix K'!$G$45))/((1+$Y$16)^AM$34))</f>
        <v>-751681.52787005948</v>
      </c>
      <c r="AN895" s="193">
        <f>(((Q895*'Appendix K'!$C$20*1000)-('Appendix K'!$E$46+'Appendix K'!$F$46+'Appendix K'!$H$46+'Appendix K'!$G$46))/((1+$Y$16)^AN$34))</f>
        <v>-655461.81487757585</v>
      </c>
      <c r="AO895" s="193">
        <f>(((R895*'Appendix K'!$C$21*1000)-('Appendix K'!$E$47+'Appendix K'!$F$47+'Appendix K'!$H$47+'Appendix K'!$G$47))/((1+$Y$16)^AO$34))</f>
        <v>-638262.02386136784</v>
      </c>
      <c r="AP895" s="193">
        <f>(((S895*'Appendix K'!$C$22*1000)-('Appendix K'!$E$48+'Appendix K'!$F$48+'Appendix K'!$H$48+'Appendix K'!$G$48))/((1+$Y$16)^AP$34))</f>
        <v>-720674.30053990183</v>
      </c>
      <c r="AQ895" s="193">
        <f>(((T895*'Appendix K'!$C$23*1000)-('Appendix K'!$E$49+'Appendix K'!$F$49+'Appendix K'!$H$49+'Appendix K'!$G$49))/((1+$Y$16)^AQ$34))</f>
        <v>-658514.53824329551</v>
      </c>
      <c r="AR895" s="193">
        <f>(((U895*'Appendix K'!$C$24*1000)-('Appendix K'!$E$50+'Appendix K'!$F$50+'Appendix K'!$H$50+'Appendix K'!$G$50))/((1+$Y$16)^AR$34))</f>
        <v>-589679.11774436512</v>
      </c>
      <c r="AS895" s="209">
        <f t="shared" si="42"/>
        <v>43479775.083089419</v>
      </c>
      <c r="AU895" s="199">
        <f t="shared" si="41"/>
        <v>5.1950492508872756E-9</v>
      </c>
    </row>
    <row r="896" spans="1:47" x14ac:dyDescent="0.35">
      <c r="A896">
        <v>862</v>
      </c>
      <c r="B896" s="70">
        <v>56</v>
      </c>
      <c r="C896" s="70">
        <v>73.802037818257162</v>
      </c>
      <c r="D896" s="70">
        <v>53.372760324396779</v>
      </c>
      <c r="E896" s="70">
        <v>64.147312767528106</v>
      </c>
      <c r="F896" s="70">
        <v>26.152080591990959</v>
      </c>
      <c r="G896" s="70">
        <v>25.137596757330947</v>
      </c>
      <c r="H896" s="70">
        <v>32.415269011389434</v>
      </c>
      <c r="I896" s="70">
        <v>25.061759128957345</v>
      </c>
      <c r="J896" s="70">
        <v>17.187403792139463</v>
      </c>
      <c r="K896" s="70">
        <v>21.166513824426637</v>
      </c>
      <c r="L896" s="70">
        <v>19.811697925460123</v>
      </c>
      <c r="M896" s="70">
        <v>12.225260349852134</v>
      </c>
      <c r="N896" s="70">
        <v>13.652777567899886</v>
      </c>
      <c r="O896" s="70">
        <v>21.029496580823658</v>
      </c>
      <c r="P896" s="70">
        <v>19.934826036378873</v>
      </c>
      <c r="Q896" s="70">
        <v>24.796112496524778</v>
      </c>
      <c r="R896" s="70">
        <v>29.600129750936944</v>
      </c>
      <c r="S896" s="70">
        <v>41.179310570822466</v>
      </c>
      <c r="T896" s="70">
        <v>65.497904290563028</v>
      </c>
      <c r="U896" s="70">
        <v>60.698212389754097</v>
      </c>
      <c r="V896" s="70">
        <v>72.111039664967265</v>
      </c>
      <c r="X896" s="193">
        <f>((0-('Appendix K'!$I$30))/(1+$Y$16)^0)</f>
        <v>-33594902.4440751</v>
      </c>
      <c r="Y896" s="193">
        <f>(((B896*'Appendix K'!$C$5*1000)-('Appendix K'!$E$31+'Appendix K'!$F$31+'Appendix K'!$H$31+'Appendix K'!$G$31))/((1+$Y$16)^1))</f>
        <v>34971064.972647354</v>
      </c>
      <c r="Z896" s="193">
        <f>+(((C896*'Appendix K'!$C$6*1000)-('Appendix K'!$E$32+'Appendix K'!$F$32+'Appendix K'!$H$32+'Appendix K'!$G$32))/((1+$Y$16)^2))</f>
        <v>15156409.32841599</v>
      </c>
      <c r="AA896" s="193">
        <f>(((D896*'Appendix K'!$C$7*1000)-('Appendix K'!$E$33+'Appendix K'!$F$33+'Appendix K'!$H$33+'Appendix K'!$G$33))/((1+$Y$16)^3))</f>
        <v>3833450.4708176665</v>
      </c>
      <c r="AB896" s="193">
        <f>(((E896*'Appendix K'!$C$8*1000)-('Appendix K'!$E$34+'Appendix K'!$F$34+'Appendix K'!$H$34+'Appendix K'!$G$34))/((1+$Y$16)^4))</f>
        <v>10767295.857658625</v>
      </c>
      <c r="AC896" s="193">
        <f>(((F896*'Appendix K'!$C$9*1000)-('Appendix K'!$E$35+'Appendix K'!$F$35+'Appendix K'!$H$35+'Appendix K'!$G$35))/((1+$Y$16)^AC$34))</f>
        <v>3966953.436056185</v>
      </c>
      <c r="AD896" s="193">
        <f>(((G896*'Appendix K'!$C$10*1000)-('Appendix K'!$E$36+'Appendix K'!$F$36+'Appendix K'!$H$36+'Appendix K'!$G$36))/((1+$Y$16)^AD$34))</f>
        <v>1431944.5486040853</v>
      </c>
      <c r="AE896" s="193">
        <f>(((H896*'Appendix K'!$C$11*1000)-('Appendix K'!$E$37+'Appendix K'!$F$37+'Appendix K'!$H$37+'Appendix K'!$G$37))/((1+$Y$16)^AE$34))</f>
        <v>1013081.1039023591</v>
      </c>
      <c r="AF896" s="193">
        <f>(((I896*'Appendix K'!$C$12*1000)-('Appendix K'!$E$38+'Appendix K'!$F$38+'Appendix K'!$H$38+'Appendix K'!$G$38))/((1+$Y$16)^AF$34))</f>
        <v>-350963.0803698682</v>
      </c>
      <c r="AG896" s="193">
        <f>(((J896*'Appendix K'!$C$13*1000)-('Appendix K'!$E$39+'Appendix K'!$F$39+'Appendix K'!$H$39+'Appendix K'!$G$39))/((1+$Y$16)^AG$34))</f>
        <v>-1023997.8949791233</v>
      </c>
      <c r="AH896" s="193">
        <f>(((K896*'Appendix K'!$C$14*1000)-('Appendix K'!$E$40+'Appendix K'!$F$40+'Appendix K'!$H$40+'Appendix K'!$G$40))/((1+$Y$16)^AH$34))</f>
        <v>-919291.49150215625</v>
      </c>
      <c r="AI896" s="193">
        <f>(((L896*'Appendix K'!$C$15*1000)-('Appendix K'!$E$41+'Appendix K'!$F$41+'Appendix K'!$H$41+'Appendix K'!$G$41))/((1+$Y$16)^AI$34))</f>
        <v>-997377.81462718768</v>
      </c>
      <c r="AJ896" s="193">
        <f>(((M896*'Appendix K'!$C$16*1000)-('Appendix K'!$E$42+'Appendix K'!$F$42+'Appendix K'!$H$42+'Appendix K'!$G$42))/((1+$Y$16)^AJ$34))</f>
        <v>-1136533.917005376</v>
      </c>
      <c r="AK896" s="193">
        <f>(((N896*'Appendix K'!$C$17*1000)-('Appendix K'!$E$43+'Appendix K'!$F$43+'Appendix K'!$H$43))/((1+$Y$16)^AK$34))</f>
        <v>-794498.74174962379</v>
      </c>
      <c r="AL896" s="193">
        <f>(((O896*'Appendix K'!$C$18*1000)-('Appendix K'!$E$44+'Appendix K'!$F$44+'Appendix K'!$H$44+'Appendix K'!$G$44))/((1+$Y$16)^AL$34))</f>
        <v>-885320.31472361495</v>
      </c>
      <c r="AM896" s="193">
        <f>(((P896*'Appendix K'!$C$19*1000)-('Appendix K'!$E$45+'Appendix K'!$F$45+'Appendix K'!$H$45+'Appendix K'!$G$45))/((1+$Y$16)^AM$34))</f>
        <v>-841995.38625643193</v>
      </c>
      <c r="AN896" s="193">
        <f>(((Q896*'Appendix K'!$C$20*1000)-('Appendix K'!$E$46+'Appendix K'!$F$46+'Appendix K'!$H$46+'Appendix K'!$G$46))/((1+$Y$16)^AN$34))</f>
        <v>-736278.79078920698</v>
      </c>
      <c r="AO896" s="193">
        <f>(((R896*'Appendix K'!$C$21*1000)-('Appendix K'!$E$47+'Appendix K'!$F$47+'Appendix K'!$H$47+'Appendix K'!$G$47))/((1+$Y$16)^AO$34))</f>
        <v>-668058.88832944015</v>
      </c>
      <c r="AP896" s="193">
        <f>(((S896*'Appendix K'!$C$22*1000)-('Appendix K'!$E$48+'Appendix K'!$F$48+'Appendix K'!$H$48+'Appendix K'!$G$48))/((1+$Y$16)^AP$34))</f>
        <v>-567215.89249875466</v>
      </c>
      <c r="AQ896" s="193">
        <f>(((T896*'Appendix K'!$C$23*1000)-('Appendix K'!$E$49+'Appendix K'!$F$49+'Appendix K'!$H$49+'Appendix K'!$G$49))/((1+$Y$16)^AQ$34))</f>
        <v>-437143.60201205401</v>
      </c>
      <c r="AR896" s="193">
        <f>(((U896*'Appendix K'!$C$24*1000)-('Appendix K'!$E$50+'Appendix K'!$F$50+'Appendix K'!$H$50+'Appendix K'!$G$50))/((1+$Y$16)^AR$34))</f>
        <v>-433838.92471867014</v>
      </c>
      <c r="AS896" s="209">
        <f t="shared" si="42"/>
        <v>37545297.274027161</v>
      </c>
      <c r="AU896" s="199">
        <f t="shared" si="41"/>
        <v>4.7631586647558288E-9</v>
      </c>
    </row>
    <row r="897" spans="1:47" x14ac:dyDescent="0.35">
      <c r="A897">
        <v>863</v>
      </c>
      <c r="B897" s="70">
        <v>56</v>
      </c>
      <c r="C897" s="70">
        <v>83.786193964798997</v>
      </c>
      <c r="D897" s="70">
        <v>120.72549460813713</v>
      </c>
      <c r="E897" s="70">
        <v>128.86528107270021</v>
      </c>
      <c r="F897" s="70">
        <v>98.449978520966582</v>
      </c>
      <c r="G897" s="70">
        <v>154.99304950893614</v>
      </c>
      <c r="H897" s="70">
        <v>198.1410124372602</v>
      </c>
      <c r="I897" s="70">
        <v>204.73924635548761</v>
      </c>
      <c r="J897" s="70">
        <v>126.29224154879255</v>
      </c>
      <c r="K897" s="70">
        <v>163.01393488701603</v>
      </c>
      <c r="L897" s="70">
        <v>147.84501057607844</v>
      </c>
      <c r="M897" s="70">
        <v>144.92530211249579</v>
      </c>
      <c r="N897" s="70">
        <v>197.88316742890024</v>
      </c>
      <c r="O897" s="70">
        <v>166.62448302103093</v>
      </c>
      <c r="P897" s="70">
        <v>236.43505554417212</v>
      </c>
      <c r="Q897" s="70">
        <v>157.63851946827856</v>
      </c>
      <c r="R897" s="70">
        <v>211.29590921022043</v>
      </c>
      <c r="S897" s="70">
        <v>196.17670545697118</v>
      </c>
      <c r="T897" s="70">
        <v>232.47609032782367</v>
      </c>
      <c r="U897" s="70">
        <v>242.49831876901365</v>
      </c>
      <c r="V897" s="70">
        <v>242.56515784929158</v>
      </c>
      <c r="X897" s="193">
        <f>((0-('Appendix K'!$I$30))/(1+$Y$16)^0)</f>
        <v>-33594902.4440751</v>
      </c>
      <c r="Y897" s="193">
        <f>(((B897*'Appendix K'!$C$5*1000)-('Appendix K'!$E$31+'Appendix K'!$F$31+'Appendix K'!$H$31+'Appendix K'!$G$31))/((1+$Y$16)^1))</f>
        <v>34971064.972647354</v>
      </c>
      <c r="Z897" s="193">
        <f>+(((C897*'Appendix K'!$C$6*1000)-('Appendix K'!$E$32+'Appendix K'!$F$32+'Appendix K'!$H$32+'Appendix K'!$G$32))/((1+$Y$16)^2))</f>
        <v>17678577.931293927</v>
      </c>
      <c r="AA897" s="193">
        <f>(((D897*'Appendix K'!$C$7*1000)-('Appendix K'!$E$33+'Appendix K'!$F$33+'Appendix K'!$H$33+'Appendix K'!$G$33))/((1+$Y$16)^3))</f>
        <v>12412496.403202638</v>
      </c>
      <c r="AB897" s="193">
        <f>(((E897*'Appendix K'!$C$8*1000)-('Appendix K'!$E$34+'Appendix K'!$F$34+'Appendix K'!$H$34+'Appendix K'!$G$34))/((1+$Y$16)^4))</f>
        <v>24952882.074174684</v>
      </c>
      <c r="AC897" s="193">
        <f>(((F897*'Appendix K'!$C$9*1000)-('Appendix K'!$E$35+'Appendix K'!$F$35+'Appendix K'!$H$35+'Appendix K'!$G$35))/((1+$Y$16)^AC$34))</f>
        <v>23183621.177505545</v>
      </c>
      <c r="AD897" s="193">
        <f>(((G897*'Appendix K'!$C$10*1000)-('Appendix K'!$E$36+'Appendix K'!$F$36+'Appendix K'!$H$36+'Appendix K'!$G$36))/((1+$Y$16)^AD$34))</f>
        <v>21824957.974656716</v>
      </c>
      <c r="AE897" s="193">
        <f>(((H897*'Appendix K'!$C$11*1000)-('Appendix K'!$E$37+'Appendix K'!$F$37+'Appendix K'!$H$37+'Appendix K'!$G$37))/((1+$Y$16)^AE$34))</f>
        <v>17542173.790362094</v>
      </c>
      <c r="AF897" s="193">
        <f>(((I897*'Appendix K'!$C$12*1000)-('Appendix K'!$E$38+'Appendix K'!$F$38+'Appendix K'!$H$38+'Appendix K'!$G$38))/((1+$Y$16)^AF$34))</f>
        <v>11447096.815199947</v>
      </c>
      <c r="AG897" s="193">
        <f>(((J897*'Appendix K'!$C$13*1000)-('Appendix K'!$E$39+'Appendix K'!$F$39+'Appendix K'!$H$39+'Appendix K'!$G$39))/((1+$Y$16)^AG$34))</f>
        <v>3996890.2759095994</v>
      </c>
      <c r="AH897" s="193">
        <f>(((K897*'Appendix K'!$C$14*1000)-('Appendix K'!$E$40+'Appendix K'!$F$40+'Appendix K'!$H$40+'Appendix K'!$G$40))/((1+$Y$16)^AH$34))</f>
        <v>3861892.4018356204</v>
      </c>
      <c r="AI897" s="193">
        <f>(((L897*'Appendix K'!$C$15*1000)-('Appendix K'!$E$41+'Appendix K'!$F$41+'Appendix K'!$H$41+'Appendix K'!$G$41))/((1+$Y$16)^AI$34))</f>
        <v>2357334.4002876855</v>
      </c>
      <c r="AJ897" s="193">
        <f>(((M897*'Appendix K'!$C$16*1000)-('Appendix K'!$E$42+'Appendix K'!$F$42+'Appendix K'!$H$42+'Appendix K'!$G$42))/((1+$Y$16)^AJ$34))</f>
        <v>1523022.667969652</v>
      </c>
      <c r="AK897" s="193">
        <f>(((N897*'Appendix K'!$C$17*1000)-('Appendix K'!$E$43+'Appendix K'!$F$43+'Appendix K'!$H$43))/((1+$Y$16)^AK$34))</f>
        <v>2035998.0775740179</v>
      </c>
      <c r="AL897" s="193">
        <f>(((O897*'Appendix K'!$C$18*1000)-('Appendix K'!$E$44+'Appendix K'!$F$44+'Appendix K'!$H$44+'Appendix K'!$G$44))/((1+$Y$16)^AL$34))</f>
        <v>840459.90118646261</v>
      </c>
      <c r="AM897" s="193">
        <f>(((P897*'Appendix K'!$C$19*1000)-('Appendix K'!$E$45+'Appendix K'!$F$45+'Appendix K'!$H$45+'Appendix K'!$G$45))/((1+$Y$16)^AM$34))</f>
        <v>1164687.1740167649</v>
      </c>
      <c r="AN897" s="193">
        <f>(((Q897*'Appendix K'!$C$20*1000)-('Appendix K'!$E$46+'Appendix K'!$F$46+'Appendix K'!$H$46+'Appendix K'!$G$46))/((1+$Y$16)^AN$34))</f>
        <v>224997.67836561782</v>
      </c>
      <c r="AO897" s="193">
        <f>(((R897*'Appendix K'!$C$21*1000)-('Appendix K'!$E$47+'Appendix K'!$F$47+'Appendix K'!$H$47+'Appendix K'!$G$47))/((1+$Y$16)^AO$34))</f>
        <v>405783.24203195068</v>
      </c>
      <c r="AP897" s="193">
        <f>(((S897*'Appendix K'!$C$22*1000)-('Appendix K'!$E$48+'Appendix K'!$F$48+'Appendix K'!$H$48+'Appendix K'!$G$48))/((1+$Y$16)^AP$34))</f>
        <v>175178.12769817887</v>
      </c>
      <c r="AQ897" s="193">
        <f>(((T897*'Appendix K'!$C$23*1000)-('Appendix K'!$E$49+'Appendix K'!$F$49+'Appendix K'!$H$49+'Appendix K'!$G$49))/((1+$Y$16)^AQ$34))</f>
        <v>216366.27062584946</v>
      </c>
      <c r="AR897" s="193">
        <f>(((U897*'Appendix K'!$C$24*1000)-('Appendix K'!$E$50+'Appendix K'!$F$50+'Appendix K'!$H$50+'Appendix K'!$G$50))/((1+$Y$16)^AR$34))</f>
        <v>151562.51165401435</v>
      </c>
      <c r="AS897" s="209">
        <f t="shared" si="42"/>
        <v>147372141.42412326</v>
      </c>
      <c r="AU897" s="199">
        <f t="shared" si="41"/>
        <v>4.0382355008195657E-9</v>
      </c>
    </row>
    <row r="898" spans="1:47" x14ac:dyDescent="0.35">
      <c r="A898">
        <v>864</v>
      </c>
      <c r="B898" s="70">
        <v>56</v>
      </c>
      <c r="C898" s="70">
        <v>48.307231395136</v>
      </c>
      <c r="D898" s="70">
        <v>40.978283580922827</v>
      </c>
      <c r="E898" s="70">
        <v>33.50191538462623</v>
      </c>
      <c r="F898" s="70">
        <v>44.502136609842893</v>
      </c>
      <c r="G898" s="70">
        <v>40.194211416709983</v>
      </c>
      <c r="H898" s="70">
        <v>18.13512816807167</v>
      </c>
      <c r="I898" s="70">
        <v>18.316060002827804</v>
      </c>
      <c r="J898" s="70">
        <v>26.316074528623528</v>
      </c>
      <c r="K898" s="70">
        <v>16.059233873407138</v>
      </c>
      <c r="L898" s="70">
        <v>13.478586315499888</v>
      </c>
      <c r="M898" s="70">
        <v>12.032988608704494</v>
      </c>
      <c r="N898" s="70">
        <v>8.0879323828685159</v>
      </c>
      <c r="O898" s="70">
        <v>8.6271258684912784</v>
      </c>
      <c r="P898" s="70">
        <v>9.8140543139007157</v>
      </c>
      <c r="Q898" s="70">
        <v>15.266635075157019</v>
      </c>
      <c r="R898" s="70">
        <v>10.403714515885518</v>
      </c>
      <c r="S898" s="70">
        <v>9.1269850341397163</v>
      </c>
      <c r="T898" s="70">
        <v>9.5225824412347517</v>
      </c>
      <c r="U898" s="70">
        <v>10.906189628541318</v>
      </c>
      <c r="V898" s="70">
        <v>12.362877231621972</v>
      </c>
      <c r="X898" s="193">
        <f>((0-('Appendix K'!$I$30))/(1+$Y$16)^0)</f>
        <v>-33594902.4440751</v>
      </c>
      <c r="Y898" s="193">
        <f>(((B898*'Appendix K'!$C$5*1000)-('Appendix K'!$E$31+'Appendix K'!$F$31+'Appendix K'!$H$31+'Appendix K'!$G$31))/((1+$Y$16)^1))</f>
        <v>34971064.972647354</v>
      </c>
      <c r="Z898" s="193">
        <f>+(((C898*'Appendix K'!$C$6*1000)-('Appendix K'!$E$32+'Appendix K'!$F$32+'Appendix K'!$H$32+'Appendix K'!$G$32))/((1+$Y$16)^2))</f>
        <v>8715985.1850977875</v>
      </c>
      <c r="AA898" s="193">
        <f>(((D898*'Appendix K'!$C$7*1000)-('Appendix K'!$E$33+'Appendix K'!$F$33+'Appendix K'!$H$33+'Appendix K'!$G$33))/((1+$Y$16)^3))</f>
        <v>2254705.5776677225</v>
      </c>
      <c r="AB898" s="193">
        <f>(((E898*'Appendix K'!$C$8*1000)-('Appendix K'!$E$34+'Appendix K'!$F$34+'Appendix K'!$H$34+'Appendix K'!$G$34))/((1+$Y$16)^4))</f>
        <v>4050105.2829383062</v>
      </c>
      <c r="AC898" s="193">
        <f>(((F898*'Appendix K'!$C$9*1000)-('Appendix K'!$E$35+'Appendix K'!$F$35+'Appendix K'!$H$35+'Appendix K'!$G$35))/((1+$Y$16)^AC$34))</f>
        <v>8844369.5108424723</v>
      </c>
      <c r="AD898" s="193">
        <f>(((G898*'Appendix K'!$C$10*1000)-('Appendix K'!$E$36+'Appendix K'!$F$36+'Appendix K'!$H$36+'Appendix K'!$G$36))/((1+$Y$16)^AD$34))</f>
        <v>3796494.8111714916</v>
      </c>
      <c r="AE898" s="193">
        <f>(((H898*'Appendix K'!$C$11*1000)-('Appendix K'!$E$37+'Appendix K'!$F$37+'Appendix K'!$H$37+'Appendix K'!$G$37))/((1+$Y$16)^AE$34))</f>
        <v>-411186.28326117131</v>
      </c>
      <c r="AF898" s="193">
        <f>(((I898*'Appendix K'!$C$12*1000)-('Appendix K'!$E$38+'Appendix K'!$F$38+'Appendix K'!$H$38+'Appendix K'!$G$38))/((1+$Y$16)^AF$34))</f>
        <v>-793902.05706665502</v>
      </c>
      <c r="AG898" s="193">
        <f>(((J898*'Appendix K'!$C$13*1000)-('Appendix K'!$E$39+'Appendix K'!$F$39+'Appendix K'!$H$39+'Appendix K'!$G$39))/((1+$Y$16)^AG$34))</f>
        <v>-603906.21197805519</v>
      </c>
      <c r="AH898" s="193">
        <f>(((K898*'Appendix K'!$C$14*1000)-('Appendix K'!$E$40+'Appendix K'!$F$40+'Appendix K'!$H$40+'Appendix K'!$G$40))/((1+$Y$16)^AH$34))</f>
        <v>-1091440.1598223697</v>
      </c>
      <c r="AI898" s="193">
        <f>(((L898*'Appendix K'!$C$15*1000)-('Appendix K'!$E$41+'Appendix K'!$F$41+'Appendix K'!$H$41+'Appendix K'!$G$41))/((1+$Y$16)^AI$34))</f>
        <v>-1163317.1817849285</v>
      </c>
      <c r="AJ898" s="193">
        <f>(((M898*'Appendix K'!$C$16*1000)-('Appendix K'!$E$42+'Appendix K'!$F$42+'Appendix K'!$H$42+'Appendix K'!$G$42))/((1+$Y$16)^AJ$34))</f>
        <v>-1140387.4016650754</v>
      </c>
      <c r="AK898" s="193">
        <f>(((N898*'Appendix K'!$C$17*1000)-('Appendix K'!$E$43+'Appendix K'!$F$43+'Appendix K'!$H$43))/((1+$Y$16)^AK$34))</f>
        <v>-879996.4525678223</v>
      </c>
      <c r="AL898" s="193">
        <f>(((O898*'Appendix K'!$C$18*1000)-('Appendix K'!$E$44+'Appendix K'!$F$44+'Appendix K'!$H$44+'Appendix K'!$G$44))/((1+$Y$16)^AL$34))</f>
        <v>-1032329.2642008407</v>
      </c>
      <c r="AM898" s="193">
        <f>(((P898*'Appendix K'!$C$19*1000)-('Appendix K'!$E$45+'Appendix K'!$F$45+'Appendix K'!$H$45+'Appendix K'!$G$45))/((1+$Y$16)^AM$34))</f>
        <v>-935802.10488289862</v>
      </c>
      <c r="AN898" s="193">
        <f>(((Q898*'Appendix K'!$C$20*1000)-('Appendix K'!$E$46+'Appendix K'!$F$46+'Appendix K'!$H$46+'Appendix K'!$G$46))/((1+$Y$16)^AN$34))</f>
        <v>-805236.15626701573</v>
      </c>
      <c r="AO898" s="193">
        <f>(((R898*'Appendix K'!$C$21*1000)-('Appendix K'!$E$47+'Appendix K'!$F$47+'Appendix K'!$H$47+'Appendix K'!$G$47))/((1+$Y$16)^AO$34))</f>
        <v>-781511.82318932167</v>
      </c>
      <c r="AP898" s="193">
        <f>(((S898*'Appendix K'!$C$22*1000)-('Appendix K'!$E$48+'Appendix K'!$F$48+'Appendix K'!$H$48+'Appendix K'!$G$48))/((1+$Y$16)^AP$34))</f>
        <v>-720737.53606777964</v>
      </c>
      <c r="AQ898" s="193">
        <f>(((T898*'Appendix K'!$C$23*1000)-('Appendix K'!$E$49+'Appendix K'!$F$49+'Appendix K'!$H$49+'Appendix K'!$G$49))/((1+$Y$16)^AQ$34))</f>
        <v>-656216.68168042076</v>
      </c>
      <c r="AR898" s="193">
        <f>(((U898*'Appendix K'!$C$24*1000)-('Appendix K'!$E$50+'Appendix K'!$F$50+'Appendix K'!$H$50+'Appendix K'!$G$50))/((1+$Y$16)^AR$34))</f>
        <v>-594170.63312541891</v>
      </c>
      <c r="AS898" s="209">
        <f t="shared" si="42"/>
        <v>29037822.896290034</v>
      </c>
      <c r="AU898" s="199">
        <f t="shared" si="41"/>
        <v>4.126420080885057E-9</v>
      </c>
    </row>
    <row r="899" spans="1:47" x14ac:dyDescent="0.35">
      <c r="A899">
        <v>865</v>
      </c>
      <c r="B899" s="70">
        <v>56</v>
      </c>
      <c r="C899" s="70">
        <v>50.586981043292333</v>
      </c>
      <c r="D899" s="70">
        <v>55.463705714242742</v>
      </c>
      <c r="E899" s="70">
        <v>60.264964835224646</v>
      </c>
      <c r="F899" s="70">
        <v>69.598000301872659</v>
      </c>
      <c r="G899" s="70">
        <v>79.340669413357219</v>
      </c>
      <c r="H899" s="70">
        <v>64.053374579120003</v>
      </c>
      <c r="I899" s="70">
        <v>86.993055265828701</v>
      </c>
      <c r="J899" s="70">
        <v>78.587302548731117</v>
      </c>
      <c r="K899" s="70">
        <v>78.037048663913041</v>
      </c>
      <c r="L899" s="70">
        <v>71.560199307610048</v>
      </c>
      <c r="M899" s="70">
        <v>118.80647826859699</v>
      </c>
      <c r="N899" s="70">
        <v>95.884109474337748</v>
      </c>
      <c r="O899" s="70">
        <v>102.28546004355971</v>
      </c>
      <c r="P899" s="70">
        <v>69.486855826669682</v>
      </c>
      <c r="Q899" s="70">
        <v>95.700438431541585</v>
      </c>
      <c r="R899" s="70">
        <v>92.366788595741497</v>
      </c>
      <c r="S899" s="70">
        <v>169.87528099628764</v>
      </c>
      <c r="T899" s="70">
        <v>164.63601700539317</v>
      </c>
      <c r="U899" s="70">
        <v>158.69237755545254</v>
      </c>
      <c r="V899" s="70">
        <v>150.91372271585809</v>
      </c>
      <c r="X899" s="193">
        <f>((0-('Appendix K'!$I$30))/(1+$Y$16)^0)</f>
        <v>-33594902.4440751</v>
      </c>
      <c r="Y899" s="193">
        <f>(((B899*'Appendix K'!$C$5*1000)-('Appendix K'!$E$31+'Appendix K'!$F$31+'Appendix K'!$H$31+'Appendix K'!$G$31))/((1+$Y$16)^1))</f>
        <v>34971064.972647354</v>
      </c>
      <c r="Z899" s="193">
        <f>+(((C899*'Appendix K'!$C$6*1000)-('Appendix K'!$E$32+'Appendix K'!$F$32+'Appendix K'!$H$32+'Appendix K'!$G$32))/((1+$Y$16)^2))</f>
        <v>9291888.9370631948</v>
      </c>
      <c r="AA899" s="193">
        <f>(((D899*'Appendix K'!$C$7*1000)-('Appendix K'!$E$33+'Appendix K'!$F$33+'Appendix K'!$H$33+'Appendix K'!$G$33))/((1+$Y$16)^3))</f>
        <v>4099784.3729578154</v>
      </c>
      <c r="AB899" s="193">
        <f>(((E899*'Appendix K'!$C$8*1000)-('Appendix K'!$E$34+'Appendix K'!$F$34+'Appendix K'!$H$34+'Appendix K'!$G$34))/((1+$Y$16)^4))</f>
        <v>9916320.7303723376</v>
      </c>
      <c r="AC899" s="193">
        <f>(((F899*'Appendix K'!$C$9*1000)-('Appendix K'!$E$35+'Appendix K'!$F$35+'Appendix K'!$H$35+'Appendix K'!$G$35))/((1+$Y$16)^AC$34))</f>
        <v>15514810.672606299</v>
      </c>
      <c r="AD899" s="193">
        <f>(((G899*'Appendix K'!$C$10*1000)-('Appendix K'!$E$36+'Appendix K'!$F$36+'Appendix K'!$H$36+'Appendix K'!$G$36))/((1+$Y$16)^AD$34))</f>
        <v>9944209.2628325447</v>
      </c>
      <c r="AE899" s="193">
        <f>(((H899*'Appendix K'!$C$11*1000)-('Appendix K'!$E$37+'Appendix K'!$F$37+'Appendix K'!$H$37+'Appendix K'!$G$37))/((1+$Y$16)^AE$34))</f>
        <v>4168590.7341061402</v>
      </c>
      <c r="AF899" s="193">
        <f>(((I899*'Appendix K'!$C$12*1000)-('Appendix K'!$E$38+'Appendix K'!$F$38+'Appendix K'!$H$38+'Appendix K'!$G$38))/((1+$Y$16)^AF$34))</f>
        <v>3715596.1336505348</v>
      </c>
      <c r="AG899" s="193">
        <f>(((J899*'Appendix K'!$C$13*1000)-('Appendix K'!$E$39+'Appendix K'!$F$39+'Appendix K'!$H$39+'Appendix K'!$G$39))/((1+$Y$16)^AG$34))</f>
        <v>1801559.905201351</v>
      </c>
      <c r="AH899" s="193">
        <f>(((K899*'Appendix K'!$C$14*1000)-('Appendix K'!$E$40+'Appendix K'!$F$40+'Appendix K'!$H$40+'Appendix K'!$G$40))/((1+$Y$16)^AH$34))</f>
        <v>997616.71270184661</v>
      </c>
      <c r="AI899" s="193">
        <f>(((L899*'Appendix K'!$C$15*1000)-('Appendix K'!$E$41+'Appendix K'!$F$41+'Appendix K'!$H$41+'Appendix K'!$G$41))/((1+$Y$16)^AI$34))</f>
        <v>358529.69175723911</v>
      </c>
      <c r="AJ899" s="193">
        <f>(((M899*'Appendix K'!$C$16*1000)-('Appendix K'!$E$42+'Appendix K'!$F$42+'Appendix K'!$H$42+'Appendix K'!$G$42))/((1+$Y$16)^AJ$34))</f>
        <v>999552.67486978008</v>
      </c>
      <c r="AK899" s="193">
        <f>(((N899*'Appendix K'!$C$17*1000)-('Appendix K'!$E$43+'Appendix K'!$F$43+'Appendix K'!$H$43))/((1+$Y$16)^AK$34))</f>
        <v>468895.00987588346</v>
      </c>
      <c r="AL899" s="193">
        <f>(((O899*'Appendix K'!$C$18*1000)-('Appendix K'!$E$44+'Appendix K'!$F$44+'Appendix K'!$H$44+'Appendix K'!$G$44))/((1+$Y$16)^AL$34))</f>
        <v>77830.529940197914</v>
      </c>
      <c r="AM899" s="193">
        <f>(((P899*'Appendix K'!$C$19*1000)-('Appendix K'!$E$45+'Appendix K'!$F$45+'Appendix K'!$H$45+'Appendix K'!$G$45))/((1+$Y$16)^AM$34))</f>
        <v>-382710.9123675247</v>
      </c>
      <c r="AN899" s="193">
        <f>(((Q899*'Appendix K'!$C$20*1000)-('Appendix K'!$E$46+'Appendix K'!$F$46+'Appendix K'!$H$46+'Appendix K'!$G$46))/((1+$Y$16)^AN$34))</f>
        <v>-223199.70982142261</v>
      </c>
      <c r="AO899" s="193">
        <f>(((R899*'Appendix K'!$C$21*1000)-('Appendix K'!$E$47+'Appendix K'!$F$47+'Appendix K'!$H$47+'Appendix K'!$G$47))/((1+$Y$16)^AO$34))</f>
        <v>-297101.00009365071</v>
      </c>
      <c r="AP899" s="193">
        <f>(((S899*'Appendix K'!$C$22*1000)-('Appendix K'!$E$48+'Appendix K'!$F$48+'Appendix K'!$H$48+'Appendix K'!$G$48))/((1+$Y$16)^AP$34))</f>
        <v>49201.686244982819</v>
      </c>
      <c r="AQ899" s="193">
        <f>(((T899*'Appendix K'!$C$23*1000)-('Appendix K'!$E$49+'Appendix K'!$F$49+'Appendix K'!$H$49+'Appendix K'!$G$49))/((1+$Y$16)^AQ$34))</f>
        <v>-49142.40885396333</v>
      </c>
      <c r="AR899" s="193">
        <f>(((U899*'Appendix K'!$C$24*1000)-('Appendix K'!$E$50+'Appendix K'!$F$50+'Appendix K'!$H$50+'Appendix K'!$G$50))/((1+$Y$16)^AR$34))</f>
        <v>-118294.96720046671</v>
      </c>
      <c r="AS899" s="209">
        <f t="shared" si="42"/>
        <v>62780549.582752399</v>
      </c>
      <c r="AU899" s="199">
        <f t="shared" si="41"/>
        <v>6.3877156011015525E-9</v>
      </c>
    </row>
    <row r="900" spans="1:47" x14ac:dyDescent="0.35">
      <c r="A900">
        <v>866</v>
      </c>
      <c r="B900" s="70">
        <v>56</v>
      </c>
      <c r="C900" s="70">
        <v>41.162037215724482</v>
      </c>
      <c r="D900" s="70">
        <v>38.378346734594452</v>
      </c>
      <c r="E900" s="70">
        <v>54.975889526731422</v>
      </c>
      <c r="F900" s="70">
        <v>63.986092963748106</v>
      </c>
      <c r="G900" s="70">
        <v>114.24196543265271</v>
      </c>
      <c r="H900" s="70">
        <v>154.0864241358658</v>
      </c>
      <c r="I900" s="70">
        <v>196.50500941059144</v>
      </c>
      <c r="J900" s="70">
        <v>186.96837425411081</v>
      </c>
      <c r="K900" s="70">
        <v>224.10141196402884</v>
      </c>
      <c r="L900" s="70">
        <v>195.84032215960792</v>
      </c>
      <c r="M900" s="70">
        <v>234.76492607184966</v>
      </c>
      <c r="N900" s="70">
        <v>336.08923063113224</v>
      </c>
      <c r="O900" s="70">
        <v>370.49830004658941</v>
      </c>
      <c r="P900" s="70">
        <v>239.0293211523329</v>
      </c>
      <c r="Q900" s="70">
        <v>231.52163721045505</v>
      </c>
      <c r="R900" s="70">
        <v>296.39674645617663</v>
      </c>
      <c r="S900" s="70">
        <v>413.36541049801627</v>
      </c>
      <c r="T900" s="70">
        <v>366.5304564091449</v>
      </c>
      <c r="U900" s="70">
        <v>120.34224932691188</v>
      </c>
      <c r="V900" s="70">
        <v>89.065968716584933</v>
      </c>
      <c r="X900" s="193">
        <f>((0-('Appendix K'!$I$30))/(1+$Y$16)^0)</f>
        <v>-33594902.4440751</v>
      </c>
      <c r="Y900" s="193">
        <f>(((B900*'Appendix K'!$C$5*1000)-('Appendix K'!$E$31+'Appendix K'!$F$31+'Appendix K'!$H$31+'Appendix K'!$G$31))/((1+$Y$16)^1))</f>
        <v>34971064.972647354</v>
      </c>
      <c r="Z900" s="193">
        <f>+(((C900*'Appendix K'!$C$6*1000)-('Appendix K'!$E$32+'Appendix K'!$F$32+'Appendix K'!$H$32+'Appendix K'!$G$32))/((1+$Y$16)^2))</f>
        <v>6910986.9302357696</v>
      </c>
      <c r="AA900" s="193">
        <f>(((D900*'Appendix K'!$C$7*1000)-('Appendix K'!$E$33+'Appendix K'!$F$33+'Appendix K'!$H$33+'Appendix K'!$G$33))/((1+$Y$16)^3))</f>
        <v>1923538.9537265778</v>
      </c>
      <c r="AB900" s="193">
        <f>(((E900*'Appendix K'!$C$8*1000)-('Appendix K'!$E$34+'Appendix K'!$F$34+'Appendix K'!$H$34+'Appendix K'!$G$34))/((1+$Y$16)^4))</f>
        <v>8757003.8395749368</v>
      </c>
      <c r="AC900" s="193">
        <f>(((F900*'Appendix K'!$C$9*1000)-('Appendix K'!$E$35+'Appendix K'!$F$35+'Appendix K'!$H$35+'Appendix K'!$G$35))/((1+$Y$16)^AC$34))</f>
        <v>14023174.514408676</v>
      </c>
      <c r="AD900" s="193">
        <f>(((G900*'Appendix K'!$C$10*1000)-('Appendix K'!$E$36+'Appendix K'!$F$36+'Appendix K'!$H$36+'Appendix K'!$G$36))/((1+$Y$16)^AD$34))</f>
        <v>15425246.702743454</v>
      </c>
      <c r="AE900" s="193">
        <f>(((H900*'Appendix K'!$C$11*1000)-('Appendix K'!$E$37+'Appendix K'!$F$37+'Appendix K'!$H$37+'Appendix K'!$G$37))/((1+$Y$16)^AE$34))</f>
        <v>13148273.613813544</v>
      </c>
      <c r="AF900" s="193">
        <f>(((I900*'Appendix K'!$C$12*1000)-('Appendix K'!$E$38+'Appendix K'!$F$38+'Appendix K'!$H$38+'Appendix K'!$G$38))/((1+$Y$16)^AF$34))</f>
        <v>10906416.832583547</v>
      </c>
      <c r="AG900" s="193">
        <f>(((J900*'Appendix K'!$C$13*1000)-('Appendix K'!$E$39+'Appendix K'!$F$39+'Appendix K'!$H$39+'Appendix K'!$G$39))/((1+$Y$16)^AG$34))</f>
        <v>6789141.1349860076</v>
      </c>
      <c r="AH900" s="193">
        <f>(((K900*'Appendix K'!$C$14*1000)-('Appendix K'!$E$40+'Appendix K'!$F$40+'Appendix K'!$H$40+'Appendix K'!$G$40))/((1+$Y$16)^AH$34))</f>
        <v>5920939.0823979685</v>
      </c>
      <c r="AI900" s="193">
        <f>(((L900*'Appendix K'!$C$15*1000)-('Appendix K'!$E$41+'Appendix K'!$F$41+'Appendix K'!$H$41+'Appendix K'!$G$41))/((1+$Y$16)^AI$34))</f>
        <v>3614901.3154489188</v>
      </c>
      <c r="AJ900" s="193">
        <f>(((M900*'Appendix K'!$C$16*1000)-('Appendix K'!$E$42+'Appendix K'!$F$42+'Appendix K'!$H$42+'Appendix K'!$G$42))/((1+$Y$16)^AJ$34))</f>
        <v>3323576.4607118797</v>
      </c>
      <c r="AK900" s="193">
        <f>(((N900*'Appendix K'!$C$17*1000)-('Appendix K'!$E$43+'Appendix K'!$F$43+'Appendix K'!$H$43))/((1+$Y$16)^AK$34))</f>
        <v>4159381.8613260328</v>
      </c>
      <c r="AL900" s="193">
        <f>(((O900*'Appendix K'!$C$18*1000)-('Appendix K'!$E$44+'Appendix K'!$F$44+'Appendix K'!$H$44+'Appendix K'!$G$44))/((1+$Y$16)^AL$34))</f>
        <v>3257036.2446945114</v>
      </c>
      <c r="AM900" s="193">
        <f>(((P900*'Appendix K'!$C$19*1000)-('Appendix K'!$E$45+'Appendix K'!$F$45+'Appendix K'!$H$45+'Appendix K'!$G$45))/((1+$Y$16)^AM$34))</f>
        <v>1188732.7261367242</v>
      </c>
      <c r="AN900" s="193">
        <f>(((Q900*'Appendix K'!$C$20*1000)-('Appendix K'!$E$46+'Appendix K'!$F$46+'Appendix K'!$H$46+'Appendix K'!$G$46))/((1+$Y$16)^AN$34))</f>
        <v>759631.94292280125</v>
      </c>
      <c r="AO900" s="193">
        <f>(((R900*'Appendix K'!$C$21*1000)-('Appendix K'!$E$47+'Appendix K'!$F$47+'Appendix K'!$H$47+'Appendix K'!$G$47))/((1+$Y$16)^AO$34))</f>
        <v>908738.59209947498</v>
      </c>
      <c r="AP900" s="193">
        <f>(((S900*'Appendix K'!$C$22*1000)-('Appendix K'!$E$48+'Appendix K'!$F$48+'Appendix K'!$H$48+'Appendix K'!$G$48))/((1+$Y$16)^AP$34))</f>
        <v>1215451.0690287338</v>
      </c>
      <c r="AQ900" s="193">
        <f>(((T900*'Appendix K'!$C$23*1000)-('Appendix K'!$E$49+'Appendix K'!$F$49+'Appendix K'!$H$49+'Appendix K'!$G$49))/((1+$Y$16)^AQ$34))</f>
        <v>741020.74067027878</v>
      </c>
      <c r="AR900" s="193">
        <f>(((U900*'Appendix K'!$C$24*1000)-('Appendix K'!$E$50+'Appendix K'!$F$50+'Appendix K'!$H$50+'Appendix K'!$G$50))/((1+$Y$16)^AR$34))</f>
        <v>-241783.45462318658</v>
      </c>
      <c r="AS900" s="209">
        <f t="shared" si="42"/>
        <v>104349355.08608213</v>
      </c>
      <c r="AU900" s="199">
        <f t="shared" si="41"/>
        <v>6.7306787001380434E-9</v>
      </c>
    </row>
    <row r="901" spans="1:47" x14ac:dyDescent="0.35">
      <c r="A901">
        <v>867</v>
      </c>
      <c r="B901" s="70">
        <v>56</v>
      </c>
      <c r="C901" s="70">
        <v>63.05457179082957</v>
      </c>
      <c r="D901" s="70">
        <v>64.988953234003475</v>
      </c>
      <c r="E901" s="70">
        <v>71.319341010506022</v>
      </c>
      <c r="F901" s="70">
        <v>90.120276031265391</v>
      </c>
      <c r="G901" s="70">
        <v>73.020509191977695</v>
      </c>
      <c r="H901" s="70">
        <v>91.222286494805189</v>
      </c>
      <c r="I901" s="70">
        <v>53.289870833460142</v>
      </c>
      <c r="J901" s="70">
        <v>52.0422777204816</v>
      </c>
      <c r="K901" s="70">
        <v>49.71957090358918</v>
      </c>
      <c r="L901" s="70">
        <v>64.973422849806184</v>
      </c>
      <c r="M901" s="70">
        <v>72.52274612238044</v>
      </c>
      <c r="N901" s="70">
        <v>47.394318167971775</v>
      </c>
      <c r="O901" s="70">
        <v>46.458950115801045</v>
      </c>
      <c r="P901" s="70">
        <v>48.149664245448179</v>
      </c>
      <c r="Q901" s="70">
        <v>43.736928310739124</v>
      </c>
      <c r="R901" s="70">
        <v>33.286092458482159</v>
      </c>
      <c r="S901" s="70">
        <v>29.374409678052345</v>
      </c>
      <c r="T901" s="70">
        <v>26.273056477362775</v>
      </c>
      <c r="U901" s="70">
        <v>27.221658356892124</v>
      </c>
      <c r="V901" s="70">
        <v>35.827685097634856</v>
      </c>
      <c r="X901" s="193">
        <f>((0-('Appendix K'!$I$30))/(1+$Y$16)^0)</f>
        <v>-33594902.4440751</v>
      </c>
      <c r="Y901" s="193">
        <f>(((B901*'Appendix K'!$C$5*1000)-('Appendix K'!$E$31+'Appendix K'!$F$31+'Appendix K'!$H$31+'Appendix K'!$G$31))/((1+$Y$16)^1))</f>
        <v>34971064.972647354</v>
      </c>
      <c r="Z901" s="193">
        <f>+(((C901*'Appendix K'!$C$6*1000)-('Appendix K'!$E$32+'Appendix K'!$F$32+'Appendix K'!$H$32+'Appendix K'!$G$32))/((1+$Y$16)^2))</f>
        <v>12441415.59464271</v>
      </c>
      <c r="AA901" s="193">
        <f>(((D901*'Appendix K'!$C$7*1000)-('Appendix K'!$E$33+'Appendix K'!$F$33+'Appendix K'!$H$33+'Appendix K'!$G$33))/((1+$Y$16)^3))</f>
        <v>5313061.5599701162</v>
      </c>
      <c r="AB901" s="193">
        <f>(((E901*'Appendix K'!$C$8*1000)-('Appendix K'!$E$34+'Appendix K'!$F$34+'Appendix K'!$H$34+'Appendix K'!$G$34))/((1+$Y$16)^4))</f>
        <v>12339338.794919999</v>
      </c>
      <c r="AC901" s="193">
        <f>(((F901*'Appendix K'!$C$9*1000)-('Appendix K'!$E$35+'Appendix K'!$F$35+'Appendix K'!$H$35+'Appendix K'!$G$35))/((1+$Y$16)^AC$34))</f>
        <v>20969599.335723076</v>
      </c>
      <c r="AD901" s="193">
        <f>(((G901*'Appendix K'!$C$10*1000)-('Appendix K'!$E$36+'Appendix K'!$F$36+'Appendix K'!$H$36+'Appendix K'!$G$36))/((1+$Y$16)^AD$34))</f>
        <v>8951666.3274508566</v>
      </c>
      <c r="AE901" s="193">
        <f>(((H901*'Appendix K'!$C$11*1000)-('Appendix K'!$E$37+'Appendix K'!$F$37+'Appendix K'!$H$37+'Appendix K'!$G$37))/((1+$Y$16)^AE$34))</f>
        <v>6878353.5866438523</v>
      </c>
      <c r="AF901" s="193">
        <f>(((I901*'Appendix K'!$C$12*1000)-('Appendix K'!$E$38+'Appendix K'!$F$38+'Appendix K'!$H$38+'Appendix K'!$G$38))/((1+$Y$16)^AF$34))</f>
        <v>1502563.2448768755</v>
      </c>
      <c r="AG901" s="193">
        <f>(((J901*'Appendix K'!$C$13*1000)-('Appendix K'!$E$39+'Appendix K'!$F$39+'Appendix K'!$H$39+'Appendix K'!$G$39))/((1+$Y$16)^AG$34))</f>
        <v>579986.19777903054</v>
      </c>
      <c r="AH901" s="193">
        <f>(((K901*'Appendix K'!$C$14*1000)-('Appendix K'!$E$40+'Appendix K'!$F$40+'Appendix K'!$H$40+'Appendix K'!$G$40))/((1+$Y$16)^AH$34))</f>
        <v>43132.890906661851</v>
      </c>
      <c r="AI901" s="193">
        <f>(((L901*'Appendix K'!$C$15*1000)-('Appendix K'!$E$41+'Appendix K'!$F$41+'Appendix K'!$H$41+'Appendix K'!$G$41))/((1+$Y$16)^AI$34))</f>
        <v>185943.83123040362</v>
      </c>
      <c r="AJ901" s="193">
        <f>(((M901*'Appendix K'!$C$16*1000)-('Appendix K'!$E$42+'Appendix K'!$F$42+'Appendix K'!$H$42+'Appendix K'!$G$42))/((1+$Y$16)^AJ$34))</f>
        <v>71940.27195233907</v>
      </c>
      <c r="AK901" s="193">
        <f>(((N901*'Appendix K'!$C$17*1000)-('Appendix K'!$E$43+'Appendix K'!$F$43+'Appendix K'!$H$43))/((1+$Y$16)^AK$34))</f>
        <v>-276097.17173915682</v>
      </c>
      <c r="AL901" s="193">
        <f>(((O901*'Appendix K'!$C$18*1000)-('Appendix K'!$E$44+'Appendix K'!$F$44+'Appendix K'!$H$44+'Appendix K'!$G$44))/((1+$Y$16)^AL$34))</f>
        <v>-583897.5193027613</v>
      </c>
      <c r="AM901" s="193">
        <f>(((P901*'Appendix K'!$C$19*1000)-('Appendix K'!$E$45+'Appendix K'!$F$45+'Appendix K'!$H$45+'Appendix K'!$G$45))/((1+$Y$16)^AM$34))</f>
        <v>-580479.61833420361</v>
      </c>
      <c r="AN901" s="193">
        <f>(((Q901*'Appendix K'!$C$20*1000)-('Appendix K'!$E$46+'Appendix K'!$F$46+'Appendix K'!$H$46+'Appendix K'!$G$46))/((1+$Y$16)^AN$34))</f>
        <v>-599218.93946724734</v>
      </c>
      <c r="AO901" s="193">
        <f>(((R901*'Appendix K'!$C$21*1000)-('Appendix K'!$E$47+'Appendix K'!$F$47+'Appendix K'!$H$47+'Appendix K'!$G$47))/((1+$Y$16)^AO$34))</f>
        <v>-646274.44150253967</v>
      </c>
      <c r="AP901" s="193">
        <f>(((S901*'Appendix K'!$C$22*1000)-('Appendix K'!$E$48+'Appendix K'!$F$48+'Appendix K'!$H$48+'Appendix K'!$G$48))/((1+$Y$16)^AP$34))</f>
        <v>-623758.05463152705</v>
      </c>
      <c r="AQ901" s="193">
        <f>(((T901*'Appendix K'!$C$23*1000)-('Appendix K'!$E$49+'Appendix K'!$F$49+'Appendix K'!$H$49+'Appendix K'!$G$49))/((1+$Y$16)^AQ$34))</f>
        <v>-590659.61453434557</v>
      </c>
      <c r="AR901" s="193">
        <f>(((U901*'Appendix K'!$C$24*1000)-('Appendix K'!$E$50+'Appendix K'!$F$50+'Appendix K'!$H$50+'Appendix K'!$G$50))/((1+$Y$16)^AR$34))</f>
        <v>-541634.36667931848</v>
      </c>
      <c r="AS901" s="209">
        <f t="shared" si="42"/>
        <v>70653164.164668173</v>
      </c>
      <c r="AU901" s="199">
        <f t="shared" si="41"/>
        <v>6.7225310832492149E-9</v>
      </c>
    </row>
    <row r="902" spans="1:47" x14ac:dyDescent="0.35">
      <c r="A902">
        <v>868</v>
      </c>
      <c r="B902" s="70">
        <v>56</v>
      </c>
      <c r="C902" s="70">
        <v>65.821652271716857</v>
      </c>
      <c r="D902" s="70">
        <v>57.314492104133492</v>
      </c>
      <c r="E902" s="70">
        <v>53.496765611455459</v>
      </c>
      <c r="F902" s="70">
        <v>61.150303696242119</v>
      </c>
      <c r="G902" s="70">
        <v>47.877000964023729</v>
      </c>
      <c r="H902" s="70">
        <v>26.922695083812606</v>
      </c>
      <c r="I902" s="70">
        <v>30.860682080174129</v>
      </c>
      <c r="J902" s="70">
        <v>34.995482296206077</v>
      </c>
      <c r="K902" s="70">
        <v>41.257233422842951</v>
      </c>
      <c r="L902" s="70">
        <v>53.167903930808073</v>
      </c>
      <c r="M902" s="70">
        <v>82.044025347477287</v>
      </c>
      <c r="N902" s="70">
        <v>123.68497114564015</v>
      </c>
      <c r="O902" s="70">
        <v>82.635365382152003</v>
      </c>
      <c r="P902" s="70">
        <v>48.665523977225668</v>
      </c>
      <c r="Q902" s="70">
        <v>46.025710164679332</v>
      </c>
      <c r="R902" s="70">
        <v>51.200720488200425</v>
      </c>
      <c r="S902" s="70">
        <v>65.904206062821686</v>
      </c>
      <c r="T902" s="70">
        <v>80.667949695868401</v>
      </c>
      <c r="U902" s="70">
        <v>87.955816917149491</v>
      </c>
      <c r="V902" s="70">
        <v>90.533319283598246</v>
      </c>
      <c r="X902" s="193">
        <f>((0-('Appendix K'!$I$30))/(1+$Y$16)^0)</f>
        <v>-33594902.4440751</v>
      </c>
      <c r="Y902" s="193">
        <f>(((B902*'Appendix K'!$C$5*1000)-('Appendix K'!$E$31+'Appendix K'!$F$31+'Appendix K'!$H$31+'Appendix K'!$G$31))/((1+$Y$16)^1))</f>
        <v>34971064.972647354</v>
      </c>
      <c r="Z902" s="193">
        <f>+(((C902*'Appendix K'!$C$6*1000)-('Appendix K'!$E$32+'Appendix K'!$F$32+'Appendix K'!$H$32+'Appendix K'!$G$32))/((1+$Y$16)^2))</f>
        <v>13140427.449835656</v>
      </c>
      <c r="AA902" s="193">
        <f>(((D902*'Appendix K'!$C$7*1000)-('Appendix K'!$E$33+'Appendix K'!$F$33+'Appendix K'!$H$33+'Appendix K'!$G$33))/((1+$Y$16)^3))</f>
        <v>4335528.0531329336</v>
      </c>
      <c r="AB902" s="193">
        <f>(((E902*'Appendix K'!$C$8*1000)-('Appendix K'!$E$34+'Appendix K'!$F$34+'Appendix K'!$H$34+'Appendix K'!$G$34))/((1+$Y$16)^4))</f>
        <v>8432793.4174226541</v>
      </c>
      <c r="AC902" s="193">
        <f>(((F902*'Appendix K'!$C$9*1000)-('Appendix K'!$E$35+'Appendix K'!$F$35+'Appendix K'!$H$35+'Appendix K'!$G$35))/((1+$Y$16)^AC$34))</f>
        <v>13269426.180093823</v>
      </c>
      <c r="AD902" s="193">
        <f>(((G902*'Appendix K'!$C$10*1000)-('Appendix K'!$E$36+'Appendix K'!$F$36+'Appendix K'!$H$36+'Appendix K'!$G$36))/((1+$Y$16)^AD$34))</f>
        <v>5003030.4403499076</v>
      </c>
      <c r="AE902" s="193">
        <f>(((H902*'Appendix K'!$C$11*1000)-('Appendix K'!$E$37+'Appendix K'!$F$37+'Appendix K'!$H$37+'Appendix K'!$G$37))/((1+$Y$16)^AE$34))</f>
        <v>465264.80415675713</v>
      </c>
      <c r="AF902" s="193">
        <f>(((I902*'Appendix K'!$C$12*1000)-('Appendix K'!$E$38+'Appendix K'!$F$38+'Appendix K'!$H$38+'Appendix K'!$G$38))/((1+$Y$16)^AF$34))</f>
        <v>29808.274819409831</v>
      </c>
      <c r="AG902" s="193">
        <f>(((J902*'Appendix K'!$C$13*1000)-('Appendix K'!$E$39+'Appendix K'!$F$39+'Appendix K'!$H$39+'Appendix K'!$G$39))/((1+$Y$16)^AG$34))</f>
        <v>-204489.1312453764</v>
      </c>
      <c r="AH902" s="193">
        <f>(((K902*'Appendix K'!$C$14*1000)-('Appendix K'!$E$40+'Appendix K'!$F$40+'Appendix K'!$H$40+'Appendix K'!$G$40))/((1+$Y$16)^AH$34))</f>
        <v>-242103.11380772584</v>
      </c>
      <c r="AI902" s="193">
        <f>(((L902*'Appendix K'!$C$15*1000)-('Appendix K'!$E$41+'Appendix K'!$F$41+'Appendix K'!$H$41+'Appendix K'!$G$41))/((1+$Y$16)^AI$34))</f>
        <v>-123382.84087597759</v>
      </c>
      <c r="AJ902" s="193">
        <f>(((M902*'Appendix K'!$C$16*1000)-('Appendix K'!$E$42+'Appendix K'!$F$42+'Appendix K'!$H$42+'Appendix K'!$G$42))/((1+$Y$16)^AJ$34))</f>
        <v>262764.48364162876</v>
      </c>
      <c r="AK902" s="193">
        <f>(((N902*'Appendix K'!$C$17*1000)-('Appendix K'!$E$43+'Appendix K'!$F$43+'Appendix K'!$H$43))/((1+$Y$16)^AK$34))</f>
        <v>896024.59796636552</v>
      </c>
      <c r="AL902" s="193">
        <f>(((O902*'Appendix K'!$C$18*1000)-('Appendix K'!$E$44+'Appendix K'!$F$44+'Appendix K'!$H$44+'Appendix K'!$G$44))/((1+$Y$16)^AL$34))</f>
        <v>-155087.82416359874</v>
      </c>
      <c r="AM902" s="193">
        <f>(((P902*'Appendix K'!$C$19*1000)-('Appendix K'!$E$45+'Appendix K'!$F$45+'Appendix K'!$H$45+'Appendix K'!$G$45))/((1+$Y$16)^AM$34))</f>
        <v>-575698.2528379244</v>
      </c>
      <c r="AN902" s="193">
        <f>(((Q902*'Appendix K'!$C$20*1000)-('Appendix K'!$E$46+'Appendix K'!$F$46+'Appendix K'!$H$46+'Appendix K'!$G$46))/((1+$Y$16)^AN$34))</f>
        <v>-582656.81755621405</v>
      </c>
      <c r="AO902" s="193">
        <f>(((R902*'Appendix K'!$C$21*1000)-('Appendix K'!$E$47+'Appendix K'!$F$47+'Appendix K'!$H$47+'Appendix K'!$G$47))/((1+$Y$16)^AO$34))</f>
        <v>-540397.01063807926</v>
      </c>
      <c r="AP902" s="193">
        <f>(((S902*'Appendix K'!$C$22*1000)-('Appendix K'!$E$48+'Appendix K'!$F$48+'Appendix K'!$H$48+'Appendix K'!$G$48))/((1+$Y$16)^AP$34))</f>
        <v>-448790.58233959222</v>
      </c>
      <c r="AQ902" s="193">
        <f>(((T902*'Appendix K'!$C$23*1000)-('Appendix K'!$E$49+'Appendix K'!$F$49+'Appendix K'!$H$49+'Appendix K'!$G$49))/((1+$Y$16)^AQ$34))</f>
        <v>-377771.92792691273</v>
      </c>
      <c r="AR902" s="193">
        <f>(((U902*'Appendix K'!$C$24*1000)-('Appendix K'!$E$50+'Appendix K'!$F$50+'Appendix K'!$H$50+'Appendix K'!$G$50))/((1+$Y$16)^AR$34))</f>
        <v>-346068.67441349075</v>
      </c>
      <c r="AS902" s="209">
        <f t="shared" si="42"/>
        <v>47211230.229991384</v>
      </c>
      <c r="AU902" s="199">
        <f t="shared" si="41"/>
        <v>5.4558112415654969E-9</v>
      </c>
    </row>
    <row r="903" spans="1:47" x14ac:dyDescent="0.35">
      <c r="A903">
        <v>869</v>
      </c>
      <c r="B903" s="70">
        <v>56</v>
      </c>
      <c r="C903" s="70">
        <v>54.123492296329658</v>
      </c>
      <c r="D903" s="70">
        <v>57.661027632214207</v>
      </c>
      <c r="E903" s="70">
        <v>95.760024098530579</v>
      </c>
      <c r="F903" s="70">
        <v>120.06082159419537</v>
      </c>
      <c r="G903" s="70">
        <v>102.41831651876483</v>
      </c>
      <c r="H903" s="70">
        <v>95.195525770284789</v>
      </c>
      <c r="I903" s="70">
        <v>133.81807841055539</v>
      </c>
      <c r="J903" s="70">
        <v>165.45538888793374</v>
      </c>
      <c r="K903" s="70">
        <v>190.58829331067497</v>
      </c>
      <c r="L903" s="70">
        <v>149.56540973733851</v>
      </c>
      <c r="M903" s="70">
        <v>162.02069748987665</v>
      </c>
      <c r="N903" s="70">
        <v>201.18663401738803</v>
      </c>
      <c r="O903" s="70">
        <v>331.3414930688524</v>
      </c>
      <c r="P903" s="70">
        <v>294.61405212214163</v>
      </c>
      <c r="Q903" s="70">
        <v>286.39655305242974</v>
      </c>
      <c r="R903" s="70">
        <v>318.86611691896718</v>
      </c>
      <c r="S903" s="70">
        <v>500</v>
      </c>
      <c r="T903" s="70">
        <v>500</v>
      </c>
      <c r="U903" s="70">
        <v>459.73820533866478</v>
      </c>
      <c r="V903" s="70">
        <v>417.63457861774253</v>
      </c>
      <c r="X903" s="193">
        <f>((0-('Appendix K'!$I$30))/(1+$Y$16)^0)</f>
        <v>-33594902.4440751</v>
      </c>
      <c r="Y903" s="193">
        <f>(((B903*'Appendix K'!$C$5*1000)-('Appendix K'!$E$31+'Appendix K'!$F$31+'Appendix K'!$H$31+'Appendix K'!$G$31))/((1+$Y$16)^1))</f>
        <v>34971064.972647354</v>
      </c>
      <c r="Z903" s="193">
        <f>+(((C903*'Appendix K'!$C$6*1000)-('Appendix K'!$E$32+'Appendix K'!$F$32+'Appendix K'!$H$32+'Appendix K'!$G$32))/((1+$Y$16)^2))</f>
        <v>10185272.164971216</v>
      </c>
      <c r="AA903" s="193">
        <f>(((D903*'Appendix K'!$C$7*1000)-('Appendix K'!$E$33+'Appendix K'!$F$33+'Appendix K'!$H$33+'Appendix K'!$G$33))/((1+$Y$16)^3))</f>
        <v>4379667.9717898872</v>
      </c>
      <c r="AB903" s="193">
        <f>(((E903*'Appendix K'!$C$8*1000)-('Appendix K'!$E$34+'Appendix K'!$F$34+'Appendix K'!$H$34+'Appendix K'!$G$34))/((1+$Y$16)^4))</f>
        <v>17696512.794895682</v>
      </c>
      <c r="AC903" s="193">
        <f>(((F903*'Appendix K'!$C$9*1000)-('Appendix K'!$E$35+'Appendix K'!$F$35+'Appendix K'!$H$35+'Appendix K'!$G$35))/((1+$Y$16)^AC$34))</f>
        <v>28927749.331256483</v>
      </c>
      <c r="AD903" s="193">
        <f>(((G903*'Appendix K'!$C$10*1000)-('Appendix K'!$E$36+'Appendix K'!$F$36+'Appendix K'!$H$36+'Appendix K'!$G$36))/((1+$Y$16)^AD$34))</f>
        <v>13568414.155964879</v>
      </c>
      <c r="AE903" s="193">
        <f>(((H903*'Appendix K'!$C$11*1000)-('Appendix K'!$E$37+'Appendix K'!$F$37+'Appendix K'!$H$37+'Appendix K'!$G$37))/((1+$Y$16)^AE$34))</f>
        <v>7274635.0507801753</v>
      </c>
      <c r="AF903" s="193">
        <f>(((I903*'Appendix K'!$C$12*1000)-('Appendix K'!$E$38+'Appendix K'!$F$38+'Appendix K'!$H$38+'Appendix K'!$G$38))/((1+$Y$16)^AF$34))</f>
        <v>6790240.7994924393</v>
      </c>
      <c r="AG903" s="193">
        <f>(((J903*'Appendix K'!$C$13*1000)-('Appendix K'!$E$39+'Appendix K'!$F$39+'Appendix K'!$H$39+'Appendix K'!$G$39))/((1+$Y$16)^AG$34))</f>
        <v>5799136.5122170774</v>
      </c>
      <c r="AH903" s="193">
        <f>(((K903*'Appendix K'!$C$14*1000)-('Appendix K'!$E$40+'Appendix K'!$F$40+'Appendix K'!$H$40+'Appendix K'!$G$40))/((1+$Y$16)^AH$34))</f>
        <v>4791328.251826494</v>
      </c>
      <c r="AI903" s="193">
        <f>(((L903*'Appendix K'!$C$15*1000)-('Appendix K'!$E$41+'Appendix K'!$F$41+'Appendix K'!$H$41+'Appendix K'!$G$41))/((1+$Y$16)^AI$34))</f>
        <v>2402412.0754749067</v>
      </c>
      <c r="AJ903" s="193">
        <f>(((M903*'Appendix K'!$C$16*1000)-('Appendix K'!$E$42+'Appendix K'!$F$42+'Appendix K'!$H$42+'Appendix K'!$G$42))/((1+$Y$16)^AJ$34))</f>
        <v>1865646.3080585438</v>
      </c>
      <c r="AK903" s="193">
        <f>(((N903*'Appendix K'!$C$17*1000)-('Appendix K'!$E$43+'Appendix K'!$F$43+'Appendix K'!$H$43))/((1+$Y$16)^AK$34))</f>
        <v>2086752.1995107483</v>
      </c>
      <c r="AL903" s="193">
        <f>(((O903*'Appendix K'!$C$18*1000)-('Appendix K'!$E$44+'Appendix K'!$F$44+'Appendix K'!$H$44+'Appendix K'!$G$44))/((1+$Y$16)^AL$34))</f>
        <v>2792899.0896136919</v>
      </c>
      <c r="AM903" s="193">
        <f>(((P903*'Appendix K'!$C$19*1000)-('Appendix K'!$E$45+'Appendix K'!$F$45+'Appendix K'!$H$45+'Appendix K'!$G$45))/((1+$Y$16)^AM$34))</f>
        <v>1703932.6892415097</v>
      </c>
      <c r="AN903" s="193">
        <f>(((Q903*'Appendix K'!$C$20*1000)-('Appendix K'!$E$46+'Appendix K'!$F$46+'Appendix K'!$H$46+'Appendix K'!$G$46))/((1+$Y$16)^AN$34))</f>
        <v>1156718.7358243919</v>
      </c>
      <c r="AO903" s="193">
        <f>(((R903*'Appendix K'!$C$21*1000)-('Appendix K'!$E$47+'Appendix K'!$F$47+'Appendix K'!$H$47+'Appendix K'!$G$47))/((1+$Y$16)^AO$34))</f>
        <v>1041535.0539515199</v>
      </c>
      <c r="AP903" s="193">
        <f>(((S903*'Appendix K'!$C$22*1000)-('Appendix K'!$E$48+'Appendix K'!$F$48+'Appendix K'!$H$48+'Appendix K'!$G$48))/((1+$Y$16)^AP$34))</f>
        <v>1630406.4380253027</v>
      </c>
      <c r="AQ903" s="193">
        <f>(((T903*'Appendix K'!$C$23*1000)-('Appendix K'!$E$49+'Appendix K'!$F$49+'Appendix K'!$H$49+'Appendix K'!$G$49))/((1+$Y$16)^AQ$34))</f>
        <v>1263386.3652054211</v>
      </c>
      <c r="AR903" s="193">
        <f>(((U903*'Appendix K'!$C$24*1000)-('Appendix K'!$E$50+'Appendix K'!$F$50+'Appendix K'!$H$50+'Appendix K'!$G$50))/((1+$Y$16)^AR$34))</f>
        <v>851081.03322194843</v>
      </c>
      <c r="AS903" s="209">
        <f t="shared" si="42"/>
        <v>117583889.54989457</v>
      </c>
      <c r="AU903" s="199">
        <f t="shared" si="41"/>
        <v>6.1148943790398636E-9</v>
      </c>
    </row>
    <row r="904" spans="1:47" x14ac:dyDescent="0.35">
      <c r="A904">
        <v>870</v>
      </c>
      <c r="B904" s="70">
        <v>56</v>
      </c>
      <c r="C904" s="70">
        <v>68.480991714802428</v>
      </c>
      <c r="D904" s="70">
        <v>54.628561930590919</v>
      </c>
      <c r="E904" s="70">
        <v>71.874415006517864</v>
      </c>
      <c r="F904" s="70">
        <v>72.056476052271194</v>
      </c>
      <c r="G904" s="70">
        <v>89.277141309561102</v>
      </c>
      <c r="H904" s="70">
        <v>119.88523231745599</v>
      </c>
      <c r="I904" s="70">
        <v>96.944645684347776</v>
      </c>
      <c r="J904" s="70">
        <v>67.1170021506598</v>
      </c>
      <c r="K904" s="70">
        <v>76.507204061933194</v>
      </c>
      <c r="L904" s="70">
        <v>108.73206697472529</v>
      </c>
      <c r="M904" s="70">
        <v>126.88281189889744</v>
      </c>
      <c r="N904" s="70">
        <v>114.57650541608332</v>
      </c>
      <c r="O904" s="70">
        <v>136.57446694586352</v>
      </c>
      <c r="P904" s="70">
        <v>152.87799520604742</v>
      </c>
      <c r="Q904" s="70">
        <v>229.48974596399771</v>
      </c>
      <c r="R904" s="70">
        <v>111.97125783040623</v>
      </c>
      <c r="S904" s="70">
        <v>140.10877663320537</v>
      </c>
      <c r="T904" s="70">
        <v>150.63728859195248</v>
      </c>
      <c r="U904" s="70">
        <v>158.75479364789314</v>
      </c>
      <c r="V904" s="70">
        <v>175.03117591260425</v>
      </c>
      <c r="X904" s="193">
        <f>((0-('Appendix K'!$I$30))/(1+$Y$16)^0)</f>
        <v>-33594902.4440751</v>
      </c>
      <c r="Y904" s="193">
        <f>(((B904*'Appendix K'!$C$5*1000)-('Appendix K'!$E$31+'Appendix K'!$F$31+'Appendix K'!$H$31+'Appendix K'!$G$31))/((1+$Y$16)^1))</f>
        <v>34971064.972647354</v>
      </c>
      <c r="Z904" s="193">
        <f>+(((C904*'Appendix K'!$C$6*1000)-('Appendix K'!$E$32+'Appendix K'!$F$32+'Appendix K'!$H$32+'Appendix K'!$G$32))/((1+$Y$16)^2))</f>
        <v>13812222.076171555</v>
      </c>
      <c r="AA904" s="193">
        <f>(((D904*'Appendix K'!$C$7*1000)-('Appendix K'!$E$33+'Appendix K'!$F$33+'Appendix K'!$H$33+'Appendix K'!$G$33))/((1+$Y$16)^3))</f>
        <v>3993408.0401141993</v>
      </c>
      <c r="AB904" s="193">
        <f>(((E904*'Appendix K'!$C$8*1000)-('Appendix K'!$E$34+'Appendix K'!$F$34+'Appendix K'!$H$34+'Appendix K'!$G$34))/((1+$Y$16)^4))</f>
        <v>12461005.933632432</v>
      </c>
      <c r="AC904" s="193">
        <f>(((F904*'Appendix K'!$C$9*1000)-('Appendix K'!$E$35+'Appendix K'!$F$35+'Appendix K'!$H$35+'Appendix K'!$G$35))/((1+$Y$16)^AC$34))</f>
        <v>16168269.666562533</v>
      </c>
      <c r="AD904" s="193">
        <f>(((G904*'Appendix K'!$C$10*1000)-('Appendix K'!$E$36+'Appendix K'!$F$36+'Appendix K'!$H$36+'Appendix K'!$G$36))/((1+$Y$16)^AD$34))</f>
        <v>11504672.073543243</v>
      </c>
      <c r="AE904" s="193">
        <f>(((H904*'Appendix K'!$C$11*1000)-('Appendix K'!$E$37+'Appendix K'!$F$37+'Appendix K'!$H$37+'Appendix K'!$G$37))/((1+$Y$16)^AE$34))</f>
        <v>9737127.8384636231</v>
      </c>
      <c r="AF904" s="193">
        <f>(((I904*'Appendix K'!$C$12*1000)-('Appendix K'!$E$38+'Appendix K'!$F$38+'Appendix K'!$H$38+'Appendix K'!$G$38))/((1+$Y$16)^AF$34))</f>
        <v>4369041.7134289378</v>
      </c>
      <c r="AG904" s="193">
        <f>(((J904*'Appendix K'!$C$13*1000)-('Appendix K'!$E$39+'Appendix K'!$F$39+'Appendix K'!$H$39+'Appendix K'!$G$39))/((1+$Y$16)^AG$34))</f>
        <v>1273708.9247190056</v>
      </c>
      <c r="AH904" s="193">
        <f>(((K904*'Appendix K'!$C$14*1000)-('Appendix K'!$E$40+'Appendix K'!$F$40+'Appendix K'!$H$40+'Appendix K'!$G$40))/((1+$Y$16)^AH$34))</f>
        <v>946050.96469245339</v>
      </c>
      <c r="AI904" s="193">
        <f>(((L904*'Appendix K'!$C$15*1000)-('Appendix K'!$E$41+'Appendix K'!$F$41+'Appendix K'!$H$41+'Appendix K'!$G$41))/((1+$Y$16)^AI$34))</f>
        <v>1332502.1363690477</v>
      </c>
      <c r="AJ904" s="193">
        <f>(((M904*'Appendix K'!$C$16*1000)-('Appendix K'!$E$42+'Appendix K'!$F$42+'Appendix K'!$H$42+'Appendix K'!$G$42))/((1+$Y$16)^AJ$34))</f>
        <v>1161417.4791577884</v>
      </c>
      <c r="AK904" s="193">
        <f>(((N904*'Appendix K'!$C$17*1000)-('Appendix K'!$E$43+'Appendix K'!$F$43+'Appendix K'!$H$43))/((1+$Y$16)^AK$34))</f>
        <v>756083.06445563049</v>
      </c>
      <c r="AL904" s="193">
        <f>(((O904*'Appendix K'!$C$18*1000)-('Appendix K'!$E$44+'Appendix K'!$F$44+'Appendix K'!$H$44+'Appendix K'!$G$44))/((1+$Y$16)^AL$34))</f>
        <v>484268.21836638579</v>
      </c>
      <c r="AM904" s="193">
        <f>(((P904*'Appendix K'!$C$19*1000)-('Appendix K'!$E$45+'Appendix K'!$F$45+'Appendix K'!$H$45+'Appendix K'!$G$45))/((1+$Y$16)^AM$34))</f>
        <v>390219.19239194907</v>
      </c>
      <c r="AN904" s="193">
        <f>(((Q904*'Appendix K'!$C$20*1000)-('Appendix K'!$E$46+'Appendix K'!$F$46+'Appendix K'!$H$46+'Appendix K'!$G$46))/((1+$Y$16)^AN$34))</f>
        <v>744928.73716474511</v>
      </c>
      <c r="AO904" s="193">
        <f>(((R904*'Appendix K'!$C$21*1000)-('Appendix K'!$E$47+'Appendix K'!$F$47+'Appendix K'!$H$47+'Appendix K'!$G$47))/((1+$Y$16)^AO$34))</f>
        <v>-181236.42101423215</v>
      </c>
      <c r="AP904" s="193">
        <f>(((S904*'Appendix K'!$C$22*1000)-('Appendix K'!$E$48+'Appendix K'!$F$48+'Appendix K'!$H$48+'Appendix K'!$G$48))/((1+$Y$16)^AP$34))</f>
        <v>-93371.515437215421</v>
      </c>
      <c r="AQ904" s="193">
        <f>(((T904*'Appendix K'!$C$23*1000)-('Appendix K'!$E$49+'Appendix K'!$F$49+'Appendix K'!$H$49+'Appendix K'!$G$49))/((1+$Y$16)^AQ$34))</f>
        <v>-103929.84809778648</v>
      </c>
      <c r="AR904" s="193">
        <f>(((U904*'Appendix K'!$C$24*1000)-('Appendix K'!$E$50+'Appendix K'!$F$50+'Appendix K'!$H$50+'Appendix K'!$G$50))/((1+$Y$16)^AR$34))</f>
        <v>-118093.98563398032</v>
      </c>
      <c r="AS904" s="209">
        <f t="shared" si="42"/>
        <v>80511088.587805808</v>
      </c>
      <c r="AU904" s="199">
        <f t="shared" si="41"/>
        <v>6.9747831182537485E-9</v>
      </c>
    </row>
    <row r="905" spans="1:47" x14ac:dyDescent="0.35">
      <c r="A905">
        <v>871</v>
      </c>
      <c r="B905" s="70">
        <v>56</v>
      </c>
      <c r="C905" s="70">
        <v>48.325912181141412</v>
      </c>
      <c r="D905" s="70">
        <v>56.620865728121302</v>
      </c>
      <c r="E905" s="70">
        <v>73.496193305285146</v>
      </c>
      <c r="F905" s="70">
        <v>81.719545209736907</v>
      </c>
      <c r="G905" s="70">
        <v>118.7012290085311</v>
      </c>
      <c r="H905" s="70">
        <v>121.97875296671583</v>
      </c>
      <c r="I905" s="70">
        <v>200.17417677992319</v>
      </c>
      <c r="J905" s="70">
        <v>252.31019886515105</v>
      </c>
      <c r="K905" s="70">
        <v>231.50023993603338</v>
      </c>
      <c r="L905" s="70">
        <v>202.74073174179506</v>
      </c>
      <c r="M905" s="70">
        <v>202.12468790188083</v>
      </c>
      <c r="N905" s="70">
        <v>299.08952224038057</v>
      </c>
      <c r="O905" s="70">
        <v>86.671209337843806</v>
      </c>
      <c r="P905" s="70">
        <v>104.85474394532696</v>
      </c>
      <c r="Q905" s="70">
        <v>135.70034058072798</v>
      </c>
      <c r="R905" s="70">
        <v>177.39710902780013</v>
      </c>
      <c r="S905" s="70">
        <v>198.24570718187061</v>
      </c>
      <c r="T905" s="70">
        <v>228.23482560054654</v>
      </c>
      <c r="U905" s="70">
        <v>251.64754838738907</v>
      </c>
      <c r="V905" s="70">
        <v>311.5854407244874</v>
      </c>
      <c r="X905" s="193">
        <f>((0-('Appendix K'!$I$30))/(1+$Y$16)^0)</f>
        <v>-33594902.4440751</v>
      </c>
      <c r="Y905" s="193">
        <f>(((B905*'Appendix K'!$C$5*1000)-('Appendix K'!$E$31+'Appendix K'!$F$31+'Appendix K'!$H$31+'Appendix K'!$G$31))/((1+$Y$16)^1))</f>
        <v>34971064.972647354</v>
      </c>
      <c r="Z905" s="193">
        <f>+(((C905*'Appendix K'!$C$6*1000)-('Appendix K'!$E$32+'Appendix K'!$F$32+'Appendix K'!$H$32+'Appendix K'!$G$32))/((1+$Y$16)^2))</f>
        <v>8720704.2711425554</v>
      </c>
      <c r="AA905" s="193">
        <f>(((D905*'Appendix K'!$C$7*1000)-('Appendix K'!$E$33+'Appendix K'!$F$33+'Appendix K'!$H$33+'Appendix K'!$G$33))/((1+$Y$16)^3))</f>
        <v>4247177.4820239162</v>
      </c>
      <c r="AB905" s="193">
        <f>(((E905*'Appendix K'!$C$8*1000)-('Appendix K'!$E$34+'Appendix K'!$F$34+'Appendix K'!$H$34+'Appendix K'!$G$34))/((1+$Y$16)^4))</f>
        <v>12816484.890770823</v>
      </c>
      <c r="AC905" s="193">
        <f>(((F905*'Appendix K'!$C$9*1000)-('Appendix K'!$E$35+'Appendix K'!$F$35+'Appendix K'!$H$35+'Appendix K'!$G$35))/((1+$Y$16)^AC$34))</f>
        <v>18736698.274875414</v>
      </c>
      <c r="AD905" s="193">
        <f>(((G905*'Appendix K'!$C$10*1000)-('Appendix K'!$E$36+'Appendix K'!$F$36+'Appendix K'!$H$36+'Appendix K'!$G$36))/((1+$Y$16)^AD$34))</f>
        <v>16125547.075552182</v>
      </c>
      <c r="AE905" s="193">
        <f>(((H905*'Appendix K'!$C$11*1000)-('Appendix K'!$E$37+'Appendix K'!$F$37+'Appendix K'!$H$37+'Appendix K'!$G$37))/((1+$Y$16)^AE$34))</f>
        <v>9945930.6239410136</v>
      </c>
      <c r="AF905" s="193">
        <f>(((I905*'Appendix K'!$C$12*1000)-('Appendix K'!$E$38+'Appendix K'!$F$38+'Appendix K'!$H$38+'Appendix K'!$G$38))/((1+$Y$16)^AF$34))</f>
        <v>11147343.267266313</v>
      </c>
      <c r="AG905" s="193">
        <f>(((J905*'Appendix K'!$C$13*1000)-('Appendix K'!$E$39+'Appendix K'!$F$39+'Appendix K'!$H$39+'Appendix K'!$G$39))/((1+$Y$16)^AG$34))</f>
        <v>9796102.1552259382</v>
      </c>
      <c r="AH905" s="193">
        <f>(((K905*'Appendix K'!$C$14*1000)-('Appendix K'!$E$40+'Appendix K'!$F$40+'Appendix K'!$H$40+'Appendix K'!$G$40))/((1+$Y$16)^AH$34))</f>
        <v>6170327.8754005292</v>
      </c>
      <c r="AI905" s="193">
        <f>(((L905*'Appendix K'!$C$15*1000)-('Appendix K'!$E$41+'Appendix K'!$F$41+'Appendix K'!$H$41+'Appendix K'!$G$41))/((1+$Y$16)^AI$34))</f>
        <v>3795704.9503314141</v>
      </c>
      <c r="AJ905" s="193">
        <f>(((M905*'Appendix K'!$C$16*1000)-('Appendix K'!$E$42+'Appendix K'!$F$42+'Appendix K'!$H$42+'Appendix K'!$G$42))/((1+$Y$16)^AJ$34))</f>
        <v>2669405.1491808281</v>
      </c>
      <c r="AK905" s="193">
        <f>(((N905*'Appendix K'!$C$17*1000)-('Appendix K'!$E$43+'Appendix K'!$F$43+'Appendix K'!$H$43))/((1+$Y$16)^AK$34))</f>
        <v>3590922.1354635381</v>
      </c>
      <c r="AL905" s="193">
        <f>(((O905*'Appendix K'!$C$18*1000)-('Appendix K'!$E$44+'Appendix K'!$F$44+'Appendix K'!$H$44+'Appendix K'!$G$44))/((1+$Y$16)^AL$34))</f>
        <v>-107249.77820111946</v>
      </c>
      <c r="AM905" s="193">
        <f>(((P905*'Appendix K'!$C$19*1000)-('Appendix K'!$E$45+'Appendix K'!$F$45+'Appendix K'!$H$45+'Appendix K'!$G$45))/((1+$Y$16)^AM$34))</f>
        <v>-54895.443336585806</v>
      </c>
      <c r="AN905" s="193">
        <f>(((Q905*'Appendix K'!$C$20*1000)-('Appendix K'!$E$46+'Appendix K'!$F$46+'Appendix K'!$H$46+'Appendix K'!$G$46))/((1+$Y$16)^AN$34))</f>
        <v>66248.257744267466</v>
      </c>
      <c r="AO905" s="193">
        <f>(((R905*'Appendix K'!$C$21*1000)-('Appendix K'!$E$47+'Appendix K'!$F$47+'Appendix K'!$H$47+'Appendix K'!$G$47))/((1+$Y$16)^AO$34))</f>
        <v>205437.58781303861</v>
      </c>
      <c r="AP905" s="193">
        <f>(((S905*'Appendix K'!$C$22*1000)-('Appendix K'!$E$48+'Appendix K'!$F$48+'Appendix K'!$H$48+'Appendix K'!$G$48))/((1+$Y$16)^AP$34))</f>
        <v>185088.06527790872</v>
      </c>
      <c r="AQ905" s="193">
        <f>(((T905*'Appendix K'!$C$23*1000)-('Appendix K'!$E$49+'Appendix K'!$F$49+'Appendix K'!$H$49+'Appendix K'!$G$49))/((1+$Y$16)^AQ$34))</f>
        <v>199767.04627490326</v>
      </c>
      <c r="AR905" s="193">
        <f>(((U905*'Appendix K'!$C$24*1000)-('Appendix K'!$E$50+'Appendix K'!$F$50+'Appendix K'!$H$50+'Appendix K'!$G$50))/((1+$Y$16)^AR$34))</f>
        <v>181023.28737615392</v>
      </c>
      <c r="AS905" s="209">
        <f t="shared" si="42"/>
        <v>109976074.92423299</v>
      </c>
      <c r="AU905" s="199">
        <f t="shared" si="41"/>
        <v>6.5047240325790063E-9</v>
      </c>
    </row>
    <row r="906" spans="1:47" x14ac:dyDescent="0.35">
      <c r="A906">
        <v>872</v>
      </c>
      <c r="B906" s="70">
        <v>56</v>
      </c>
      <c r="C906" s="70">
        <v>67.532153788743784</v>
      </c>
      <c r="D906" s="70">
        <v>86.413827289752049</v>
      </c>
      <c r="E906" s="70">
        <v>67.483527951218662</v>
      </c>
      <c r="F906" s="70">
        <v>51.122465017661597</v>
      </c>
      <c r="G906" s="70">
        <v>51.046113104004</v>
      </c>
      <c r="H906" s="70">
        <v>76.67817263518981</v>
      </c>
      <c r="I906" s="70">
        <v>70.764166285503549</v>
      </c>
      <c r="J906" s="70">
        <v>66.420841935131762</v>
      </c>
      <c r="K906" s="70">
        <v>73.967956658031355</v>
      </c>
      <c r="L906" s="70">
        <v>55.422309708996814</v>
      </c>
      <c r="M906" s="70">
        <v>41.341048765525869</v>
      </c>
      <c r="N906" s="70">
        <v>28.69203563818483</v>
      </c>
      <c r="O906" s="70">
        <v>20.723719095086594</v>
      </c>
      <c r="P906" s="70">
        <v>23.418638213047608</v>
      </c>
      <c r="Q906" s="70">
        <v>44.734851958606953</v>
      </c>
      <c r="R906" s="70">
        <v>22.734217263190306</v>
      </c>
      <c r="S906" s="70">
        <v>27.57392065382631</v>
      </c>
      <c r="T906" s="70">
        <v>31.62258581555259</v>
      </c>
      <c r="U906" s="70">
        <v>46.502702703505307</v>
      </c>
      <c r="V906" s="70">
        <v>52.562095360141427</v>
      </c>
      <c r="X906" s="193">
        <f>((0-('Appendix K'!$I$30))/(1+$Y$16)^0)</f>
        <v>-33594902.4440751</v>
      </c>
      <c r="Y906" s="193">
        <f>(((B906*'Appendix K'!$C$5*1000)-('Appendix K'!$E$31+'Appendix K'!$F$31+'Appendix K'!$H$31+'Appendix K'!$G$31))/((1+$Y$16)^1))</f>
        <v>34971064.972647354</v>
      </c>
      <c r="Z906" s="193">
        <f>+(((C906*'Appendix K'!$C$6*1000)-('Appendix K'!$E$32+'Appendix K'!$F$32+'Appendix K'!$H$32+'Appendix K'!$G$32))/((1+$Y$16)^2))</f>
        <v>13572529.387956353</v>
      </c>
      <c r="AA906" s="193">
        <f>(((D906*'Appendix K'!$C$7*1000)-('Appendix K'!$E$33+'Appendix K'!$F$33+'Appendix K'!$H$33+'Appendix K'!$G$33))/((1+$Y$16)^3))</f>
        <v>8042052.158117258</v>
      </c>
      <c r="AB906" s="193">
        <f>(((E906*'Appendix K'!$C$8*1000)-('Appendix K'!$E$34+'Appendix K'!$F$34+'Appendix K'!$H$34+'Appendix K'!$G$34))/((1+$Y$16)^4))</f>
        <v>11498563.685813082</v>
      </c>
      <c r="AC906" s="193">
        <f>(((F906*'Appendix K'!$C$9*1000)-('Appendix K'!$E$35+'Appendix K'!$F$35+'Appendix K'!$H$35+'Appendix K'!$G$35))/((1+$Y$16)^AC$34))</f>
        <v>10604042.405859562</v>
      </c>
      <c r="AD906" s="193">
        <f>(((G906*'Appendix K'!$C$10*1000)-('Appendix K'!$E$36+'Appendix K'!$F$36+'Appendix K'!$H$36+'Appendix K'!$G$36))/((1+$Y$16)^AD$34))</f>
        <v>5500720.3336107442</v>
      </c>
      <c r="AE906" s="193">
        <f>(((H906*'Appendix K'!$C$11*1000)-('Appendix K'!$E$37+'Appendix K'!$F$37+'Appendix K'!$H$37+'Appendix K'!$G$37))/((1+$Y$16)^AE$34))</f>
        <v>5427758.1567579852</v>
      </c>
      <c r="AF906" s="193">
        <f>(((I906*'Appendix K'!$C$12*1000)-('Appendix K'!$E$38+'Appendix K'!$F$38+'Appendix K'!$H$38+'Appendix K'!$G$38))/((1+$Y$16)^AF$34))</f>
        <v>2649967.8950552773</v>
      </c>
      <c r="AG906" s="193">
        <f>(((J906*'Appendix K'!$C$13*1000)-('Appendix K'!$E$39+'Appendix K'!$F$39+'Appendix K'!$H$39+'Appendix K'!$G$39))/((1+$Y$16)^AG$34))</f>
        <v>1241672.3747084183</v>
      </c>
      <c r="AH906" s="193">
        <f>(((K906*'Appendix K'!$C$14*1000)-('Appendix K'!$E$40+'Appendix K'!$F$40+'Appendix K'!$H$40+'Appendix K'!$G$40))/((1+$Y$16)^AH$34))</f>
        <v>860461.75413233868</v>
      </c>
      <c r="AI906" s="193">
        <f>(((L906*'Appendix K'!$C$15*1000)-('Appendix K'!$E$41+'Appendix K'!$F$41+'Appendix K'!$H$41+'Appendix K'!$G$41))/((1+$Y$16)^AI$34))</f>
        <v>-64313.193727955273</v>
      </c>
      <c r="AJ906" s="193">
        <f>(((M906*'Appendix K'!$C$16*1000)-('Appendix K'!$E$42+'Appendix K'!$F$42+'Appendix K'!$H$42+'Appendix K'!$G$42))/((1+$Y$16)^AJ$34))</f>
        <v>-552999.15862036811</v>
      </c>
      <c r="AK906" s="193">
        <f>(((N906*'Appendix K'!$C$17*1000)-('Appendix K'!$E$43+'Appendix K'!$F$43+'Appendix K'!$H$43))/((1+$Y$16)^AK$34))</f>
        <v>-563437.12284382642</v>
      </c>
      <c r="AL906" s="193">
        <f>(((O906*'Appendix K'!$C$18*1000)-('Appendix K'!$E$44+'Appendix K'!$F$44+'Appendix K'!$H$44+'Appendix K'!$G$44))/((1+$Y$16)^AL$34))</f>
        <v>-888944.78523773176</v>
      </c>
      <c r="AM906" s="193">
        <f>(((P906*'Appendix K'!$C$19*1000)-('Appendix K'!$E$45+'Appendix K'!$F$45+'Appendix K'!$H$45+'Appendix K'!$G$45))/((1+$Y$16)^AM$34))</f>
        <v>-809704.86557623604</v>
      </c>
      <c r="AN906" s="193">
        <f>(((Q906*'Appendix K'!$C$20*1000)-('Appendix K'!$E$46+'Appendix K'!$F$46+'Appendix K'!$H$46+'Appendix K'!$G$46))/((1+$Y$16)^AN$34))</f>
        <v>-591997.7475107325</v>
      </c>
      <c r="AO906" s="193">
        <f>(((R906*'Appendix K'!$C$21*1000)-('Appendix K'!$E$47+'Appendix K'!$F$47+'Appendix K'!$H$47+'Appendix K'!$G$47))/((1+$Y$16)^AO$34))</f>
        <v>-708637.18967831077</v>
      </c>
      <c r="AP906" s="193">
        <f>(((S906*'Appendix K'!$C$22*1000)-('Appendix K'!$E$48+'Appendix K'!$F$48+'Appendix K'!$H$48+'Appendix K'!$G$48))/((1+$Y$16)^AP$34))</f>
        <v>-632381.89173535362</v>
      </c>
      <c r="AQ906" s="193">
        <f>(((T906*'Appendix K'!$C$23*1000)-('Appendix K'!$E$49+'Appendix K'!$F$49+'Appendix K'!$H$49+'Appendix K'!$G$49))/((1+$Y$16)^AQ$34))</f>
        <v>-569722.92621930398</v>
      </c>
      <c r="AR906" s="193">
        <f>(((U906*'Appendix K'!$C$24*1000)-('Appendix K'!$E$50+'Appendix K'!$F$50+'Appendix K'!$H$50+'Appendix K'!$G$50))/((1+$Y$16)^AR$34))</f>
        <v>-479548.86365036952</v>
      </c>
      <c r="AS906" s="209">
        <f t="shared" si="42"/>
        <v>60773930.680583261</v>
      </c>
      <c r="AU906" s="199">
        <f t="shared" si="41"/>
        <v>6.2857019078289867E-9</v>
      </c>
    </row>
    <row r="907" spans="1:47" x14ac:dyDescent="0.35">
      <c r="A907">
        <v>873</v>
      </c>
      <c r="B907" s="70">
        <v>56</v>
      </c>
      <c r="C907" s="70">
        <v>39.522312039610355</v>
      </c>
      <c r="D907" s="70">
        <v>39.018469072488465</v>
      </c>
      <c r="E907" s="70">
        <v>52.881748303503208</v>
      </c>
      <c r="F907" s="70">
        <v>49.556029575231641</v>
      </c>
      <c r="G907" s="70">
        <v>57.868380079947613</v>
      </c>
      <c r="H907" s="70">
        <v>64.033138636115197</v>
      </c>
      <c r="I907" s="70">
        <v>70.793925638409291</v>
      </c>
      <c r="J907" s="70">
        <v>62.020776337941825</v>
      </c>
      <c r="K907" s="70">
        <v>57.616303497362146</v>
      </c>
      <c r="L907" s="70">
        <v>59.757215810986878</v>
      </c>
      <c r="M907" s="70">
        <v>81.898766847218354</v>
      </c>
      <c r="N907" s="70">
        <v>127.47079908470553</v>
      </c>
      <c r="O907" s="70">
        <v>86.757404729340195</v>
      </c>
      <c r="P907" s="70">
        <v>51.515859031308615</v>
      </c>
      <c r="Q907" s="70">
        <v>78.43332563197599</v>
      </c>
      <c r="R907" s="70">
        <v>132.40296401730626</v>
      </c>
      <c r="S907" s="70">
        <v>121.34609023430636</v>
      </c>
      <c r="T907" s="70">
        <v>132.65139058725347</v>
      </c>
      <c r="U907" s="70">
        <v>169.77778509918119</v>
      </c>
      <c r="V907" s="70">
        <v>140.09116921526018</v>
      </c>
      <c r="X907" s="193">
        <f>((0-('Appendix K'!$I$30))/(1+$Y$16)^0)</f>
        <v>-33594902.4440751</v>
      </c>
      <c r="Y907" s="193">
        <f>(((B907*'Appendix K'!$C$5*1000)-('Appendix K'!$E$31+'Appendix K'!$F$31+'Appendix K'!$H$31+'Appendix K'!$G$31))/((1+$Y$16)^1))</f>
        <v>34971064.972647354</v>
      </c>
      <c r="Z907" s="193">
        <f>+(((C907*'Appendix K'!$C$6*1000)-('Appendix K'!$E$32+'Appendix K'!$F$32+'Appendix K'!$H$32+'Appendix K'!$G$32))/((1+$Y$16)^2))</f>
        <v>6496764.3063261891</v>
      </c>
      <c r="AA907" s="193">
        <f>(((D907*'Appendix K'!$C$7*1000)-('Appendix K'!$E$33+'Appendix K'!$F$33+'Appendix K'!$H$33+'Appendix K'!$G$33))/((1+$Y$16)^3))</f>
        <v>2005074.4548096298</v>
      </c>
      <c r="AB907" s="193">
        <f>(((E907*'Appendix K'!$C$8*1000)-('Appendix K'!$E$34+'Appendix K'!$F$34+'Appendix K'!$H$34+'Appendix K'!$G$34))/((1+$Y$16)^4))</f>
        <v>8297987.2534610908</v>
      </c>
      <c r="AC907" s="193">
        <f>(((F907*'Appendix K'!$C$9*1000)-('Appendix K'!$E$35+'Appendix K'!$F$35+'Appendix K'!$H$35+'Appendix K'!$G$35))/((1+$Y$16)^AC$34))</f>
        <v>10187686.325006723</v>
      </c>
      <c r="AD907" s="193">
        <f>(((G907*'Appendix K'!$C$10*1000)-('Appendix K'!$E$36+'Appendix K'!$F$36+'Appendix K'!$H$36+'Appendix K'!$G$36))/((1+$Y$16)^AD$34))</f>
        <v>6572116.0978122121</v>
      </c>
      <c r="AE907" s="193">
        <f>(((H907*'Appendix K'!$C$11*1000)-('Appendix K'!$E$37+'Appendix K'!$F$37+'Appendix K'!$H$37+'Appendix K'!$G$37))/((1+$Y$16)^AE$34))</f>
        <v>4166572.4491335717</v>
      </c>
      <c r="AF907" s="193">
        <f>(((I907*'Appendix K'!$C$12*1000)-('Appendix K'!$E$38+'Appendix K'!$F$38+'Appendix K'!$H$38+'Appendix K'!$G$38))/((1+$Y$16)^AF$34))</f>
        <v>2651921.9663941804</v>
      </c>
      <c r="AG907" s="193">
        <f>(((J907*'Appendix K'!$C$13*1000)-('Appendix K'!$E$39+'Appendix K'!$F$39+'Appendix K'!$H$39+'Appendix K'!$G$39))/((1+$Y$16)^AG$34))</f>
        <v>1039186.0527238715</v>
      </c>
      <c r="AH907" s="193">
        <f>(((K907*'Appendix K'!$C$14*1000)-('Appendix K'!$E$40+'Appendix K'!$F$40+'Appendix K'!$H$40+'Appendix K'!$G$40))/((1+$Y$16)^AH$34))</f>
        <v>309304.31936487299</v>
      </c>
      <c r="AI907" s="193">
        <f>(((L907*'Appendix K'!$C$15*1000)-('Appendix K'!$E$41+'Appendix K'!$F$41+'Appendix K'!$H$41+'Appendix K'!$G$41))/((1+$Y$16)^AI$34))</f>
        <v>49269.452458344269</v>
      </c>
      <c r="AJ907" s="193">
        <f>(((M907*'Appendix K'!$C$16*1000)-('Appendix K'!$E$42+'Appendix K'!$F$42+'Appendix K'!$H$42+'Appendix K'!$G$42))/((1+$Y$16)^AJ$34))</f>
        <v>259853.23210202294</v>
      </c>
      <c r="AK907" s="193">
        <f>(((N907*'Appendix K'!$C$17*1000)-('Appendix K'!$E$43+'Appendix K'!$F$43+'Appendix K'!$H$43))/((1+$Y$16)^AK$34))</f>
        <v>954189.6702333031</v>
      </c>
      <c r="AL907" s="193">
        <f>(((O907*'Appendix K'!$C$18*1000)-('Appendix K'!$E$44+'Appendix K'!$F$44+'Appendix K'!$H$44+'Appendix K'!$G$44))/((1+$Y$16)^AL$34))</f>
        <v>-106228.07886253556</v>
      </c>
      <c r="AM907" s="193">
        <f>(((P907*'Appendix K'!$C$19*1000)-('Appendix K'!$E$45+'Appendix K'!$F$45+'Appendix K'!$H$45+'Appendix K'!$G$45))/((1+$Y$16)^AM$34))</f>
        <v>-549279.26170351682</v>
      </c>
      <c r="AN907" s="193">
        <f>(((Q907*'Appendix K'!$C$20*1000)-('Appendix K'!$E$46+'Appendix K'!$F$46+'Appendix K'!$H$46+'Appendix K'!$G$46))/((1+$Y$16)^AN$34))</f>
        <v>-348148.28311845573</v>
      </c>
      <c r="AO907" s="193">
        <f>(((R907*'Appendix K'!$C$21*1000)-('Appendix K'!$E$47+'Appendix K'!$F$47+'Appendix K'!$H$47+'Appendix K'!$G$47))/((1+$Y$16)^AO$34))</f>
        <v>-60482.780153931388</v>
      </c>
      <c r="AP907" s="193">
        <f>(((S907*'Appendix K'!$C$22*1000)-('Appendix K'!$E$48+'Appendix K'!$F$48+'Appendix K'!$H$48+'Appendix K'!$G$48))/((1+$Y$16)^AP$34))</f>
        <v>-183239.5173839872</v>
      </c>
      <c r="AQ907" s="193">
        <f>(((T907*'Appendix K'!$C$23*1000)-('Appendix K'!$E$49+'Appendix K'!$F$49+'Appendix K'!$H$49+'Appendix K'!$G$49))/((1+$Y$16)^AQ$34))</f>
        <v>-174322.04838020133</v>
      </c>
      <c r="AR907" s="193">
        <f>(((U907*'Appendix K'!$C$24*1000)-('Appendix K'!$E$50+'Appendix K'!$F$50+'Appendix K'!$H$50+'Appendix K'!$G$50))/((1+$Y$16)^AR$34))</f>
        <v>-82599.644309194307</v>
      </c>
      <c r="AS907" s="209">
        <f t="shared" si="42"/>
        <v>44366088.108398266</v>
      </c>
      <c r="AU907" s="199">
        <f t="shared" si="41"/>
        <v>5.2578931990088926E-9</v>
      </c>
    </row>
    <row r="908" spans="1:47" x14ac:dyDescent="0.35">
      <c r="A908">
        <v>874</v>
      </c>
      <c r="B908" s="70">
        <v>56</v>
      </c>
      <c r="C908" s="70">
        <v>65.879378063307257</v>
      </c>
      <c r="D908" s="70">
        <v>91.264835376437446</v>
      </c>
      <c r="E908" s="70">
        <v>81.703744427078604</v>
      </c>
      <c r="F908" s="70">
        <v>101.90389668541712</v>
      </c>
      <c r="G908" s="70">
        <v>112.0677681761353</v>
      </c>
      <c r="H908" s="70">
        <v>129.94427055170215</v>
      </c>
      <c r="I908" s="70">
        <v>159.98049511177194</v>
      </c>
      <c r="J908" s="70">
        <v>115.55787366938242</v>
      </c>
      <c r="K908" s="70">
        <v>126.31413425934863</v>
      </c>
      <c r="L908" s="70">
        <v>139.26111194276521</v>
      </c>
      <c r="M908" s="70">
        <v>193.8398747071019</v>
      </c>
      <c r="N908" s="70">
        <v>194.60198591483899</v>
      </c>
      <c r="O908" s="70">
        <v>303.45214490513825</v>
      </c>
      <c r="P908" s="70">
        <v>500</v>
      </c>
      <c r="Q908" s="70">
        <v>452.89291755142642</v>
      </c>
      <c r="R908" s="70">
        <v>500</v>
      </c>
      <c r="S908" s="70">
        <v>500</v>
      </c>
      <c r="T908" s="70">
        <v>368.7115712678945</v>
      </c>
      <c r="U908" s="70">
        <v>395.67837041149932</v>
      </c>
      <c r="V908" s="70">
        <v>344.17667223679615</v>
      </c>
      <c r="X908" s="193">
        <f>((0-('Appendix K'!$I$30))/(1+$Y$16)^0)</f>
        <v>-33594902.4440751</v>
      </c>
      <c r="Y908" s="193">
        <f>(((B908*'Appendix K'!$C$5*1000)-('Appendix K'!$E$31+'Appendix K'!$F$31+'Appendix K'!$H$31+'Appendix K'!$G$31))/((1+$Y$16)^1))</f>
        <v>34971064.972647354</v>
      </c>
      <c r="Z908" s="193">
        <f>+(((C908*'Appendix K'!$C$6*1000)-('Appendix K'!$E$32+'Appendix K'!$F$32+'Appendix K'!$H$32+'Appendix K'!$G$32))/((1+$Y$16)^2))</f>
        <v>13155009.972082769</v>
      </c>
      <c r="AA908" s="193">
        <f>(((D908*'Appendix K'!$C$7*1000)-('Appendix K'!$E$33+'Appendix K'!$F$33+'Appendix K'!$H$33+'Appendix K'!$G$33))/((1+$Y$16)^3))</f>
        <v>8659948.6939686872</v>
      </c>
      <c r="AB908" s="193">
        <f>(((E908*'Appendix K'!$C$8*1000)-('Appendix K'!$E$34+'Appendix K'!$F$34+'Appendix K'!$H$34+'Appendix K'!$G$34))/((1+$Y$16)^4))</f>
        <v>14615504.963768996</v>
      </c>
      <c r="AC908" s="193">
        <f>(((F908*'Appendix K'!$C$9*1000)-('Appendix K'!$E$35+'Appendix K'!$F$35+'Appendix K'!$H$35+'Appendix K'!$G$35))/((1+$Y$16)^AC$34))</f>
        <v>24101667.201991711</v>
      </c>
      <c r="AD908" s="193">
        <f>(((G908*'Appendix K'!$C$10*1000)-('Appendix K'!$E$36+'Appendix K'!$F$36+'Appendix K'!$H$36+'Appendix K'!$G$36))/((1+$Y$16)^AD$34))</f>
        <v>15083802.174204024</v>
      </c>
      <c r="AE908" s="193">
        <f>(((H908*'Appendix K'!$C$11*1000)-('Appendix K'!$E$37+'Appendix K'!$F$37+'Appendix K'!$H$37+'Appendix K'!$G$37))/((1+$Y$16)^AE$34))</f>
        <v>10740392.460322861</v>
      </c>
      <c r="AF908" s="193">
        <f>(((I908*'Appendix K'!$C$12*1000)-('Appendix K'!$E$38+'Appendix K'!$F$38+'Appendix K'!$H$38+'Appendix K'!$G$38))/((1+$Y$16)^AF$34))</f>
        <v>8508128.5773009937</v>
      </c>
      <c r="AG908" s="193">
        <f>(((J908*'Appendix K'!$C$13*1000)-('Appendix K'!$E$39+'Appendix K'!$F$39+'Appendix K'!$H$39+'Appendix K'!$G$39))/((1+$Y$16)^AG$34))</f>
        <v>3502906.1243735533</v>
      </c>
      <c r="AH908" s="193">
        <f>(((K908*'Appendix K'!$C$14*1000)-('Appendix K'!$E$40+'Appendix K'!$F$40+'Appendix K'!$H$40+'Appendix K'!$G$40))/((1+$Y$16)^AH$34))</f>
        <v>2624869.5900335889</v>
      </c>
      <c r="AI908" s="193">
        <f>(((L908*'Appendix K'!$C$15*1000)-('Appendix K'!$E$41+'Appendix K'!$F$41+'Appendix K'!$H$41+'Appendix K'!$G$41))/((1+$Y$16)^AI$34))</f>
        <v>2132420.2041257233</v>
      </c>
      <c r="AJ908" s="193">
        <f>(((M908*'Appendix K'!$C$16*1000)-('Appendix K'!$E$42+'Appendix K'!$F$42+'Appendix K'!$H$42+'Appendix K'!$G$42))/((1+$Y$16)^AJ$34))</f>
        <v>2503362.0251939208</v>
      </c>
      <c r="AK908" s="193">
        <f>(((N908*'Appendix K'!$C$17*1000)-('Appendix K'!$E$43+'Appendix K'!$F$43+'Appendix K'!$H$43))/((1+$Y$16)^AK$34))</f>
        <v>1985586.341235724</v>
      </c>
      <c r="AL908" s="193">
        <f>(((O908*'Appendix K'!$C$18*1000)-('Appendix K'!$E$44+'Appendix K'!$F$44+'Appendix K'!$H$44+'Appendix K'!$G$44))/((1+$Y$16)^AL$34))</f>
        <v>2462318.4393291972</v>
      </c>
      <c r="AM908" s="193">
        <f>(((P908*'Appendix K'!$C$19*1000)-('Appendix K'!$E$45+'Appendix K'!$F$45+'Appendix K'!$H$45+'Appendix K'!$G$45))/((1+$Y$16)^AM$34))</f>
        <v>3607599.9540230581</v>
      </c>
      <c r="AN908" s="193">
        <f>(((Q908*'Appendix K'!$C$20*1000)-('Appendix K'!$E$46+'Appendix K'!$F$46+'Appendix K'!$H$46+'Appendix K'!$G$46))/((1+$Y$16)^AN$34))</f>
        <v>2361522.5408829777</v>
      </c>
      <c r="AO908" s="193">
        <f>(((R908*'Appendix K'!$C$21*1000)-('Appendix K'!$E$47+'Appendix K'!$F$47+'Appendix K'!$H$47+'Appendix K'!$G$47))/((1+$Y$16)^AO$34))</f>
        <v>2112056.3146391152</v>
      </c>
      <c r="AP908" s="193">
        <f>(((S908*'Appendix K'!$C$22*1000)-('Appendix K'!$E$48+'Appendix K'!$F$48+'Appendix K'!$H$48+'Appendix K'!$G$48))/((1+$Y$16)^AP$34))</f>
        <v>1630406.4380253027</v>
      </c>
      <c r="AQ908" s="193">
        <f>(((T908*'Appendix K'!$C$23*1000)-('Appendix K'!$E$49+'Appendix K'!$F$49+'Appendix K'!$H$49+'Appendix K'!$G$49))/((1+$Y$16)^AQ$34))</f>
        <v>749557.06584770046</v>
      </c>
      <c r="AR908" s="193">
        <f>(((U908*'Appendix K'!$C$24*1000)-('Appendix K'!$E$50+'Appendix K'!$F$50+'Appendix K'!$H$50+'Appendix K'!$G$50))/((1+$Y$16)^AR$34))</f>
        <v>644806.5698730211</v>
      </c>
      <c r="AS908" s="209">
        <f t="shared" si="42"/>
        <v>122558028.17979521</v>
      </c>
      <c r="AU908" s="199">
        <f t="shared" si="41"/>
        <v>5.8159532060238251E-9</v>
      </c>
    </row>
    <row r="909" spans="1:47" x14ac:dyDescent="0.35">
      <c r="A909">
        <v>875</v>
      </c>
      <c r="B909" s="70">
        <v>56</v>
      </c>
      <c r="C909" s="70">
        <v>75.798356841027882</v>
      </c>
      <c r="D909" s="70">
        <v>83.656466958216626</v>
      </c>
      <c r="E909" s="70">
        <v>72.383630557226411</v>
      </c>
      <c r="F909" s="70">
        <v>41.682398198168187</v>
      </c>
      <c r="G909" s="70">
        <v>38.0183472550967</v>
      </c>
      <c r="H909" s="70">
        <v>32.230740951941357</v>
      </c>
      <c r="I909" s="70">
        <v>35.110510617404699</v>
      </c>
      <c r="J909" s="70">
        <v>50.622150706943742</v>
      </c>
      <c r="K909" s="70">
        <v>36.341501462441016</v>
      </c>
      <c r="L909" s="70">
        <v>50.977236248390426</v>
      </c>
      <c r="M909" s="70">
        <v>44.694044770051207</v>
      </c>
      <c r="N909" s="70">
        <v>50.810819343579603</v>
      </c>
      <c r="O909" s="70">
        <v>63.629457800856848</v>
      </c>
      <c r="P909" s="70">
        <v>48.328576536019298</v>
      </c>
      <c r="Q909" s="70">
        <v>43.996326967760304</v>
      </c>
      <c r="R909" s="70">
        <v>68.449541919153546</v>
      </c>
      <c r="S909" s="70">
        <v>38.274108281376805</v>
      </c>
      <c r="T909" s="70">
        <v>41.122728988702001</v>
      </c>
      <c r="U909" s="70">
        <v>42.357168531720347</v>
      </c>
      <c r="V909" s="70">
        <v>43.273556459949013</v>
      </c>
      <c r="X909" s="193">
        <f>((0-('Appendix K'!$I$30))/(1+$Y$16)^0)</f>
        <v>-33594902.4440751</v>
      </c>
      <c r="Y909" s="193">
        <f>(((B909*'Appendix K'!$C$5*1000)-('Appendix K'!$E$31+'Appendix K'!$F$31+'Appendix K'!$H$31+'Appendix K'!$G$31))/((1+$Y$16)^1))</f>
        <v>34971064.972647354</v>
      </c>
      <c r="Z909" s="193">
        <f>+(((C909*'Appendix K'!$C$6*1000)-('Appendix K'!$E$32+'Appendix K'!$F$32+'Appendix K'!$H$32+'Appendix K'!$G$32))/((1+$Y$16)^2))</f>
        <v>15660713.656859836</v>
      </c>
      <c r="AA909" s="193">
        <f>(((D909*'Appendix K'!$C$7*1000)-('Appendix K'!$E$33+'Appendix K'!$F$33+'Appendix K'!$H$33+'Appendix K'!$G$33))/((1+$Y$16)^3))</f>
        <v>7690833.7378416406</v>
      </c>
      <c r="AB909" s="193">
        <f>(((E909*'Appendix K'!$C$8*1000)-('Appendix K'!$E$34+'Appendix K'!$F$34+'Appendix K'!$H$34+'Appendix K'!$G$34))/((1+$Y$16)^4))</f>
        <v>12572621.320928041</v>
      </c>
      <c r="AC909" s="193">
        <f>(((F909*'Appendix K'!$C$9*1000)-('Appendix K'!$E$35+'Appendix K'!$F$35+'Appendix K'!$H$35+'Appendix K'!$G$35))/((1+$Y$16)^AC$34))</f>
        <v>8094887.4688032083</v>
      </c>
      <c r="AD909" s="193">
        <f>(((G909*'Appendix K'!$C$10*1000)-('Appendix K'!$E$36+'Appendix K'!$F$36+'Appendix K'!$H$36+'Appendix K'!$G$36))/((1+$Y$16)^AD$34))</f>
        <v>3454788.5052690008</v>
      </c>
      <c r="AE909" s="193">
        <f>(((H909*'Appendix K'!$C$11*1000)-('Appendix K'!$E$37+'Appendix K'!$F$37+'Appendix K'!$H$37+'Appendix K'!$G$37))/((1+$Y$16)^AE$34))</f>
        <v>994676.7127992101</v>
      </c>
      <c r="AF909" s="193">
        <f>(((I909*'Appendix K'!$C$12*1000)-('Appendix K'!$E$38+'Appendix K'!$F$38+'Appendix K'!$H$38+'Appendix K'!$G$38))/((1+$Y$16)^AF$34))</f>
        <v>308862.33107373596</v>
      </c>
      <c r="AG909" s="193">
        <f>(((J909*'Appendix K'!$C$13*1000)-('Appendix K'!$E$39+'Appendix K'!$F$39+'Appendix K'!$H$39+'Appendix K'!$G$39))/((1+$Y$16)^AG$34))</f>
        <v>514633.46851385228</v>
      </c>
      <c r="AH909" s="193">
        <f>(((K909*'Appendix K'!$C$14*1000)-('Appendix K'!$E$40+'Appendix K'!$F$40+'Appendix K'!$H$40+'Appendix K'!$G$40))/((1+$Y$16)^AH$34))</f>
        <v>-407795.36465710064</v>
      </c>
      <c r="AI909" s="193">
        <f>(((L909*'Appendix K'!$C$15*1000)-('Appendix K'!$E$41+'Appendix K'!$F$41+'Appendix K'!$H$41+'Appendix K'!$G$41))/((1+$Y$16)^AI$34))</f>
        <v>-180782.43072397361</v>
      </c>
      <c r="AJ909" s="193">
        <f>(((M909*'Appendix K'!$C$16*1000)-('Appendix K'!$E$42+'Appendix K'!$F$42+'Appendix K'!$H$42+'Appendix K'!$G$42))/((1+$Y$16)^AJ$34))</f>
        <v>-485798.85872008058</v>
      </c>
      <c r="AK909" s="193">
        <f>(((N909*'Appendix K'!$C$17*1000)-('Appendix K'!$E$43+'Appendix K'!$F$43+'Appendix K'!$H$43))/((1+$Y$16)^AK$34))</f>
        <v>-223606.39799618413</v>
      </c>
      <c r="AL909" s="193">
        <f>(((O909*'Appendix K'!$C$18*1000)-('Appendix K'!$E$44+'Appendix K'!$F$44+'Appendix K'!$H$44+'Appendix K'!$G$44))/((1+$Y$16)^AL$34))</f>
        <v>-380370.43925340334</v>
      </c>
      <c r="AM909" s="193">
        <f>(((P909*'Appendix K'!$C$19*1000)-('Appendix K'!$E$45+'Appendix K'!$F$45+'Appendix K'!$H$45+'Appendix K'!$G$45))/((1+$Y$16)^AM$34))</f>
        <v>-578821.32829855871</v>
      </c>
      <c r="AN909" s="193">
        <f>(((Q909*'Appendix K'!$C$20*1000)-('Appendix K'!$E$46+'Appendix K'!$F$46+'Appendix K'!$H$46+'Appendix K'!$G$46))/((1+$Y$16)^AN$34))</f>
        <v>-597341.8745238377</v>
      </c>
      <c r="AO909" s="193">
        <f>(((R909*'Appendix K'!$C$21*1000)-('Appendix K'!$E$47+'Appendix K'!$F$47+'Appendix K'!$H$47+'Appendix K'!$G$47))/((1+$Y$16)^AO$34))</f>
        <v>-438454.57033066062</v>
      </c>
      <c r="AP909" s="193">
        <f>(((S909*'Appendix K'!$C$22*1000)-('Appendix K'!$E$48+'Appendix K'!$F$48+'Appendix K'!$H$48+'Appendix K'!$G$48))/((1+$Y$16)^AP$34))</f>
        <v>-581130.99609601928</v>
      </c>
      <c r="AQ909" s="193">
        <f>(((T909*'Appendix K'!$C$23*1000)-('Appendix K'!$E$49+'Appendix K'!$F$49+'Appendix K'!$H$49+'Appendix K'!$G$49))/((1+$Y$16)^AQ$34))</f>
        <v>-532541.79793862347</v>
      </c>
      <c r="AR909" s="193">
        <f>(((U909*'Appendix K'!$C$24*1000)-('Appendix K'!$E$50+'Appendix K'!$F$50+'Appendix K'!$H$50+'Appendix K'!$G$50))/((1+$Y$16)^AR$34))</f>
        <v>-492897.59983665269</v>
      </c>
      <c r="AS909" s="209">
        <f t="shared" si="42"/>
        <v>50668179.730660774</v>
      </c>
      <c r="AU909" s="199">
        <f t="shared" si="41"/>
        <v>5.6870736067731379E-9</v>
      </c>
    </row>
    <row r="910" spans="1:47" x14ac:dyDescent="0.35">
      <c r="A910">
        <v>876</v>
      </c>
      <c r="B910" s="70">
        <v>56</v>
      </c>
      <c r="C910" s="70">
        <v>68.132223875094326</v>
      </c>
      <c r="D910" s="70">
        <v>77.015555733030581</v>
      </c>
      <c r="E910" s="70">
        <v>93.500506420463338</v>
      </c>
      <c r="F910" s="70">
        <v>82.24510318038061</v>
      </c>
      <c r="G910" s="70">
        <v>66.476865390832657</v>
      </c>
      <c r="H910" s="70">
        <v>35.035025995562904</v>
      </c>
      <c r="I910" s="70">
        <v>33.210050219865757</v>
      </c>
      <c r="J910" s="70">
        <v>31.428675379397891</v>
      </c>
      <c r="K910" s="70">
        <v>41.983085098230092</v>
      </c>
      <c r="L910" s="70">
        <v>64.845883915040318</v>
      </c>
      <c r="M910" s="70">
        <v>94.05054776914487</v>
      </c>
      <c r="N910" s="70">
        <v>106.78590968990613</v>
      </c>
      <c r="O910" s="70">
        <v>166.31278405747713</v>
      </c>
      <c r="P910" s="70">
        <v>130.99592590024139</v>
      </c>
      <c r="Q910" s="70">
        <v>188.43440348766006</v>
      </c>
      <c r="R910" s="70">
        <v>344.61323992101291</v>
      </c>
      <c r="S910" s="70">
        <v>448.88690953821811</v>
      </c>
      <c r="T910" s="70">
        <v>362.79695997840014</v>
      </c>
      <c r="U910" s="70">
        <v>310.98470905712043</v>
      </c>
      <c r="V910" s="70">
        <v>467.58507729421376</v>
      </c>
      <c r="X910" s="193">
        <f>((0-('Appendix K'!$I$30))/(1+$Y$16)^0)</f>
        <v>-33594902.4440751</v>
      </c>
      <c r="Y910" s="193">
        <f>(((B910*'Appendix K'!$C$5*1000)-('Appendix K'!$E$31+'Appendix K'!$F$31+'Appendix K'!$H$31+'Appendix K'!$G$31))/((1+$Y$16)^1))</f>
        <v>34971064.972647354</v>
      </c>
      <c r="Z910" s="193">
        <f>+(((C910*'Appendix K'!$C$6*1000)-('Appendix K'!$E$32+'Appendix K'!$F$32+'Appendix K'!$H$32+'Appendix K'!$G$32))/((1+$Y$16)^2))</f>
        <v>13724117.354841648</v>
      </c>
      <c r="AA910" s="193">
        <f>(((D910*'Appendix K'!$C$7*1000)-('Appendix K'!$E$33+'Appendix K'!$F$33+'Appendix K'!$H$33+'Appendix K'!$G$33))/((1+$Y$16)^3))</f>
        <v>6844948.5181896789</v>
      </c>
      <c r="AB910" s="193">
        <f>(((E910*'Appendix K'!$C$8*1000)-('Appendix K'!$E$34+'Appendix K'!$F$34+'Appendix K'!$H$34+'Appendix K'!$G$34))/((1+$Y$16)^4))</f>
        <v>17201247.203756854</v>
      </c>
      <c r="AC910" s="193">
        <f>(((F910*'Appendix K'!$C$9*1000)-('Appendix K'!$E$35+'Appendix K'!$F$35+'Appendix K'!$H$35+'Appendix K'!$G$35))/((1+$Y$16)^AC$34))</f>
        <v>18876390.758198403</v>
      </c>
      <c r="AD910" s="193">
        <f>(((G910*'Appendix K'!$C$10*1000)-('Appendix K'!$E$36+'Appendix K'!$F$36+'Appendix K'!$H$36+'Appendix K'!$G$36))/((1+$Y$16)^AD$34))</f>
        <v>7924026.64760378</v>
      </c>
      <c r="AE910" s="193">
        <f>(((H910*'Appendix K'!$C$11*1000)-('Appendix K'!$E$37+'Appendix K'!$F$37+'Appendix K'!$H$37+'Appendix K'!$G$37))/((1+$Y$16)^AE$34))</f>
        <v>1274369.4536316372</v>
      </c>
      <c r="AF910" s="193">
        <f>(((I910*'Appendix K'!$C$12*1000)-('Appendix K'!$E$38+'Appendix K'!$F$38+'Appendix K'!$H$38+'Appendix K'!$G$38))/((1+$Y$16)^AF$34))</f>
        <v>184073.48887975255</v>
      </c>
      <c r="AG910" s="193">
        <f>(((J910*'Appendix K'!$C$13*1000)-('Appendix K'!$E$39+'Appendix K'!$F$39+'Appendix K'!$H$39+'Appendix K'!$G$39))/((1+$Y$16)^AG$34))</f>
        <v>-368629.77821090713</v>
      </c>
      <c r="AH910" s="193">
        <f>(((K910*'Appendix K'!$C$14*1000)-('Appendix K'!$E$40+'Appendix K'!$F$40+'Appendix K'!$H$40+'Appendix K'!$G$40))/((1+$Y$16)^AH$34))</f>
        <v>-217637.17489028891</v>
      </c>
      <c r="AI910" s="193">
        <f>(((L910*'Appendix K'!$C$15*1000)-('Appendix K'!$E$41+'Appendix K'!$F$41+'Appendix K'!$H$41+'Appendix K'!$G$41))/((1+$Y$16)^AI$34))</f>
        <v>182602.07264056057</v>
      </c>
      <c r="AJ910" s="193">
        <f>(((M910*'Appendix K'!$C$16*1000)-('Appendix K'!$E$42+'Appendix K'!$F$42+'Appendix K'!$H$42+'Appendix K'!$G$42))/((1+$Y$16)^AJ$34))</f>
        <v>503397.60888443858</v>
      </c>
      <c r="AK910" s="193">
        <f>(((N910*'Appendix K'!$C$17*1000)-('Appendix K'!$E$43+'Appendix K'!$F$43+'Appendix K'!$H$43))/((1+$Y$16)^AK$34))</f>
        <v>636389.15054588765</v>
      </c>
      <c r="AL910" s="193">
        <f>(((O910*'Appendix K'!$C$18*1000)-('Appendix K'!$E$44+'Appendix K'!$F$44+'Appendix K'!$H$44+'Appendix K'!$G$44))/((1+$Y$16)^AL$34))</f>
        <v>836765.24165337672</v>
      </c>
      <c r="AM910" s="193">
        <f>(((P910*'Appendix K'!$C$19*1000)-('Appendix K'!$E$45+'Appendix K'!$F$45+'Appendix K'!$H$45+'Appendix K'!$G$45))/((1+$Y$16)^AM$34))</f>
        <v>187400.16093651226</v>
      </c>
      <c r="AN910" s="193">
        <f>(((Q910*'Appendix K'!$C$20*1000)-('Appendix K'!$E$46+'Appendix K'!$F$46+'Appendix K'!$H$46+'Appendix K'!$G$46))/((1+$Y$16)^AN$34))</f>
        <v>447843.37447640183</v>
      </c>
      <c r="AO910" s="193">
        <f>(((R910*'Appendix K'!$C$21*1000)-('Appendix K'!$E$47+'Appendix K'!$F$47+'Appendix K'!$H$47+'Appendix K'!$G$47))/((1+$Y$16)^AO$34))</f>
        <v>1193703.3954367954</v>
      </c>
      <c r="AP910" s="193">
        <f>(((S910*'Appendix K'!$C$22*1000)-('Appendix K'!$E$48+'Appendix K'!$F$48+'Appendix K'!$H$48+'Appendix K'!$G$48))/((1+$Y$16)^AP$34))</f>
        <v>1385589.0800272243</v>
      </c>
      <c r="AQ910" s="193">
        <f>(((T910*'Appendix K'!$C$23*1000)-('Appendix K'!$E$49+'Appendix K'!$F$49+'Appendix K'!$H$49+'Appendix K'!$G$49))/((1+$Y$16)^AQ$34))</f>
        <v>726408.79143994243</v>
      </c>
      <c r="AR910" s="193">
        <f>(((U910*'Appendix K'!$C$24*1000)-('Appendix K'!$E$50+'Appendix K'!$F$50+'Appendix K'!$H$50+'Appendix K'!$G$50))/((1+$Y$16)^AR$34))</f>
        <v>372090.60729220154</v>
      </c>
      <c r="AS910" s="209">
        <f t="shared" si="42"/>
        <v>73877525.437007338</v>
      </c>
      <c r="AU910" s="199">
        <f t="shared" si="41"/>
        <v>6.8266487584499662E-9</v>
      </c>
    </row>
    <row r="911" spans="1:47" x14ac:dyDescent="0.35">
      <c r="A911">
        <v>877</v>
      </c>
      <c r="B911" s="70">
        <v>56</v>
      </c>
      <c r="C911" s="70">
        <v>66.805489990964588</v>
      </c>
      <c r="D911" s="70">
        <v>74.842195067910168</v>
      </c>
      <c r="E911" s="70">
        <v>112.57513300240285</v>
      </c>
      <c r="F911" s="70">
        <v>117.6024080644346</v>
      </c>
      <c r="G911" s="70">
        <v>103.73421178053124</v>
      </c>
      <c r="H911" s="70">
        <v>131.23463685382254</v>
      </c>
      <c r="I911" s="70">
        <v>175.13017654480873</v>
      </c>
      <c r="J911" s="70">
        <v>131.13725789489962</v>
      </c>
      <c r="K911" s="70">
        <v>112.99388222739637</v>
      </c>
      <c r="L911" s="70">
        <v>108.34090010527606</v>
      </c>
      <c r="M911" s="70">
        <v>106.14251892303294</v>
      </c>
      <c r="N911" s="70">
        <v>141.1377146880242</v>
      </c>
      <c r="O911" s="70">
        <v>184.96997835968716</v>
      </c>
      <c r="P911" s="70">
        <v>208.69844868134754</v>
      </c>
      <c r="Q911" s="70">
        <v>258.29806531921486</v>
      </c>
      <c r="R911" s="70">
        <v>310.20445531271463</v>
      </c>
      <c r="S911" s="70">
        <v>399.39018767422624</v>
      </c>
      <c r="T911" s="70">
        <v>329.00590449338284</v>
      </c>
      <c r="U911" s="70">
        <v>407.8792701640416</v>
      </c>
      <c r="V911" s="70">
        <v>404.95545443522224</v>
      </c>
      <c r="X911" s="193">
        <f>((0-('Appendix K'!$I$30))/(1+$Y$16)^0)</f>
        <v>-33594902.4440751</v>
      </c>
      <c r="Y911" s="193">
        <f>(((B911*'Appendix K'!$C$5*1000)-('Appendix K'!$E$31+'Appendix K'!$F$31+'Appendix K'!$H$31+'Appendix K'!$G$31))/((1+$Y$16)^1))</f>
        <v>34971064.972647354</v>
      </c>
      <c r="Z911" s="193">
        <f>+(((C911*'Appendix K'!$C$6*1000)-('Appendix K'!$E$32+'Appendix K'!$F$32+'Appendix K'!$H$32+'Appendix K'!$G$32))/((1+$Y$16)^2))</f>
        <v>13388961.684416227</v>
      </c>
      <c r="AA911" s="193">
        <f>(((D911*'Appendix K'!$C$7*1000)-('Appendix K'!$E$33+'Appendix K'!$F$33+'Appendix K'!$H$33+'Appendix K'!$G$33))/((1+$Y$16)^3))</f>
        <v>6568116.9808810595</v>
      </c>
      <c r="AB911" s="193">
        <f>(((E911*'Appendix K'!$C$8*1000)-('Appendix K'!$E$34+'Appendix K'!$F$34+'Appendix K'!$H$34+'Appendix K'!$G$34))/((1+$Y$16)^4))</f>
        <v>21382230.739118051</v>
      </c>
      <c r="AC911" s="193">
        <f>(((F911*'Appendix K'!$C$9*1000)-('Appendix K'!$E$35+'Appendix K'!$F$35+'Appendix K'!$H$35+'Appendix K'!$G$35))/((1+$Y$16)^AC$34))</f>
        <v>28274306.875448052</v>
      </c>
      <c r="AD911" s="193">
        <f>(((G911*'Appendix K'!$C$10*1000)-('Appendix K'!$E$36+'Appendix K'!$F$36+'Appendix K'!$H$36+'Appendix K'!$G$36))/((1+$Y$16)^AD$34))</f>
        <v>13775067.547654275</v>
      </c>
      <c r="AE911" s="193">
        <f>(((H911*'Appendix K'!$C$11*1000)-('Appendix K'!$E$37+'Appendix K'!$F$37+'Appendix K'!$H$37+'Appendix K'!$G$37))/((1+$Y$16)^AE$34))</f>
        <v>10869090.535626847</v>
      </c>
      <c r="AF911" s="193">
        <f>(((I911*'Appendix K'!$C$12*1000)-('Appendix K'!$E$38+'Appendix K'!$F$38+'Appendix K'!$H$38+'Appendix K'!$G$38))/((1+$Y$16)^AF$34))</f>
        <v>9502893.4290624484</v>
      </c>
      <c r="AG911" s="193">
        <f>(((J911*'Appendix K'!$C$13*1000)-('Appendix K'!$E$39+'Appendix K'!$F$39+'Appendix K'!$H$39+'Appendix K'!$G$39))/((1+$Y$16)^AG$34))</f>
        <v>4219852.7564018825</v>
      </c>
      <c r="AH911" s="193">
        <f>(((K911*'Appendix K'!$C$14*1000)-('Appendix K'!$E$40+'Appendix K'!$F$40+'Appendix K'!$H$40+'Appendix K'!$G$40))/((1+$Y$16)^AH$34))</f>
        <v>2175890.1585198604</v>
      </c>
      <c r="AI911" s="193">
        <f>(((L911*'Appendix K'!$C$15*1000)-('Appendix K'!$E$41+'Appendix K'!$F$41+'Appendix K'!$H$41+'Appendix K'!$G$41))/((1+$Y$16)^AI$34))</f>
        <v>1322252.8329038455</v>
      </c>
      <c r="AJ911" s="193">
        <f>(((M911*'Appendix K'!$C$16*1000)-('Appendix K'!$E$42+'Appendix K'!$F$42+'Appendix K'!$H$42+'Appendix K'!$G$42))/((1+$Y$16)^AJ$34))</f>
        <v>745743.28625184577</v>
      </c>
      <c r="AK911" s="193">
        <f>(((N911*'Appendix K'!$C$17*1000)-('Appendix K'!$E$43+'Appendix K'!$F$43+'Appendix K'!$H$43))/((1+$Y$16)^AK$34))</f>
        <v>1164166.7601930259</v>
      </c>
      <c r="AL911" s="193">
        <f>(((O911*'Appendix K'!$C$18*1000)-('Appendix K'!$E$44+'Appendix K'!$F$44+'Appendix K'!$H$44+'Appendix K'!$G$44))/((1+$Y$16)^AL$34))</f>
        <v>1057914.4556365618</v>
      </c>
      <c r="AM911" s="193">
        <f>(((P911*'Appendix K'!$C$19*1000)-('Appendix K'!$E$45+'Appendix K'!$F$45+'Appendix K'!$H$45+'Appendix K'!$G$45))/((1+$Y$16)^AM$34))</f>
        <v>907604.00417753647</v>
      </c>
      <c r="AN911" s="193">
        <f>(((Q911*'Appendix K'!$C$20*1000)-('Appendix K'!$E$46+'Appendix K'!$F$46+'Appendix K'!$H$46+'Appendix K'!$G$46))/((1+$Y$16)^AN$34))</f>
        <v>953391.98428097693</v>
      </c>
      <c r="AO911" s="193">
        <f>(((R911*'Appendix K'!$C$21*1000)-('Appendix K'!$E$47+'Appendix K'!$F$47+'Appendix K'!$H$47+'Appendix K'!$G$47))/((1+$Y$16)^AO$34))</f>
        <v>990343.67691784468</v>
      </c>
      <c r="AP911" s="193">
        <f>(((S911*'Appendix K'!$C$22*1000)-('Appendix K'!$E$48+'Appendix K'!$F$48+'Appendix K'!$H$48+'Appendix K'!$G$48))/((1+$Y$16)^AP$34))</f>
        <v>1148513.6739652725</v>
      </c>
      <c r="AQ911" s="193">
        <f>(((T911*'Appendix K'!$C$23*1000)-('Appendix K'!$E$49+'Appendix K'!$F$49+'Appendix K'!$H$49+'Appendix K'!$G$49))/((1+$Y$16)^AQ$34))</f>
        <v>594159.25100364711</v>
      </c>
      <c r="AR911" s="193">
        <f>(((U911*'Appendix K'!$C$24*1000)-('Appendix K'!$E$50+'Appendix K'!$F$50+'Appendix K'!$H$50+'Appendix K'!$G$50))/((1+$Y$16)^AR$34))</f>
        <v>684093.80893149169</v>
      </c>
      <c r="AS911" s="209">
        <f t="shared" si="42"/>
        <v>121100756.96996301</v>
      </c>
      <c r="AU911" s="199">
        <f t="shared" si="41"/>
        <v>5.9066851736340764E-9</v>
      </c>
    </row>
    <row r="912" spans="1:47" x14ac:dyDescent="0.35">
      <c r="A912">
        <v>878</v>
      </c>
      <c r="B912" s="70">
        <v>56</v>
      </c>
      <c r="C912" s="70">
        <v>57.800108663949295</v>
      </c>
      <c r="D912" s="70">
        <v>59.922278117860373</v>
      </c>
      <c r="E912" s="70">
        <v>56.870323173891457</v>
      </c>
      <c r="F912" s="70">
        <v>78.594382429190773</v>
      </c>
      <c r="G912" s="70">
        <v>90.644396352433446</v>
      </c>
      <c r="H912" s="70">
        <v>136.16237987145803</v>
      </c>
      <c r="I912" s="70">
        <v>212.5089081615892</v>
      </c>
      <c r="J912" s="70">
        <v>206.09950426784357</v>
      </c>
      <c r="K912" s="70">
        <v>205.10142437848688</v>
      </c>
      <c r="L912" s="70">
        <v>236.82382286530469</v>
      </c>
      <c r="M912" s="70">
        <v>226.80635914831234</v>
      </c>
      <c r="N912" s="70">
        <v>282.26787590982582</v>
      </c>
      <c r="O912" s="70">
        <v>229.68116737734718</v>
      </c>
      <c r="P912" s="70">
        <v>137.90060852905083</v>
      </c>
      <c r="Q912" s="70">
        <v>104.41766144605938</v>
      </c>
      <c r="R912" s="70">
        <v>83.118494425174703</v>
      </c>
      <c r="S912" s="70">
        <v>92.784130394772575</v>
      </c>
      <c r="T912" s="70">
        <v>109.84324879374026</v>
      </c>
      <c r="U912" s="70">
        <v>110.66599841408333</v>
      </c>
      <c r="V912" s="70">
        <v>116.80795455275953</v>
      </c>
      <c r="X912" s="193">
        <f>((0-('Appendix K'!$I$30))/(1+$Y$16)^0)</f>
        <v>-33594902.4440751</v>
      </c>
      <c r="Y912" s="193">
        <f>(((B912*'Appendix K'!$C$5*1000)-('Appendix K'!$E$31+'Appendix K'!$F$31+'Appendix K'!$H$31+'Appendix K'!$G$31))/((1+$Y$16)^1))</f>
        <v>34971064.972647354</v>
      </c>
      <c r="Z912" s="193">
        <f>+(((C912*'Appendix K'!$C$6*1000)-('Appendix K'!$E$32+'Appendix K'!$F$32+'Appendix K'!$H$32+'Appendix K'!$G$32))/((1+$Y$16)^2))</f>
        <v>11114048.341057887</v>
      </c>
      <c r="AA912" s="193">
        <f>(((D912*'Appendix K'!$C$7*1000)-('Appendix K'!$E$33+'Appendix K'!$F$33+'Appendix K'!$H$33+'Appendix K'!$G$33))/((1+$Y$16)^3))</f>
        <v>4667694.4637695812</v>
      </c>
      <c r="AB912" s="193">
        <f>(((E912*'Appendix K'!$C$8*1000)-('Appendix K'!$E$34+'Appendix K'!$F$34+'Appendix K'!$H$34+'Appendix K'!$G$34))/((1+$Y$16)^4))</f>
        <v>9172246.353161538</v>
      </c>
      <c r="AC912" s="193">
        <f>(((F912*'Appendix K'!$C$9*1000)-('Appendix K'!$E$35+'Appendix K'!$F$35+'Appendix K'!$H$35+'Appendix K'!$G$35))/((1+$Y$16)^AC$34))</f>
        <v>17906034.915192448</v>
      </c>
      <c r="AD912" s="193">
        <f>(((G912*'Appendix K'!$C$10*1000)-('Appendix K'!$E$36+'Appendix K'!$F$36+'Appendix K'!$H$36+'Appendix K'!$G$36))/((1+$Y$16)^AD$34))</f>
        <v>11719391.208206533</v>
      </c>
      <c r="AE912" s="193">
        <f>(((H912*'Appendix K'!$C$11*1000)-('Appendix K'!$E$37+'Appendix K'!$F$37+'Appendix K'!$H$37+'Appendix K'!$G$37))/((1+$Y$16)^AE$34))</f>
        <v>11360571.93972135</v>
      </c>
      <c r="AF912" s="193">
        <f>(((I912*'Appendix K'!$C$12*1000)-('Appendix K'!$E$38+'Appendix K'!$F$38+'Appendix K'!$H$38+'Appendix K'!$G$38))/((1+$Y$16)^AF$34))</f>
        <v>11957271.666661097</v>
      </c>
      <c r="AG912" s="193">
        <f>(((J912*'Appendix K'!$C$13*1000)-('Appendix K'!$E$39+'Appendix K'!$F$39+'Appendix K'!$H$39+'Appendix K'!$G$39))/((1+$Y$16)^AG$34))</f>
        <v>7669535.3169188593</v>
      </c>
      <c r="AH912" s="193">
        <f>(((K912*'Appendix K'!$C$14*1000)-('Appendix K'!$E$40+'Appendix K'!$F$40+'Appendix K'!$H$40+'Appendix K'!$G$40))/((1+$Y$16)^AH$34))</f>
        <v>5280515.4924792824</v>
      </c>
      <c r="AI912" s="193">
        <f>(((L912*'Appendix K'!$C$15*1000)-('Appendix K'!$E$41+'Appendix K'!$F$41+'Appendix K'!$H$41+'Appendix K'!$G$41))/((1+$Y$16)^AI$34))</f>
        <v>4688745.6734602954</v>
      </c>
      <c r="AJ912" s="193">
        <f>(((M912*'Appendix K'!$C$16*1000)-('Appendix K'!$E$42+'Appendix K'!$F$42+'Appendix K'!$H$42+'Appendix K'!$G$42))/((1+$Y$16)^AJ$34))</f>
        <v>3164071.9210952478</v>
      </c>
      <c r="AK912" s="193">
        <f>(((N912*'Appendix K'!$C$17*1000)-('Appendix K'!$E$43+'Appendix K'!$F$43+'Appendix K'!$H$43))/((1+$Y$16)^AK$34))</f>
        <v>3332476.086088371</v>
      </c>
      <c r="AL912" s="193">
        <f>(((O912*'Appendix K'!$C$18*1000)-('Appendix K'!$E$44+'Appendix K'!$F$44+'Appendix K'!$H$44+'Appendix K'!$G$44))/((1+$Y$16)^AL$34))</f>
        <v>1587889.3354253124</v>
      </c>
      <c r="AM912" s="193">
        <f>(((P912*'Appendix K'!$C$19*1000)-('Appendix K'!$E$45+'Appendix K'!$F$45+'Appendix K'!$H$45+'Appendix K'!$G$45))/((1+$Y$16)^AM$34))</f>
        <v>251397.81233371072</v>
      </c>
      <c r="AN912" s="193">
        <f>(((Q912*'Appendix K'!$C$20*1000)-('Appendix K'!$E$46+'Appendix K'!$F$46+'Appendix K'!$H$46+'Appendix K'!$G$46))/((1+$Y$16)^AN$34))</f>
        <v>-160119.99340215733</v>
      </c>
      <c r="AO912" s="193">
        <f>(((R912*'Appendix K'!$C$21*1000)-('Appendix K'!$E$47+'Appendix K'!$F$47+'Appendix K'!$H$47+'Appendix K'!$G$47))/((1+$Y$16)^AO$34))</f>
        <v>-351759.44039361255</v>
      </c>
      <c r="AP912" s="193">
        <f>(((S912*'Appendix K'!$C$22*1000)-('Appendix K'!$E$48+'Appendix K'!$F$48+'Appendix K'!$H$48+'Appendix K'!$G$48))/((1+$Y$16)^AP$34))</f>
        <v>-320043.28886382486</v>
      </c>
      <c r="AQ912" s="193">
        <f>(((T912*'Appendix K'!$C$23*1000)-('Appendix K'!$E$49+'Appendix K'!$F$49+'Appendix K'!$H$49+'Appendix K'!$G$49))/((1+$Y$16)^AQ$34))</f>
        <v>-263587.27632596414</v>
      </c>
      <c r="AR912" s="193">
        <f>(((U912*'Appendix K'!$C$24*1000)-('Appendix K'!$E$50+'Appendix K'!$F$50+'Appendix K'!$H$50+'Appendix K'!$G$50))/((1+$Y$16)^AR$34))</f>
        <v>-272941.25368000026</v>
      </c>
      <c r="AS912" s="209">
        <f t="shared" si="42"/>
        <v>105248053.05414376</v>
      </c>
      <c r="AU912" s="199">
        <f t="shared" si="41"/>
        <v>6.6984867275295132E-9</v>
      </c>
    </row>
    <row r="913" spans="1:47" x14ac:dyDescent="0.35">
      <c r="A913">
        <v>879</v>
      </c>
      <c r="B913" s="70">
        <v>56</v>
      </c>
      <c r="C913" s="70">
        <v>55.326550058339038</v>
      </c>
      <c r="D913" s="70">
        <v>62.689327007664239</v>
      </c>
      <c r="E913" s="70">
        <v>57.864238591421262</v>
      </c>
      <c r="F913" s="70">
        <v>41.800669672664789</v>
      </c>
      <c r="G913" s="70">
        <v>31.568967319788882</v>
      </c>
      <c r="H913" s="70">
        <v>38.414496205300509</v>
      </c>
      <c r="I913" s="70">
        <v>33.468273928480897</v>
      </c>
      <c r="J913" s="70">
        <v>47.809089595193036</v>
      </c>
      <c r="K913" s="70">
        <v>49.845307748930857</v>
      </c>
      <c r="L913" s="70">
        <v>67.844997072323395</v>
      </c>
      <c r="M913" s="70">
        <v>73.296821584705938</v>
      </c>
      <c r="N913" s="70">
        <v>58.372630438095392</v>
      </c>
      <c r="O913" s="70">
        <v>40.715046264803775</v>
      </c>
      <c r="P913" s="70">
        <v>67.533567091597632</v>
      </c>
      <c r="Q913" s="70">
        <v>73.608347454385367</v>
      </c>
      <c r="R913" s="70">
        <v>37.687097780263286</v>
      </c>
      <c r="S913" s="70">
        <v>26.971021635216019</v>
      </c>
      <c r="T913" s="70">
        <v>35.289497936748511</v>
      </c>
      <c r="U913" s="70">
        <v>44.828322835673802</v>
      </c>
      <c r="V913" s="70">
        <v>44.065284009869735</v>
      </c>
      <c r="X913" s="193">
        <f>((0-('Appendix K'!$I$30))/(1+$Y$16)^0)</f>
        <v>-33594902.4440751</v>
      </c>
      <c r="Y913" s="193">
        <f>(((B913*'Appendix K'!$C$5*1000)-('Appendix K'!$E$31+'Appendix K'!$F$31+'Appendix K'!$H$31+'Appendix K'!$G$31))/((1+$Y$16)^1))</f>
        <v>34971064.972647354</v>
      </c>
      <c r="Z913" s="193">
        <f>+(((C913*'Appendix K'!$C$6*1000)-('Appendix K'!$E$32+'Appendix K'!$F$32+'Appendix K'!$H$32+'Appendix K'!$G$32))/((1+$Y$16)^2))</f>
        <v>10489185.13170097</v>
      </c>
      <c r="AA913" s="193">
        <f>(((D913*'Appendix K'!$C$7*1000)-('Appendix K'!$E$33+'Appendix K'!$F$33+'Appendix K'!$H$33+'Appendix K'!$G$33))/((1+$Y$16)^3))</f>
        <v>5020146.9629179789</v>
      </c>
      <c r="AB913" s="193">
        <f>(((E913*'Appendix K'!$C$8*1000)-('Appendix K'!$E$34+'Appendix K'!$F$34+'Appendix K'!$H$34+'Appendix K'!$G$34))/((1+$Y$16)^4))</f>
        <v>9390103.5142641496</v>
      </c>
      <c r="AC913" s="193">
        <f>(((F913*'Appendix K'!$C$9*1000)-('Appendix K'!$E$35+'Appendix K'!$F$35+'Appendix K'!$H$35+'Appendix K'!$G$35))/((1+$Y$16)^AC$34))</f>
        <v>8126323.8410048634</v>
      </c>
      <c r="AD913" s="193">
        <f>(((G913*'Appendix K'!$C$10*1000)-('Appendix K'!$E$36+'Appendix K'!$F$36+'Appendix K'!$H$36+'Appendix K'!$G$36))/((1+$Y$16)^AD$34))</f>
        <v>2441952.3953982042</v>
      </c>
      <c r="AE913" s="193">
        <f>(((H913*'Appendix K'!$C$11*1000)-('Appendix K'!$E$37+'Appendix K'!$F$37+'Appendix K'!$H$37+'Appendix K'!$G$37))/((1+$Y$16)^AE$34))</f>
        <v>1611429.7990743981</v>
      </c>
      <c r="AF913" s="193">
        <f>(((I913*'Appendix K'!$C$12*1000)-('Appendix K'!$E$38+'Appendix K'!$F$38+'Appendix K'!$H$38+'Appendix K'!$G$38))/((1+$Y$16)^AF$34))</f>
        <v>201029.0843064448</v>
      </c>
      <c r="AG913" s="193">
        <f>(((J913*'Appendix K'!$C$13*1000)-('Appendix K'!$E$39+'Appendix K'!$F$39+'Appendix K'!$H$39+'Appendix K'!$G$39))/((1+$Y$16)^AG$34))</f>
        <v>385179.39891999541</v>
      </c>
      <c r="AH913" s="193">
        <f>(((K913*'Appendix K'!$C$14*1000)-('Appendix K'!$E$40+'Appendix K'!$F$40+'Appendix K'!$H$40+'Appendix K'!$G$40))/((1+$Y$16)^AH$34))</f>
        <v>47371.043248405353</v>
      </c>
      <c r="AI913" s="193">
        <f>(((L913*'Appendix K'!$C$15*1000)-('Appendix K'!$E$41+'Appendix K'!$F$41+'Appendix K'!$H$41+'Appendix K'!$G$41))/((1+$Y$16)^AI$34))</f>
        <v>261184.44573048194</v>
      </c>
      <c r="AJ913" s="193">
        <f>(((M913*'Appendix K'!$C$16*1000)-('Appendix K'!$E$42+'Appendix K'!$F$42+'Appendix K'!$H$42+'Appendix K'!$G$42))/((1+$Y$16)^AJ$34))</f>
        <v>87454.189399160299</v>
      </c>
      <c r="AK913" s="193">
        <f>(((N913*'Appendix K'!$C$17*1000)-('Appendix K'!$E$43+'Appendix K'!$F$43+'Appendix K'!$H$43))/((1+$Y$16)^AK$34))</f>
        <v>-107427.50770831137</v>
      </c>
      <c r="AL913" s="193">
        <f>(((O913*'Appendix K'!$C$18*1000)-('Appendix K'!$E$44+'Appendix K'!$F$44+'Appendix K'!$H$44+'Appendix K'!$G$44))/((1+$Y$16)^AL$34))</f>
        <v>-651981.70180455188</v>
      </c>
      <c r="AM913" s="193">
        <f>(((P913*'Appendix K'!$C$19*1000)-('Appendix K'!$E$45+'Appendix K'!$F$45+'Appendix K'!$H$45+'Appendix K'!$G$45))/((1+$Y$16)^AM$34))</f>
        <v>-400815.42176577495</v>
      </c>
      <c r="AN913" s="193">
        <f>(((Q913*'Appendix K'!$C$20*1000)-('Appendix K'!$E$46+'Appendix K'!$F$46+'Appendix K'!$H$46+'Appendix K'!$G$46))/((1+$Y$16)^AN$34))</f>
        <v>-383062.87170528871</v>
      </c>
      <c r="AO913" s="193">
        <f>(((R913*'Appendix K'!$C$21*1000)-('Appendix K'!$E$47+'Appendix K'!$F$47+'Appendix K'!$H$47+'Appendix K'!$G$47))/((1+$Y$16)^AO$34))</f>
        <v>-620264.01382756827</v>
      </c>
      <c r="AP913" s="193">
        <f>(((S913*'Appendix K'!$C$22*1000)-('Appendix K'!$E$48+'Appendix K'!$F$48+'Appendix K'!$H$48+'Appendix K'!$G$48))/((1+$Y$16)^AP$34))</f>
        <v>-635269.60882587405</v>
      </c>
      <c r="AQ913" s="193">
        <f>(((T913*'Appendix K'!$C$23*1000)-('Appendix K'!$E$49+'Appendix K'!$F$49+'Appendix K'!$H$49+'Appendix K'!$G$49))/((1+$Y$16)^AQ$34))</f>
        <v>-555371.57093052159</v>
      </c>
      <c r="AR913" s="193">
        <f>(((U913*'Appendix K'!$C$24*1000)-('Appendix K'!$E$50+'Appendix K'!$F$50+'Appendix K'!$H$50+'Appendix K'!$G$50))/((1+$Y$16)^AR$34))</f>
        <v>-484940.41373899963</v>
      </c>
      <c r="AS913" s="209">
        <f t="shared" si="42"/>
        <v>39437522.33453729</v>
      </c>
      <c r="AU913" s="199">
        <f t="shared" si="41"/>
        <v>4.9026375743740302E-9</v>
      </c>
    </row>
    <row r="914" spans="1:47" x14ac:dyDescent="0.35">
      <c r="A914">
        <v>880</v>
      </c>
      <c r="B914" s="70">
        <v>56</v>
      </c>
      <c r="C914" s="70">
        <v>68.796283655901618</v>
      </c>
      <c r="D914" s="70">
        <v>80.064478528237359</v>
      </c>
      <c r="E914" s="70">
        <v>75.745737102734438</v>
      </c>
      <c r="F914" s="70">
        <v>129.43204094879843</v>
      </c>
      <c r="G914" s="70">
        <v>132.27639426947147</v>
      </c>
      <c r="H914" s="70">
        <v>139.91862257235033</v>
      </c>
      <c r="I914" s="70">
        <v>158.81702038435981</v>
      </c>
      <c r="J914" s="70">
        <v>200.97297421682561</v>
      </c>
      <c r="K914" s="70">
        <v>325.20017826693879</v>
      </c>
      <c r="L914" s="70">
        <v>437.39516238818385</v>
      </c>
      <c r="M914" s="70">
        <v>494.00641395698125</v>
      </c>
      <c r="N914" s="70">
        <v>500</v>
      </c>
      <c r="O914" s="70">
        <v>346.12934648645103</v>
      </c>
      <c r="P914" s="70">
        <v>377.74224338376223</v>
      </c>
      <c r="Q914" s="70">
        <v>285.61581742945066</v>
      </c>
      <c r="R914" s="70">
        <v>500</v>
      </c>
      <c r="S914" s="70">
        <v>500</v>
      </c>
      <c r="T914" s="70">
        <v>410.28199265195286</v>
      </c>
      <c r="U914" s="70">
        <v>500</v>
      </c>
      <c r="V914" s="70">
        <v>265.39904027291635</v>
      </c>
      <c r="X914" s="193">
        <f>((0-('Appendix K'!$I$30))/(1+$Y$16)^0)</f>
        <v>-33594902.4440751</v>
      </c>
      <c r="Y914" s="193">
        <f>(((B914*'Appendix K'!$C$5*1000)-('Appendix K'!$E$31+'Appendix K'!$F$31+'Appendix K'!$H$31+'Appendix K'!$G$31))/((1+$Y$16)^1))</f>
        <v>34971064.972647354</v>
      </c>
      <c r="Z914" s="193">
        <f>+(((C914*'Appendix K'!$C$6*1000)-('Appendix K'!$E$32+'Appendix K'!$F$32+'Appendix K'!$H$32+'Appendix K'!$G$32))/((1+$Y$16)^2))</f>
        <v>13891870.2129704</v>
      </c>
      <c r="AA914" s="193">
        <f>(((D914*'Appendix K'!$C$7*1000)-('Appendix K'!$E$33+'Appendix K'!$F$33+'Appendix K'!$H$33+'Appendix K'!$G$33))/((1+$Y$16)^3))</f>
        <v>7233304.670059952</v>
      </c>
      <c r="AB914" s="193">
        <f>(((E914*'Appendix K'!$C$8*1000)-('Appendix K'!$E$34+'Appendix K'!$F$34+'Appendix K'!$H$34+'Appendix K'!$G$34))/((1+$Y$16)^4))</f>
        <v>13309564.298580287</v>
      </c>
      <c r="AC914" s="193">
        <f>(((F914*'Appendix K'!$C$9*1000)-('Appendix K'!$E$35+'Appendix K'!$F$35+'Appendix K'!$H$35+'Appendix K'!$G$35))/((1+$Y$16)^AC$34))</f>
        <v>31418604.720254898</v>
      </c>
      <c r="AD914" s="193">
        <f>(((G914*'Appendix K'!$C$10*1000)-('Appendix K'!$E$36+'Appendix K'!$F$36+'Appendix K'!$H$36+'Appendix K'!$G$36))/((1+$Y$16)^AD$34))</f>
        <v>18257444.670617308</v>
      </c>
      <c r="AE914" s="193">
        <f>(((H914*'Appendix K'!$C$11*1000)-('Appendix K'!$E$37+'Appendix K'!$F$37+'Appendix K'!$H$37+'Appendix K'!$G$37))/((1+$Y$16)^AE$34))</f>
        <v>11735210.680042693</v>
      </c>
      <c r="AF914" s="193">
        <f>(((I914*'Appendix K'!$C$12*1000)-('Appendix K'!$E$38+'Appendix K'!$F$38+'Appendix K'!$H$38+'Appendix K'!$G$38))/((1+$Y$16)^AF$34))</f>
        <v>8431732.0029005297</v>
      </c>
      <c r="AG914" s="193">
        <f>(((J914*'Appendix K'!$C$13*1000)-('Appendix K'!$E$39+'Appendix K'!$F$39+'Appendix K'!$H$39+'Appendix K'!$G$39))/((1+$Y$16)^AG$34))</f>
        <v>7433617.8762250608</v>
      </c>
      <c r="AH914" s="193">
        <f>(((K914*'Appendix K'!$C$14*1000)-('Appendix K'!$E$40+'Appendix K'!$F$40+'Appendix K'!$H$40+'Appendix K'!$G$40))/((1+$Y$16)^AH$34))</f>
        <v>9328627.3538012803</v>
      </c>
      <c r="AI914" s="193">
        <f>(((L914*'Appendix K'!$C$15*1000)-('Appendix K'!$E$41+'Appendix K'!$F$41+'Appendix K'!$H$41+'Appendix K'!$G$41))/((1+$Y$16)^AI$34))</f>
        <v>9944089.8392037991</v>
      </c>
      <c r="AJ914" s="193">
        <f>(((M914*'Appendix K'!$C$16*1000)-('Appendix K'!$E$42+'Appendix K'!$F$42+'Appendix K'!$H$42+'Appendix K'!$G$42))/((1+$Y$16)^AJ$34))</f>
        <v>8519259.8760709651</v>
      </c>
      <c r="AK914" s="193">
        <f>(((N914*'Appendix K'!$C$17*1000)-('Appendix K'!$E$43+'Appendix K'!$F$43+'Appendix K'!$H$43))/((1+$Y$16)^AK$34))</f>
        <v>6677690.1149291173</v>
      </c>
      <c r="AL914" s="193">
        <f>(((O914*'Appendix K'!$C$18*1000)-('Appendix K'!$E$44+'Appendix K'!$F$44+'Appendix K'!$H$44+'Appendix K'!$G$44))/((1+$Y$16)^AL$34))</f>
        <v>2968183.8675297964</v>
      </c>
      <c r="AM914" s="193">
        <f>(((P914*'Appendix K'!$C$19*1000)-('Appendix K'!$E$45+'Appendix K'!$F$45+'Appendix K'!$H$45+'Appendix K'!$G$45))/((1+$Y$16)^AM$34))</f>
        <v>2474425.5984222093</v>
      </c>
      <c r="AN914" s="193">
        <f>(((Q914*'Appendix K'!$C$20*1000)-('Appendix K'!$E$46+'Appendix K'!$F$46+'Appendix K'!$H$46+'Appendix K'!$G$46))/((1+$Y$16)^AN$34))</f>
        <v>1151069.1635220747</v>
      </c>
      <c r="AO914" s="193">
        <f>(((R914*'Appendix K'!$C$21*1000)-('Appendix K'!$E$47+'Appendix K'!$F$47+'Appendix K'!$H$47+'Appendix K'!$G$47))/((1+$Y$16)^AO$34))</f>
        <v>2112056.3146391152</v>
      </c>
      <c r="AP914" s="193">
        <f>(((S914*'Appendix K'!$C$22*1000)-('Appendix K'!$E$48+'Appendix K'!$F$48+'Appendix K'!$H$48+'Appendix K'!$G$48))/((1+$Y$16)^AP$34))</f>
        <v>1630406.4380253027</v>
      </c>
      <c r="AQ914" s="193">
        <f>(((T914*'Appendix K'!$C$23*1000)-('Appendix K'!$E$49+'Appendix K'!$F$49+'Appendix K'!$H$49+'Appendix K'!$G$49))/((1+$Y$16)^AQ$34))</f>
        <v>912253.05284409667</v>
      </c>
      <c r="AR914" s="193">
        <f>(((U914*'Appendix K'!$C$24*1000)-('Appendix K'!$E$50+'Appendix K'!$F$50+'Appendix K'!$H$50+'Appendix K'!$G$50))/((1+$Y$16)^AR$34))</f>
        <v>980725.14012097823</v>
      </c>
      <c r="AS914" s="209">
        <f t="shared" si="42"/>
        <v>159786298.41933212</v>
      </c>
      <c r="AU914" s="199">
        <f t="shared" si="41"/>
        <v>3.1316403664769087E-9</v>
      </c>
    </row>
    <row r="915" spans="1:47" x14ac:dyDescent="0.35">
      <c r="A915">
        <v>881</v>
      </c>
      <c r="B915" s="70">
        <v>56</v>
      </c>
      <c r="C915" s="70">
        <v>23.898693004593326</v>
      </c>
      <c r="D915" s="70">
        <v>31.184540773444674</v>
      </c>
      <c r="E915" s="70">
        <v>50.431249067956792</v>
      </c>
      <c r="F915" s="70">
        <v>56.061800240955449</v>
      </c>
      <c r="G915" s="70">
        <v>41.731651317347165</v>
      </c>
      <c r="H915" s="70">
        <v>25.15029333564167</v>
      </c>
      <c r="I915" s="70">
        <v>24.558189300431057</v>
      </c>
      <c r="J915" s="70">
        <v>18.535720026490331</v>
      </c>
      <c r="K915" s="70">
        <v>22.249578643332747</v>
      </c>
      <c r="L915" s="70">
        <v>21.047104438407032</v>
      </c>
      <c r="M915" s="70">
        <v>23.487753071693682</v>
      </c>
      <c r="N915" s="70">
        <v>15.504316038271742</v>
      </c>
      <c r="O915" s="70">
        <v>14.58336066244622</v>
      </c>
      <c r="P915" s="70">
        <v>17.10179717923323</v>
      </c>
      <c r="Q915" s="70">
        <v>23.080808049775939</v>
      </c>
      <c r="R915" s="70">
        <v>26.047858791869825</v>
      </c>
      <c r="S915" s="70">
        <v>35.03026205809099</v>
      </c>
      <c r="T915" s="70">
        <v>54.821382276270434</v>
      </c>
      <c r="U915" s="70">
        <v>83.020302096146509</v>
      </c>
      <c r="V915" s="70">
        <v>47.062578795990881</v>
      </c>
      <c r="X915" s="193">
        <f>((0-('Appendix K'!$I$30))/(1+$Y$16)^0)</f>
        <v>-33594902.4440751</v>
      </c>
      <c r="Y915" s="193">
        <f>(((B915*'Appendix K'!$C$5*1000)-('Appendix K'!$E$31+'Appendix K'!$F$31+'Appendix K'!$H$31+'Appendix K'!$G$31))/((1+$Y$16)^1))</f>
        <v>34971064.972647354</v>
      </c>
      <c r="Z915" s="193">
        <f>+(((C915*'Appendix K'!$C$6*1000)-('Appendix K'!$E$32+'Appendix K'!$F$32+'Appendix K'!$H$32+'Appendix K'!$G$32))/((1+$Y$16)^2))</f>
        <v>2549970.9253858617</v>
      </c>
      <c r="AA915" s="193">
        <f>(((D915*'Appendix K'!$C$7*1000)-('Appendix K'!$E$33+'Appendix K'!$F$33+'Appendix K'!$H$33+'Appendix K'!$G$33))/((1+$Y$16)^3))</f>
        <v>1007228.8376535671</v>
      </c>
      <c r="AB915" s="193">
        <f>(((E915*'Appendix K'!$C$8*1000)-('Appendix K'!$E$34+'Appendix K'!$F$34+'Appendix K'!$H$34+'Appendix K'!$G$34))/((1+$Y$16)^4))</f>
        <v>7760860.2531907139</v>
      </c>
      <c r="AC915" s="193">
        <f>(((F915*'Appendix K'!$C$9*1000)-('Appendix K'!$E$35+'Appendix K'!$F$35+'Appendix K'!$H$35+'Appendix K'!$G$35))/((1+$Y$16)^AC$34))</f>
        <v>11916909.952062923</v>
      </c>
      <c r="AD915" s="193">
        <f>(((G915*'Appendix K'!$C$10*1000)-('Appendix K'!$E$36+'Appendix K'!$F$36+'Appendix K'!$H$36+'Appendix K'!$G$36))/((1+$Y$16)^AD$34))</f>
        <v>4037940.4483864107</v>
      </c>
      <c r="AE915" s="193">
        <f>(((H915*'Appendix K'!$C$11*1000)-('Appendix K'!$E$37+'Appendix K'!$F$37+'Appendix K'!$H$37+'Appendix K'!$G$37))/((1+$Y$16)^AE$34))</f>
        <v>288489.65644855017</v>
      </c>
      <c r="AF915" s="193">
        <f>(((I915*'Appendix K'!$C$12*1000)-('Appendix K'!$E$38+'Appendix K'!$F$38+'Appendix K'!$H$38+'Appendix K'!$G$38))/((1+$Y$16)^AF$34))</f>
        <v>-384028.69749453681</v>
      </c>
      <c r="AG915" s="193">
        <f>(((J915*'Appendix K'!$C$13*1000)-('Appendix K'!$E$39+'Appendix K'!$F$39+'Appendix K'!$H$39+'Appendix K'!$G$39))/((1+$Y$16)^AG$34))</f>
        <v>-961949.82111856074</v>
      </c>
      <c r="AH915" s="193">
        <f>(((K915*'Appendix K'!$C$14*1000)-('Appendix K'!$E$40+'Appendix K'!$F$40+'Appendix K'!$H$40+'Appendix K'!$G$40))/((1+$Y$16)^AH$34))</f>
        <v>-882785.138205047</v>
      </c>
      <c r="AI915" s="193">
        <f>(((L915*'Appendix K'!$C$15*1000)-('Appendix K'!$E$41+'Appendix K'!$F$41+'Appendix K'!$H$41+'Appendix K'!$G$41))/((1+$Y$16)^AI$34))</f>
        <v>-965007.85376647103</v>
      </c>
      <c r="AJ915" s="193">
        <f>(((M915*'Appendix K'!$C$16*1000)-('Appendix K'!$E$42+'Appendix K'!$F$42+'Appendix K'!$H$42+'Appendix K'!$G$42))/((1+$Y$16)^AJ$34))</f>
        <v>-910812.53603412188</v>
      </c>
      <c r="AK915" s="193">
        <f>(((N915*'Appendix K'!$C$17*1000)-('Appendix K'!$E$43+'Appendix K'!$F$43+'Appendix K'!$H$43))/((1+$Y$16)^AK$34))</f>
        <v>-766051.89454272704</v>
      </c>
      <c r="AL915" s="193">
        <f>(((O915*'Appendix K'!$C$18*1000)-('Appendix K'!$E$44+'Appendix K'!$F$44+'Appendix K'!$H$44+'Appendix K'!$G$44))/((1+$Y$16)^AL$34))</f>
        <v>-961728.26055334148</v>
      </c>
      <c r="AM915" s="193">
        <f>(((P915*'Appendix K'!$C$19*1000)-('Appendix K'!$E$45+'Appendix K'!$F$45+'Appendix K'!$H$45+'Appendix K'!$G$45))/((1+$Y$16)^AM$34))</f>
        <v>-868253.97089308337</v>
      </c>
      <c r="AN915" s="193">
        <f>(((Q915*'Appendix K'!$C$20*1000)-('Appendix K'!$E$46+'Appendix K'!$F$46+'Appendix K'!$H$46+'Appendix K'!$G$46))/((1+$Y$16)^AN$34))</f>
        <v>-748691.10579978116</v>
      </c>
      <c r="AO915" s="193">
        <f>(((R915*'Appendix K'!$C$21*1000)-('Appendix K'!$E$47+'Appendix K'!$F$47+'Appendix K'!$H$47+'Appendix K'!$G$47))/((1+$Y$16)^AO$34))</f>
        <v>-689053.20215256547</v>
      </c>
      <c r="AP915" s="193">
        <f>(((S915*'Appendix K'!$C$22*1000)-('Appendix K'!$E$48+'Appendix K'!$F$48+'Appendix K'!$H$48+'Appendix K'!$G$48))/((1+$Y$16)^AP$34))</f>
        <v>-596668.10909314232</v>
      </c>
      <c r="AQ915" s="193">
        <f>(((T915*'Appendix K'!$C$23*1000)-('Appendix K'!$E$49+'Appendix K'!$F$49+'Appendix K'!$H$49+'Appendix K'!$G$49))/((1+$Y$16)^AQ$34))</f>
        <v>-478928.77591626195</v>
      </c>
      <c r="AR915" s="193">
        <f>(((U915*'Appendix K'!$C$24*1000)-('Appendix K'!$E$50+'Appendix K'!$F$50+'Appendix K'!$H$50+'Appendix K'!$G$50))/((1+$Y$16)^AR$34))</f>
        <v>-361961.17042461212</v>
      </c>
      <c r="AS915" s="209">
        <f t="shared" si="42"/>
        <v>28937562.601700284</v>
      </c>
      <c r="AU915" s="199">
        <f t="shared" si="41"/>
        <v>4.1188956899857944E-9</v>
      </c>
    </row>
    <row r="916" spans="1:47" x14ac:dyDescent="0.35">
      <c r="A916">
        <v>882</v>
      </c>
      <c r="B916" s="70">
        <v>56</v>
      </c>
      <c r="C916" s="70">
        <v>42.224497582767171</v>
      </c>
      <c r="D916" s="70">
        <v>52.027879128210763</v>
      </c>
      <c r="E916" s="70">
        <v>53.135190111667441</v>
      </c>
      <c r="F916" s="70">
        <v>46.100228062731524</v>
      </c>
      <c r="G916" s="70">
        <v>56.458904897487258</v>
      </c>
      <c r="H916" s="70">
        <v>47.215962146436468</v>
      </c>
      <c r="I916" s="70">
        <v>55.843711629979268</v>
      </c>
      <c r="J916" s="70">
        <v>58.489526165522349</v>
      </c>
      <c r="K916" s="70">
        <v>72.818571052592006</v>
      </c>
      <c r="L916" s="70">
        <v>60.276901978450375</v>
      </c>
      <c r="M916" s="70">
        <v>76.484407849832763</v>
      </c>
      <c r="N916" s="70">
        <v>76.228749959228992</v>
      </c>
      <c r="O916" s="70">
        <v>60.343908880538081</v>
      </c>
      <c r="P916" s="70">
        <v>97.297221972092046</v>
      </c>
      <c r="Q916" s="70">
        <v>158.6859039592261</v>
      </c>
      <c r="R916" s="70">
        <v>168.22430520147088</v>
      </c>
      <c r="S916" s="70">
        <v>227.70940605852689</v>
      </c>
      <c r="T916" s="70">
        <v>323.91399825059841</v>
      </c>
      <c r="U916" s="70">
        <v>289.11558586215915</v>
      </c>
      <c r="V916" s="70">
        <v>299.39570598707331</v>
      </c>
      <c r="X916" s="193">
        <f>((0-('Appendix K'!$I$30))/(1+$Y$16)^0)</f>
        <v>-33594902.4440751</v>
      </c>
      <c r="Y916" s="193">
        <f>(((B916*'Appendix K'!$C$5*1000)-('Appendix K'!$E$31+'Appendix K'!$F$31+'Appendix K'!$H$31+'Appendix K'!$G$31))/((1+$Y$16)^1))</f>
        <v>34971064.972647354</v>
      </c>
      <c r="Z916" s="193">
        <f>+(((C916*'Appendix K'!$C$6*1000)-('Appendix K'!$E$32+'Appendix K'!$F$32+'Appendix K'!$H$32+'Appendix K'!$G$32))/((1+$Y$16)^2))</f>
        <v>7179382.5903422488</v>
      </c>
      <c r="AA916" s="193">
        <f>(((D916*'Appendix K'!$C$7*1000)-('Appendix K'!$E$33+'Appendix K'!$F$33+'Appendix K'!$H$33+'Appendix K'!$G$33))/((1+$Y$16)^3))</f>
        <v>3662146.4001161745</v>
      </c>
      <c r="AB916" s="193">
        <f>(((E916*'Appendix K'!$C$8*1000)-('Appendix K'!$E$34+'Appendix K'!$F$34+'Appendix K'!$H$34+'Appendix K'!$G$34))/((1+$Y$16)^4))</f>
        <v>8353539.3777742404</v>
      </c>
      <c r="AC916" s="193">
        <f>(((F916*'Appendix K'!$C$9*1000)-('Appendix K'!$E$35+'Appendix K'!$F$35+'Appendix K'!$H$35+'Appendix K'!$G$35))/((1+$Y$16)^AC$34))</f>
        <v>9269139.7095663659</v>
      </c>
      <c r="AD916" s="193">
        <f>(((G916*'Appendix K'!$C$10*1000)-('Appendix K'!$E$36+'Appendix K'!$F$36+'Appendix K'!$H$36+'Appendix K'!$G$36))/((1+$Y$16)^AD$34))</f>
        <v>6350766.5455944538</v>
      </c>
      <c r="AE916" s="193">
        <f>(((H916*'Appendix K'!$C$11*1000)-('Appendix K'!$E$37+'Appendix K'!$F$37+'Appendix K'!$H$37+'Appendix K'!$G$37))/((1+$Y$16)^AE$34))</f>
        <v>2489267.1423283638</v>
      </c>
      <c r="AF916" s="193">
        <f>(((I916*'Appendix K'!$C$12*1000)-('Appendix K'!$E$38+'Appendix K'!$F$38+'Appendix K'!$H$38+'Appendix K'!$G$38))/((1+$Y$16)^AF$34))</f>
        <v>1670254.6298476325</v>
      </c>
      <c r="AG916" s="193">
        <f>(((J916*'Appendix K'!$C$13*1000)-('Appendix K'!$E$39+'Appendix K'!$F$39+'Appendix K'!$H$39+'Appendix K'!$G$39))/((1+$Y$16)^AG$34))</f>
        <v>876681.68918048195</v>
      </c>
      <c r="AH916" s="193">
        <f>(((K916*'Appendix K'!$C$14*1000)-('Appendix K'!$E$40+'Appendix K'!$F$40+'Appendix K'!$H$40+'Appendix K'!$G$40))/((1+$Y$16)^AH$34))</f>
        <v>821719.95746945753</v>
      </c>
      <c r="AI916" s="193">
        <f>(((L916*'Appendix K'!$C$15*1000)-('Appendix K'!$E$41+'Appendix K'!$F$41+'Appendix K'!$H$41+'Appendix K'!$G$41))/((1+$Y$16)^AI$34))</f>
        <v>62886.201863786751</v>
      </c>
      <c r="AJ916" s="193">
        <f>(((M916*'Appendix K'!$C$16*1000)-('Appendix K'!$E$42+'Appendix K'!$F$42+'Appendix K'!$H$42+'Appendix K'!$G$42))/((1+$Y$16)^AJ$34))</f>
        <v>151339.36930556572</v>
      </c>
      <c r="AK916" s="193">
        <f>(((N916*'Appendix K'!$C$17*1000)-('Appendix K'!$E$43+'Appendix K'!$F$43+'Appendix K'!$H$43))/((1+$Y$16)^AK$34))</f>
        <v>166912.0816947429</v>
      </c>
      <c r="AL916" s="193">
        <f>(((O916*'Appendix K'!$C$18*1000)-('Appendix K'!$E$44+'Appendix K'!$F$44+'Appendix K'!$H$44+'Appendix K'!$G$44))/((1+$Y$16)^AL$34))</f>
        <v>-419315.0173856967</v>
      </c>
      <c r="AM916" s="193">
        <f>(((P916*'Appendix K'!$C$19*1000)-('Appendix K'!$E$45+'Appendix K'!$F$45+'Appendix K'!$H$45+'Appendix K'!$G$45))/((1+$Y$16)^AM$34))</f>
        <v>-124944.08752070703</v>
      </c>
      <c r="AN916" s="193">
        <f>(((Q916*'Appendix K'!$C$20*1000)-('Appendix K'!$E$46+'Appendix K'!$F$46+'Appendix K'!$H$46+'Appendix K'!$G$46))/((1+$Y$16)^AN$34))</f>
        <v>232576.77971026348</v>
      </c>
      <c r="AO916" s="193">
        <f>(((R916*'Appendix K'!$C$21*1000)-('Appendix K'!$E$47+'Appendix K'!$F$47+'Appendix K'!$H$47+'Appendix K'!$G$47))/((1+$Y$16)^AO$34))</f>
        <v>151225.3037876969</v>
      </c>
      <c r="AP916" s="193">
        <f>(((S916*'Appendix K'!$C$22*1000)-('Appendix K'!$E$48+'Appendix K'!$F$48+'Appendix K'!$H$48+'Appendix K'!$G$48))/((1+$Y$16)^AP$34))</f>
        <v>326210.91366500413</v>
      </c>
      <c r="AQ916" s="193">
        <f>(((T916*'Appendix K'!$C$23*1000)-('Appendix K'!$E$49+'Appendix K'!$F$49+'Appendix K'!$H$49+'Appendix K'!$G$49))/((1+$Y$16)^AQ$34))</f>
        <v>574230.83353081835</v>
      </c>
      <c r="AR916" s="193">
        <f>(((U916*'Appendix K'!$C$24*1000)-('Appendix K'!$E$50+'Appendix K'!$F$50+'Appendix K'!$H$50+'Appendix K'!$G$50))/((1+$Y$16)^AR$34))</f>
        <v>301671.41785655654</v>
      </c>
      <c r="AS916" s="209">
        <f t="shared" si="42"/>
        <v>44016113.472206093</v>
      </c>
      <c r="AU916" s="199">
        <f t="shared" si="41"/>
        <v>5.2331404529903817E-9</v>
      </c>
    </row>
    <row r="917" spans="1:47" x14ac:dyDescent="0.35">
      <c r="A917">
        <v>883</v>
      </c>
      <c r="B917" s="70">
        <v>56</v>
      </c>
      <c r="C917" s="70">
        <v>66.307209411526429</v>
      </c>
      <c r="D917" s="70">
        <v>72.317587689183043</v>
      </c>
      <c r="E917" s="70">
        <v>119.10955638533927</v>
      </c>
      <c r="F917" s="70">
        <v>151.48075105520098</v>
      </c>
      <c r="G917" s="70">
        <v>122.92654786483384</v>
      </c>
      <c r="H917" s="70">
        <v>161.75857149698186</v>
      </c>
      <c r="I917" s="70">
        <v>156.23544099771661</v>
      </c>
      <c r="J917" s="70">
        <v>220.35976675201829</v>
      </c>
      <c r="K917" s="70">
        <v>309.30218602462207</v>
      </c>
      <c r="L917" s="70">
        <v>318.13091680772288</v>
      </c>
      <c r="M917" s="70">
        <v>459.28708344200072</v>
      </c>
      <c r="N917" s="70">
        <v>500</v>
      </c>
      <c r="O917" s="70">
        <v>500</v>
      </c>
      <c r="P917" s="70">
        <v>363.46635742310519</v>
      </c>
      <c r="Q917" s="70">
        <v>237.27922466813874</v>
      </c>
      <c r="R917" s="70">
        <v>278.08468991127199</v>
      </c>
      <c r="S917" s="70">
        <v>267.91850492037588</v>
      </c>
      <c r="T917" s="70">
        <v>388.18068614479773</v>
      </c>
      <c r="U917" s="70">
        <v>433.65590228124324</v>
      </c>
      <c r="V917" s="70">
        <v>337.78829969808027</v>
      </c>
      <c r="X917" s="193">
        <f>((0-('Appendix K'!$I$30))/(1+$Y$16)^0)</f>
        <v>-33594902.4440751</v>
      </c>
      <c r="Y917" s="193">
        <f>(((B917*'Appendix K'!$C$5*1000)-('Appendix K'!$E$31+'Appendix K'!$F$31+'Appendix K'!$H$31+'Appendix K'!$G$31))/((1+$Y$16)^1))</f>
        <v>34971064.972647354</v>
      </c>
      <c r="Z917" s="193">
        <f>+(((C917*'Appendix K'!$C$6*1000)-('Appendix K'!$E$32+'Appendix K'!$F$32+'Appendix K'!$H$32+'Appendix K'!$G$32))/((1+$Y$16)^2))</f>
        <v>13263087.487895569</v>
      </c>
      <c r="AA917" s="193">
        <f>(((D917*'Appendix K'!$C$7*1000)-('Appendix K'!$E$33+'Appendix K'!$F$33+'Appendix K'!$H$33+'Appendix K'!$G$33))/((1+$Y$16)^3))</f>
        <v>6246545.4382604556</v>
      </c>
      <c r="AB917" s="193">
        <f>(((E917*'Appendix K'!$C$8*1000)-('Appendix K'!$E$34+'Appendix K'!$F$34+'Appendix K'!$H$34+'Appendix K'!$G$34))/((1+$Y$16)^4))</f>
        <v>22814516.527769037</v>
      </c>
      <c r="AC917" s="193">
        <f>(((F917*'Appendix K'!$C$9*1000)-('Appendix K'!$E$35+'Appendix K'!$F$35+'Appendix K'!$H$35+'Appendix K'!$G$35))/((1+$Y$16)^AC$34))</f>
        <v>37279117.243848786</v>
      </c>
      <c r="AD917" s="193">
        <f>(((G917*'Appendix K'!$C$10*1000)-('Appendix K'!$E$36+'Appendix K'!$F$36+'Appendix K'!$H$36+'Appendix K'!$G$36))/((1+$Y$16)^AD$34))</f>
        <v>16789107.845162377</v>
      </c>
      <c r="AE917" s="193">
        <f>(((H917*'Appendix K'!$C$11*1000)-('Appendix K'!$E$37+'Appendix K'!$F$37+'Appendix K'!$H$37+'Appendix K'!$G$37))/((1+$Y$16)^AE$34))</f>
        <v>13913475.399695342</v>
      </c>
      <c r="AF917" s="193">
        <f>(((I917*'Appendix K'!$C$12*1000)-('Appendix K'!$E$38+'Appendix K'!$F$38+'Appendix K'!$H$38+'Appendix K'!$G$38))/((1+$Y$16)^AF$34))</f>
        <v>8262219.2347795842</v>
      </c>
      <c r="AG917" s="193">
        <f>(((J917*'Appendix K'!$C$13*1000)-('Appendix K'!$E$39+'Appendix K'!$F$39+'Appendix K'!$H$39+'Appendix K'!$G$39))/((1+$Y$16)^AG$34))</f>
        <v>8325777.3744915538</v>
      </c>
      <c r="AH917" s="193">
        <f>(((K917*'Appendix K'!$C$14*1000)-('Appendix K'!$E$40+'Appendix K'!$F$40+'Appendix K'!$H$40+'Appendix K'!$G$40))/((1+$Y$16)^AH$34))</f>
        <v>8792761.2529164851</v>
      </c>
      <c r="AI917" s="193">
        <f>(((L917*'Appendix K'!$C$15*1000)-('Appendix K'!$E$41+'Appendix K'!$F$41+'Appendix K'!$H$41+'Appendix K'!$G$41))/((1+$Y$16)^AI$34))</f>
        <v>6819143.5797628798</v>
      </c>
      <c r="AJ917" s="193">
        <f>(((M917*'Appendix K'!$C$16*1000)-('Appendix K'!$E$42+'Appendix K'!$F$42+'Appendix K'!$H$42+'Appendix K'!$G$42))/((1+$Y$16)^AJ$34))</f>
        <v>7823419.6723263189</v>
      </c>
      <c r="AK917" s="193">
        <f>(((N917*'Appendix K'!$C$17*1000)-('Appendix K'!$E$43+'Appendix K'!$F$43+'Appendix K'!$H$43))/((1+$Y$16)^AK$34))</f>
        <v>6677690.1149291173</v>
      </c>
      <c r="AL917" s="193">
        <f>(((O917*'Appendix K'!$C$18*1000)-('Appendix K'!$E$44+'Appendix K'!$F$44+'Appendix K'!$H$44+'Appendix K'!$G$44))/((1+$Y$16)^AL$34))</f>
        <v>4792058.0003928225</v>
      </c>
      <c r="AM917" s="193">
        <f>(((P917*'Appendix K'!$C$19*1000)-('Appendix K'!$E$45+'Appendix K'!$F$45+'Appendix K'!$H$45+'Appendix K'!$G$45))/((1+$Y$16)^AM$34))</f>
        <v>2342106.2403558102</v>
      </c>
      <c r="AN917" s="193">
        <f>(((Q917*'Appendix K'!$C$20*1000)-('Appendix K'!$E$46+'Appendix K'!$F$46+'Appendix K'!$H$46+'Appendix K'!$G$46))/((1+$Y$16)^AN$34))</f>
        <v>801295.0945348395</v>
      </c>
      <c r="AO917" s="193">
        <f>(((R917*'Appendix K'!$C$21*1000)-('Appendix K'!$E$47+'Appendix K'!$F$47+'Appendix K'!$H$47+'Appendix K'!$G$47))/((1+$Y$16)^AO$34))</f>
        <v>800512.31480234466</v>
      </c>
      <c r="AP917" s="193">
        <f>(((S917*'Appendix K'!$C$22*1000)-('Appendix K'!$E$48+'Appendix K'!$F$48+'Appendix K'!$H$48+'Appendix K'!$G$48))/((1+$Y$16)^AP$34))</f>
        <v>518801.21219531592</v>
      </c>
      <c r="AQ917" s="193">
        <f>(((T917*'Appendix K'!$C$23*1000)-('Appendix K'!$E$49+'Appendix K'!$F$49+'Appendix K'!$H$49+'Appendix K'!$G$49))/((1+$Y$16)^AQ$34))</f>
        <v>825754.19725466543</v>
      </c>
      <c r="AR917" s="193">
        <f>(((U917*'Appendix K'!$C$24*1000)-('Appendix K'!$E$50+'Appendix K'!$F$50+'Appendix K'!$H$50+'Appendix K'!$G$50))/((1+$Y$16)^AR$34))</f>
        <v>767095.28658069065</v>
      </c>
      <c r="AS917" s="209">
        <f t="shared" si="42"/>
        <v>169230646.04652622</v>
      </c>
      <c r="AU917" s="199">
        <f t="shared" si="41"/>
        <v>2.4994757986746383E-9</v>
      </c>
    </row>
    <row r="918" spans="1:47" x14ac:dyDescent="0.35">
      <c r="A918">
        <v>884</v>
      </c>
      <c r="B918" s="70">
        <v>56</v>
      </c>
      <c r="C918" s="70">
        <v>52.624926342413652</v>
      </c>
      <c r="D918" s="70">
        <v>91.119019919972857</v>
      </c>
      <c r="E918" s="70">
        <v>96.120363239456594</v>
      </c>
      <c r="F918" s="70">
        <v>139.01059148705758</v>
      </c>
      <c r="G918" s="70">
        <v>161.50371756696995</v>
      </c>
      <c r="H918" s="70">
        <v>176.5830703292938</v>
      </c>
      <c r="I918" s="70">
        <v>156.10681443280751</v>
      </c>
      <c r="J918" s="70">
        <v>205.07903925096377</v>
      </c>
      <c r="K918" s="70">
        <v>172.33133335158044</v>
      </c>
      <c r="L918" s="70">
        <v>159.88085286805347</v>
      </c>
      <c r="M918" s="70">
        <v>176.13803029113171</v>
      </c>
      <c r="N918" s="70">
        <v>191.28373105899831</v>
      </c>
      <c r="O918" s="70">
        <v>121.1445041820412</v>
      </c>
      <c r="P918" s="70">
        <v>174.46278874012981</v>
      </c>
      <c r="Q918" s="70">
        <v>178.60649320371348</v>
      </c>
      <c r="R918" s="70">
        <v>205.61003020636349</v>
      </c>
      <c r="S918" s="70">
        <v>258.76830625902608</v>
      </c>
      <c r="T918" s="70">
        <v>240.98647758298372</v>
      </c>
      <c r="U918" s="70">
        <v>171.615135313786</v>
      </c>
      <c r="V918" s="70">
        <v>238.44844034552835</v>
      </c>
      <c r="X918" s="193">
        <f>((0-('Appendix K'!$I$30))/(1+$Y$16)^0)</f>
        <v>-33594902.4440751</v>
      </c>
      <c r="Y918" s="193">
        <f>(((B918*'Appendix K'!$C$5*1000)-('Appendix K'!$E$31+'Appendix K'!$F$31+'Appendix K'!$H$31+'Appendix K'!$G$31))/((1+$Y$16)^1))</f>
        <v>34971064.972647354</v>
      </c>
      <c r="Z918" s="193">
        <f>+(((C918*'Appendix K'!$C$6*1000)-('Appendix K'!$E$32+'Appendix K'!$F$32+'Appendix K'!$H$32+'Appendix K'!$G$32))/((1+$Y$16)^2))</f>
        <v>9806708.7748525701</v>
      </c>
      <c r="AA918" s="193">
        <f>(((D918*'Appendix K'!$C$7*1000)-('Appendix K'!$E$33+'Appendix K'!$F$33+'Appendix K'!$H$33+'Appendix K'!$G$33))/((1+$Y$16)^3))</f>
        <v>8641375.4688136186</v>
      </c>
      <c r="AB918" s="193">
        <f>(((E918*'Appendix K'!$C$8*1000)-('Appendix K'!$E$34+'Appendix K'!$F$34+'Appendix K'!$H$34+'Appendix K'!$G$34))/((1+$Y$16)^4))</f>
        <v>17775495.835999321</v>
      </c>
      <c r="AC918" s="193">
        <f>(((F918*'Appendix K'!$C$9*1000)-('Appendix K'!$E$35+'Appendix K'!$F$35+'Appendix K'!$H$35+'Appendix K'!$G$35))/((1+$Y$16)^AC$34))</f>
        <v>33964568.412300721</v>
      </c>
      <c r="AD918" s="193">
        <f>(((G918*'Appendix K'!$C$10*1000)-('Appendix K'!$E$36+'Appendix K'!$F$36+'Appendix K'!$H$36+'Appendix K'!$G$36))/((1+$Y$16)^AD$34))</f>
        <v>22847419.013501417</v>
      </c>
      <c r="AE918" s="193">
        <f>(((H918*'Appendix K'!$C$11*1000)-('Appendix K'!$E$37+'Appendix K'!$F$37+'Appendix K'!$H$37+'Appendix K'!$G$37))/((1+$Y$16)^AE$34))</f>
        <v>15392035.761919348</v>
      </c>
      <c r="AF918" s="193">
        <f>(((I918*'Appendix K'!$C$12*1000)-('Appendix K'!$E$38+'Appendix K'!$F$38+'Appendix K'!$H$38+'Appendix K'!$G$38))/((1+$Y$16)^AF$34))</f>
        <v>8253773.3023459595</v>
      </c>
      <c r="AG918" s="193">
        <f>(((J918*'Appendix K'!$C$13*1000)-('Appendix K'!$E$39+'Appendix K'!$F$39+'Appendix K'!$H$39+'Appendix K'!$G$39))/((1+$Y$16)^AG$34))</f>
        <v>7622574.6061253985</v>
      </c>
      <c r="AH918" s="193">
        <f>(((K918*'Appendix K'!$C$14*1000)-('Appendix K'!$E$40+'Appendix K'!$F$40+'Appendix K'!$H$40+'Appendix K'!$G$40))/((1+$Y$16)^AH$34))</f>
        <v>4175949.5424792203</v>
      </c>
      <c r="AI918" s="193">
        <f>(((L918*'Appendix K'!$C$15*1000)-('Appendix K'!$E$41+'Appendix K'!$F$41+'Appendix K'!$H$41+'Appendix K'!$G$41))/((1+$Y$16)^AI$34))</f>
        <v>2672695.9754728815</v>
      </c>
      <c r="AJ918" s="193">
        <f>(((M918*'Appendix K'!$C$16*1000)-('Appendix K'!$E$42+'Appendix K'!$F$42+'Appendix K'!$H$42+'Appendix K'!$G$42))/((1+$Y$16)^AJ$34))</f>
        <v>2148584.0141447177</v>
      </c>
      <c r="AK918" s="193">
        <f>(((N918*'Appendix K'!$C$17*1000)-('Appendix K'!$E$43+'Appendix K'!$F$43+'Appendix K'!$H$43))/((1+$Y$16)^AK$34))</f>
        <v>1934605.0138757336</v>
      </c>
      <c r="AL918" s="193">
        <f>(((O918*'Appendix K'!$C$18*1000)-('Appendix K'!$E$44+'Appendix K'!$F$44+'Appendix K'!$H$44+'Appendix K'!$G$44))/((1+$Y$16)^AL$34))</f>
        <v>301372.32942745183</v>
      </c>
      <c r="AM918" s="193">
        <f>(((P918*'Appendix K'!$C$19*1000)-('Appendix K'!$E$45+'Appendix K'!$F$45+'Appendix K'!$H$45+'Appendix K'!$G$45))/((1+$Y$16)^AM$34))</f>
        <v>590282.85445093841</v>
      </c>
      <c r="AN918" s="193">
        <f>(((Q918*'Appendix K'!$C$20*1000)-('Appendix K'!$E$46+'Appendix K'!$F$46+'Appendix K'!$H$46+'Appendix K'!$G$46))/((1+$Y$16)^AN$34))</f>
        <v>376726.48407760513</v>
      </c>
      <c r="AO918" s="193">
        <f>(((R918*'Appendix K'!$C$21*1000)-('Appendix K'!$E$47+'Appendix K'!$F$47+'Appendix K'!$H$47+'Appendix K'!$G$47))/((1+$Y$16)^AO$34))</f>
        <v>372179.06894301507</v>
      </c>
      <c r="AP918" s="193">
        <f>(((S918*'Appendix K'!$C$22*1000)-('Appendix K'!$E$48+'Appendix K'!$F$48+'Appendix K'!$H$48+'Appendix K'!$G$48))/((1+$Y$16)^AP$34))</f>
        <v>474974.32868679089</v>
      </c>
      <c r="AQ918" s="193">
        <f>(((T918*'Appendix K'!$C$23*1000)-('Appendix K'!$E$49+'Appendix K'!$F$49+'Appendix K'!$H$49+'Appendix K'!$G$49))/((1+$Y$16)^AQ$34))</f>
        <v>249673.7476275329</v>
      </c>
      <c r="AR918" s="193">
        <f>(((U918*'Appendix K'!$C$24*1000)-('Appendix K'!$E$50+'Appendix K'!$F$50+'Appendix K'!$H$50+'Appendix K'!$G$50))/((1+$Y$16)^AR$34))</f>
        <v>-76683.32513771097</v>
      </c>
      <c r="AS918" s="209">
        <f t="shared" si="42"/>
        <v>138977157.06361645</v>
      </c>
      <c r="AU918" s="199">
        <f t="shared" si="41"/>
        <v>4.6674967095654025E-9</v>
      </c>
    </row>
    <row r="919" spans="1:47" x14ac:dyDescent="0.35">
      <c r="A919">
        <v>885</v>
      </c>
      <c r="B919" s="70">
        <v>56</v>
      </c>
      <c r="C919" s="70">
        <v>58.123381299437078</v>
      </c>
      <c r="D919" s="70">
        <v>73.587805034912705</v>
      </c>
      <c r="E919" s="70">
        <v>89.08182344854805</v>
      </c>
      <c r="F919" s="70">
        <v>111.73598863990557</v>
      </c>
      <c r="G919" s="70">
        <v>163.64529041426189</v>
      </c>
      <c r="H919" s="70">
        <v>208.27219814712277</v>
      </c>
      <c r="I919" s="70">
        <v>197.04369244566132</v>
      </c>
      <c r="J919" s="70">
        <v>197.82846421399944</v>
      </c>
      <c r="K919" s="70">
        <v>179.29609197734337</v>
      </c>
      <c r="L919" s="70">
        <v>174.34108839931451</v>
      </c>
      <c r="M919" s="70">
        <v>293.15382045894819</v>
      </c>
      <c r="N919" s="70">
        <v>364.25369912521029</v>
      </c>
      <c r="O919" s="70">
        <v>334.89798213261702</v>
      </c>
      <c r="P919" s="70">
        <v>429.55509602403987</v>
      </c>
      <c r="Q919" s="70">
        <v>431.07668729017496</v>
      </c>
      <c r="R919" s="70">
        <v>467.65101155799238</v>
      </c>
      <c r="S919" s="70">
        <v>500</v>
      </c>
      <c r="T919" s="70">
        <v>432.90976080420916</v>
      </c>
      <c r="U919" s="70">
        <v>268.00023536981382</v>
      </c>
      <c r="V919" s="70">
        <v>390.92366786689365</v>
      </c>
      <c r="X919" s="193">
        <f>((0-('Appendix K'!$I$30))/(1+$Y$16)^0)</f>
        <v>-33594902.4440751</v>
      </c>
      <c r="Y919" s="193">
        <f>(((B919*'Appendix K'!$C$5*1000)-('Appendix K'!$E$31+'Appendix K'!$F$31+'Appendix K'!$H$31+'Appendix K'!$G$31))/((1+$Y$16)^1))</f>
        <v>34971064.972647354</v>
      </c>
      <c r="Z919" s="193">
        <f>+(((C919*'Appendix K'!$C$6*1000)-('Appendix K'!$E$32+'Appendix K'!$F$32+'Appendix K'!$H$32+'Appendix K'!$G$32))/((1+$Y$16)^2))</f>
        <v>11195712.537754098</v>
      </c>
      <c r="AA919" s="193">
        <f>(((D919*'Appendix K'!$C$7*1000)-('Appendix K'!$E$33+'Appendix K'!$F$33+'Appendix K'!$H$33+'Appendix K'!$G$33))/((1+$Y$16)^3))</f>
        <v>6408339.210540277</v>
      </c>
      <c r="AB919" s="193">
        <f>(((E919*'Appendix K'!$C$8*1000)-('Appendix K'!$E$34+'Appendix K'!$F$34+'Appendix K'!$H$34+'Appendix K'!$G$34))/((1+$Y$16)^4))</f>
        <v>16232712.345462387</v>
      </c>
      <c r="AC919" s="193">
        <f>(((F919*'Appendix K'!$C$9*1000)-('Appendix K'!$E$35+'Appendix K'!$F$35+'Appendix K'!$H$35+'Appendix K'!$G$35))/((1+$Y$16)^AC$34))</f>
        <v>26715021.804339819</v>
      </c>
      <c r="AD919" s="193">
        <f>(((G919*'Appendix K'!$C$10*1000)-('Appendix K'!$E$36+'Appendix K'!$F$36+'Appendix K'!$H$36+'Appendix K'!$G$36))/((1+$Y$16)^AD$34))</f>
        <v>23183740.075900197</v>
      </c>
      <c r="AE919" s="193">
        <f>(((H919*'Appendix K'!$C$11*1000)-('Appendix K'!$E$37+'Appendix K'!$F$37+'Appendix K'!$H$37+'Appendix K'!$G$37))/((1+$Y$16)^AE$34))</f>
        <v>18552634.230365846</v>
      </c>
      <c r="AF919" s="193">
        <f>(((I919*'Appendix K'!$C$12*1000)-('Appendix K'!$E$38+'Appendix K'!$F$38+'Appendix K'!$H$38+'Appendix K'!$G$38))/((1+$Y$16)^AF$34))</f>
        <v>10941788.068070989</v>
      </c>
      <c r="AG919" s="193">
        <f>(((J919*'Appendix K'!$C$13*1000)-('Appendix K'!$E$39+'Appendix K'!$F$39+'Appendix K'!$H$39+'Appendix K'!$G$39))/((1+$Y$16)^AG$34))</f>
        <v>7288910.8824651213</v>
      </c>
      <c r="AH919" s="193">
        <f>(((K919*'Appendix K'!$C$14*1000)-('Appendix K'!$E$40+'Appendix K'!$F$40+'Appendix K'!$H$40+'Appendix K'!$G$40))/((1+$Y$16)^AH$34))</f>
        <v>4410707.3654486611</v>
      </c>
      <c r="AI919" s="193">
        <f>(((L919*'Appendix K'!$C$15*1000)-('Appendix K'!$E$41+'Appendix K'!$F$41+'Appendix K'!$H$41+'Appendix K'!$G$41))/((1+$Y$16)^AI$34))</f>
        <v>3051581.1871649581</v>
      </c>
      <c r="AJ919" s="193">
        <f>(((M919*'Appendix K'!$C$16*1000)-('Appendix K'!$E$42+'Appendix K'!$F$42+'Appendix K'!$H$42+'Appendix K'!$G$42))/((1+$Y$16)^AJ$34))</f>
        <v>4493798.9150075521</v>
      </c>
      <c r="AK919" s="193">
        <f>(((N919*'Appendix K'!$C$17*1000)-('Appendix K'!$E$43+'Appendix K'!$F$43+'Appendix K'!$H$43))/((1+$Y$16)^AK$34))</f>
        <v>4592097.8673583511</v>
      </c>
      <c r="AL919" s="193">
        <f>(((O919*'Appendix K'!$C$18*1000)-('Appendix K'!$E$44+'Appendix K'!$F$44+'Appendix K'!$H$44+'Appendix K'!$G$44))/((1+$Y$16)^AL$34))</f>
        <v>2835055.2009909623</v>
      </c>
      <c r="AM919" s="193">
        <f>(((P919*'Appendix K'!$C$19*1000)-('Appendix K'!$E$45+'Appendix K'!$F$45+'Appendix K'!$H$45+'Appendix K'!$G$45))/((1+$Y$16)^AM$34))</f>
        <v>2954665.0329374857</v>
      </c>
      <c r="AN919" s="193">
        <f>(((Q919*'Appendix K'!$C$20*1000)-('Appendix K'!$E$46+'Appendix K'!$F$46+'Appendix K'!$H$46+'Appendix K'!$G$46))/((1+$Y$16)^AN$34))</f>
        <v>2203655.5669710734</v>
      </c>
      <c r="AO919" s="193">
        <f>(((R919*'Appendix K'!$C$21*1000)-('Appendix K'!$E$47+'Appendix K'!$F$47+'Appendix K'!$H$47+'Appendix K'!$G$47))/((1+$Y$16)^AO$34))</f>
        <v>1920870.219029305</v>
      </c>
      <c r="AP919" s="193">
        <f>(((S919*'Appendix K'!$C$22*1000)-('Appendix K'!$E$48+'Appendix K'!$F$48+'Appendix K'!$H$48+'Appendix K'!$G$48))/((1+$Y$16)^AP$34))</f>
        <v>1630406.4380253027</v>
      </c>
      <c r="AQ919" s="193">
        <f>(((T919*'Appendix K'!$C$23*1000)-('Appendix K'!$E$49+'Appendix K'!$F$49+'Appendix K'!$H$49+'Appendix K'!$G$49))/((1+$Y$16)^AQ$34))</f>
        <v>1000812.3445348163</v>
      </c>
      <c r="AR919" s="193">
        <f>(((U919*'Appendix K'!$C$24*1000)-('Appendix K'!$E$50+'Appendix K'!$F$50+'Appendix K'!$H$50+'Appendix K'!$G$50))/((1+$Y$16)^AR$34))</f>
        <v>233679.39764318537</v>
      </c>
      <c r="AS919" s="209">
        <f t="shared" si="42"/>
        <v>151222351.21858263</v>
      </c>
      <c r="AU919" s="199">
        <f t="shared" si="41"/>
        <v>3.7511846142621183E-9</v>
      </c>
    </row>
    <row r="920" spans="1:47" x14ac:dyDescent="0.35">
      <c r="A920">
        <v>886</v>
      </c>
      <c r="B920" s="70">
        <v>56</v>
      </c>
      <c r="C920" s="70">
        <v>39.477611784621431</v>
      </c>
      <c r="D920" s="70">
        <v>28.439718365405984</v>
      </c>
      <c r="E920" s="70">
        <v>33.49253562525265</v>
      </c>
      <c r="F920" s="70">
        <v>29.520552351987561</v>
      </c>
      <c r="G920" s="70">
        <v>36.414979144700688</v>
      </c>
      <c r="H920" s="70">
        <v>38.416358562269551</v>
      </c>
      <c r="I920" s="70">
        <v>36.771326154358931</v>
      </c>
      <c r="J920" s="70">
        <v>34.334160385228699</v>
      </c>
      <c r="K920" s="70">
        <v>34.474980096838273</v>
      </c>
      <c r="L920" s="70">
        <v>29.745117764326359</v>
      </c>
      <c r="M920" s="70">
        <v>26.665209221198182</v>
      </c>
      <c r="N920" s="70">
        <v>23.348601641788601</v>
      </c>
      <c r="O920" s="70">
        <v>24.486484180026672</v>
      </c>
      <c r="P920" s="70">
        <v>6.3056200109703191</v>
      </c>
      <c r="Q920" s="70">
        <v>6.1859571172857892</v>
      </c>
      <c r="R920" s="70">
        <v>6.055242513414556</v>
      </c>
      <c r="S920" s="70">
        <v>8.7948237870497774</v>
      </c>
      <c r="T920" s="70">
        <v>8.3118230462511455</v>
      </c>
      <c r="U920" s="70">
        <v>6.1033620945829758</v>
      </c>
      <c r="V920" s="70">
        <v>6.683583007490598</v>
      </c>
      <c r="X920" s="193">
        <f>((0-('Appendix K'!$I$30))/(1+$Y$16)^0)</f>
        <v>-33594902.4440751</v>
      </c>
      <c r="Y920" s="193">
        <f>(((B920*'Appendix K'!$C$5*1000)-('Appendix K'!$E$31+'Appendix K'!$F$31+'Appendix K'!$H$31+'Appendix K'!$G$31))/((1+$Y$16)^1))</f>
        <v>34971064.972647354</v>
      </c>
      <c r="Z920" s="193">
        <f>+(((C920*'Appendix K'!$C$6*1000)-('Appendix K'!$E$32+'Appendix K'!$F$32+'Appendix K'!$H$32+'Appendix K'!$G$32))/((1+$Y$16)^2))</f>
        <v>6485472.2574019795</v>
      </c>
      <c r="AA920" s="193">
        <f>(((D920*'Appendix K'!$C$7*1000)-('Appendix K'!$E$33+'Appendix K'!$F$33+'Appendix K'!$H$33+'Appendix K'!$G$33))/((1+$Y$16)^3))</f>
        <v>657607.43378298718</v>
      </c>
      <c r="AB920" s="193">
        <f>(((E920*'Appendix K'!$C$8*1000)-('Appendix K'!$E$34+'Appendix K'!$F$34+'Appendix K'!$H$34+'Appendix K'!$G$34))/((1+$Y$16)^4))</f>
        <v>4048049.3255470512</v>
      </c>
      <c r="AC920" s="193">
        <f>(((F920*'Appendix K'!$C$9*1000)-('Appendix K'!$E$35+'Appendix K'!$F$35+'Appendix K'!$H$35+'Appendix K'!$G$35))/((1+$Y$16)^AC$34))</f>
        <v>4862287.9404134257</v>
      </c>
      <c r="AD920" s="193">
        <f>(((G920*'Appendix K'!$C$10*1000)-('Appendix K'!$E$36+'Appendix K'!$F$36+'Appendix K'!$H$36+'Appendix K'!$G$36))/((1+$Y$16)^AD$34))</f>
        <v>3202989.2414771584</v>
      </c>
      <c r="AE920" s="193">
        <f>(((H920*'Appendix K'!$C$11*1000)-('Appendix K'!$E$37+'Appendix K'!$F$37+'Appendix K'!$H$37+'Appendix K'!$G$37))/((1+$Y$16)^AE$34))</f>
        <v>1611615.5461425371</v>
      </c>
      <c r="AF920" s="193">
        <f>(((I920*'Appendix K'!$C$12*1000)-('Appendix K'!$E$38+'Appendix K'!$F$38+'Appendix K'!$H$38+'Appendix K'!$G$38))/((1+$Y$16)^AF$34))</f>
        <v>417915.5100942945</v>
      </c>
      <c r="AG920" s="193">
        <f>(((J920*'Appendix K'!$C$13*1000)-('Appendix K'!$E$39+'Appendix K'!$F$39+'Appendix K'!$H$39+'Appendix K'!$G$39))/((1+$Y$16)^AG$34))</f>
        <v>-234922.45966828009</v>
      </c>
      <c r="AH920" s="193">
        <f>(((K920*'Appendix K'!$C$14*1000)-('Appendix K'!$E$40+'Appendix K'!$F$40+'Appendix K'!$H$40+'Appendix K'!$G$40))/((1+$Y$16)^AH$34))</f>
        <v>-470709.31700772472</v>
      </c>
      <c r="AI920" s="193">
        <f>(((L920*'Appendix K'!$C$15*1000)-('Appendix K'!$E$41+'Appendix K'!$F$41+'Appendix K'!$H$41+'Appendix K'!$G$41))/((1+$Y$16)^AI$34))</f>
        <v>-737103.6392627079</v>
      </c>
      <c r="AJ920" s="193">
        <f>(((M920*'Appendix K'!$C$16*1000)-('Appendix K'!$E$42+'Appendix K'!$F$42+'Appendix K'!$H$42+'Appendix K'!$G$42))/((1+$Y$16)^AJ$34))</f>
        <v>-847130.38255749037</v>
      </c>
      <c r="AK920" s="193">
        <f>(((N920*'Appendix K'!$C$17*1000)-('Appendix K'!$E$43+'Appendix K'!$F$43+'Appendix K'!$H$43))/((1+$Y$16)^AK$34))</f>
        <v>-645533.09486275702</v>
      </c>
      <c r="AL920" s="193">
        <f>(((O920*'Appendix K'!$C$18*1000)-('Appendix K'!$E$44+'Appendix K'!$F$44+'Appendix K'!$H$44+'Appendix K'!$G$44))/((1+$Y$16)^AL$34))</f>
        <v>-844343.62348431093</v>
      </c>
      <c r="AM920" s="193">
        <f>(((P920*'Appendix K'!$C$19*1000)-('Appendix K'!$E$45+'Appendix K'!$F$45+'Appendix K'!$H$45+'Appendix K'!$G$45))/((1+$Y$16)^AM$34))</f>
        <v>-968320.84144756943</v>
      </c>
      <c r="AN920" s="193">
        <f>(((Q920*'Appendix K'!$C$20*1000)-('Appendix K'!$E$46+'Appendix K'!$F$46+'Appendix K'!$H$46+'Appendix K'!$G$46))/((1+$Y$16)^AN$34))</f>
        <v>-870945.9114864507</v>
      </c>
      <c r="AO920" s="193">
        <f>(((R920*'Appendix K'!$C$21*1000)-('Appendix K'!$E$47+'Appendix K'!$F$47+'Appendix K'!$H$47+'Appendix K'!$G$47))/((1+$Y$16)^AO$34))</f>
        <v>-807211.77314328693</v>
      </c>
      <c r="AP920" s="193">
        <f>(((S920*'Appendix K'!$C$22*1000)-('Appendix K'!$E$48+'Appendix K'!$F$48+'Appendix K'!$H$48+'Appendix K'!$G$48))/((1+$Y$16)^AP$34))</f>
        <v>-722328.49521752435</v>
      </c>
      <c r="AQ920" s="193">
        <f>(((T920*'Appendix K'!$C$23*1000)-('Appendix K'!$E$49+'Appendix K'!$F$49+'Appendix K'!$H$49+'Appendix K'!$G$49))/((1+$Y$16)^AQ$34))</f>
        <v>-660955.28399003216</v>
      </c>
      <c r="AR920" s="193">
        <f>(((U920*'Appendix K'!$C$24*1000)-('Appendix K'!$E$50+'Appendix K'!$F$50+'Appendix K'!$H$50+'Appendix K'!$G$50))/((1+$Y$16)^AR$34))</f>
        <v>-609635.87235451024</v>
      </c>
      <c r="AS920" s="209">
        <f t="shared" si="42"/>
        <v>22662099.783431694</v>
      </c>
      <c r="AU920" s="199">
        <f t="shared" si="41"/>
        <v>3.6514907542356453E-9</v>
      </c>
    </row>
    <row r="921" spans="1:47" x14ac:dyDescent="0.35">
      <c r="A921">
        <v>887</v>
      </c>
      <c r="B921" s="70">
        <v>56</v>
      </c>
      <c r="C921" s="70">
        <v>54.635579899470628</v>
      </c>
      <c r="D921" s="70">
        <v>76.342203310593945</v>
      </c>
      <c r="E921" s="70">
        <v>91.100260969985428</v>
      </c>
      <c r="F921" s="70">
        <v>60.792428699692877</v>
      </c>
      <c r="G921" s="70">
        <v>66.258194902734672</v>
      </c>
      <c r="H921" s="70">
        <v>71.902232543998622</v>
      </c>
      <c r="I921" s="70">
        <v>86.742509637032938</v>
      </c>
      <c r="J921" s="70">
        <v>104.97360049780949</v>
      </c>
      <c r="K921" s="70">
        <v>130.27297382427753</v>
      </c>
      <c r="L921" s="70">
        <v>119.61700694820085</v>
      </c>
      <c r="M921" s="70">
        <v>112.51110504671853</v>
      </c>
      <c r="N921" s="70">
        <v>78.99274396594457</v>
      </c>
      <c r="O921" s="70">
        <v>107.19704704093976</v>
      </c>
      <c r="P921" s="70">
        <v>187.84825973459948</v>
      </c>
      <c r="Q921" s="70">
        <v>173.69956405641867</v>
      </c>
      <c r="R921" s="70">
        <v>190.22771461485718</v>
      </c>
      <c r="S921" s="70">
        <v>209.70277148671801</v>
      </c>
      <c r="T921" s="70">
        <v>216.41750212812119</v>
      </c>
      <c r="U921" s="70">
        <v>267.47860887997194</v>
      </c>
      <c r="V921" s="70">
        <v>307.10387499894847</v>
      </c>
      <c r="X921" s="193">
        <f>((0-('Appendix K'!$I$30))/(1+$Y$16)^0)</f>
        <v>-33594902.4440751</v>
      </c>
      <c r="Y921" s="193">
        <f>(((B921*'Appendix K'!$C$5*1000)-('Appendix K'!$E$31+'Appendix K'!$F$31+'Appendix K'!$H$31+'Appendix K'!$G$31))/((1+$Y$16)^1))</f>
        <v>34971064.972647354</v>
      </c>
      <c r="Z921" s="193">
        <f>+(((C921*'Appendix K'!$C$6*1000)-('Appendix K'!$E$32+'Appendix K'!$F$32+'Appendix K'!$H$32+'Appendix K'!$G$32))/((1+$Y$16)^2))</f>
        <v>10314634.251822444</v>
      </c>
      <c r="AA921" s="193">
        <f>(((D921*'Appendix K'!$C$7*1000)-('Appendix K'!$E$33+'Appendix K'!$F$33+'Appendix K'!$H$33+'Appendix K'!$G$33))/((1+$Y$16)^3))</f>
        <v>6759180.3393295482</v>
      </c>
      <c r="AB921" s="193">
        <f>(((E921*'Appendix K'!$C$8*1000)-('Appendix K'!$E$34+'Appendix K'!$F$34+'Appendix K'!$H$34+'Appendix K'!$G$34))/((1+$Y$16)^4))</f>
        <v>16675135.373144373</v>
      </c>
      <c r="AC921" s="193">
        <f>(((F921*'Appendix K'!$C$9*1000)-('Appendix K'!$E$35+'Appendix K'!$F$35+'Appendix K'!$H$35+'Appendix K'!$G$35))/((1+$Y$16)^AC$34))</f>
        <v>13174303.567975622</v>
      </c>
      <c r="AD921" s="193">
        <f>(((G921*'Appendix K'!$C$10*1000)-('Appendix K'!$E$36+'Appendix K'!$F$36+'Appendix K'!$H$36+'Appendix K'!$G$36))/((1+$Y$16)^AD$34))</f>
        <v>7889685.77007287</v>
      </c>
      <c r="AE921" s="193">
        <f>(((H921*'Appendix K'!$C$11*1000)-('Appendix K'!$E$37+'Appendix K'!$F$37+'Appendix K'!$H$37+'Appendix K'!$G$37))/((1+$Y$16)^AE$34))</f>
        <v>4951417.2165974798</v>
      </c>
      <c r="AF921" s="193">
        <f>(((I921*'Appendix K'!$C$12*1000)-('Appendix K'!$E$38+'Appendix K'!$F$38+'Appendix K'!$H$38+'Appendix K'!$G$38))/((1+$Y$16)^AF$34))</f>
        <v>3699144.6995797828</v>
      </c>
      <c r="AG921" s="193">
        <f>(((J921*'Appendix K'!$C$13*1000)-('Appendix K'!$E$39+'Appendix K'!$F$39+'Appendix K'!$H$39+'Appendix K'!$G$39))/((1+$Y$16)^AG$34))</f>
        <v>3015829.1710753497</v>
      </c>
      <c r="AH921" s="193">
        <f>(((K921*'Appendix K'!$C$14*1000)-('Appendix K'!$E$40+'Appendix K'!$F$40+'Appendix K'!$H$40+'Appendix K'!$G$40))/((1+$Y$16)^AH$34))</f>
        <v>2758308.3217521911</v>
      </c>
      <c r="AI921" s="193">
        <f>(((L921*'Appendix K'!$C$15*1000)-('Appendix K'!$E$41+'Appendix K'!$F$41+'Appendix K'!$H$41+'Appendix K'!$G$41))/((1+$Y$16)^AI$34))</f>
        <v>1617707.918611669</v>
      </c>
      <c r="AJ921" s="193">
        <f>(((M921*'Appendix K'!$C$16*1000)-('Appendix K'!$E$42+'Appendix K'!$F$42+'Appendix K'!$H$42+'Appendix K'!$G$42))/((1+$Y$16)^AJ$34))</f>
        <v>873381.64218035701</v>
      </c>
      <c r="AK921" s="193">
        <f>(((N921*'Appendix K'!$C$17*1000)-('Appendix K'!$E$43+'Appendix K'!$F$43+'Appendix K'!$H$43))/((1+$Y$16)^AK$34))</f>
        <v>209377.80220122804</v>
      </c>
      <c r="AL921" s="193">
        <f>(((O921*'Appendix K'!$C$18*1000)-('Appendix K'!$E$44+'Appendix K'!$F$44+'Appendix K'!$H$44+'Appendix K'!$G$44))/((1+$Y$16)^AL$34))</f>
        <v>136049.01586505971</v>
      </c>
      <c r="AM921" s="193">
        <f>(((P921*'Appendix K'!$C$19*1000)-('Appendix K'!$E$45+'Appendix K'!$F$45+'Appendix K'!$H$45+'Appendix K'!$G$45))/((1+$Y$16)^AM$34))</f>
        <v>714349.19501192216</v>
      </c>
      <c r="AN921" s="193">
        <f>(((Q921*'Appendix K'!$C$20*1000)-('Appendix K'!$E$46+'Appendix K'!$F$46+'Appendix K'!$H$46+'Appendix K'!$G$46))/((1+$Y$16)^AN$34))</f>
        <v>341218.88049957453</v>
      </c>
      <c r="AO921" s="193">
        <f>(((R921*'Appendix K'!$C$21*1000)-('Appendix K'!$E$47+'Appendix K'!$F$47+'Appendix K'!$H$47+'Appendix K'!$G$47))/((1+$Y$16)^AO$34))</f>
        <v>281267.88435836713</v>
      </c>
      <c r="AP921" s="193">
        <f>(((S921*'Appendix K'!$C$22*1000)-('Appendix K'!$E$48+'Appendix K'!$F$48+'Appendix K'!$H$48+'Appendix K'!$G$48))/((1+$Y$16)^AP$34))</f>
        <v>239964.18777776207</v>
      </c>
      <c r="AQ921" s="193">
        <f>(((T921*'Appendix K'!$C$23*1000)-('Appendix K'!$E$49+'Appendix K'!$F$49+'Appendix K'!$H$49+'Appendix K'!$G$49))/((1+$Y$16)^AQ$34))</f>
        <v>153517.06751622711</v>
      </c>
      <c r="AR921" s="193">
        <f>(((U921*'Appendix K'!$C$24*1000)-('Appendix K'!$E$50+'Appendix K'!$F$50+'Appendix K'!$H$50+'Appendix K'!$G$50))/((1+$Y$16)^AR$34))</f>
        <v>231999.74573051563</v>
      </c>
      <c r="AS921" s="209">
        <f t="shared" si="42"/>
        <v>75412634.579674572</v>
      </c>
      <c r="AU921" s="199">
        <f t="shared" si="41"/>
        <v>6.8689882498983343E-9</v>
      </c>
    </row>
    <row r="922" spans="1:47" x14ac:dyDescent="0.35">
      <c r="A922">
        <v>888</v>
      </c>
      <c r="B922" s="70">
        <v>56</v>
      </c>
      <c r="C922" s="70">
        <v>39.538463894170107</v>
      </c>
      <c r="D922" s="70">
        <v>25.288090336644213</v>
      </c>
      <c r="E922" s="70">
        <v>13.851191103733516</v>
      </c>
      <c r="F922" s="70">
        <v>18.201469020752917</v>
      </c>
      <c r="G922" s="70">
        <v>21.611812394258934</v>
      </c>
      <c r="H922" s="70">
        <v>15.667590147157192</v>
      </c>
      <c r="I922" s="70">
        <v>19.814957698506458</v>
      </c>
      <c r="J922" s="70">
        <v>20.010080753935412</v>
      </c>
      <c r="K922" s="70">
        <v>26.595336232997415</v>
      </c>
      <c r="L922" s="70">
        <v>43.749371121390787</v>
      </c>
      <c r="M922" s="70">
        <v>30.032988523681325</v>
      </c>
      <c r="N922" s="70">
        <v>40.114659473033456</v>
      </c>
      <c r="O922" s="70">
        <v>40.760512751445532</v>
      </c>
      <c r="P922" s="70">
        <v>38.704571515839525</v>
      </c>
      <c r="Q922" s="70">
        <v>50.695903992910104</v>
      </c>
      <c r="R922" s="70">
        <v>63.764251882899671</v>
      </c>
      <c r="S922" s="70">
        <v>27.736263213134677</v>
      </c>
      <c r="T922" s="70">
        <v>28.498274997718163</v>
      </c>
      <c r="U922" s="70">
        <v>25.042577477259119</v>
      </c>
      <c r="V922" s="70">
        <v>22.527272205973787</v>
      </c>
      <c r="X922" s="193">
        <f>((0-('Appendix K'!$I$30))/(1+$Y$16)^0)</f>
        <v>-33594902.4440751</v>
      </c>
      <c r="Y922" s="193">
        <f>(((B922*'Appendix K'!$C$5*1000)-('Appendix K'!$E$31+'Appendix K'!$F$31+'Appendix K'!$H$31+'Appendix K'!$G$31))/((1+$Y$16)^1))</f>
        <v>34971064.972647354</v>
      </c>
      <c r="Z922" s="193">
        <f>+(((C922*'Appendix K'!$C$6*1000)-('Appendix K'!$E$32+'Appendix K'!$F$32+'Appendix K'!$H$32+'Appendix K'!$G$32))/((1+$Y$16)^2))</f>
        <v>6500844.5410351558</v>
      </c>
      <c r="AA922" s="193">
        <f>(((D922*'Appendix K'!$C$7*1000)-('Appendix K'!$E$33+'Appendix K'!$F$33+'Appendix K'!$H$33+'Appendix K'!$G$33))/((1+$Y$16)^3))</f>
        <v>256169.21589809834</v>
      </c>
      <c r="AB922" s="193">
        <f>(((E922*'Appendix K'!$C$8*1000)-('Appendix K'!$E$34+'Appendix K'!$F$34+'Appendix K'!$H$34+'Appendix K'!$G$34))/((1+$Y$16)^4))</f>
        <v>-257153.59436658429</v>
      </c>
      <c r="AC922" s="193">
        <f>(((F922*'Appendix K'!$C$9*1000)-('Appendix K'!$E$35+'Appendix K'!$F$35+'Appendix K'!$H$35+'Appendix K'!$G$35))/((1+$Y$16)^AC$34))</f>
        <v>1853693.3651216587</v>
      </c>
      <c r="AD922" s="193">
        <f>(((G922*'Appendix K'!$C$10*1000)-('Appendix K'!$E$36+'Appendix K'!$F$36+'Appendix K'!$H$36+'Appendix K'!$G$36))/((1+$Y$16)^AD$34))</f>
        <v>878241.44003281125</v>
      </c>
      <c r="AE922" s="193">
        <f>(((H922*'Appendix K'!$C$11*1000)-('Appendix K'!$E$37+'Appendix K'!$F$37+'Appendix K'!$H$37+'Appendix K'!$G$37))/((1+$Y$16)^AE$34))</f>
        <v>-657292.67453104968</v>
      </c>
      <c r="AF922" s="193">
        <f>(((I922*'Appendix K'!$C$12*1000)-('Appendix K'!$E$38+'Appendix K'!$F$38+'Appendix K'!$H$38+'Appendix K'!$G$38))/((1+$Y$16)^AF$34))</f>
        <v>-695480.79648517235</v>
      </c>
      <c r="AG922" s="193">
        <f>(((J922*'Appendix K'!$C$13*1000)-('Appendix K'!$E$39+'Appendix K'!$F$39+'Appendix K'!$H$39+'Appendix K'!$G$39))/((1+$Y$16)^AG$34))</f>
        <v>-894101.3142305105</v>
      </c>
      <c r="AH922" s="193">
        <f>(((K922*'Appendix K'!$C$14*1000)-('Appendix K'!$E$40+'Appendix K'!$F$40+'Appendix K'!$H$40+'Appendix K'!$G$40))/((1+$Y$16)^AH$34))</f>
        <v>-736304.74373325065</v>
      </c>
      <c r="AI922" s="193">
        <f>(((L922*'Appendix K'!$C$15*1000)-('Appendix K'!$E$41+'Appendix K'!$F$41+'Appendix K'!$H$41+'Appendix K'!$G$41))/((1+$Y$16)^AI$34))</f>
        <v>-370166.01322542835</v>
      </c>
      <c r="AJ922" s="193">
        <f>(((M922*'Appendix K'!$C$16*1000)-('Appendix K'!$E$42+'Appendix K'!$F$42+'Appendix K'!$H$42+'Appendix K'!$G$42))/((1+$Y$16)^AJ$34))</f>
        <v>-779633.79776603705</v>
      </c>
      <c r="AK922" s="193">
        <f>(((N922*'Appendix K'!$C$17*1000)-('Appendix K'!$E$43+'Appendix K'!$F$43+'Appendix K'!$H$43))/((1+$Y$16)^AK$34))</f>
        <v>-387941.10149108781</v>
      </c>
      <c r="AL922" s="193">
        <f>(((O922*'Appendix K'!$C$18*1000)-('Appendix K'!$E$44+'Appendix K'!$F$44+'Appendix K'!$H$44+'Appendix K'!$G$44))/((1+$Y$16)^AL$34))</f>
        <v>-651442.77415977675</v>
      </c>
      <c r="AM922" s="193">
        <f>(((P922*'Appendix K'!$C$19*1000)-('Appendix K'!$E$45+'Appendix K'!$F$45+'Appendix K'!$H$45+'Appendix K'!$G$45))/((1+$Y$16)^AM$34))</f>
        <v>-668023.64959809009</v>
      </c>
      <c r="AN922" s="193">
        <f>(((Q922*'Appendix K'!$C$20*1000)-('Appendix K'!$E$46+'Appendix K'!$F$46+'Appendix K'!$H$46+'Appendix K'!$G$46))/((1+$Y$16)^AN$34))</f>
        <v>-548862.28209266358</v>
      </c>
      <c r="AO922" s="193">
        <f>(((R922*'Appendix K'!$C$21*1000)-('Appendix K'!$E$47+'Appendix K'!$F$47+'Appendix K'!$H$47+'Appendix K'!$G$47))/((1+$Y$16)^AO$34))</f>
        <v>-466145.15207595273</v>
      </c>
      <c r="AP922" s="193">
        <f>(((S922*'Appendix K'!$C$22*1000)-('Appendix K'!$E$48+'Appendix K'!$F$48+'Appendix K'!$H$48+'Appendix K'!$G$48))/((1+$Y$16)^AP$34))</f>
        <v>-631604.31643905572</v>
      </c>
      <c r="AQ922" s="193">
        <f>(((T922*'Appendix K'!$C$23*1000)-('Appendix K'!$E$49+'Appendix K'!$F$49+'Appendix K'!$H$49+'Appendix K'!$G$49))/((1+$Y$16)^AQ$34))</f>
        <v>-581950.67891622568</v>
      </c>
      <c r="AR922" s="193">
        <f>(((U922*'Appendix K'!$C$24*1000)-('Appendix K'!$E$50+'Appendix K'!$F$50+'Appendix K'!$H$50+'Appendix K'!$G$50))/((1+$Y$16)^AR$34))</f>
        <v>-548651.06816709577</v>
      </c>
      <c r="AS922" s="209">
        <f t="shared" si="42"/>
        <v>10865111.090659969</v>
      </c>
      <c r="AU922" s="199">
        <f t="shared" si="41"/>
        <v>2.8168203289282579E-9</v>
      </c>
    </row>
    <row r="923" spans="1:47" x14ac:dyDescent="0.35">
      <c r="A923">
        <v>889</v>
      </c>
      <c r="B923" s="70">
        <v>56</v>
      </c>
      <c r="C923" s="70">
        <v>62.847324837057755</v>
      </c>
      <c r="D923" s="70">
        <v>106.45749128905615</v>
      </c>
      <c r="E923" s="70">
        <v>133.6802649521936</v>
      </c>
      <c r="F923" s="70">
        <v>231.70567469965061</v>
      </c>
      <c r="G923" s="70">
        <v>143.33718927320484</v>
      </c>
      <c r="H923" s="70">
        <v>205.63473740956545</v>
      </c>
      <c r="I923" s="70">
        <v>248.05170714014795</v>
      </c>
      <c r="J923" s="70">
        <v>392.08601200457167</v>
      </c>
      <c r="K923" s="70">
        <v>355.91985165367549</v>
      </c>
      <c r="L923" s="70">
        <v>411.75330726166828</v>
      </c>
      <c r="M923" s="70">
        <v>476.52429254347936</v>
      </c>
      <c r="N923" s="70">
        <v>500</v>
      </c>
      <c r="O923" s="70">
        <v>500</v>
      </c>
      <c r="P923" s="70">
        <v>500</v>
      </c>
      <c r="Q923" s="70">
        <v>281.90305516951668</v>
      </c>
      <c r="R923" s="70">
        <v>398.3535105974957</v>
      </c>
      <c r="S923" s="70">
        <v>369.76205947878987</v>
      </c>
      <c r="T923" s="70">
        <v>246.15668589231956</v>
      </c>
      <c r="U923" s="70">
        <v>375.7145522948789</v>
      </c>
      <c r="V923" s="70">
        <v>202.41100911889839</v>
      </c>
      <c r="X923" s="193">
        <f>((0-('Appendix K'!$I$30))/(1+$Y$16)^0)</f>
        <v>-33594902.4440751</v>
      </c>
      <c r="Y923" s="193">
        <f>(((B923*'Appendix K'!$C$5*1000)-('Appendix K'!$E$31+'Appendix K'!$F$31+'Appendix K'!$H$31+'Appendix K'!$G$31))/((1+$Y$16)^1))</f>
        <v>34971064.972647354</v>
      </c>
      <c r="Z923" s="193">
        <f>+(((C923*'Appendix K'!$C$6*1000)-('Appendix K'!$E$32+'Appendix K'!$F$32+'Appendix K'!$H$32+'Appendix K'!$G$32))/((1+$Y$16)^2))</f>
        <v>12389061.46954958</v>
      </c>
      <c r="AA923" s="193">
        <f>(((D923*'Appendix K'!$C$7*1000)-('Appendix K'!$E$33+'Appendix K'!$F$33+'Appendix K'!$H$33+'Appendix K'!$G$33))/((1+$Y$16)^3))</f>
        <v>10595111.301624557</v>
      </c>
      <c r="AB923" s="193">
        <f>(((E923*'Appendix K'!$C$8*1000)-('Appendix K'!$E$34+'Appendix K'!$F$34+'Appendix K'!$H$34+'Appendix K'!$G$34))/((1+$Y$16)^4))</f>
        <v>26008282.463624638</v>
      </c>
      <c r="AC923" s="193">
        <f>(((F923*'Appendix K'!$C$9*1000)-('Appendix K'!$E$35+'Appendix K'!$F$35+'Appendix K'!$H$35+'Appendix K'!$G$35))/((1+$Y$16)^AC$34))</f>
        <v>58602775.972807027</v>
      </c>
      <c r="AD923" s="193">
        <f>(((G923*'Appendix K'!$C$10*1000)-('Appendix K'!$E$36+'Appendix K'!$F$36+'Appendix K'!$H$36+'Appendix K'!$G$36))/((1+$Y$16)^AD$34))</f>
        <v>19994475.624915548</v>
      </c>
      <c r="AE923" s="193">
        <f>(((H923*'Appendix K'!$C$11*1000)-('Appendix K'!$E$37+'Appendix K'!$F$37+'Appendix K'!$H$37+'Appendix K'!$G$37))/((1+$Y$16)^AE$34))</f>
        <v>18289580.150252558</v>
      </c>
      <c r="AF923" s="193">
        <f>(((I923*'Appendix K'!$C$12*1000)-('Appendix K'!$E$38+'Appendix K'!$F$38+'Appendix K'!$H$38+'Appendix K'!$G$38))/((1+$Y$16)^AF$34))</f>
        <v>14291098.111353923</v>
      </c>
      <c r="AG923" s="193">
        <f>(((J923*'Appendix K'!$C$13*1000)-('Appendix K'!$E$39+'Appendix K'!$F$39+'Appendix K'!$H$39+'Appendix K'!$G$39))/((1+$Y$16)^AG$34))</f>
        <v>16228435.873858633</v>
      </c>
      <c r="AH923" s="193">
        <f>(((K923*'Appendix K'!$C$14*1000)-('Appendix K'!$E$40+'Appendix K'!$F$40+'Appendix K'!$H$40+'Appendix K'!$G$40))/((1+$Y$16)^AH$34))</f>
        <v>10364080.846751669</v>
      </c>
      <c r="AI923" s="193">
        <f>(((L923*'Appendix K'!$C$15*1000)-('Appendix K'!$E$41+'Appendix K'!$F$41+'Appendix K'!$H$41+'Appendix K'!$G$41))/((1+$Y$16)^AI$34))</f>
        <v>9272225.2843848802</v>
      </c>
      <c r="AJ923" s="193">
        <f>(((M923*'Appendix K'!$C$16*1000)-('Appendix K'!$E$42+'Appendix K'!$F$42+'Appendix K'!$H$42+'Appendix K'!$G$42))/((1+$Y$16)^AJ$34))</f>
        <v>8168885.5242092256</v>
      </c>
      <c r="AK923" s="193">
        <f>(((N923*'Appendix K'!$C$17*1000)-('Appendix K'!$E$43+'Appendix K'!$F$43+'Appendix K'!$H$43))/((1+$Y$16)^AK$34))</f>
        <v>6677690.1149291173</v>
      </c>
      <c r="AL923" s="193">
        <f>(((O923*'Appendix K'!$C$18*1000)-('Appendix K'!$E$44+'Appendix K'!$F$44+'Appendix K'!$H$44+'Appendix K'!$G$44))/((1+$Y$16)^AL$34))</f>
        <v>4792058.0003928225</v>
      </c>
      <c r="AM923" s="193">
        <f>(((P923*'Appendix K'!$C$19*1000)-('Appendix K'!$E$45+'Appendix K'!$F$45+'Appendix K'!$H$45+'Appendix K'!$G$45))/((1+$Y$16)^AM$34))</f>
        <v>3607599.9540230581</v>
      </c>
      <c r="AN923" s="193">
        <f>(((Q923*'Appendix K'!$C$20*1000)-('Appendix K'!$E$46+'Appendix K'!$F$46+'Appendix K'!$H$46+'Appendix K'!$G$46))/((1+$Y$16)^AN$34))</f>
        <v>1124202.8105448997</v>
      </c>
      <c r="AO923" s="193">
        <f>(((R923*'Appendix K'!$C$21*1000)-('Appendix K'!$E$47+'Appendix K'!$F$47+'Appendix K'!$H$47+'Appendix K'!$G$47))/((1+$Y$16)^AO$34))</f>
        <v>1511314.3323620753</v>
      </c>
      <c r="AP923" s="193">
        <f>(((S923*'Appendix K'!$C$22*1000)-('Appendix K'!$E$48+'Appendix K'!$F$48+'Appendix K'!$H$48+'Appendix K'!$G$48))/((1+$Y$16)^AP$34))</f>
        <v>1006603.2552896761</v>
      </c>
      <c r="AQ923" s="193">
        <f>(((T923*'Appendix K'!$C$23*1000)-('Appendix K'!$E$49+'Appendix K'!$F$49+'Appendix K'!$H$49+'Appendix K'!$G$49))/((1+$Y$16)^AQ$34))</f>
        <v>269908.61934300064</v>
      </c>
      <c r="AR923" s="193">
        <f>(((U923*'Appendix K'!$C$24*1000)-('Appendix K'!$E$50+'Appendix K'!$F$50+'Appendix K'!$H$50+'Appendix K'!$G$50))/((1+$Y$16)^AR$34))</f>
        <v>580522.51617410686</v>
      </c>
      <c r="AS923" s="209">
        <f t="shared" si="42"/>
        <v>225150074.75496325</v>
      </c>
      <c r="AU923" s="199">
        <f t="shared" si="41"/>
        <v>3.7292095041410898E-10</v>
      </c>
    </row>
    <row r="924" spans="1:47" x14ac:dyDescent="0.35">
      <c r="A924">
        <v>890</v>
      </c>
      <c r="B924" s="70">
        <v>56</v>
      </c>
      <c r="C924" s="70">
        <v>46.322738533956873</v>
      </c>
      <c r="D924" s="70">
        <v>60.864217602277058</v>
      </c>
      <c r="E924" s="70">
        <v>93.49844689150143</v>
      </c>
      <c r="F924" s="70">
        <v>115.71766958964531</v>
      </c>
      <c r="G924" s="70">
        <v>110.49352191511757</v>
      </c>
      <c r="H924" s="70">
        <v>75.599401971553135</v>
      </c>
      <c r="I924" s="70">
        <v>84.177592266400964</v>
      </c>
      <c r="J924" s="70">
        <v>71.926661157319629</v>
      </c>
      <c r="K924" s="70">
        <v>96.707533358914873</v>
      </c>
      <c r="L924" s="70">
        <v>63.844419158451231</v>
      </c>
      <c r="M924" s="70">
        <v>53.916863025624394</v>
      </c>
      <c r="N924" s="70">
        <v>64.893017438071936</v>
      </c>
      <c r="O924" s="70">
        <v>87.739693157651232</v>
      </c>
      <c r="P924" s="70">
        <v>93.537387654818744</v>
      </c>
      <c r="Q924" s="70">
        <v>77.653563692835505</v>
      </c>
      <c r="R924" s="70">
        <v>48.446670224454557</v>
      </c>
      <c r="S924" s="70">
        <v>56.199378538034928</v>
      </c>
      <c r="T924" s="70">
        <v>69.591767142508203</v>
      </c>
      <c r="U924" s="70">
        <v>59.611564387333587</v>
      </c>
      <c r="V924" s="70">
        <v>81.045801727516007</v>
      </c>
      <c r="X924" s="193">
        <f>((0-('Appendix K'!$I$30))/(1+$Y$16)^0)</f>
        <v>-33594902.4440751</v>
      </c>
      <c r="Y924" s="193">
        <f>(((B924*'Appendix K'!$C$5*1000)-('Appendix K'!$E$31+'Appendix K'!$F$31+'Appendix K'!$H$31+'Appendix K'!$G$31))/((1+$Y$16)^1))</f>
        <v>34971064.972647354</v>
      </c>
      <c r="Z924" s="193">
        <f>+(((C924*'Appendix K'!$C$6*1000)-('Appendix K'!$E$32+'Appendix K'!$F$32+'Appendix K'!$H$32+'Appendix K'!$G$32))/((1+$Y$16)^2))</f>
        <v>8214668.3473362895</v>
      </c>
      <c r="AA924" s="193">
        <f>(((D924*'Appendix K'!$C$7*1000)-('Appendix K'!$E$33+'Appendix K'!$F$33+'Appendix K'!$H$33+'Appendix K'!$G$33))/((1+$Y$16)^3))</f>
        <v>4787673.8853665553</v>
      </c>
      <c r="AB924" s="193">
        <f>(((E924*'Appendix K'!$C$8*1000)-('Appendix K'!$E$34+'Appendix K'!$F$34+'Appendix K'!$H$34+'Appendix K'!$G$34))/((1+$Y$16)^4))</f>
        <v>17200795.77386158</v>
      </c>
      <c r="AC924" s="193">
        <f>(((F924*'Appendix K'!$C$9*1000)-('Appendix K'!$E$35+'Appendix K'!$F$35+'Appendix K'!$H$35+'Appendix K'!$G$35))/((1+$Y$16)^AC$34))</f>
        <v>27773346.348419562</v>
      </c>
      <c r="AD924" s="193">
        <f>(((G924*'Appendix K'!$C$10*1000)-('Appendix K'!$E$36+'Appendix K'!$F$36+'Appendix K'!$H$36+'Appendix K'!$G$36))/((1+$Y$16)^AD$34))</f>
        <v>14836576.320714008</v>
      </c>
      <c r="AE924" s="193">
        <f>(((H924*'Appendix K'!$C$11*1000)-('Appendix K'!$E$37+'Appendix K'!$F$37+'Appendix K'!$H$37+'Appendix K'!$G$37))/((1+$Y$16)^AE$34))</f>
        <v>5320164.1287085032</v>
      </c>
      <c r="AF924" s="193">
        <f>(((I924*'Appendix K'!$C$12*1000)-('Appendix K'!$E$38+'Appendix K'!$F$38+'Appendix K'!$H$38+'Appendix K'!$G$38))/((1+$Y$16)^AF$34))</f>
        <v>3530725.999869498</v>
      </c>
      <c r="AG924" s="193">
        <f>(((J924*'Appendix K'!$C$13*1000)-('Appendix K'!$E$39+'Appendix K'!$F$39+'Appendix K'!$H$39+'Appendix K'!$G$39))/((1+$Y$16)^AG$34))</f>
        <v>1495044.2981917022</v>
      </c>
      <c r="AH924" s="193">
        <f>(((K924*'Appendix K'!$C$14*1000)-('Appendix K'!$E$40+'Appendix K'!$F$40+'Appendix K'!$H$40+'Appendix K'!$G$40))/((1+$Y$16)^AH$34))</f>
        <v>1626933.9046243117</v>
      </c>
      <c r="AI924" s="193">
        <f>(((L924*'Appendix K'!$C$15*1000)-('Appendix K'!$E$41+'Appendix K'!$F$41+'Appendix K'!$H$41+'Appendix K'!$G$41))/((1+$Y$16)^AI$34))</f>
        <v>156361.82326964827</v>
      </c>
      <c r="AJ924" s="193">
        <f>(((M924*'Appendix K'!$C$16*1000)-('Appendix K'!$E$42+'Appendix K'!$F$42+'Appendix K'!$H$42+'Appendix K'!$G$42))/((1+$Y$16)^AJ$34))</f>
        <v>-300956.36208009394</v>
      </c>
      <c r="AK924" s="193">
        <f>(((N924*'Appendix K'!$C$17*1000)-('Appendix K'!$E$43+'Appendix K'!$F$43+'Appendix K'!$H$43))/((1+$Y$16)^AK$34))</f>
        <v>-7248.9504240456909</v>
      </c>
      <c r="AL924" s="193">
        <f>(((O924*'Appendix K'!$C$18*1000)-('Appendix K'!$E$44+'Appendix K'!$F$44+'Appendix K'!$H$44+'Appendix K'!$G$44))/((1+$Y$16)^AL$34))</f>
        <v>-94584.725081306315</v>
      </c>
      <c r="AM924" s="193">
        <f>(((P924*'Appendix K'!$C$19*1000)-('Appendix K'!$E$45+'Appendix K'!$F$45+'Appendix K'!$H$45+'Appendix K'!$G$45))/((1+$Y$16)^AM$34))</f>
        <v>-159792.98339089553</v>
      </c>
      <c r="AN924" s="193">
        <f>(((Q924*'Appendix K'!$C$20*1000)-('Appendix K'!$E$46+'Appendix K'!$F$46+'Appendix K'!$H$46+'Appendix K'!$G$46))/((1+$Y$16)^AN$34))</f>
        <v>-353790.80963333341</v>
      </c>
      <c r="AO924" s="193">
        <f>(((R924*'Appendix K'!$C$21*1000)-('Appendix K'!$E$47+'Appendix K'!$F$47+'Appendix K'!$H$47+'Appendix K'!$G$47))/((1+$Y$16)^AO$34))</f>
        <v>-556673.75196440134</v>
      </c>
      <c r="AP924" s="193">
        <f>(((S924*'Appendix K'!$C$22*1000)-('Appendix K'!$E$48+'Appendix K'!$F$48+'Appendix K'!$H$48+'Appendix K'!$G$48))/((1+$Y$16)^AP$34))</f>
        <v>-495273.98244277772</v>
      </c>
      <c r="AQ924" s="193">
        <f>(((T924*'Appendix K'!$C$23*1000)-('Appendix K'!$E$49+'Appendix K'!$F$49+'Appendix K'!$H$49+'Appendix K'!$G$49))/((1+$Y$16)^AQ$34))</f>
        <v>-421121.27086530928</v>
      </c>
      <c r="AR924" s="193">
        <f>(((U924*'Appendix K'!$C$24*1000)-('Appendix K'!$E$50+'Appendix K'!$F$50+'Appendix K'!$H$50+'Appendix K'!$G$50))/((1+$Y$16)^AR$34))</f>
        <v>-437337.96173310088</v>
      </c>
      <c r="AS924" s="209">
        <f t="shared" si="42"/>
        <v>86318453.358933926</v>
      </c>
      <c r="AU924" s="199">
        <f t="shared" si="41"/>
        <v>7.0278336113977664E-9</v>
      </c>
    </row>
    <row r="925" spans="1:47" x14ac:dyDescent="0.35">
      <c r="A925">
        <v>891</v>
      </c>
      <c r="B925" s="70">
        <v>56</v>
      </c>
      <c r="C925" s="70">
        <v>72.223919092408522</v>
      </c>
      <c r="D925" s="70">
        <v>73.07131230242841</v>
      </c>
      <c r="E925" s="70">
        <v>63.028011153597141</v>
      </c>
      <c r="F925" s="70">
        <v>41.433445778247105</v>
      </c>
      <c r="G925" s="70">
        <v>45.74427755533975</v>
      </c>
      <c r="H925" s="70">
        <v>41.880050859050257</v>
      </c>
      <c r="I925" s="70">
        <v>54.877477483972541</v>
      </c>
      <c r="J925" s="70">
        <v>64.120121352956119</v>
      </c>
      <c r="K925" s="70">
        <v>77.829193689489699</v>
      </c>
      <c r="L925" s="70">
        <v>90.493424592430102</v>
      </c>
      <c r="M925" s="70">
        <v>99.654578949621936</v>
      </c>
      <c r="N925" s="70">
        <v>71.538495736545997</v>
      </c>
      <c r="O925" s="70">
        <v>96.773660430647112</v>
      </c>
      <c r="P925" s="70">
        <v>123.54839351905044</v>
      </c>
      <c r="Q925" s="70">
        <v>87.041957365937861</v>
      </c>
      <c r="R925" s="70">
        <v>55.765764233904704</v>
      </c>
      <c r="S925" s="70">
        <v>52.058510498803997</v>
      </c>
      <c r="T925" s="70">
        <v>34.137226854566329</v>
      </c>
      <c r="U925" s="70">
        <v>22.89229221722929</v>
      </c>
      <c r="V925" s="70">
        <v>17.509436772837418</v>
      </c>
      <c r="X925" s="193">
        <f>((0-('Appendix K'!$I$30))/(1+$Y$16)^0)</f>
        <v>-33594902.4440751</v>
      </c>
      <c r="Y925" s="193">
        <f>(((B925*'Appendix K'!$C$5*1000)-('Appendix K'!$E$31+'Appendix K'!$F$31+'Appendix K'!$H$31+'Appendix K'!$G$31))/((1+$Y$16)^1))</f>
        <v>34971064.972647354</v>
      </c>
      <c r="Z925" s="193">
        <f>+(((C925*'Appendix K'!$C$6*1000)-('Appendix K'!$E$32+'Appendix K'!$F$32+'Appendix K'!$H$32+'Appendix K'!$G$32))/((1+$Y$16)^2))</f>
        <v>14757749.547506236</v>
      </c>
      <c r="AA925" s="193">
        <f>(((D925*'Appendix K'!$C$7*1000)-('Appendix K'!$E$33+'Appendix K'!$F$33+'Appendix K'!$H$33+'Appendix K'!$G$33))/((1+$Y$16)^3))</f>
        <v>6342551.0146660162</v>
      </c>
      <c r="AB925" s="193">
        <f>(((E925*'Appendix K'!$C$8*1000)-('Appendix K'!$E$34+'Appendix K'!$F$34+'Appendix K'!$H$34+'Appendix K'!$G$34))/((1+$Y$16)^4))</f>
        <v>10521955.19010503</v>
      </c>
      <c r="AC925" s="193">
        <f>(((F925*'Appendix K'!$C$9*1000)-('Appendix K'!$E$35+'Appendix K'!$F$35+'Appendix K'!$H$35+'Appendix K'!$G$35))/((1+$Y$16)^AC$34))</f>
        <v>8028716.3065136354</v>
      </c>
      <c r="AD925" s="193">
        <f>(((G925*'Appendix K'!$C$10*1000)-('Appendix K'!$E$36+'Appendix K'!$F$36+'Appendix K'!$H$36+'Appendix K'!$G$36))/((1+$Y$16)^AD$34))</f>
        <v>4668099.1287588244</v>
      </c>
      <c r="AE925" s="193">
        <f>(((H925*'Appendix K'!$C$11*1000)-('Appendix K'!$E$37+'Appendix K'!$F$37+'Appendix K'!$H$37+'Appendix K'!$G$37))/((1+$Y$16)^AE$34))</f>
        <v>1957076.0028426375</v>
      </c>
      <c r="AF925" s="193">
        <f>(((I925*'Appendix K'!$C$12*1000)-('Appendix K'!$E$38+'Appendix K'!$F$38+'Appendix K'!$H$38+'Appendix K'!$G$38))/((1+$Y$16)^AF$34))</f>
        <v>1606809.350732838</v>
      </c>
      <c r="AG925" s="193">
        <f>(((J925*'Appendix K'!$C$13*1000)-('Appendix K'!$E$39+'Appendix K'!$F$39+'Appendix K'!$H$39+'Appendix K'!$G$39))/((1+$Y$16)^AG$34))</f>
        <v>1135795.6693937494</v>
      </c>
      <c r="AH925" s="193">
        <f>(((K925*'Appendix K'!$C$14*1000)-('Appendix K'!$E$40+'Appendix K'!$F$40+'Appendix K'!$H$40+'Appendix K'!$G$40))/((1+$Y$16)^AH$34))</f>
        <v>990610.6434450465</v>
      </c>
      <c r="AI925" s="193">
        <f>(((L925*'Appendix K'!$C$15*1000)-('Appendix K'!$E$41+'Appendix K'!$F$41+'Appendix K'!$H$41+'Appendix K'!$G$41))/((1+$Y$16)^AI$34))</f>
        <v>854615.59952441789</v>
      </c>
      <c r="AJ925" s="193">
        <f>(((M925*'Appendix K'!$C$16*1000)-('Appendix K'!$E$42+'Appendix K'!$F$42+'Appendix K'!$H$42+'Appendix K'!$G$42))/((1+$Y$16)^AJ$34))</f>
        <v>615712.85634383187</v>
      </c>
      <c r="AK925" s="193">
        <f>(((N925*'Appendix K'!$C$17*1000)-('Appendix K'!$E$43+'Appendix K'!$F$43+'Appendix K'!$H$43))/((1+$Y$16)^AK$34))</f>
        <v>94851.496743802389</v>
      </c>
      <c r="AL925" s="193">
        <f>(((O925*'Appendix K'!$C$18*1000)-('Appendix K'!$E$44+'Appendix K'!$F$44+'Appendix K'!$H$44+'Appendix K'!$G$44))/((1+$Y$16)^AL$34))</f>
        <v>12497.547269590354</v>
      </c>
      <c r="AM925" s="193">
        <f>(((P925*'Appendix K'!$C$19*1000)-('Appendix K'!$E$45+'Appendix K'!$F$45+'Appendix K'!$H$45+'Appendix K'!$G$45))/((1+$Y$16)^AM$34))</f>
        <v>118370.98078098803</v>
      </c>
      <c r="AN925" s="193">
        <f>(((Q925*'Appendix K'!$C$20*1000)-('Appendix K'!$E$46+'Appendix K'!$F$46+'Appendix K'!$H$46+'Appendix K'!$G$46))/((1+$Y$16)^AN$34))</f>
        <v>-285854.35675775219</v>
      </c>
      <c r="AO925" s="193">
        <f>(((R925*'Appendix K'!$C$21*1000)-('Appendix K'!$E$47+'Appendix K'!$F$47+'Appendix K'!$H$47+'Appendix K'!$G$47))/((1+$Y$16)^AO$34))</f>
        <v>-513417.09775475023</v>
      </c>
      <c r="AP925" s="193">
        <f>(((S925*'Appendix K'!$C$22*1000)-('Appendix K'!$E$48+'Appendix K'!$F$48+'Appendix K'!$H$48+'Appendix K'!$G$48))/((1+$Y$16)^AP$34))</f>
        <v>-515107.57818164624</v>
      </c>
      <c r="AQ925" s="193">
        <f>(((T925*'Appendix K'!$C$23*1000)-('Appendix K'!$E$49+'Appendix K'!$F$49+'Appendix K'!$H$49+'Appendix K'!$G$49))/((1+$Y$16)^AQ$34))</f>
        <v>-559881.26495722029</v>
      </c>
      <c r="AR925" s="193">
        <f>(((U925*'Appendix K'!$C$24*1000)-('Appendix K'!$E$50+'Appendix K'!$F$50+'Appendix K'!$H$50+'Appendix K'!$G$50))/((1+$Y$16)^AR$34))</f>
        <v>-555575.0469529304</v>
      </c>
      <c r="AS925" s="209">
        <f t="shared" si="42"/>
        <v>53081573.863198884</v>
      </c>
      <c r="AU925" s="199">
        <f t="shared" si="41"/>
        <v>5.841448570381664E-9</v>
      </c>
    </row>
    <row r="926" spans="1:47" x14ac:dyDescent="0.35">
      <c r="A926">
        <v>892</v>
      </c>
      <c r="B926" s="70">
        <v>56</v>
      </c>
      <c r="C926" s="70">
        <v>78.256563560001851</v>
      </c>
      <c r="D926" s="70">
        <v>72.050070337778095</v>
      </c>
      <c r="E926" s="70">
        <v>80.686888839309816</v>
      </c>
      <c r="F926" s="70">
        <v>78.774141294453173</v>
      </c>
      <c r="G926" s="70">
        <v>42.796755083034171</v>
      </c>
      <c r="H926" s="70">
        <v>54.065836168270572</v>
      </c>
      <c r="I926" s="70">
        <v>67.862980622676233</v>
      </c>
      <c r="J926" s="70">
        <v>94.949779533169803</v>
      </c>
      <c r="K926" s="70">
        <v>152.28502388465998</v>
      </c>
      <c r="L926" s="70">
        <v>152.1090607414738</v>
      </c>
      <c r="M926" s="70">
        <v>168.67072031982588</v>
      </c>
      <c r="N926" s="70">
        <v>143.61567044094969</v>
      </c>
      <c r="O926" s="70">
        <v>196.92781193035185</v>
      </c>
      <c r="P926" s="70">
        <v>271.77653541958875</v>
      </c>
      <c r="Q926" s="70">
        <v>348.94358937266162</v>
      </c>
      <c r="R926" s="70">
        <v>500</v>
      </c>
      <c r="S926" s="70">
        <v>500</v>
      </c>
      <c r="T926" s="70">
        <v>324.65730295010383</v>
      </c>
      <c r="U926" s="70">
        <v>253.87211467943894</v>
      </c>
      <c r="V926" s="70">
        <v>151.88037372338266</v>
      </c>
      <c r="X926" s="193">
        <f>((0-('Appendix K'!$I$30))/(1+$Y$16)^0)</f>
        <v>-33594902.4440751</v>
      </c>
      <c r="Y926" s="193">
        <f>(((B926*'Appendix K'!$C$5*1000)-('Appendix K'!$E$31+'Appendix K'!$F$31+'Appendix K'!$H$31+'Appendix K'!$G$31))/((1+$Y$16)^1))</f>
        <v>34971064.972647354</v>
      </c>
      <c r="Z926" s="193">
        <f>+(((C926*'Appendix K'!$C$6*1000)-('Appendix K'!$E$32+'Appendix K'!$F$32+'Appendix K'!$H$32+'Appendix K'!$G$32))/((1+$Y$16)^2))</f>
        <v>16281698.717087209</v>
      </c>
      <c r="AA926" s="193">
        <f>(((D926*'Appendix K'!$C$7*1000)-('Appendix K'!$E$33+'Appendix K'!$F$33+'Appendix K'!$H$33+'Appendix K'!$G$33))/((1+$Y$16)^3))</f>
        <v>6212470.4497715747</v>
      </c>
      <c r="AB926" s="193">
        <f>(((E926*'Appendix K'!$C$8*1000)-('Appendix K'!$E$34+'Appendix K'!$F$34+'Appendix K'!$H$34+'Appendix K'!$G$34))/((1+$Y$16)^4))</f>
        <v>14392619.527347047</v>
      </c>
      <c r="AC926" s="193">
        <f>(((F926*'Appendix K'!$C$9*1000)-('Appendix K'!$E$35+'Appendix K'!$F$35+'Appendix K'!$H$35+'Appendix K'!$G$35))/((1+$Y$16)^AC$34))</f>
        <v>17953814.539307121</v>
      </c>
      <c r="AD926" s="193">
        <f>(((G926*'Appendix K'!$C$10*1000)-('Appendix K'!$E$36+'Appendix K'!$F$36+'Appendix K'!$H$36+'Appendix K'!$G$36))/((1+$Y$16)^AD$34))</f>
        <v>4205208.5525248079</v>
      </c>
      <c r="AE926" s="193">
        <f>(((H926*'Appendix K'!$C$11*1000)-('Appendix K'!$E$37+'Appendix K'!$F$37+'Appendix K'!$H$37+'Appendix K'!$G$37))/((1+$Y$16)^AE$34))</f>
        <v>3172457.335094722</v>
      </c>
      <c r="AF926" s="193">
        <f>(((I926*'Appendix K'!$C$12*1000)-('Appendix K'!$E$38+'Appendix K'!$F$38+'Appendix K'!$H$38+'Appendix K'!$G$38))/((1+$Y$16)^AF$34))</f>
        <v>2459469.0031431746</v>
      </c>
      <c r="AG926" s="193">
        <f>(((J926*'Appendix K'!$C$13*1000)-('Appendix K'!$E$39+'Appendix K'!$F$39+'Appendix K'!$H$39+'Appendix K'!$G$39))/((1+$Y$16)^AG$34))</f>
        <v>2554543.6300921151</v>
      </c>
      <c r="AH926" s="193">
        <f>(((K926*'Appendix K'!$C$14*1000)-('Appendix K'!$E$40+'Appendix K'!$F$40+'Appendix K'!$H$40+'Appendix K'!$G$40))/((1+$Y$16)^AH$34))</f>
        <v>3500258.0760702994</v>
      </c>
      <c r="AI926" s="193">
        <f>(((L926*'Appendix K'!$C$15*1000)-('Appendix K'!$E$41+'Appendix K'!$F$41+'Appendix K'!$H$41+'Appendix K'!$G$41))/((1+$Y$16)^AI$34))</f>
        <v>2469060.4884339529</v>
      </c>
      <c r="AJ926" s="193">
        <f>(((M926*'Appendix K'!$C$16*1000)-('Appendix K'!$E$42+'Appendix K'!$F$42+'Appendix K'!$H$42+'Appendix K'!$G$42))/((1+$Y$16)^AJ$34))</f>
        <v>1998925.1810167029</v>
      </c>
      <c r="AK926" s="193">
        <f>(((N926*'Appendix K'!$C$17*1000)-('Appendix K'!$E$43+'Appendix K'!$F$43+'Appendix K'!$H$43))/((1+$Y$16)^AK$34))</f>
        <v>1202237.8182978923</v>
      </c>
      <c r="AL926" s="193">
        <f>(((O926*'Appendix K'!$C$18*1000)-('Appendix K'!$E$44+'Appendix K'!$F$44+'Appendix K'!$H$44+'Appendix K'!$G$44))/((1+$Y$16)^AL$34))</f>
        <v>1199654.1755676016</v>
      </c>
      <c r="AM926" s="193">
        <f>(((P926*'Appendix K'!$C$19*1000)-('Appendix K'!$E$45+'Appendix K'!$F$45+'Appendix K'!$H$45+'Appendix K'!$G$45))/((1+$Y$16)^AM$34))</f>
        <v>1492257.8721240014</v>
      </c>
      <c r="AN926" s="193">
        <f>(((Q926*'Appendix K'!$C$20*1000)-('Appendix K'!$E$46+'Appendix K'!$F$46+'Appendix K'!$H$46+'Appendix K'!$G$46))/((1+$Y$16)^AN$34))</f>
        <v>1609322.6565196514</v>
      </c>
      <c r="AO926" s="193">
        <f>(((R926*'Appendix K'!$C$21*1000)-('Appendix K'!$E$47+'Appendix K'!$F$47+'Appendix K'!$H$47+'Appendix K'!$G$47))/((1+$Y$16)^AO$34))</f>
        <v>2112056.3146391152</v>
      </c>
      <c r="AP926" s="193">
        <f>(((S926*'Appendix K'!$C$22*1000)-('Appendix K'!$E$48+'Appendix K'!$F$48+'Appendix K'!$H$48+'Appendix K'!$G$48))/((1+$Y$16)^AP$34))</f>
        <v>1630406.4380253027</v>
      </c>
      <c r="AQ926" s="193">
        <f>(((T926*'Appendix K'!$C$23*1000)-('Appendix K'!$E$49+'Appendix K'!$F$49+'Appendix K'!$H$49+'Appendix K'!$G$49))/((1+$Y$16)^AQ$34))</f>
        <v>577139.93783379917</v>
      </c>
      <c r="AR926" s="193">
        <f>(((U926*'Appendix K'!$C$24*1000)-('Appendix K'!$E$50+'Appendix K'!$F$50+'Appendix K'!$H$50+'Appendix K'!$G$50))/((1+$Y$16)^AR$34))</f>
        <v>188186.45316636277</v>
      </c>
      <c r="AS926" s="209">
        <f t="shared" si="42"/>
        <v>86587949.694634706</v>
      </c>
      <c r="AU926" s="199">
        <f t="shared" si="41"/>
        <v>7.028518051244249E-9</v>
      </c>
    </row>
    <row r="927" spans="1:47" x14ac:dyDescent="0.35">
      <c r="A927">
        <v>893</v>
      </c>
      <c r="B927" s="70">
        <v>56</v>
      </c>
      <c r="C927" s="70">
        <v>63.367556448424189</v>
      </c>
      <c r="D927" s="70">
        <v>49.423796160664331</v>
      </c>
      <c r="E927" s="70">
        <v>71.570194202735749</v>
      </c>
      <c r="F927" s="70">
        <v>85.862795755356345</v>
      </c>
      <c r="G927" s="70">
        <v>88.567651039741037</v>
      </c>
      <c r="H927" s="70">
        <v>49.014545458838427</v>
      </c>
      <c r="I927" s="70">
        <v>42.920532577295724</v>
      </c>
      <c r="J927" s="70">
        <v>69.478019701960861</v>
      </c>
      <c r="K927" s="70">
        <v>100.34728516064992</v>
      </c>
      <c r="L927" s="70">
        <v>88.726263137038487</v>
      </c>
      <c r="M927" s="70">
        <v>73.459568868880794</v>
      </c>
      <c r="N927" s="70">
        <v>50.939893675472092</v>
      </c>
      <c r="O927" s="70">
        <v>60.619030223274244</v>
      </c>
      <c r="P927" s="70">
        <v>61.905253832310613</v>
      </c>
      <c r="Q927" s="70">
        <v>62.193378772305678</v>
      </c>
      <c r="R927" s="70">
        <v>60.858718028099034</v>
      </c>
      <c r="S927" s="70">
        <v>86.964771570014449</v>
      </c>
      <c r="T927" s="70">
        <v>73.271721705504206</v>
      </c>
      <c r="U927" s="70">
        <v>111.25124953084563</v>
      </c>
      <c r="V927" s="70">
        <v>149.49876492786876</v>
      </c>
      <c r="X927" s="193">
        <f>((0-('Appendix K'!$I$30))/(1+$Y$16)^0)</f>
        <v>-33594902.4440751</v>
      </c>
      <c r="Y927" s="193">
        <f>(((B927*'Appendix K'!$C$5*1000)-('Appendix K'!$E$31+'Appendix K'!$F$31+'Appendix K'!$H$31+'Appendix K'!$G$31))/((1+$Y$16)^1))</f>
        <v>34971064.972647354</v>
      </c>
      <c r="Z927" s="193">
        <f>+(((C927*'Appendix K'!$C$6*1000)-('Appendix K'!$E$32+'Appendix K'!$F$32+'Appendix K'!$H$32+'Appendix K'!$G$32))/((1+$Y$16)^2))</f>
        <v>12520480.872166542</v>
      </c>
      <c r="AA927" s="193">
        <f>(((D927*'Appendix K'!$C$7*1000)-('Appendix K'!$E$33+'Appendix K'!$F$33+'Appendix K'!$H$33+'Appendix K'!$G$33))/((1+$Y$16)^3))</f>
        <v>3330451.6645140983</v>
      </c>
      <c r="AB927" s="193">
        <f>(((E927*'Appendix K'!$C$8*1000)-('Appendix K'!$E$34+'Appendix K'!$F$34+'Appendix K'!$H$34+'Appendix K'!$G$34))/((1+$Y$16)^4))</f>
        <v>12394323.518316807</v>
      </c>
      <c r="AC927" s="193">
        <f>(((F927*'Appendix K'!$C$9*1000)-('Appendix K'!$E$35+'Appendix K'!$F$35+'Appendix K'!$H$35+'Appendix K'!$G$35))/((1+$Y$16)^AC$34))</f>
        <v>19837967.763830189</v>
      </c>
      <c r="AD927" s="193">
        <f>(((G927*'Appendix K'!$C$10*1000)-('Appendix K'!$E$36+'Appendix K'!$F$36+'Appendix K'!$H$36+'Appendix K'!$G$36))/((1+$Y$16)^AD$34))</f>
        <v>11393250.918008322</v>
      </c>
      <c r="AE927" s="193">
        <f>(((H927*'Appendix K'!$C$11*1000)-('Appendix K'!$E$37+'Appendix K'!$F$37+'Appendix K'!$H$37+'Appendix K'!$G$37))/((1+$Y$16)^AE$34))</f>
        <v>2668653.5771722025</v>
      </c>
      <c r="AF927" s="193">
        <f>(((I927*'Appendix K'!$C$12*1000)-('Appendix K'!$E$38+'Appendix K'!$F$38+'Appendix K'!$H$38+'Appendix K'!$G$38))/((1+$Y$16)^AF$34))</f>
        <v>821687.3281883687</v>
      </c>
      <c r="AG927" s="193">
        <f>(((J927*'Appendix K'!$C$13*1000)-('Appendix K'!$E$39+'Appendix K'!$F$39+'Appendix K'!$H$39+'Appendix K'!$G$39))/((1+$Y$16)^AG$34))</f>
        <v>1382360.4321895379</v>
      </c>
      <c r="AH927" s="193">
        <f>(((K927*'Appendix K'!$C$14*1000)-('Appendix K'!$E$40+'Appendix K'!$F$40+'Appendix K'!$H$40+'Appendix K'!$G$40))/((1+$Y$16)^AH$34))</f>
        <v>1749617.2961152575</v>
      </c>
      <c r="AI927" s="193">
        <f>(((L927*'Appendix K'!$C$15*1000)-('Appendix K'!$E$41+'Appendix K'!$F$41+'Appendix K'!$H$41+'Appendix K'!$G$41))/((1+$Y$16)^AI$34))</f>
        <v>808312.66478503158</v>
      </c>
      <c r="AJ927" s="193">
        <f>(((M927*'Appendix K'!$C$16*1000)-('Appendix K'!$E$42+'Appendix K'!$F$42+'Appendix K'!$H$42+'Appendix K'!$G$42))/((1+$Y$16)^AJ$34))</f>
        <v>90715.94881961518</v>
      </c>
      <c r="AK927" s="193">
        <f>(((N927*'Appendix K'!$C$17*1000)-('Appendix K'!$E$43+'Appendix K'!$F$43+'Appendix K'!$H$43))/((1+$Y$16)^AK$34))</f>
        <v>-221623.31319593114</v>
      </c>
      <c r="AL927" s="193">
        <f>(((O927*'Appendix K'!$C$18*1000)-('Appendix K'!$E$44+'Appendix K'!$F$44+'Appendix K'!$H$44+'Appendix K'!$G$44))/((1+$Y$16)^AL$34))</f>
        <v>-416053.92315520498</v>
      </c>
      <c r="AM927" s="193">
        <f>(((P927*'Appendix K'!$C$19*1000)-('Appendix K'!$E$45+'Appendix K'!$F$45+'Appendix K'!$H$45+'Appendix K'!$G$45))/((1+$Y$16)^AM$34))</f>
        <v>-452982.74780899793</v>
      </c>
      <c r="AN927" s="193">
        <f>(((Q927*'Appendix K'!$C$20*1000)-('Appendix K'!$E$46+'Appendix K'!$F$46+'Appendix K'!$H$46+'Appendix K'!$G$46))/((1+$Y$16)^AN$34))</f>
        <v>-465664.06089147704</v>
      </c>
      <c r="AO927" s="193">
        <f>(((R927*'Appendix K'!$C$21*1000)-('Appendix K'!$E$47+'Appendix K'!$F$47+'Appendix K'!$H$47+'Appendix K'!$G$47))/((1+$Y$16)^AO$34))</f>
        <v>-483317.17816132167</v>
      </c>
      <c r="AP927" s="193">
        <f>(((S927*'Appendix K'!$C$22*1000)-('Appendix K'!$E$48+'Appendix K'!$F$48+'Appendix K'!$H$48+'Appendix K'!$G$48))/((1+$Y$16)^AP$34))</f>
        <v>-347916.38438297261</v>
      </c>
      <c r="AQ927" s="193">
        <f>(((T927*'Appendix K'!$C$23*1000)-('Appendix K'!$E$49+'Appendix K'!$F$49+'Appendix K'!$H$49+'Appendix K'!$G$49))/((1+$Y$16)^AQ$34))</f>
        <v>-406718.87079827202</v>
      </c>
      <c r="AR927" s="193">
        <f>(((U927*'Appendix K'!$C$24*1000)-('Appendix K'!$E$50+'Appendix K'!$F$50+'Appendix K'!$H$50+'Appendix K'!$G$50))/((1+$Y$16)^AR$34))</f>
        <v>-271056.72868595744</v>
      </c>
      <c r="AS927" s="209">
        <f t="shared" si="42"/>
        <v>68373984.512678236</v>
      </c>
      <c r="AU927" s="199">
        <f t="shared" si="41"/>
        <v>6.636956626542729E-9</v>
      </c>
    </row>
    <row r="928" spans="1:47" x14ac:dyDescent="0.35">
      <c r="A928">
        <v>894</v>
      </c>
      <c r="B928" s="70">
        <v>56</v>
      </c>
      <c r="C928" s="70">
        <v>53.36950599419982</v>
      </c>
      <c r="D928" s="70">
        <v>64.118514628359861</v>
      </c>
      <c r="E928" s="70">
        <v>92.611900376573047</v>
      </c>
      <c r="F928" s="70">
        <v>125.9351804526589</v>
      </c>
      <c r="G928" s="70">
        <v>111.31062381097865</v>
      </c>
      <c r="H928" s="70">
        <v>93.567319785105497</v>
      </c>
      <c r="I928" s="70">
        <v>33.24679209570327</v>
      </c>
      <c r="J928" s="70">
        <v>45.428808849281353</v>
      </c>
      <c r="K928" s="70">
        <v>54.125780389091354</v>
      </c>
      <c r="L928" s="70">
        <v>61.63271576563595</v>
      </c>
      <c r="M928" s="70">
        <v>55.596438145677908</v>
      </c>
      <c r="N928" s="70">
        <v>57.428997550344754</v>
      </c>
      <c r="O928" s="70">
        <v>77.054898304501222</v>
      </c>
      <c r="P928" s="70">
        <v>102.81585903999752</v>
      </c>
      <c r="Q928" s="70">
        <v>140.4007885447464</v>
      </c>
      <c r="R928" s="70">
        <v>102.55882583159857</v>
      </c>
      <c r="S928" s="70">
        <v>83.493390113860613</v>
      </c>
      <c r="T928" s="70">
        <v>107.63843544494259</v>
      </c>
      <c r="U928" s="70">
        <v>134.10633545410718</v>
      </c>
      <c r="V928" s="70">
        <v>153.13105748603948</v>
      </c>
      <c r="X928" s="193">
        <f>((0-('Appendix K'!$I$30))/(1+$Y$16)^0)</f>
        <v>-33594902.4440751</v>
      </c>
      <c r="Y928" s="193">
        <f>(((B928*'Appendix K'!$C$5*1000)-('Appendix K'!$E$31+'Appendix K'!$F$31+'Appendix K'!$H$31+'Appendix K'!$G$31))/((1+$Y$16)^1))</f>
        <v>34971064.972647354</v>
      </c>
      <c r="Z928" s="193">
        <f>+(((C928*'Appendix K'!$C$6*1000)-('Appendix K'!$E$32+'Appendix K'!$F$32+'Appendix K'!$H$32+'Appendix K'!$G$32))/((1+$Y$16)^2))</f>
        <v>9994802.3295319341</v>
      </c>
      <c r="AA928" s="193">
        <f>(((D928*'Appendix K'!$C$7*1000)-('Appendix K'!$E$33+'Appendix K'!$F$33+'Appendix K'!$H$33+'Appendix K'!$G$33))/((1+$Y$16)^3))</f>
        <v>5202189.5536803799</v>
      </c>
      <c r="AB928" s="193">
        <f>(((E928*'Appendix K'!$C$8*1000)-('Appendix K'!$E$34+'Appendix K'!$F$34+'Appendix K'!$H$34+'Appendix K'!$G$34))/((1+$Y$16)^4))</f>
        <v>17006472.893341497</v>
      </c>
      <c r="AC928" s="193">
        <f>(((F928*'Appendix K'!$C$9*1000)-('Appendix K'!$E$35+'Appendix K'!$F$35+'Appendix K'!$H$35+'Appendix K'!$G$35))/((1+$Y$16)^AC$34))</f>
        <v>30489144.691437356</v>
      </c>
      <c r="AD928" s="193">
        <f>(((G928*'Appendix K'!$C$10*1000)-('Appendix K'!$E$36+'Appendix K'!$F$36+'Appendix K'!$H$36+'Appendix K'!$G$36))/((1+$Y$16)^AD$34))</f>
        <v>14964897.231231509</v>
      </c>
      <c r="AE928" s="193">
        <f>(((H928*'Appendix K'!$C$11*1000)-('Appendix K'!$E$37+'Appendix K'!$F$37+'Appendix K'!$H$37+'Appendix K'!$G$37))/((1+$Y$16)^AE$34))</f>
        <v>7112241.6465610219</v>
      </c>
      <c r="AF928" s="193">
        <f>(((I928*'Appendix K'!$C$12*1000)-('Appendix K'!$E$38+'Appendix K'!$F$38+'Appendix K'!$H$38+'Appendix K'!$G$38))/((1+$Y$16)^AF$34))</f>
        <v>186486.04962121064</v>
      </c>
      <c r="AG928" s="193">
        <f>(((J928*'Appendix K'!$C$13*1000)-('Appendix K'!$E$39+'Appendix K'!$F$39+'Appendix K'!$H$39+'Appendix K'!$G$39))/((1+$Y$16)^AG$34))</f>
        <v>275641.41979575297</v>
      </c>
      <c r="AH928" s="193">
        <f>(((K928*'Appendix K'!$C$14*1000)-('Appendix K'!$E$40+'Appendix K'!$F$40+'Appendix K'!$H$40+'Appendix K'!$G$40))/((1+$Y$16)^AH$34))</f>
        <v>191650.90882296526</v>
      </c>
      <c r="AI928" s="193">
        <f>(((L928*'Appendix K'!$C$15*1000)-('Appendix K'!$E$41+'Appendix K'!$F$41+'Appendix K'!$H$41+'Appendix K'!$G$41))/((1+$Y$16)^AI$34))</f>
        <v>98411.058472263088</v>
      </c>
      <c r="AJ928" s="193">
        <f>(((M928*'Appendix K'!$C$16*1000)-('Appendix K'!$E$42+'Appendix K'!$F$42+'Appendix K'!$H$42+'Appendix K'!$G$42))/((1+$Y$16)^AJ$34))</f>
        <v>-267294.54094451043</v>
      </c>
      <c r="AK928" s="193">
        <f>(((N928*'Appendix K'!$C$17*1000)-('Appendix K'!$E$43+'Appendix K'!$F$43+'Appendix K'!$H$43))/((1+$Y$16)^AK$34))</f>
        <v>-121925.38663807196</v>
      </c>
      <c r="AL928" s="193">
        <f>(((O928*'Appendix K'!$C$18*1000)-('Appendix K'!$E$44+'Appendix K'!$F$44+'Appendix K'!$H$44+'Appendix K'!$G$44))/((1+$Y$16)^AL$34))</f>
        <v>-221234.74249929533</v>
      </c>
      <c r="AM928" s="193">
        <f>(((P928*'Appendix K'!$C$19*1000)-('Appendix K'!$E$45+'Appendix K'!$F$45+'Appendix K'!$H$45+'Appendix K'!$G$45))/((1+$Y$16)^AM$34))</f>
        <v>-73793.320679397453</v>
      </c>
      <c r="AN928" s="193">
        <f>(((Q928*'Appendix K'!$C$20*1000)-('Appendix K'!$E$46+'Appendix K'!$F$46+'Appendix K'!$H$46+'Appendix K'!$G$46))/((1+$Y$16)^AN$34))</f>
        <v>100261.71869622353</v>
      </c>
      <c r="AO928" s="193">
        <f>(((R928*'Appendix K'!$C$21*1000)-('Appendix K'!$E$47+'Appendix K'!$F$47+'Appendix K'!$H$47+'Appendix K'!$G$47))/((1+$Y$16)^AO$34))</f>
        <v>-236864.93401305136</v>
      </c>
      <c r="AP928" s="193">
        <f>(((S928*'Appendix K'!$C$22*1000)-('Appendix K'!$E$48+'Appendix K'!$F$48+'Appendix K'!$H$48+'Appendix K'!$G$48))/((1+$Y$16)^AP$34))</f>
        <v>-364543.32728587842</v>
      </c>
      <c r="AQ928" s="193">
        <f>(((T928*'Appendix K'!$C$23*1000)-('Appendix K'!$E$49+'Appendix K'!$F$49+'Appendix K'!$H$49+'Appendix K'!$G$49))/((1+$Y$16)^AQ$34))</f>
        <v>-272216.35132646508</v>
      </c>
      <c r="AR928" s="193">
        <f>(((U928*'Appendix K'!$C$24*1000)-('Appendix K'!$E$50+'Appendix K'!$F$50+'Appendix K'!$H$50+'Appendix K'!$G$50))/((1+$Y$16)^AR$34))</f>
        <v>-197462.71163963512</v>
      </c>
      <c r="AS928" s="209">
        <f t="shared" si="42"/>
        <v>86998362.029764384</v>
      </c>
      <c r="AU928" s="199">
        <f t="shared" si="41"/>
        <v>7.0292559876224996E-9</v>
      </c>
    </row>
    <row r="929" spans="1:47" x14ac:dyDescent="0.35">
      <c r="A929">
        <v>895</v>
      </c>
      <c r="B929" s="70">
        <v>56</v>
      </c>
      <c r="C929" s="70">
        <v>41.315749029789657</v>
      </c>
      <c r="D929" s="70">
        <v>50.631986967742584</v>
      </c>
      <c r="E929" s="70">
        <v>76.875543246313768</v>
      </c>
      <c r="F929" s="70">
        <v>115.84966806730178</v>
      </c>
      <c r="G929" s="70">
        <v>120.9107220546572</v>
      </c>
      <c r="H929" s="70">
        <v>149.37579222295247</v>
      </c>
      <c r="I929" s="70">
        <v>228.83035339033273</v>
      </c>
      <c r="J929" s="70">
        <v>174.05329779315682</v>
      </c>
      <c r="K929" s="70">
        <v>213.5306146694688</v>
      </c>
      <c r="L929" s="70">
        <v>155.77268545388546</v>
      </c>
      <c r="M929" s="70">
        <v>247.14484188931829</v>
      </c>
      <c r="N929" s="70">
        <v>308.61543136216312</v>
      </c>
      <c r="O929" s="70">
        <v>156.25432622658553</v>
      </c>
      <c r="P929" s="70">
        <v>150.29020785978835</v>
      </c>
      <c r="Q929" s="70">
        <v>159.07789634589383</v>
      </c>
      <c r="R929" s="70">
        <v>164.33097008665499</v>
      </c>
      <c r="S929" s="70">
        <v>157.37389490601441</v>
      </c>
      <c r="T929" s="70">
        <v>126.52150084238627</v>
      </c>
      <c r="U929" s="70">
        <v>149.42267466292449</v>
      </c>
      <c r="V929" s="70">
        <v>136.44416215400173</v>
      </c>
      <c r="X929" s="193">
        <f>((0-('Appendix K'!$I$30))/(1+$Y$16)^0)</f>
        <v>-33594902.4440751</v>
      </c>
      <c r="Y929" s="193">
        <f>(((B929*'Appendix K'!$C$5*1000)-('Appendix K'!$E$31+'Appendix K'!$F$31+'Appendix K'!$H$31+'Appendix K'!$G$31))/((1+$Y$16)^1))</f>
        <v>34971064.972647354</v>
      </c>
      <c r="Z929" s="193">
        <f>+(((C929*'Appendix K'!$C$6*1000)-('Appendix K'!$E$32+'Appendix K'!$F$32+'Appendix K'!$H$32+'Appendix K'!$G$32))/((1+$Y$16)^2))</f>
        <v>6949817.1634208634</v>
      </c>
      <c r="AA929" s="193">
        <f>(((D929*'Appendix K'!$C$7*1000)-('Appendix K'!$E$33+'Appendix K'!$F$33+'Appendix K'!$H$33+'Appendix K'!$G$33))/((1+$Y$16)^3))</f>
        <v>3484344.8143503615</v>
      </c>
      <c r="AB929" s="193">
        <f>(((E929*'Appendix K'!$C$8*1000)-('Appendix K'!$E$34+'Appendix K'!$F$34+'Appendix K'!$H$34+'Appendix K'!$G$34))/((1+$Y$16)^4))</f>
        <v>13557207.462873088</v>
      </c>
      <c r="AC929" s="193">
        <f>(((F929*'Appendix K'!$C$9*1000)-('Appendix K'!$E$35+'Appendix K'!$F$35+'Appendix K'!$H$35+'Appendix K'!$G$35))/((1+$Y$16)^AC$34))</f>
        <v>27808431.336505845</v>
      </c>
      <c r="AD929" s="193">
        <f>(((G929*'Appendix K'!$C$10*1000)-('Appendix K'!$E$36+'Appendix K'!$F$36+'Appendix K'!$H$36+'Appendix K'!$G$36))/((1+$Y$16)^AD$34))</f>
        <v>16472534.59436365</v>
      </c>
      <c r="AE929" s="193">
        <f>(((H929*'Appendix K'!$C$11*1000)-('Appendix K'!$E$37+'Appendix K'!$F$37+'Appendix K'!$H$37+'Appendix K'!$G$37))/((1+$Y$16)^AE$34))</f>
        <v>12678446.356498104</v>
      </c>
      <c r="AF929" s="193">
        <f>(((I929*'Appendix K'!$C$12*1000)-('Appendix K'!$E$38+'Appendix K'!$F$38+'Appendix K'!$H$38+'Appendix K'!$G$38))/((1+$Y$16)^AF$34))</f>
        <v>13028977.373165132</v>
      </c>
      <c r="AG929" s="193">
        <f>(((J929*'Appendix K'!$C$13*1000)-('Appendix K'!$E$39+'Appendix K'!$F$39+'Appendix K'!$H$39+'Appendix K'!$G$39))/((1+$Y$16)^AG$34))</f>
        <v>6194803.1022989731</v>
      </c>
      <c r="AH929" s="193">
        <f>(((K929*'Appendix K'!$C$14*1000)-('Appendix K'!$E$40+'Appendix K'!$F$40+'Appendix K'!$H$40+'Appendix K'!$G$40))/((1+$Y$16)^AH$34))</f>
        <v>5564634.2205549879</v>
      </c>
      <c r="AI929" s="193">
        <f>(((L929*'Appendix K'!$C$15*1000)-('Appendix K'!$E$41+'Appendix K'!$F$41+'Appendix K'!$H$41+'Appendix K'!$G$41))/((1+$Y$16)^AI$34))</f>
        <v>2565054.3069109446</v>
      </c>
      <c r="AJ929" s="193">
        <f>(((M929*'Appendix K'!$C$16*1000)-('Appendix K'!$E$42+'Appendix K'!$F$42+'Appendix K'!$H$42+'Appendix K'!$G$42))/((1+$Y$16)^AJ$34))</f>
        <v>3571693.0867237775</v>
      </c>
      <c r="AK929" s="193">
        <f>(((N929*'Appendix K'!$C$17*1000)-('Appendix K'!$E$43+'Appendix K'!$F$43+'Appendix K'!$H$43))/((1+$Y$16)^AK$34))</f>
        <v>3737277.2264488791</v>
      </c>
      <c r="AL929" s="193">
        <f>(((O929*'Appendix K'!$C$18*1000)-('Appendix K'!$E$44+'Appendix K'!$F$44+'Appendix K'!$H$44+'Appendix K'!$G$44))/((1+$Y$16)^AL$34))</f>
        <v>717539.38126121729</v>
      </c>
      <c r="AM929" s="193">
        <f>(((P929*'Appendix K'!$C$19*1000)-('Appendix K'!$E$45+'Appendix K'!$F$45+'Appendix K'!$H$45+'Appendix K'!$G$45))/((1+$Y$16)^AM$34))</f>
        <v>366233.68554403668</v>
      </c>
      <c r="AN929" s="193">
        <f>(((Q929*'Appendix K'!$C$20*1000)-('Appendix K'!$E$46+'Appendix K'!$F$46+'Appendix K'!$H$46+'Appendix K'!$G$46))/((1+$Y$16)^AN$34))</f>
        <v>235413.32163976686</v>
      </c>
      <c r="AO929" s="193">
        <f>(((R929*'Appendix K'!$C$21*1000)-('Appendix K'!$E$47+'Appendix K'!$F$47+'Appendix K'!$H$47+'Appendix K'!$G$47))/((1+$Y$16)^AO$34))</f>
        <v>128215.26312331483</v>
      </c>
      <c r="AP929" s="193">
        <f>(((S929*'Appendix K'!$C$22*1000)-('Appendix K'!$E$48+'Appendix K'!$F$48+'Appendix K'!$H$48+'Appendix K'!$G$48))/((1+$Y$16)^AP$34))</f>
        <v>-10676.444509467403</v>
      </c>
      <c r="AQ929" s="193">
        <f>(((T929*'Appendix K'!$C$23*1000)-('Appendix K'!$E$49+'Appendix K'!$F$49+'Appendix K'!$H$49+'Appendix K'!$G$49))/((1+$Y$16)^AQ$34))</f>
        <v>-198312.86754959056</v>
      </c>
      <c r="AR929" s="193">
        <f>(((U929*'Appendix K'!$C$24*1000)-('Appendix K'!$E$50+'Appendix K'!$F$50+'Appendix K'!$H$50+'Appendix K'!$G$50))/((1+$Y$16)^AR$34))</f>
        <v>-148143.67024090135</v>
      </c>
      <c r="AS929" s="209">
        <f t="shared" si="42"/>
        <v>118436785.22425517</v>
      </c>
      <c r="AU929" s="199">
        <f t="shared" si="41"/>
        <v>6.0658751545916757E-9</v>
      </c>
    </row>
    <row r="930" spans="1:47" x14ac:dyDescent="0.35">
      <c r="A930">
        <v>896</v>
      </c>
      <c r="B930" s="70">
        <v>56</v>
      </c>
      <c r="C930" s="70">
        <v>72.536547553152033</v>
      </c>
      <c r="D930" s="70">
        <v>84.365149479260253</v>
      </c>
      <c r="E930" s="70">
        <v>59.750821894360826</v>
      </c>
      <c r="F930" s="70">
        <v>56.706745006733804</v>
      </c>
      <c r="G930" s="70">
        <v>70.047836372804852</v>
      </c>
      <c r="H930" s="70">
        <v>69.715406795226059</v>
      </c>
      <c r="I930" s="70">
        <v>92.732627835968501</v>
      </c>
      <c r="J930" s="70">
        <v>76.843655356893848</v>
      </c>
      <c r="K930" s="70">
        <v>65.415652217106086</v>
      </c>
      <c r="L930" s="70">
        <v>90.348847222809781</v>
      </c>
      <c r="M930" s="70">
        <v>101.7657352519261</v>
      </c>
      <c r="N930" s="70">
        <v>110.93923300762467</v>
      </c>
      <c r="O930" s="70">
        <v>123.64660752300675</v>
      </c>
      <c r="P930" s="70">
        <v>132.20945198987036</v>
      </c>
      <c r="Q930" s="70">
        <v>183.07637793459949</v>
      </c>
      <c r="R930" s="70">
        <v>242.48391463856839</v>
      </c>
      <c r="S930" s="70">
        <v>344.74820225346099</v>
      </c>
      <c r="T930" s="70">
        <v>47.574100170317024</v>
      </c>
      <c r="U930" s="70">
        <v>50.119761524187858</v>
      </c>
      <c r="V930" s="70">
        <v>66.035387209172271</v>
      </c>
      <c r="X930" s="193">
        <f>((0-('Appendix K'!$I$30))/(1+$Y$16)^0)</f>
        <v>-33594902.4440751</v>
      </c>
      <c r="Y930" s="193">
        <f>(((B930*'Appendix K'!$C$5*1000)-('Appendix K'!$E$31+'Appendix K'!$F$31+'Appendix K'!$H$31+'Appendix K'!$G$31))/((1+$Y$16)^1))</f>
        <v>34971064.972647354</v>
      </c>
      <c r="Z930" s="193">
        <f>+(((C930*'Appendix K'!$C$6*1000)-('Appendix K'!$E$32+'Appendix K'!$F$32+'Appendix K'!$H$32+'Appendix K'!$G$32))/((1+$Y$16)^2))</f>
        <v>14836724.843613405</v>
      </c>
      <c r="AA930" s="193">
        <f>(((D930*'Appendix K'!$C$7*1000)-('Appendix K'!$E$33+'Appendix K'!$F$33+'Appendix K'!$H$33+'Appendix K'!$G$33))/((1+$Y$16)^3))</f>
        <v>7781102.0835022479</v>
      </c>
      <c r="AB930" s="193">
        <f>(((E930*'Appendix K'!$C$8*1000)-('Appendix K'!$E$34+'Appendix K'!$F$34+'Appendix K'!$H$34+'Appendix K'!$G$34))/((1+$Y$16)^4))</f>
        <v>9803625.3042606078</v>
      </c>
      <c r="AC930" s="193">
        <f>(((F930*'Appendix K'!$C$9*1000)-('Appendix K'!$E$35+'Appendix K'!$F$35+'Appendix K'!$H$35+'Appendix K'!$G$35))/((1+$Y$16)^AC$34))</f>
        <v>12088335.258061793</v>
      </c>
      <c r="AD930" s="193">
        <f>(((G930*'Appendix K'!$C$10*1000)-('Appendix K'!$E$36+'Appendix K'!$F$36+'Appendix K'!$H$36+'Appendix K'!$G$36))/((1+$Y$16)^AD$34))</f>
        <v>8484826.0413627997</v>
      </c>
      <c r="AE930" s="193">
        <f>(((H930*'Appendix K'!$C$11*1000)-('Appendix K'!$E$37+'Appendix K'!$F$37+'Appendix K'!$H$37+'Appendix K'!$G$37))/((1+$Y$16)^AE$34))</f>
        <v>4733308.4017363368</v>
      </c>
      <c r="AF930" s="193">
        <f>(((I930*'Appendix K'!$C$12*1000)-('Appendix K'!$E$38+'Appendix K'!$F$38+'Appendix K'!$H$38+'Appendix K'!$G$38))/((1+$Y$16)^AF$34))</f>
        <v>4092470.3987726057</v>
      </c>
      <c r="AG930" s="193">
        <f>(((J930*'Appendix K'!$C$13*1000)-('Appendix K'!$E$39+'Appendix K'!$F$39+'Appendix K'!$H$39+'Appendix K'!$G$39))/((1+$Y$16)^AG$34))</f>
        <v>1721319.1226686323</v>
      </c>
      <c r="AH930" s="193">
        <f>(((K930*'Appendix K'!$C$14*1000)-('Appendix K'!$E$40+'Appendix K'!$F$40+'Appendix K'!$H$40+'Appendix K'!$G$40))/((1+$Y$16)^AH$34))</f>
        <v>572193.27566750627</v>
      </c>
      <c r="AI930" s="193">
        <f>(((L930*'Appendix K'!$C$15*1000)-('Appendix K'!$E$41+'Appendix K'!$F$41+'Appendix K'!$H$41+'Appendix K'!$G$41))/((1+$Y$16)^AI$34))</f>
        <v>850827.40207935846</v>
      </c>
      <c r="AJ930" s="193">
        <f>(((M930*'Appendix K'!$C$16*1000)-('Appendix K'!$E$42+'Appendix K'!$F$42+'Appendix K'!$H$42+'Appendix K'!$G$42))/((1+$Y$16)^AJ$34))</f>
        <v>658024.37012426823</v>
      </c>
      <c r="AK930" s="193">
        <f>(((N930*'Appendix K'!$C$17*1000)-('Appendix K'!$E$43+'Appendix K'!$F$43+'Appendix K'!$H$43))/((1+$Y$16)^AK$34))</f>
        <v>700200.38412844006</v>
      </c>
      <c r="AL930" s="193">
        <f>(((O930*'Appendix K'!$C$18*1000)-('Appendix K'!$E$44+'Appendix K'!$F$44+'Appendix K'!$H$44+'Appendix K'!$G$44))/((1+$Y$16)^AL$34))</f>
        <v>331030.49657714408</v>
      </c>
      <c r="AM930" s="193">
        <f>(((P930*'Appendix K'!$C$19*1000)-('Appendix K'!$E$45+'Appendix K'!$F$45+'Appendix K'!$H$45+'Appendix K'!$G$45))/((1+$Y$16)^AM$34))</f>
        <v>198648.00878420856</v>
      </c>
      <c r="AN930" s="193">
        <f>(((Q930*'Appendix K'!$C$20*1000)-('Appendix K'!$E$46+'Appendix K'!$F$46+'Appendix K'!$H$46+'Appendix K'!$G$46))/((1+$Y$16)^AN$34))</f>
        <v>409071.53946755157</v>
      </c>
      <c r="AO930" s="193">
        <f>(((R930*'Appendix K'!$C$21*1000)-('Appendix K'!$E$47+'Appendix K'!$F$47+'Appendix K'!$H$47+'Appendix K'!$G$47))/((1+$Y$16)^AO$34))</f>
        <v>590107.79976558161</v>
      </c>
      <c r="AP930" s="193">
        <f>(((S930*'Appendix K'!$C$22*1000)-('Appendix K'!$E$48+'Appendix K'!$F$48+'Appendix K'!$H$48+'Appendix K'!$G$48))/((1+$Y$16)^AP$34))</f>
        <v>886793.89952737791</v>
      </c>
      <c r="AQ930" s="193">
        <f>(((T930*'Appendix K'!$C$23*1000)-('Appendix K'!$E$49+'Appendix K'!$F$49+'Appendix K'!$H$49+'Appendix K'!$G$49))/((1+$Y$16)^AQ$34))</f>
        <v>-507292.78272716177</v>
      </c>
      <c r="AR930" s="193">
        <f>(((U930*'Appendix K'!$C$24*1000)-('Appendix K'!$E$50+'Appendix K'!$F$50+'Appendix K'!$H$50+'Appendix K'!$G$50))/((1+$Y$16)^AR$34))</f>
        <v>-467901.8329019121</v>
      </c>
      <c r="AS930" s="209">
        <f t="shared" si="42"/>
        <v>70114771.158672124</v>
      </c>
      <c r="AU930" s="199">
        <f t="shared" si="41"/>
        <v>6.7031927284856716E-9</v>
      </c>
    </row>
    <row r="931" spans="1:47" x14ac:dyDescent="0.35">
      <c r="A931">
        <v>897</v>
      </c>
      <c r="B931" s="70">
        <v>56</v>
      </c>
      <c r="C931" s="70">
        <v>82.803379762414693</v>
      </c>
      <c r="D931" s="70">
        <v>73.356549287511385</v>
      </c>
      <c r="E931" s="70">
        <v>24.526693279948809</v>
      </c>
      <c r="F931" s="70">
        <v>28.425795011392204</v>
      </c>
      <c r="G931" s="70">
        <v>50.071163586190039</v>
      </c>
      <c r="H931" s="70">
        <v>73.272602259893347</v>
      </c>
      <c r="I931" s="70">
        <v>84.684259021890853</v>
      </c>
      <c r="J931" s="70">
        <v>54.615682382147625</v>
      </c>
      <c r="K931" s="70">
        <v>67.588468486684974</v>
      </c>
      <c r="L931" s="70">
        <v>49.045827400686548</v>
      </c>
      <c r="M931" s="70">
        <v>16.285002574201698</v>
      </c>
      <c r="N931" s="70">
        <v>18.703543447728617</v>
      </c>
      <c r="O931" s="70">
        <v>15.092356282379919</v>
      </c>
      <c r="P931" s="70">
        <v>17.959297891740803</v>
      </c>
      <c r="Q931" s="70">
        <v>33.319796222935139</v>
      </c>
      <c r="R931" s="70">
        <v>25.690129254638389</v>
      </c>
      <c r="S931" s="70">
        <v>23.450656311852736</v>
      </c>
      <c r="T931" s="70">
        <v>28.583013261230747</v>
      </c>
      <c r="U931" s="70">
        <v>33.722295230494019</v>
      </c>
      <c r="V931" s="70">
        <v>37.469499232385772</v>
      </c>
      <c r="X931" s="193">
        <f>((0-('Appendix K'!$I$30))/(1+$Y$16)^0)</f>
        <v>-33594902.4440751</v>
      </c>
      <c r="Y931" s="193">
        <f>(((B931*'Appendix K'!$C$5*1000)-('Appendix K'!$E$31+'Appendix K'!$F$31+'Appendix K'!$H$31+'Appendix K'!$G$31))/((1+$Y$16)^1))</f>
        <v>34971064.972647354</v>
      </c>
      <c r="Z931" s="193">
        <f>+(((C931*'Appendix K'!$C$6*1000)-('Appendix K'!$E$32+'Appendix K'!$F$32+'Appendix K'!$H$32+'Appendix K'!$G$32))/((1+$Y$16)^2))</f>
        <v>17430302.254578397</v>
      </c>
      <c r="AA931" s="193">
        <f>(((D931*'Appendix K'!$C$7*1000)-('Appendix K'!$E$33+'Appendix K'!$F$33+'Appendix K'!$H$33+'Appendix K'!$G$33))/((1+$Y$16)^3))</f>
        <v>6378883.0392328734</v>
      </c>
      <c r="AB931" s="193">
        <f>(((E931*'Appendix K'!$C$8*1000)-('Appendix K'!$E$34+'Appendix K'!$F$34+'Appendix K'!$H$34+'Appendix K'!$G$34))/((1+$Y$16)^4))</f>
        <v>2082818.7578434318</v>
      </c>
      <c r="AC931" s="193">
        <f>(((F931*'Appendix K'!$C$9*1000)-('Appendix K'!$E$35+'Appendix K'!$F$35+'Appendix K'!$H$35+'Appendix K'!$G$35))/((1+$Y$16)^AC$34))</f>
        <v>4571303.1583606936</v>
      </c>
      <c r="AD931" s="193">
        <f>(((G931*'Appendix K'!$C$10*1000)-('Appendix K'!$E$36+'Appendix K'!$F$36+'Appendix K'!$H$36+'Appendix K'!$G$36))/((1+$Y$16)^AD$34))</f>
        <v>5347610.4088043105</v>
      </c>
      <c r="AE931" s="193">
        <f>(((H931*'Appendix K'!$C$11*1000)-('Appendix K'!$E$37+'Appendix K'!$F$37+'Appendix K'!$H$37+'Appendix K'!$G$37))/((1+$Y$16)^AE$34))</f>
        <v>5088094.6426901435</v>
      </c>
      <c r="AF931" s="193">
        <f>(((I931*'Appendix K'!$C$12*1000)-('Appendix K'!$E$38+'Appendix K'!$F$38+'Appendix K'!$H$38+'Appendix K'!$G$38))/((1+$Y$16)^AF$34))</f>
        <v>3563994.9687349587</v>
      </c>
      <c r="AG931" s="193">
        <f>(((J931*'Appendix K'!$C$13*1000)-('Appendix K'!$E$39+'Appendix K'!$F$39+'Appendix K'!$H$39+'Appendix K'!$G$39))/((1+$Y$16)^AG$34))</f>
        <v>698411.53335844178</v>
      </c>
      <c r="AH931" s="193">
        <f>(((K931*'Appendix K'!$C$14*1000)-('Appendix K'!$E$40+'Appendix K'!$F$40+'Appendix K'!$H$40+'Appendix K'!$G$40))/((1+$Y$16)^AH$34))</f>
        <v>645431.36539427657</v>
      </c>
      <c r="AI931" s="193">
        <f>(((L931*'Appendix K'!$C$15*1000)-('Appendix K'!$E$41+'Appendix K'!$F$41+'Appendix K'!$H$41+'Appendix K'!$G$41))/((1+$Y$16)^AI$34))</f>
        <v>-231388.95428607072</v>
      </c>
      <c r="AJ931" s="193">
        <f>(((M931*'Appendix K'!$C$16*1000)-('Appendix K'!$E$42+'Appendix K'!$F$42+'Appendix K'!$H$42+'Appendix K'!$G$42))/((1+$Y$16)^AJ$34))</f>
        <v>-1055169.1033802039</v>
      </c>
      <c r="AK931" s="193">
        <f>(((N931*'Appendix K'!$C$17*1000)-('Appendix K'!$E$43+'Appendix K'!$F$43+'Appendix K'!$H$43))/((1+$Y$16)^AK$34))</f>
        <v>-716899.29266421555</v>
      </c>
      <c r="AL931" s="193">
        <f>(((O931*'Appendix K'!$C$18*1000)-('Appendix K'!$E$44+'Appendix K'!$F$44+'Appendix K'!$H$44+'Appendix K'!$G$44))/((1+$Y$16)^AL$34))</f>
        <v>-955694.98569722392</v>
      </c>
      <c r="AM931" s="193">
        <f>(((P931*'Appendix K'!$C$19*1000)-('Appendix K'!$E$45+'Appendix K'!$F$45+'Appendix K'!$H$45+'Appendix K'!$G$45))/((1+$Y$16)^AM$34))</f>
        <v>-860306.02677716804</v>
      </c>
      <c r="AN931" s="193">
        <f>(((Q931*'Appendix K'!$C$20*1000)-('Appendix K'!$E$46+'Appendix K'!$F$46+'Appendix K'!$H$46+'Appendix K'!$G$46))/((1+$Y$16)^AN$34))</f>
        <v>-674599.5666355947</v>
      </c>
      <c r="AO931" s="193">
        <f>(((R931*'Appendix K'!$C$21*1000)-('Appendix K'!$E$47+'Appendix K'!$F$47+'Appendix K'!$H$47+'Appendix K'!$G$47))/((1+$Y$16)^AO$34))</f>
        <v>-691167.42323957686</v>
      </c>
      <c r="AP931" s="193">
        <f>(((S931*'Appendix K'!$C$22*1000)-('Appendix K'!$E$48+'Appendix K'!$F$48+'Appendix K'!$H$48+'Appendix K'!$G$48))/((1+$Y$16)^AP$34))</f>
        <v>-652131.17070498341</v>
      </c>
      <c r="AQ931" s="193">
        <f>(((T931*'Appendix K'!$C$23*1000)-('Appendix K'!$E$49+'Appendix K'!$F$49+'Appendix K'!$H$49+'Appendix K'!$G$49))/((1+$Y$16)^AQ$34))</f>
        <v>-581619.03504638921</v>
      </c>
      <c r="AR931" s="193">
        <f>(((U931*'Appendix K'!$C$24*1000)-('Appendix K'!$E$50+'Appendix K'!$F$50+'Appendix K'!$H$50+'Appendix K'!$G$50))/((1+$Y$16)^AR$34))</f>
        <v>-520702.13380589528</v>
      </c>
      <c r="AS931" s="209">
        <f t="shared" si="42"/>
        <v>47183012.657569788</v>
      </c>
      <c r="AU931" s="199">
        <f t="shared" ref="AU931:AU994" si="43">_xlfn.NORM.DIST(AS931,$Y$17,$Y$19,FALSE)</f>
        <v>5.4538795061930219E-9</v>
      </c>
    </row>
    <row r="932" spans="1:47" x14ac:dyDescent="0.35">
      <c r="A932">
        <v>898</v>
      </c>
      <c r="B932" s="70">
        <v>56</v>
      </c>
      <c r="C932" s="70">
        <v>57.575664263950785</v>
      </c>
      <c r="D932" s="70">
        <v>50.215156313310175</v>
      </c>
      <c r="E932" s="70">
        <v>48.096035976312699</v>
      </c>
      <c r="F932" s="70">
        <v>58.578072199571309</v>
      </c>
      <c r="G932" s="70">
        <v>59.39827340573791</v>
      </c>
      <c r="H932" s="70">
        <v>53.106729330152668</v>
      </c>
      <c r="I932" s="70">
        <v>70.358308238983227</v>
      </c>
      <c r="J932" s="70">
        <v>95.922868385231297</v>
      </c>
      <c r="K932" s="70">
        <v>103.47595877445465</v>
      </c>
      <c r="L932" s="70">
        <v>113.44374869101931</v>
      </c>
      <c r="M932" s="70">
        <v>66.402065476089973</v>
      </c>
      <c r="N932" s="70">
        <v>83.661418620584513</v>
      </c>
      <c r="O932" s="70">
        <v>93.830257845402599</v>
      </c>
      <c r="P932" s="70">
        <v>87.625148952154603</v>
      </c>
      <c r="Q932" s="70">
        <v>55.659072233481865</v>
      </c>
      <c r="R932" s="70">
        <v>64.087206115431258</v>
      </c>
      <c r="S932" s="70">
        <v>51.552175918898207</v>
      </c>
      <c r="T932" s="70">
        <v>53.021596467919373</v>
      </c>
      <c r="U932" s="70">
        <v>31.707408756228411</v>
      </c>
      <c r="V932" s="70">
        <v>54.943077341036556</v>
      </c>
      <c r="X932" s="193">
        <f>((0-('Appendix K'!$I$30))/(1+$Y$16)^0)</f>
        <v>-33594902.4440751</v>
      </c>
      <c r="Y932" s="193">
        <f>(((B932*'Appendix K'!$C$5*1000)-('Appendix K'!$E$31+'Appendix K'!$F$31+'Appendix K'!$H$31+'Appendix K'!$G$31))/((1+$Y$16)^1))</f>
        <v>34971064.972647354</v>
      </c>
      <c r="Z932" s="193">
        <f>+(((C932*'Appendix K'!$C$6*1000)-('Appendix K'!$E$32+'Appendix K'!$F$32+'Appendix K'!$H$32+'Appendix K'!$G$32))/((1+$Y$16)^2))</f>
        <v>11057349.846917838</v>
      </c>
      <c r="AA932" s="193">
        <f>(((D932*'Appendix K'!$C$7*1000)-('Appendix K'!$E$33+'Appendix K'!$F$33+'Appendix K'!$H$33+'Appendix K'!$G$33))/((1+$Y$16)^3))</f>
        <v>3431251.0629469375</v>
      </c>
      <c r="AB932" s="193">
        <f>(((E932*'Appendix K'!$C$8*1000)-('Appendix K'!$E$34+'Appendix K'!$F$34+'Appendix K'!$H$34+'Appendix K'!$G$34))/((1+$Y$16)^4))</f>
        <v>7249002.9203206571</v>
      </c>
      <c r="AC932" s="193">
        <f>(((F932*'Appendix K'!$C$9*1000)-('Appendix K'!$E$35+'Appendix K'!$F$35+'Appendix K'!$H$35+'Appendix K'!$G$35))/((1+$Y$16)^AC$34))</f>
        <v>12585731.087406993</v>
      </c>
      <c r="AD932" s="193">
        <f>(((G932*'Appendix K'!$C$10*1000)-('Appendix K'!$E$36+'Appendix K'!$F$36+'Appendix K'!$H$36+'Appendix K'!$G$36))/((1+$Y$16)^AD$34))</f>
        <v>6812376.5910927616</v>
      </c>
      <c r="AE932" s="193">
        <f>(((H932*'Appendix K'!$C$11*1000)-('Appendix K'!$E$37+'Appendix K'!$F$37+'Appendix K'!$H$37+'Appendix K'!$G$37))/((1+$Y$16)^AE$34))</f>
        <v>3076798.2932599857</v>
      </c>
      <c r="AF932" s="193">
        <f>(((I932*'Appendix K'!$C$12*1000)-('Appendix K'!$E$38+'Appendix K'!$F$38+'Appendix K'!$H$38+'Appendix K'!$G$38))/((1+$Y$16)^AF$34))</f>
        <v>2623318.2706874302</v>
      </c>
      <c r="AG932" s="193">
        <f>(((J932*'Appendix K'!$C$13*1000)-('Appendix K'!$E$39+'Appendix K'!$F$39+'Appendix K'!$H$39+'Appendix K'!$G$39))/((1+$Y$16)^AG$34))</f>
        <v>2599324.1403517644</v>
      </c>
      <c r="AH932" s="193">
        <f>(((K932*'Appendix K'!$C$14*1000)-('Appendix K'!$E$40+'Appendix K'!$F$40+'Appendix K'!$H$40+'Appendix K'!$G$40))/((1+$Y$16)^AH$34))</f>
        <v>1855074.0169902439</v>
      </c>
      <c r="AI932" s="193">
        <f>(((L932*'Appendix K'!$C$15*1000)-('Appendix K'!$E$41+'Appendix K'!$F$41+'Appendix K'!$H$41+'Appendix K'!$G$41))/((1+$Y$16)^AI$34))</f>
        <v>1455957.0082239651</v>
      </c>
      <c r="AJ932" s="193">
        <f>(((M932*'Appendix K'!$C$16*1000)-('Appendix K'!$E$42+'Appendix K'!$F$42+'Appendix K'!$H$42+'Appendix K'!$G$42))/((1+$Y$16)^AJ$34))</f>
        <v>-50729.595375114033</v>
      </c>
      <c r="AK932" s="193">
        <f>(((N932*'Appendix K'!$C$17*1000)-('Appendix K'!$E$43+'Appendix K'!$F$43+'Appendix K'!$H$43))/((1+$Y$16)^AK$34))</f>
        <v>281106.84088146733</v>
      </c>
      <c r="AL932" s="193">
        <f>(((O932*'Appendix K'!$C$18*1000)-('Appendix K'!$E$44+'Appendix K'!$F$44+'Appendix K'!$H$44+'Appendix K'!$G$44))/((1+$Y$16)^AL$34))</f>
        <v>-22391.469675781296</v>
      </c>
      <c r="AM932" s="193">
        <f>(((P932*'Appendix K'!$C$19*1000)-('Appendix K'!$E$45+'Appendix K'!$F$45+'Appendix K'!$H$45+'Appendix K'!$G$45))/((1+$Y$16)^AM$34))</f>
        <v>-214591.93821778308</v>
      </c>
      <c r="AN932" s="193">
        <f>(((Q932*'Appendix K'!$C$20*1000)-('Appendix K'!$E$46+'Appendix K'!$F$46+'Appendix K'!$H$46+'Appendix K'!$G$46))/((1+$Y$16)^AN$34))</f>
        <v>-512947.72023793426</v>
      </c>
      <c r="AO932" s="193">
        <f>(((R932*'Appendix K'!$C$21*1000)-('Appendix K'!$E$47+'Appendix K'!$F$47+'Appendix K'!$H$47+'Appendix K'!$G$47))/((1+$Y$16)^AO$34))</f>
        <v>-464236.45688169444</v>
      </c>
      <c r="AP932" s="193">
        <f>(((S932*'Appendix K'!$C$22*1000)-('Appendix K'!$E$48+'Appendix K'!$F$48+'Appendix K'!$H$48+'Appendix K'!$G$48))/((1+$Y$16)^AP$34))</f>
        <v>-517532.77871238487</v>
      </c>
      <c r="AQ932" s="193">
        <f>(((T932*'Appendix K'!$C$23*1000)-('Appendix K'!$E$49+'Appendix K'!$F$49+'Appendix K'!$H$49+'Appendix K'!$G$49))/((1+$Y$16)^AQ$34))</f>
        <v>-485972.67681316438</v>
      </c>
      <c r="AR932" s="193">
        <f>(((U932*'Appendix K'!$C$24*1000)-('Appendix K'!$E$50+'Appendix K'!$F$50+'Appendix K'!$H$50+'Appendix K'!$G$50))/((1+$Y$16)^AR$34))</f>
        <v>-527190.1247078497</v>
      </c>
      <c r="AS932" s="209">
        <f t="shared" ref="AS932:AS995" si="44">SUMIF(Y932:AR932,"&gt;0")+X932</f>
        <v>54403452.607652284</v>
      </c>
      <c r="AU932" s="199">
        <f t="shared" si="43"/>
        <v>5.9232306305854352E-9</v>
      </c>
    </row>
    <row r="933" spans="1:47" x14ac:dyDescent="0.35">
      <c r="A933">
        <v>899</v>
      </c>
      <c r="B933" s="70">
        <v>56</v>
      </c>
      <c r="C933" s="70">
        <v>107.86818728454804</v>
      </c>
      <c r="D933" s="70">
        <v>193.69883330662927</v>
      </c>
      <c r="E933" s="70">
        <v>189.76264986632543</v>
      </c>
      <c r="F933" s="70">
        <v>219.33683030617416</v>
      </c>
      <c r="G933" s="70">
        <v>157.73561675202717</v>
      </c>
      <c r="H933" s="70">
        <v>229.80459447003614</v>
      </c>
      <c r="I933" s="70">
        <v>325.62335096314092</v>
      </c>
      <c r="J933" s="70">
        <v>494.58214084989646</v>
      </c>
      <c r="K933" s="70">
        <v>500</v>
      </c>
      <c r="L933" s="70">
        <v>500</v>
      </c>
      <c r="M933" s="70">
        <v>500</v>
      </c>
      <c r="N933" s="70">
        <v>469.70255215079032</v>
      </c>
      <c r="O933" s="70">
        <v>500</v>
      </c>
      <c r="P933" s="70">
        <v>364.41294897786861</v>
      </c>
      <c r="Q933" s="70">
        <v>448.60717789059629</v>
      </c>
      <c r="R933" s="70">
        <v>278.29079797826557</v>
      </c>
      <c r="S933" s="70">
        <v>208.24587016185663</v>
      </c>
      <c r="T933" s="70">
        <v>157.11039393968065</v>
      </c>
      <c r="U933" s="70">
        <v>214.09011280547855</v>
      </c>
      <c r="V933" s="70">
        <v>97.905433713335853</v>
      </c>
      <c r="X933" s="193">
        <f>((0-('Appendix K'!$I$30))/(1+$Y$16)^0)</f>
        <v>-33594902.4440751</v>
      </c>
      <c r="Y933" s="193">
        <f>(((B933*'Appendix K'!$C$5*1000)-('Appendix K'!$E$31+'Appendix K'!$F$31+'Appendix K'!$H$31+'Appendix K'!$G$31))/((1+$Y$16)^1))</f>
        <v>34971064.972647354</v>
      </c>
      <c r="Z933" s="193">
        <f>+(((C933*'Appendix K'!$C$6*1000)-('Appendix K'!$E$32+'Appendix K'!$F$32+'Appendix K'!$H$32+'Appendix K'!$G$32))/((1+$Y$16)^2))</f>
        <v>23762101.321182519</v>
      </c>
      <c r="AA933" s="193">
        <f>(((D933*'Appendix K'!$C$7*1000)-('Appendix K'!$E$33+'Appendix K'!$F$33+'Appendix K'!$H$33+'Appendix K'!$G$33))/((1+$Y$16)^3))</f>
        <v>21707466.105494041</v>
      </c>
      <c r="AB933" s="193">
        <f>(((E933*'Appendix K'!$C$8*1000)-('Appendix K'!$E$34+'Appendix K'!$F$34+'Appendix K'!$H$34+'Appendix K'!$G$34))/((1+$Y$16)^4))</f>
        <v>38301027.851981916</v>
      </c>
      <c r="AC933" s="193">
        <f>(((F933*'Appendix K'!$C$9*1000)-('Appendix K'!$E$35+'Appendix K'!$F$35+'Appendix K'!$H$35+'Appendix K'!$G$35))/((1+$Y$16)^AC$34))</f>
        <v>55315156.555592068</v>
      </c>
      <c r="AD933" s="193">
        <f>(((G933*'Appendix K'!$C$10*1000)-('Appendix K'!$E$36+'Appendix K'!$F$36+'Appendix K'!$H$36+'Appendix K'!$G$36))/((1+$Y$16)^AD$34))</f>
        <v>22255661.571810946</v>
      </c>
      <c r="AE933" s="193">
        <f>(((H933*'Appendix K'!$C$11*1000)-('Appendix K'!$E$37+'Appendix K'!$F$37+'Appendix K'!$H$37+'Appendix K'!$G$37))/((1+$Y$16)^AE$34))</f>
        <v>20700224.382780634</v>
      </c>
      <c r="AF933" s="193">
        <f>(((I933*'Appendix K'!$C$12*1000)-('Appendix K'!$E$38+'Appendix K'!$F$38+'Appendix K'!$H$38+'Appendix K'!$G$38))/((1+$Y$16)^AF$34))</f>
        <v>19384640.514179479</v>
      </c>
      <c r="AG933" s="193">
        <f>(((J933*'Appendix K'!$C$13*1000)-('Appendix K'!$E$39+'Appendix K'!$F$39+'Appendix K'!$H$39+'Appendix K'!$G$39))/((1+$Y$16)^AG$34))</f>
        <v>20945198.315036424</v>
      </c>
      <c r="AH933" s="193">
        <f>(((K933*'Appendix K'!$C$14*1000)-('Appendix K'!$E$40+'Appendix K'!$F$40+'Appendix K'!$H$40+'Appendix K'!$G$40))/((1+$Y$16)^AH$34))</f>
        <v>15220522.22201786</v>
      </c>
      <c r="AI933" s="193">
        <f>(((L933*'Appendix K'!$C$15*1000)-('Appendix K'!$E$41+'Appendix K'!$F$41+'Appendix K'!$H$41+'Appendix K'!$G$41))/((1+$Y$16)^AI$34))</f>
        <v>11584453.656253781</v>
      </c>
      <c r="AJ933" s="193">
        <f>(((M933*'Appendix K'!$C$16*1000)-('Appendix K'!$E$42+'Appendix K'!$F$42+'Appendix K'!$H$42+'Appendix K'!$G$42))/((1+$Y$16)^AJ$34))</f>
        <v>8639382.5302660316</v>
      </c>
      <c r="AK933" s="193">
        <f>(((N933*'Appendix K'!$C$17*1000)-('Appendix K'!$E$43+'Appendix K'!$F$43+'Appendix K'!$H$43))/((1+$Y$16)^AK$34))</f>
        <v>6212203.2327946639</v>
      </c>
      <c r="AL933" s="193">
        <f>(((O933*'Appendix K'!$C$18*1000)-('Appendix K'!$E$44+'Appendix K'!$F$44+'Appendix K'!$H$44+'Appendix K'!$G$44))/((1+$Y$16)^AL$34))</f>
        <v>4792058.0003928225</v>
      </c>
      <c r="AM933" s="193">
        <f>(((P933*'Appendix K'!$C$19*1000)-('Appendix K'!$E$45+'Appendix K'!$F$45+'Appendix K'!$H$45+'Appendix K'!$G$45))/((1+$Y$16)^AM$34))</f>
        <v>2350879.9435937423</v>
      </c>
      <c r="AN933" s="193">
        <f>(((Q933*'Appendix K'!$C$20*1000)-('Appendix K'!$E$46+'Appendix K'!$F$46+'Appendix K'!$H$46+'Appendix K'!$G$46))/((1+$Y$16)^AN$34))</f>
        <v>2330509.9991593435</v>
      </c>
      <c r="AO933" s="193">
        <f>(((R933*'Appendix K'!$C$21*1000)-('Appendix K'!$E$47+'Appendix K'!$F$47+'Appendix K'!$H$47+'Appendix K'!$G$47))/((1+$Y$16)^AO$34))</f>
        <v>801730.4362491041</v>
      </c>
      <c r="AP933" s="193">
        <f>(((S933*'Appendix K'!$C$22*1000)-('Appendix K'!$E$48+'Appendix K'!$F$48+'Appendix K'!$H$48+'Appendix K'!$G$48))/((1+$Y$16)^AP$34))</f>
        <v>232986.03932314727</v>
      </c>
      <c r="AQ933" s="193">
        <f>(((T933*'Appendix K'!$C$23*1000)-('Appendix K'!$E$49+'Appendix K'!$F$49+'Appendix K'!$H$49+'Appendix K'!$G$49))/((1+$Y$16)^AQ$34))</f>
        <v>-78595.770924247176</v>
      </c>
      <c r="AR933" s="193">
        <f>(((U933*'Appendix K'!$C$24*1000)-('Appendix K'!$E$50+'Appendix K'!$F$50+'Appendix K'!$H$50+'Appendix K'!$G$50))/((1+$Y$16)^AR$34))</f>
        <v>60087.292485926206</v>
      </c>
      <c r="AS933" s="209">
        <f t="shared" si="44"/>
        <v>275972452.49916661</v>
      </c>
      <c r="AU933" s="199">
        <f t="shared" si="43"/>
        <v>2.8506076078527028E-11</v>
      </c>
    </row>
    <row r="934" spans="1:47" x14ac:dyDescent="0.35">
      <c r="A934">
        <v>900</v>
      </c>
      <c r="B934" s="70">
        <v>56</v>
      </c>
      <c r="C934" s="70">
        <v>69.029459955544425</v>
      </c>
      <c r="D934" s="70">
        <v>104.10070186853605</v>
      </c>
      <c r="E934" s="70">
        <v>102.52596571901091</v>
      </c>
      <c r="F934" s="70">
        <v>132.64119114300337</v>
      </c>
      <c r="G934" s="70">
        <v>160.19505505051544</v>
      </c>
      <c r="H934" s="70">
        <v>224.02542126399575</v>
      </c>
      <c r="I934" s="70">
        <v>235.1171967402866</v>
      </c>
      <c r="J934" s="70">
        <v>270.37609035254894</v>
      </c>
      <c r="K934" s="70">
        <v>474.92804671247472</v>
      </c>
      <c r="L934" s="70">
        <v>366.69369440570159</v>
      </c>
      <c r="M934" s="70">
        <v>500</v>
      </c>
      <c r="N934" s="70">
        <v>500</v>
      </c>
      <c r="O934" s="70">
        <v>500</v>
      </c>
      <c r="P934" s="70">
        <v>500</v>
      </c>
      <c r="Q934" s="70">
        <v>500</v>
      </c>
      <c r="R934" s="70">
        <v>439.84655067896335</v>
      </c>
      <c r="S934" s="70">
        <v>500</v>
      </c>
      <c r="T934" s="70">
        <v>461.31916660022165</v>
      </c>
      <c r="U934" s="70">
        <v>480.85826569755574</v>
      </c>
      <c r="V934" s="70">
        <v>500</v>
      </c>
      <c r="X934" s="193">
        <f>((0-('Appendix K'!$I$30))/(1+$Y$16)^0)</f>
        <v>-33594902.4440751</v>
      </c>
      <c r="Y934" s="193">
        <f>(((B934*'Appendix K'!$C$5*1000)-('Appendix K'!$E$31+'Appendix K'!$F$31+'Appendix K'!$H$31+'Appendix K'!$G$31))/((1+$Y$16)^1))</f>
        <v>34971064.972647354</v>
      </c>
      <c r="Z934" s="193">
        <f>+(((C934*'Appendix K'!$C$6*1000)-('Appendix K'!$E$32+'Appendix K'!$F$32+'Appendix K'!$H$32+'Appendix K'!$G$32))/((1+$Y$16)^2))</f>
        <v>13950774.53430336</v>
      </c>
      <c r="AA934" s="193">
        <f>(((D934*'Appendix K'!$C$7*1000)-('Appendix K'!$E$33+'Appendix K'!$F$33+'Appendix K'!$H$33+'Appendix K'!$G$33))/((1+$Y$16)^3))</f>
        <v>10294915.550010033</v>
      </c>
      <c r="AB934" s="193">
        <f>(((E934*'Appendix K'!$C$8*1000)-('Appendix K'!$E$34+'Appendix K'!$F$34+'Appendix K'!$H$34+'Appendix K'!$G$34))/((1+$Y$16)^4))</f>
        <v>19179545.26187082</v>
      </c>
      <c r="AC934" s="193">
        <f>(((F934*'Appendix K'!$C$9*1000)-('Appendix K'!$E$35+'Appendix K'!$F$35+'Appendix K'!$H$35+'Appendix K'!$G$35))/((1+$Y$16)^AC$34))</f>
        <v>32271591.802604467</v>
      </c>
      <c r="AD934" s="193">
        <f>(((G934*'Appendix K'!$C$10*1000)-('Appendix K'!$E$36+'Appendix K'!$F$36+'Appendix K'!$H$36+'Appendix K'!$G$36))/((1+$Y$16)^AD$34))</f>
        <v>22641901.480716113</v>
      </c>
      <c r="AE934" s="193">
        <f>(((H934*'Appendix K'!$C$11*1000)-('Appendix K'!$E$37+'Appendix K'!$F$37+'Appendix K'!$H$37+'Appendix K'!$G$37))/((1+$Y$16)^AE$34))</f>
        <v>20123823.350574829</v>
      </c>
      <c r="AF934" s="193">
        <f>(((I934*'Appendix K'!$C$12*1000)-('Appendix K'!$E$38+'Appendix K'!$F$38+'Appendix K'!$H$38+'Appendix K'!$G$38))/((1+$Y$16)^AF$34))</f>
        <v>13441786.765937345</v>
      </c>
      <c r="AG934" s="193">
        <f>(((J934*'Appendix K'!$C$13*1000)-('Appendix K'!$E$39+'Appendix K'!$F$39+'Appendix K'!$H$39+'Appendix K'!$G$39))/((1+$Y$16)^AG$34))</f>
        <v>10627475.19725316</v>
      </c>
      <c r="AH934" s="193">
        <f>(((K934*'Appendix K'!$C$14*1000)-('Appendix K'!$E$40+'Appendix K'!$F$40+'Appendix K'!$H$40+'Appendix K'!$G$40))/((1+$Y$16)^AH$34))</f>
        <v>14375433.757702818</v>
      </c>
      <c r="AI934" s="193">
        <f>(((L934*'Appendix K'!$C$15*1000)-('Appendix K'!$E$41+'Appendix K'!$F$41+'Appendix K'!$H$41+'Appendix K'!$G$41))/((1+$Y$16)^AI$34))</f>
        <v>8091579.1656693313</v>
      </c>
      <c r="AJ934" s="193">
        <f>(((M934*'Appendix K'!$C$16*1000)-('Appendix K'!$E$42+'Appendix K'!$F$42+'Appendix K'!$H$42+'Appendix K'!$G$42))/((1+$Y$16)^AJ$34))</f>
        <v>8639382.5302660316</v>
      </c>
      <c r="AK934" s="193">
        <f>(((N934*'Appendix K'!$C$17*1000)-('Appendix K'!$E$43+'Appendix K'!$F$43+'Appendix K'!$H$43))/((1+$Y$16)^AK$34))</f>
        <v>6677690.1149291173</v>
      </c>
      <c r="AL934" s="193">
        <f>(((O934*'Appendix K'!$C$18*1000)-('Appendix K'!$E$44+'Appendix K'!$F$44+'Appendix K'!$H$44+'Appendix K'!$G$44))/((1+$Y$16)^AL$34))</f>
        <v>4792058.0003928225</v>
      </c>
      <c r="AM934" s="193">
        <f>(((P934*'Appendix K'!$C$19*1000)-('Appendix K'!$E$45+'Appendix K'!$F$45+'Appendix K'!$H$45+'Appendix K'!$G$45))/((1+$Y$16)^AM$34))</f>
        <v>3607599.9540230581</v>
      </c>
      <c r="AN934" s="193">
        <f>(((Q934*'Appendix K'!$C$20*1000)-('Appendix K'!$E$46+'Appendix K'!$F$46+'Appendix K'!$H$46+'Appendix K'!$G$46))/((1+$Y$16)^AN$34))</f>
        <v>2702399.606577659</v>
      </c>
      <c r="AO934" s="193">
        <f>(((R934*'Appendix K'!$C$21*1000)-('Appendix K'!$E$47+'Appendix K'!$F$47+'Appendix K'!$H$47+'Appendix K'!$G$47))/((1+$Y$16)^AO$34))</f>
        <v>1756542.7833962869</v>
      </c>
      <c r="AP934" s="193">
        <f>(((S934*'Appendix K'!$C$22*1000)-('Appendix K'!$E$48+'Appendix K'!$F$48+'Appendix K'!$H$48+'Appendix K'!$G$48))/((1+$Y$16)^AP$34))</f>
        <v>1630406.4380253027</v>
      </c>
      <c r="AQ934" s="193">
        <f>(((T934*'Appendix K'!$C$23*1000)-('Appendix K'!$E$49+'Appendix K'!$F$49+'Appendix K'!$H$49+'Appendix K'!$G$49))/((1+$Y$16)^AQ$34))</f>
        <v>1111999.485826001</v>
      </c>
      <c r="AR934" s="193">
        <f>(((U934*'Appendix K'!$C$24*1000)-('Appendix K'!$E$50+'Appendix K'!$F$50+'Appendix K'!$H$50+'Appendix K'!$G$50))/((1+$Y$16)^AR$34))</f>
        <v>919088.21933756152</v>
      </c>
      <c r="AS934" s="209">
        <f t="shared" si="44"/>
        <v>198212156.52798834</v>
      </c>
      <c r="AU934" s="199">
        <f t="shared" si="43"/>
        <v>1.0526214571332634E-9</v>
      </c>
    </row>
    <row r="935" spans="1:47" x14ac:dyDescent="0.35">
      <c r="A935">
        <v>901</v>
      </c>
      <c r="B935" s="70">
        <v>56</v>
      </c>
      <c r="C935" s="70">
        <v>46.344085852839683</v>
      </c>
      <c r="D935" s="70">
        <v>46.157594888707266</v>
      </c>
      <c r="E935" s="70">
        <v>74.118006613730998</v>
      </c>
      <c r="F935" s="70">
        <v>56.074621947415203</v>
      </c>
      <c r="G935" s="70">
        <v>67.18123704834187</v>
      </c>
      <c r="H935" s="70">
        <v>89.569320083766641</v>
      </c>
      <c r="I935" s="70">
        <v>107.05480123266717</v>
      </c>
      <c r="J935" s="70">
        <v>124.34002441932847</v>
      </c>
      <c r="K935" s="70">
        <v>112.40035463773344</v>
      </c>
      <c r="L935" s="70">
        <v>70.762912696936212</v>
      </c>
      <c r="M935" s="70">
        <v>108.93065190910497</v>
      </c>
      <c r="N935" s="70">
        <v>107.4850860285874</v>
      </c>
      <c r="O935" s="70">
        <v>159.07126981977854</v>
      </c>
      <c r="P935" s="70">
        <v>199.20699457222642</v>
      </c>
      <c r="Q935" s="70">
        <v>294.96311300837624</v>
      </c>
      <c r="R935" s="70">
        <v>380.53556016676299</v>
      </c>
      <c r="S935" s="70">
        <v>382.03041439287199</v>
      </c>
      <c r="T935" s="70">
        <v>380.38082668932765</v>
      </c>
      <c r="U935" s="70">
        <v>326.67551073707784</v>
      </c>
      <c r="V935" s="70">
        <v>331.46880443934845</v>
      </c>
      <c r="X935" s="193">
        <f>((0-('Appendix K'!$I$30))/(1+$Y$16)^0)</f>
        <v>-33594902.4440751</v>
      </c>
      <c r="Y935" s="193">
        <f>(((B935*'Appendix K'!$C$5*1000)-('Appendix K'!$E$31+'Appendix K'!$F$31+'Appendix K'!$H$31+'Appendix K'!$G$31))/((1+$Y$16)^1))</f>
        <v>34971064.972647354</v>
      </c>
      <c r="Z935" s="193">
        <f>+(((C935*'Appendix K'!$C$6*1000)-('Appendix K'!$E$32+'Appendix K'!$F$32+'Appendix K'!$H$32+'Appendix K'!$G$32))/((1+$Y$16)^2))</f>
        <v>8220061.0451919315</v>
      </c>
      <c r="AA935" s="193">
        <f>(((D935*'Appendix K'!$C$7*1000)-('Appendix K'!$E$33+'Appendix K'!$F$33+'Appendix K'!$H$33+'Appendix K'!$G$33))/((1+$Y$16)^3))</f>
        <v>2914419.6944015152</v>
      </c>
      <c r="AB935" s="193">
        <f>(((E935*'Appendix K'!$C$8*1000)-('Appendix K'!$E$34+'Appendix K'!$F$34+'Appendix K'!$H$34+'Appendix K'!$G$34))/((1+$Y$16)^4))</f>
        <v>12952780.675829185</v>
      </c>
      <c r="AC935" s="193">
        <f>(((F935*'Appendix K'!$C$9*1000)-('Appendix K'!$E$35+'Appendix K'!$F$35+'Appendix K'!$H$35+'Appendix K'!$G$35))/((1+$Y$16)^AC$34))</f>
        <v>11920317.941506237</v>
      </c>
      <c r="AD935" s="193">
        <f>(((G935*'Appendix K'!$C$10*1000)-('Appendix K'!$E$36+'Appendix K'!$F$36+'Appendix K'!$H$36+'Appendix K'!$G$36))/((1+$Y$16)^AD$34))</f>
        <v>8034643.9560351241</v>
      </c>
      <c r="AE935" s="193">
        <f>(((H935*'Appendix K'!$C$11*1000)-('Appendix K'!$E$37+'Appendix K'!$F$37+'Appendix K'!$H$37+'Appendix K'!$G$37))/((1+$Y$16)^AE$34))</f>
        <v>6713490.6362605169</v>
      </c>
      <c r="AF935" s="193">
        <f>(((I935*'Appendix K'!$C$12*1000)-('Appendix K'!$E$38+'Appendix K'!$F$38+'Appendix K'!$H$38+'Appendix K'!$G$38))/((1+$Y$16)^AF$34))</f>
        <v>5032899.0644737901</v>
      </c>
      <c r="AG935" s="193">
        <f>(((J935*'Appendix K'!$C$13*1000)-('Appendix K'!$E$39+'Appendix K'!$F$39+'Appendix K'!$H$39+'Appendix K'!$G$39))/((1+$Y$16)^AG$34))</f>
        <v>3907051.3274828158</v>
      </c>
      <c r="AH935" s="193">
        <f>(((K935*'Appendix K'!$C$14*1000)-('Appendix K'!$E$40+'Appendix K'!$F$40+'Appendix K'!$H$40+'Appendix K'!$G$40))/((1+$Y$16)^AH$34))</f>
        <v>2155884.4049383705</v>
      </c>
      <c r="AI935" s="193">
        <f>(((L935*'Appendix K'!$C$15*1000)-('Appendix K'!$E$41+'Appendix K'!$F$41+'Appendix K'!$H$41+'Appendix K'!$G$41))/((1+$Y$16)^AI$34))</f>
        <v>337639.29162431188</v>
      </c>
      <c r="AJ935" s="193">
        <f>(((M935*'Appendix K'!$C$16*1000)-('Appendix K'!$E$42+'Appendix K'!$F$42+'Appendix K'!$H$42+'Appendix K'!$G$42))/((1+$Y$16)^AJ$34))</f>
        <v>801622.6766755298</v>
      </c>
      <c r="AK935" s="193">
        <f>(((N935*'Appendix K'!$C$17*1000)-('Appendix K'!$E$43+'Appendix K'!$F$43+'Appendix K'!$H$43))/((1+$Y$16)^AK$34))</f>
        <v>647131.22412167944</v>
      </c>
      <c r="AL935" s="193">
        <f>(((O935*'Appendix K'!$C$18*1000)-('Appendix K'!$E$44+'Appendix K'!$F$44+'Appendix K'!$H$44+'Appendix K'!$G$44))/((1+$Y$16)^AL$34))</f>
        <v>750929.44256297534</v>
      </c>
      <c r="AM935" s="193">
        <f>(((P935*'Appendix K'!$C$19*1000)-('Appendix K'!$E$45+'Appendix K'!$F$45+'Appendix K'!$H$45+'Appendix K'!$G$45))/((1+$Y$16)^AM$34))</f>
        <v>819630.2617214293</v>
      </c>
      <c r="AN935" s="193">
        <f>(((Q935*'Appendix K'!$C$20*1000)-('Appendix K'!$E$46+'Appendix K'!$F$46+'Appendix K'!$H$46+'Appendix K'!$G$46))/((1+$Y$16)^AN$34))</f>
        <v>1218708.2216743911</v>
      </c>
      <c r="AO935" s="193">
        <f>(((R935*'Appendix K'!$C$21*1000)-('Appendix K'!$E$47+'Appendix K'!$F$47+'Appendix K'!$H$47+'Appendix K'!$G$47))/((1+$Y$16)^AO$34))</f>
        <v>1406008.2767885646</v>
      </c>
      <c r="AP935" s="193">
        <f>(((S935*'Appendix K'!$C$22*1000)-('Appendix K'!$E$48+'Appendix K'!$F$48+'Appendix K'!$H$48+'Appendix K'!$G$48))/((1+$Y$16)^AP$34))</f>
        <v>1065365.2321123083</v>
      </c>
      <c r="AQ935" s="193">
        <f>(((T935*'Appendix K'!$C$23*1000)-('Appendix K'!$E$49+'Appendix K'!$F$49+'Appendix K'!$H$49+'Appendix K'!$G$49))/((1+$Y$16)^AQ$34))</f>
        <v>795227.54416118655</v>
      </c>
      <c r="AR935" s="193">
        <f>(((U935*'Appendix K'!$C$24*1000)-('Appendix K'!$E$50+'Appendix K'!$F$50+'Appendix K'!$H$50+'Appendix K'!$G$50))/((1+$Y$16)^AR$34))</f>
        <v>422615.42834001768</v>
      </c>
      <c r="AS935" s="209">
        <f t="shared" si="44"/>
        <v>71492588.874474138</v>
      </c>
      <c r="AU935" s="199">
        <f t="shared" si="43"/>
        <v>6.7515810762902164E-9</v>
      </c>
    </row>
    <row r="936" spans="1:47" x14ac:dyDescent="0.35">
      <c r="A936">
        <v>902</v>
      </c>
      <c r="B936" s="70">
        <v>56</v>
      </c>
      <c r="C936" s="70">
        <v>45.151500624994341</v>
      </c>
      <c r="D936" s="70">
        <v>71.862113563144362</v>
      </c>
      <c r="E936" s="70">
        <v>62.345250377163865</v>
      </c>
      <c r="F936" s="70">
        <v>51.152441199942416</v>
      </c>
      <c r="G936" s="70">
        <v>48.893050023667271</v>
      </c>
      <c r="H936" s="70">
        <v>46.949814156788477</v>
      </c>
      <c r="I936" s="70">
        <v>39.834417649848945</v>
      </c>
      <c r="J936" s="70">
        <v>18.803633593609302</v>
      </c>
      <c r="K936" s="70">
        <v>21.947308399680196</v>
      </c>
      <c r="L936" s="70">
        <v>16.19447383059714</v>
      </c>
      <c r="M936" s="70">
        <v>27.250002737926408</v>
      </c>
      <c r="N936" s="70">
        <v>35.590350606649061</v>
      </c>
      <c r="O936" s="70">
        <v>37.366084964802418</v>
      </c>
      <c r="P936" s="70">
        <v>34.897792964635634</v>
      </c>
      <c r="Q936" s="70">
        <v>28.43591358025461</v>
      </c>
      <c r="R936" s="70">
        <v>35.778707501287258</v>
      </c>
      <c r="S936" s="70">
        <v>36.945820546788198</v>
      </c>
      <c r="T936" s="70">
        <v>23.551615905563942</v>
      </c>
      <c r="U936" s="70">
        <v>33.986800868812345</v>
      </c>
      <c r="V936" s="70">
        <v>43.336898214727121</v>
      </c>
      <c r="X936" s="193">
        <f>((0-('Appendix K'!$I$30))/(1+$Y$16)^0)</f>
        <v>-33594902.4440751</v>
      </c>
      <c r="Y936" s="193">
        <f>(((B936*'Appendix K'!$C$5*1000)-('Appendix K'!$E$31+'Appendix K'!$F$31+'Appendix K'!$H$31+'Appendix K'!$G$31))/((1+$Y$16)^1))</f>
        <v>34971064.972647354</v>
      </c>
      <c r="Z936" s="193">
        <f>+(((C936*'Appendix K'!$C$6*1000)-('Appendix K'!$E$32+'Appendix K'!$F$32+'Appendix K'!$H$32+'Appendix K'!$G$32))/((1+$Y$16)^2))</f>
        <v>7918793.6197050614</v>
      </c>
      <c r="AA936" s="193">
        <f>(((D936*'Appendix K'!$C$7*1000)-('Appendix K'!$E$33+'Appendix K'!$F$33+'Appendix K'!$H$33+'Appendix K'!$G$33))/((1+$Y$16)^3))</f>
        <v>6188529.4795936942</v>
      </c>
      <c r="AB936" s="193">
        <f>(((E936*'Appendix K'!$C$8*1000)-('Appendix K'!$E$34+'Appendix K'!$F$34+'Appendix K'!$H$34+'Appendix K'!$G$34))/((1+$Y$16)^4))</f>
        <v>10372300.277984193</v>
      </c>
      <c r="AC936" s="193">
        <f>(((F936*'Appendix K'!$C$9*1000)-('Appendix K'!$E$35+'Appendix K'!$F$35+'Appendix K'!$H$35+'Appendix K'!$G$35))/((1+$Y$16)^AC$34))</f>
        <v>10612010.028038748</v>
      </c>
      <c r="AD936" s="193">
        <f>(((G936*'Appendix K'!$C$10*1000)-('Appendix K'!$E$36+'Appendix K'!$F$36+'Appendix K'!$H$36+'Appendix K'!$G$36))/((1+$Y$16)^AD$34))</f>
        <v>5162594.7996107694</v>
      </c>
      <c r="AE936" s="193">
        <f>(((H936*'Appendix K'!$C$11*1000)-('Appendix K'!$E$37+'Appendix K'!$F$37+'Appendix K'!$H$37+'Appendix K'!$G$37))/((1+$Y$16)^AE$34))</f>
        <v>2462722.1729212771</v>
      </c>
      <c r="AF936" s="193">
        <f>(((I936*'Appendix K'!$C$12*1000)-('Appendix K'!$E$38+'Appendix K'!$F$38+'Appendix K'!$H$38+'Appendix K'!$G$38))/((1+$Y$16)^AF$34))</f>
        <v>619045.53193080693</v>
      </c>
      <c r="AG936" s="193">
        <f>(((J936*'Appendix K'!$C$13*1000)-('Appendix K'!$E$39+'Appendix K'!$F$39+'Appendix K'!$H$39+'Appendix K'!$G$39))/((1+$Y$16)^AG$34))</f>
        <v>-949620.7247409235</v>
      </c>
      <c r="AH936" s="193">
        <f>(((K936*'Appendix K'!$C$14*1000)-('Appendix K'!$E$40+'Appendix K'!$F$40+'Appendix K'!$H$40+'Appendix K'!$G$40))/((1+$Y$16)^AH$34))</f>
        <v>-892973.61826031131</v>
      </c>
      <c r="AI936" s="193">
        <f>(((L936*'Appendix K'!$C$15*1000)-('Appendix K'!$E$41+'Appendix K'!$F$41+'Appendix K'!$H$41+'Appendix K'!$G$41))/((1+$Y$16)^AI$34))</f>
        <v>-1092155.8501548236</v>
      </c>
      <c r="AJ936" s="193">
        <f>(((M936*'Appendix K'!$C$16*1000)-('Appendix K'!$E$42+'Appendix K'!$F$42+'Appendix K'!$H$42+'Appendix K'!$G$42))/((1+$Y$16)^AJ$34))</f>
        <v>-835410.02868565684</v>
      </c>
      <c r="AK936" s="193">
        <f>(((N936*'Appendix K'!$C$17*1000)-('Appendix K'!$E$43+'Appendix K'!$F$43+'Appendix K'!$H$43))/((1+$Y$16)^AK$34))</f>
        <v>-457452.11900345812</v>
      </c>
      <c r="AL936" s="193">
        <f>(((O936*'Appendix K'!$C$18*1000)-('Appendix K'!$E$44+'Appendix K'!$F$44+'Appendix K'!$H$44+'Appendix K'!$G$44))/((1+$Y$16)^AL$34))</f>
        <v>-691677.92553245043</v>
      </c>
      <c r="AM936" s="193">
        <f>(((P936*'Appendix K'!$C$19*1000)-('Appendix K'!$E$45+'Appendix K'!$F$45+'Appendix K'!$H$45+'Appendix K'!$G$45))/((1+$Y$16)^AM$34))</f>
        <v>-703307.65898177505</v>
      </c>
      <c r="AN936" s="193">
        <f>(((Q936*'Appendix K'!$C$20*1000)-('Appendix K'!$E$46+'Appendix K'!$F$46+'Appendix K'!$H$46+'Appendix K'!$G$46))/((1+$Y$16)^AN$34))</f>
        <v>-709940.40070765966</v>
      </c>
      <c r="AO936" s="193">
        <f>(((R936*'Appendix K'!$C$21*1000)-('Appendix K'!$E$47+'Appendix K'!$F$47+'Appendix K'!$H$47+'Appendix K'!$G$47))/((1+$Y$16)^AO$34))</f>
        <v>-631542.81121535145</v>
      </c>
      <c r="AP936" s="193">
        <f>(((S936*'Appendix K'!$C$22*1000)-('Appendix K'!$E$48+'Appendix K'!$F$48+'Appendix K'!$H$48+'Appendix K'!$G$48))/((1+$Y$16)^AP$34))</f>
        <v>-587493.12154970097</v>
      </c>
      <c r="AQ936" s="193">
        <f>(((T936*'Appendix K'!$C$23*1000)-('Appendix K'!$E$49+'Appendix K'!$F$49+'Appendix K'!$H$49+'Appendix K'!$G$49))/((1+$Y$16)^AQ$34))</f>
        <v>-601310.6362257119</v>
      </c>
      <c r="AR936" s="193">
        <f>(((U936*'Appendix K'!$C$24*1000)-('Appendix K'!$E$50+'Appendix K'!$F$50+'Appendix K'!$H$50+'Appendix K'!$G$50))/((1+$Y$16)^AR$34))</f>
        <v>-519850.41823936417</v>
      </c>
      <c r="AS936" s="209">
        <f t="shared" si="44"/>
        <v>44712158.438356794</v>
      </c>
      <c r="AU936" s="199">
        <f t="shared" si="43"/>
        <v>5.2822873920312732E-9</v>
      </c>
    </row>
    <row r="937" spans="1:47" x14ac:dyDescent="0.35">
      <c r="A937">
        <v>903</v>
      </c>
      <c r="B937" s="70">
        <v>56</v>
      </c>
      <c r="C937" s="70">
        <v>80.517849550348402</v>
      </c>
      <c r="D937" s="70">
        <v>64.059679297307284</v>
      </c>
      <c r="E937" s="70">
        <v>88.871102123807503</v>
      </c>
      <c r="F937" s="70">
        <v>93.56595184422828</v>
      </c>
      <c r="G937" s="70">
        <v>127.02766636562839</v>
      </c>
      <c r="H937" s="70">
        <v>158.99059557244786</v>
      </c>
      <c r="I937" s="70">
        <v>214.60832781032329</v>
      </c>
      <c r="J937" s="70">
        <v>289.68969326503361</v>
      </c>
      <c r="K937" s="70">
        <v>279.8625703432524</v>
      </c>
      <c r="L937" s="70">
        <v>378.56421476679941</v>
      </c>
      <c r="M937" s="70">
        <v>358.98559936513607</v>
      </c>
      <c r="N937" s="70">
        <v>393.55427690285097</v>
      </c>
      <c r="O937" s="70">
        <v>500</v>
      </c>
      <c r="P937" s="70">
        <v>500</v>
      </c>
      <c r="Q937" s="70">
        <v>342.10501385135433</v>
      </c>
      <c r="R937" s="70">
        <v>485.29483944170875</v>
      </c>
      <c r="S937" s="70">
        <v>500</v>
      </c>
      <c r="T937" s="70">
        <v>240.20625566141297</v>
      </c>
      <c r="U937" s="70">
        <v>298.30630645304672</v>
      </c>
      <c r="V937" s="70">
        <v>390.04584970784686</v>
      </c>
      <c r="X937" s="193">
        <f>((0-('Appendix K'!$I$30))/(1+$Y$16)^0)</f>
        <v>-33594902.4440751</v>
      </c>
      <c r="Y937" s="193">
        <f>(((B937*'Appendix K'!$C$5*1000)-('Appendix K'!$E$31+'Appendix K'!$F$31+'Appendix K'!$H$31+'Appendix K'!$G$31))/((1+$Y$16)^1))</f>
        <v>34971064.972647354</v>
      </c>
      <c r="Z937" s="193">
        <f>+(((C937*'Appendix K'!$C$6*1000)-('Appendix K'!$E$32+'Appendix K'!$F$32+'Appendix K'!$H$32+'Appendix K'!$G$32))/((1+$Y$16)^2))</f>
        <v>16852938.233303629</v>
      </c>
      <c r="AA937" s="193">
        <f>(((D937*'Appendix K'!$C$7*1000)-('Appendix K'!$E$33+'Appendix K'!$F$33+'Appendix K'!$H$33+'Appendix K'!$G$33))/((1+$Y$16)^3))</f>
        <v>5194695.41089739</v>
      </c>
      <c r="AB937" s="193">
        <f>(((E937*'Appendix K'!$C$8*1000)-('Appendix K'!$E$34+'Appendix K'!$F$34+'Appendix K'!$H$34+'Appendix K'!$G$34))/((1+$Y$16)^4))</f>
        <v>16186524.160047323</v>
      </c>
      <c r="AC937" s="193">
        <f>(((F937*'Appendix K'!$C$9*1000)-('Appendix K'!$E$35+'Appendix K'!$F$35+'Appendix K'!$H$35+'Appendix K'!$G$35))/((1+$Y$16)^AC$34))</f>
        <v>21885454.556126639</v>
      </c>
      <c r="AD937" s="193">
        <f>(((G937*'Appendix K'!$C$10*1000)-('Appendix K'!$E$36+'Appendix K'!$F$36+'Appendix K'!$H$36+'Appendix K'!$G$36))/((1+$Y$16)^AD$34))</f>
        <v>17433163.700163838</v>
      </c>
      <c r="AE937" s="193">
        <f>(((H937*'Appendix K'!$C$11*1000)-('Appendix K'!$E$37+'Appendix K'!$F$37+'Appendix K'!$H$37+'Appendix K'!$G$37))/((1+$Y$16)^AE$34))</f>
        <v>13637404.044305848</v>
      </c>
      <c r="AF937" s="193">
        <f>(((I937*'Appendix K'!$C$12*1000)-('Appendix K'!$E$38+'Appendix K'!$F$38+'Appendix K'!$H$38+'Appendix K'!$G$38))/((1+$Y$16)^AF$34))</f>
        <v>12095124.656170424</v>
      </c>
      <c r="AG937" s="193">
        <f>(((J937*'Appendix K'!$C$13*1000)-('Appendix K'!$E$39+'Appendix K'!$F$39+'Appendix K'!$H$39+'Appendix K'!$G$39))/((1+$Y$16)^AG$34))</f>
        <v>11516266.587208031</v>
      </c>
      <c r="AH937" s="193">
        <f>(((K937*'Appendix K'!$C$14*1000)-('Appendix K'!$E$40+'Appendix K'!$F$40+'Appendix K'!$H$40+'Appendix K'!$G$40))/((1+$Y$16)^AH$34))</f>
        <v>7800454.0592614729</v>
      </c>
      <c r="AI937" s="193">
        <f>(((L937*'Appendix K'!$C$15*1000)-('Appendix K'!$E$41+'Appendix K'!$F$41+'Appendix K'!$H$41+'Appendix K'!$G$41))/((1+$Y$16)^AI$34))</f>
        <v>8402608.9971120171</v>
      </c>
      <c r="AJ937" s="193">
        <f>(((M937*'Appendix K'!$C$16*1000)-('Appendix K'!$E$42+'Appendix K'!$F$42+'Appendix K'!$H$42+'Appendix K'!$G$42))/((1+$Y$16)^AJ$34))</f>
        <v>5813190.6707670446</v>
      </c>
      <c r="AK937" s="193">
        <f>(((N937*'Appendix K'!$C$17*1000)-('Appendix K'!$E$43+'Appendix K'!$F$43+'Appendix K'!$H$43))/((1+$Y$16)^AK$34))</f>
        <v>5042268.9399296595</v>
      </c>
      <c r="AL937" s="193">
        <f>(((O937*'Appendix K'!$C$18*1000)-('Appendix K'!$E$44+'Appendix K'!$F$44+'Appendix K'!$H$44+'Appendix K'!$G$44))/((1+$Y$16)^AL$34))</f>
        <v>4792058.0003928225</v>
      </c>
      <c r="AM937" s="193">
        <f>(((P937*'Appendix K'!$C$19*1000)-('Appendix K'!$E$45+'Appendix K'!$F$45+'Appendix K'!$H$45+'Appendix K'!$G$45))/((1+$Y$16)^AM$34))</f>
        <v>3607599.9540230581</v>
      </c>
      <c r="AN937" s="193">
        <f>(((Q937*'Appendix K'!$C$20*1000)-('Appendix K'!$E$46+'Appendix K'!$F$46+'Appendix K'!$H$46+'Appendix K'!$G$46))/((1+$Y$16)^AN$34))</f>
        <v>1559837.2408227748</v>
      </c>
      <c r="AO937" s="193">
        <f>(((R937*'Appendix K'!$C$21*1000)-('Appendix K'!$E$47+'Appendix K'!$F$47+'Appendix K'!$H$47+'Appendix K'!$G$47))/((1+$Y$16)^AO$34))</f>
        <v>2025147.1911128832</v>
      </c>
      <c r="AP937" s="193">
        <f>(((S937*'Appendix K'!$C$22*1000)-('Appendix K'!$E$48+'Appendix K'!$F$48+'Appendix K'!$H$48+'Appendix K'!$G$48))/((1+$Y$16)^AP$34))</f>
        <v>1630406.4380253027</v>
      </c>
      <c r="AQ937" s="193">
        <f>(((T937*'Appendix K'!$C$23*1000)-('Appendix K'!$E$49+'Appendix K'!$F$49+'Appendix K'!$H$49+'Appendix K'!$G$49))/((1+$Y$16)^AQ$34))</f>
        <v>246620.15876843937</v>
      </c>
      <c r="AR937" s="193">
        <f>(((U937*'Appendix K'!$C$24*1000)-('Appendix K'!$E$50+'Appendix K'!$F$50+'Appendix K'!$H$50+'Appendix K'!$G$50))/((1+$Y$16)^AR$34))</f>
        <v>331265.79567271477</v>
      </c>
      <c r="AS937" s="209">
        <f t="shared" si="44"/>
        <v>157429191.32268354</v>
      </c>
      <c r="AU937" s="199">
        <f t="shared" si="43"/>
        <v>3.2986470160264613E-9</v>
      </c>
    </row>
    <row r="938" spans="1:47" x14ac:dyDescent="0.35">
      <c r="A938">
        <v>904</v>
      </c>
      <c r="B938" s="70">
        <v>56</v>
      </c>
      <c r="C938" s="70">
        <v>47.783141803446412</v>
      </c>
      <c r="D938" s="70">
        <v>25.794617181410029</v>
      </c>
      <c r="E938" s="70">
        <v>27.661948048776349</v>
      </c>
      <c r="F938" s="70">
        <v>36.167428685284904</v>
      </c>
      <c r="G938" s="70">
        <v>36.459397734381</v>
      </c>
      <c r="H938" s="70">
        <v>52.0983678460737</v>
      </c>
      <c r="I938" s="70">
        <v>40.5149283983841</v>
      </c>
      <c r="J938" s="70">
        <v>36.600077070350366</v>
      </c>
      <c r="K938" s="70">
        <v>39.950647528743687</v>
      </c>
      <c r="L938" s="70">
        <v>33.217630982159548</v>
      </c>
      <c r="M938" s="70">
        <v>39.46064797419173</v>
      </c>
      <c r="N938" s="70">
        <v>27.025135130310886</v>
      </c>
      <c r="O938" s="70">
        <v>19.745645045280725</v>
      </c>
      <c r="P938" s="70">
        <v>19.273676069698826</v>
      </c>
      <c r="Q938" s="70">
        <v>18.445532562952142</v>
      </c>
      <c r="R938" s="70">
        <v>17.237276749690139</v>
      </c>
      <c r="S938" s="70">
        <v>15.575615838650094</v>
      </c>
      <c r="T938" s="70">
        <v>23.831086528658538</v>
      </c>
      <c r="U938" s="70">
        <v>20.32397923321669</v>
      </c>
      <c r="V938" s="70">
        <v>16.855013907493383</v>
      </c>
      <c r="X938" s="193">
        <f>((0-('Appendix K'!$I$30))/(1+$Y$16)^0)</f>
        <v>-33594902.4440751</v>
      </c>
      <c r="Y938" s="193">
        <f>(((B938*'Appendix K'!$C$5*1000)-('Appendix K'!$E$31+'Appendix K'!$F$31+'Appendix K'!$H$31+'Appendix K'!$G$31))/((1+$Y$16)^1))</f>
        <v>34971064.972647354</v>
      </c>
      <c r="Z938" s="193">
        <f>+(((C938*'Appendix K'!$C$6*1000)-('Appendix K'!$E$32+'Appendix K'!$F$32+'Appendix K'!$H$32+'Appendix K'!$G$32))/((1+$Y$16)^2))</f>
        <v>8583591.1906676795</v>
      </c>
      <c r="AA938" s="193">
        <f>(((D938*'Appendix K'!$C$7*1000)-('Appendix K'!$E$33+'Appendix K'!$F$33+'Appendix K'!$H$33+'Appendix K'!$G$33))/((1+$Y$16)^3))</f>
        <v>320688.00809627998</v>
      </c>
      <c r="AB938" s="193">
        <f>(((E938*'Appendix K'!$C$8*1000)-('Appendix K'!$E$34+'Appendix K'!$F$34+'Appendix K'!$H$34+'Appendix K'!$G$34))/((1+$Y$16)^4))</f>
        <v>2770037.9026754526</v>
      </c>
      <c r="AC938" s="193">
        <f>(((F938*'Appendix K'!$C$9*1000)-('Appendix K'!$E$35+'Appendix K'!$F$35+'Appendix K'!$H$35+'Appendix K'!$G$35))/((1+$Y$16)^AC$34))</f>
        <v>6629017.2323350124</v>
      </c>
      <c r="AD938" s="193">
        <f>(((G938*'Appendix K'!$C$10*1000)-('Appendix K'!$E$36+'Appendix K'!$F$36+'Appendix K'!$H$36+'Appendix K'!$G$36))/((1+$Y$16)^AD$34))</f>
        <v>3209964.912321337</v>
      </c>
      <c r="AE938" s="193">
        <f>(((H938*'Appendix K'!$C$11*1000)-('Appendix K'!$E$37+'Appendix K'!$F$37+'Appendix K'!$H$37+'Appendix K'!$G$37))/((1+$Y$16)^AE$34))</f>
        <v>2976226.709827912</v>
      </c>
      <c r="AF938" s="193">
        <f>(((I938*'Appendix K'!$C$12*1000)-('Appendix K'!$E$38+'Appendix K'!$F$38+'Appendix K'!$H$38+'Appendix K'!$G$38))/((1+$Y$16)^AF$34))</f>
        <v>663729.51930577774</v>
      </c>
      <c r="AG938" s="193">
        <f>(((J938*'Appendix K'!$C$13*1000)-('Appendix K'!$E$39+'Appendix K'!$F$39+'Appendix K'!$H$39+'Appendix K'!$G$39))/((1+$Y$16)^AG$34))</f>
        <v>-130647.39254502577</v>
      </c>
      <c r="AH938" s="193">
        <f>(((K938*'Appendix K'!$C$14*1000)-('Appendix K'!$E$40+'Appendix K'!$F$40+'Appendix K'!$H$40+'Appendix K'!$G$40))/((1+$Y$16)^AH$34))</f>
        <v>-286143.58620639751</v>
      </c>
      <c r="AI938" s="193">
        <f>(((L938*'Appendix K'!$C$15*1000)-('Appendix K'!$E$41+'Appendix K'!$F$41+'Appendix K'!$H$41+'Appendix K'!$G$41))/((1+$Y$16)^AI$34))</f>
        <v>-646117.29932391923</v>
      </c>
      <c r="AJ938" s="193">
        <f>(((M938*'Appendix K'!$C$16*1000)-('Appendix K'!$E$42+'Appendix K'!$F$42+'Appendix K'!$H$42+'Appendix K'!$G$42))/((1+$Y$16)^AJ$34))</f>
        <v>-590685.9011455148</v>
      </c>
      <c r="AK938" s="193">
        <f>(((N938*'Appendix K'!$C$17*1000)-('Appendix K'!$E$43+'Appendix K'!$F$43+'Appendix K'!$H$43))/((1+$Y$16)^AK$34))</f>
        <v>-589047.21132719738</v>
      </c>
      <c r="AL938" s="193">
        <f>(((O938*'Appendix K'!$C$18*1000)-('Appendix K'!$E$44+'Appendix K'!$F$44+'Appendix K'!$H$44+'Appendix K'!$G$44))/((1+$Y$16)^AL$34))</f>
        <v>-900538.18475044915</v>
      </c>
      <c r="AM938" s="193">
        <f>(((P938*'Appendix K'!$C$19*1000)-('Appendix K'!$E$45+'Appendix K'!$F$45+'Appendix K'!$H$45+'Appendix K'!$G$45))/((1+$Y$16)^AM$34))</f>
        <v>-848123.40797205921</v>
      </c>
      <c r="AN938" s="193">
        <f>(((Q938*'Appendix K'!$C$20*1000)-('Appendix K'!$E$46+'Appendix K'!$F$46+'Appendix K'!$H$46+'Appendix K'!$G$46))/((1+$Y$16)^AN$34))</f>
        <v>-782232.96457144071</v>
      </c>
      <c r="AO938" s="193">
        <f>(((R938*'Appendix K'!$C$21*1000)-('Appendix K'!$E$47+'Appendix K'!$F$47+'Appendix K'!$H$47+'Appendix K'!$G$47))/((1+$Y$16)^AO$34))</f>
        <v>-741124.71541530592</v>
      </c>
      <c r="AP938" s="193">
        <f>(((S938*'Appendix K'!$C$22*1000)-('Appendix K'!$E$48+'Appendix K'!$F$48+'Appendix K'!$H$48+'Appendix K'!$G$48))/((1+$Y$16)^AP$34))</f>
        <v>-689850.40437603218</v>
      </c>
      <c r="AQ938" s="193">
        <f>(((T938*'Appendix K'!$C$23*1000)-('Appendix K'!$E$49+'Appendix K'!$F$49+'Appendix K'!$H$49+'Appendix K'!$G$49))/((1+$Y$16)^AQ$34))</f>
        <v>-600216.85975323408</v>
      </c>
      <c r="AR938" s="193">
        <f>(((U938*'Appendix K'!$C$24*1000)-('Appendix K'!$E$50+'Appendix K'!$F$50+'Appendix K'!$H$50+'Appendix K'!$G$50))/((1+$Y$16)^AR$34))</f>
        <v>-563845.08672264928</v>
      </c>
      <c r="AS938" s="209">
        <f t="shared" si="44"/>
        <v>26529418.003801703</v>
      </c>
      <c r="AU938" s="199">
        <f t="shared" si="43"/>
        <v>3.9385380947097181E-9</v>
      </c>
    </row>
    <row r="939" spans="1:47" x14ac:dyDescent="0.35">
      <c r="A939">
        <v>905</v>
      </c>
      <c r="B939" s="70">
        <v>56</v>
      </c>
      <c r="C939" s="70">
        <v>55.29595634831108</v>
      </c>
      <c r="D939" s="70">
        <v>63.563357504531425</v>
      </c>
      <c r="E939" s="70">
        <v>76.917519667327312</v>
      </c>
      <c r="F939" s="70">
        <v>78.01835389849181</v>
      </c>
      <c r="G939" s="70">
        <v>80.729227985914591</v>
      </c>
      <c r="H939" s="70">
        <v>98.102677609816467</v>
      </c>
      <c r="I939" s="70">
        <v>131.2542534699669</v>
      </c>
      <c r="J939" s="70">
        <v>125.56215662764326</v>
      </c>
      <c r="K939" s="70">
        <v>135.53105678332591</v>
      </c>
      <c r="L939" s="70">
        <v>135.54894443100741</v>
      </c>
      <c r="M939" s="70">
        <v>186.12511492287919</v>
      </c>
      <c r="N939" s="70">
        <v>238.99020143247839</v>
      </c>
      <c r="O939" s="70">
        <v>334.12685326188381</v>
      </c>
      <c r="P939" s="70">
        <v>272.62460935638279</v>
      </c>
      <c r="Q939" s="70">
        <v>260.86588394719843</v>
      </c>
      <c r="R939" s="70">
        <v>269.7678067300468</v>
      </c>
      <c r="S939" s="70">
        <v>279.33226574475805</v>
      </c>
      <c r="T939" s="70">
        <v>407.14442162031457</v>
      </c>
      <c r="U939" s="70">
        <v>500</v>
      </c>
      <c r="V939" s="70">
        <v>495.48207253799455</v>
      </c>
      <c r="X939" s="193">
        <f>((0-('Appendix K'!$I$30))/(1+$Y$16)^0)</f>
        <v>-33594902.4440751</v>
      </c>
      <c r="Y939" s="193">
        <f>(((B939*'Appendix K'!$C$5*1000)-('Appendix K'!$E$31+'Appendix K'!$F$31+'Appendix K'!$H$31+'Appendix K'!$G$31))/((1+$Y$16)^1))</f>
        <v>34971064.972647354</v>
      </c>
      <c r="Z939" s="193">
        <f>+(((C939*'Appendix K'!$C$6*1000)-('Appendix K'!$E$32+'Appendix K'!$F$32+'Appendix K'!$H$32+'Appendix K'!$G$32))/((1+$Y$16)^2))</f>
        <v>10481456.637299888</v>
      </c>
      <c r="AA939" s="193">
        <f>(((D939*'Appendix K'!$C$7*1000)-('Appendix K'!$E$33+'Appendix K'!$F$33+'Appendix K'!$H$33+'Appendix K'!$G$33))/((1+$Y$16)^3))</f>
        <v>5131476.4858938428</v>
      </c>
      <c r="AB939" s="193">
        <f>(((E939*'Appendix K'!$C$8*1000)-('Appendix K'!$E$34+'Appendix K'!$F$34+'Appendix K'!$H$34+'Appendix K'!$G$34))/((1+$Y$16)^4))</f>
        <v>13566408.310102109</v>
      </c>
      <c r="AC939" s="193">
        <f>(((F939*'Appendix K'!$C$9*1000)-('Appendix K'!$E$35+'Appendix K'!$F$35+'Appendix K'!$H$35+'Appendix K'!$G$35))/((1+$Y$16)^AC$34))</f>
        <v>17752927.436259776</v>
      </c>
      <c r="AD939" s="193">
        <f>(((G939*'Appendix K'!$C$10*1000)-('Appendix K'!$E$36+'Appendix K'!$F$36+'Appendix K'!$H$36+'Appendix K'!$G$36))/((1+$Y$16)^AD$34))</f>
        <v>10162273.98797881</v>
      </c>
      <c r="AE939" s="193">
        <f>(((H939*'Appendix K'!$C$11*1000)-('Appendix K'!$E$37+'Appendix K'!$F$37+'Appendix K'!$H$37+'Appendix K'!$G$37))/((1+$Y$16)^AE$34))</f>
        <v>7564587.4819226852</v>
      </c>
      <c r="AF939" s="193">
        <f>(((I939*'Appendix K'!$C$12*1000)-('Appendix K'!$E$38+'Appendix K'!$F$38+'Appendix K'!$H$38+'Appendix K'!$G$38))/((1+$Y$16)^AF$34))</f>
        <v>6621893.8313901806</v>
      </c>
      <c r="AG939" s="193">
        <f>(((J939*'Appendix K'!$C$13*1000)-('Appendix K'!$E$39+'Appendix K'!$F$39+'Appendix K'!$H$39+'Appendix K'!$G$39))/((1+$Y$16)^AG$34))</f>
        <v>3963292.547158848</v>
      </c>
      <c r="AH939" s="193">
        <f>(((K939*'Appendix K'!$C$14*1000)-('Appendix K'!$E$40+'Appendix K'!$F$40+'Appendix K'!$H$40+'Appendix K'!$G$40))/((1+$Y$16)^AH$34))</f>
        <v>2935540.0356974383</v>
      </c>
      <c r="AI939" s="193">
        <f>(((L939*'Appendix K'!$C$15*1000)-('Appendix K'!$E$41+'Appendix K'!$F$41+'Appendix K'!$H$41+'Appendix K'!$G$41))/((1+$Y$16)^AI$34))</f>
        <v>2035154.4735303833</v>
      </c>
      <c r="AJ939" s="193">
        <f>(((M939*'Appendix K'!$C$16*1000)-('Appendix K'!$E$42+'Appendix K'!$F$42+'Appendix K'!$H$42+'Appendix K'!$G$42))/((1+$Y$16)^AJ$34))</f>
        <v>2348743.8358317078</v>
      </c>
      <c r="AK939" s="193">
        <f>(((N939*'Appendix K'!$C$17*1000)-('Appendix K'!$E$43+'Appendix K'!$F$43+'Appendix K'!$H$43))/((1+$Y$16)^AK$34))</f>
        <v>2667562.332997588</v>
      </c>
      <c r="AL939" s="193">
        <f>(((O939*'Appendix K'!$C$18*1000)-('Appendix K'!$E$44+'Appendix K'!$F$44+'Appendix K'!$H$44+'Appendix K'!$G$44))/((1+$Y$16)^AL$34))</f>
        <v>2825914.783579852</v>
      </c>
      <c r="AM939" s="193">
        <f>(((P939*'Appendix K'!$C$19*1000)-('Appendix K'!$E$45+'Appendix K'!$F$45+'Appendix K'!$H$45+'Appendix K'!$G$45))/((1+$Y$16)^AM$34))</f>
        <v>1500118.441984162</v>
      </c>
      <c r="AN939" s="193">
        <f>(((Q939*'Appendix K'!$C$20*1000)-('Appendix K'!$E$46+'Appendix K'!$F$46+'Appendix K'!$H$46+'Appendix K'!$G$46))/((1+$Y$16)^AN$34))</f>
        <v>971973.27680952067</v>
      </c>
      <c r="AO939" s="193">
        <f>(((R939*'Appendix K'!$C$21*1000)-('Appendix K'!$E$47+'Appendix K'!$F$47+'Appendix K'!$H$47+'Appendix K'!$G$47))/((1+$Y$16)^AO$34))</f>
        <v>751358.61635171529</v>
      </c>
      <c r="AP939" s="193">
        <f>(((S939*'Appendix K'!$C$22*1000)-('Appendix K'!$E$48+'Appendix K'!$F$48+'Appendix K'!$H$48+'Appendix K'!$G$48))/((1+$Y$16)^AP$34))</f>
        <v>573469.9231772226</v>
      </c>
      <c r="AQ939" s="193">
        <f>(((T939*'Appendix K'!$C$23*1000)-('Appendix K'!$E$49+'Appendix K'!$F$49+'Appendix K'!$H$49+'Appendix K'!$G$49))/((1+$Y$16)^AQ$34))</f>
        <v>899973.40306504862</v>
      </c>
      <c r="AR939" s="193">
        <f>(((U939*'Appendix K'!$C$24*1000)-('Appendix K'!$E$50+'Appendix K'!$F$50+'Appendix K'!$H$50+'Appendix K'!$G$50))/((1+$Y$16)^AR$34))</f>
        <v>980725.14012097823</v>
      </c>
      <c r="AS939" s="209">
        <f t="shared" si="44"/>
        <v>95111013.509724051</v>
      </c>
      <c r="AU939" s="199">
        <f t="shared" si="43"/>
        <v>6.9686513510890502E-9</v>
      </c>
    </row>
    <row r="940" spans="1:47" x14ac:dyDescent="0.35">
      <c r="A940">
        <v>906</v>
      </c>
      <c r="B940" s="70">
        <v>56</v>
      </c>
      <c r="C940" s="70">
        <v>47.017355696527318</v>
      </c>
      <c r="D940" s="70">
        <v>68.865309204448678</v>
      </c>
      <c r="E940" s="70">
        <v>63.994820209505669</v>
      </c>
      <c r="F940" s="70">
        <v>77.400052069664042</v>
      </c>
      <c r="G940" s="70">
        <v>98.874774960001488</v>
      </c>
      <c r="H940" s="70">
        <v>85.743246285383492</v>
      </c>
      <c r="I940" s="70">
        <v>100.86237468570124</v>
      </c>
      <c r="J940" s="70">
        <v>111.45931625656991</v>
      </c>
      <c r="K940" s="70">
        <v>161.38004701754875</v>
      </c>
      <c r="L940" s="70">
        <v>84.351911527406742</v>
      </c>
      <c r="M940" s="70">
        <v>74.918576035015462</v>
      </c>
      <c r="N940" s="70">
        <v>107.58235949793894</v>
      </c>
      <c r="O940" s="70">
        <v>130.98139426332898</v>
      </c>
      <c r="P940" s="70">
        <v>115.97020347630729</v>
      </c>
      <c r="Q940" s="70">
        <v>80.095239602325819</v>
      </c>
      <c r="R940" s="70">
        <v>82.606679719993465</v>
      </c>
      <c r="S940" s="70">
        <v>87.453626342405286</v>
      </c>
      <c r="T940" s="70">
        <v>48.03879103591246</v>
      </c>
      <c r="U940" s="70">
        <v>50.248112036098789</v>
      </c>
      <c r="V940" s="70">
        <v>75.374459773919455</v>
      </c>
      <c r="X940" s="193">
        <f>((0-('Appendix K'!$I$30))/(1+$Y$16)^0)</f>
        <v>-33594902.4440751</v>
      </c>
      <c r="Y940" s="193">
        <f>(((B940*'Appendix K'!$C$5*1000)-('Appendix K'!$E$31+'Appendix K'!$F$31+'Appendix K'!$H$31+'Appendix K'!$G$31))/((1+$Y$16)^1))</f>
        <v>34971064.972647354</v>
      </c>
      <c r="Z940" s="193">
        <f>+(((C940*'Appendix K'!$C$6*1000)-('Appendix K'!$E$32+'Appendix K'!$F$32+'Appendix K'!$H$32+'Appendix K'!$G$32))/((1+$Y$16)^2))</f>
        <v>8390140.5227251071</v>
      </c>
      <c r="AA940" s="193">
        <f>(((D940*'Appendix K'!$C$7*1000)-('Appendix K'!$E$33+'Appendix K'!$F$33+'Appendix K'!$H$33+'Appendix K'!$G$33))/((1+$Y$16)^3))</f>
        <v>5806811.9069215432</v>
      </c>
      <c r="AB940" s="193">
        <f>(((E940*'Appendix K'!$C$8*1000)-('Appendix K'!$E$34+'Appendix K'!$F$34+'Appendix K'!$H$34+'Appendix K'!$G$34))/((1+$Y$16)^4))</f>
        <v>10733870.884875117</v>
      </c>
      <c r="AC940" s="193">
        <f>(((F940*'Appendix K'!$C$9*1000)-('Appendix K'!$E$35+'Appendix K'!$F$35+'Appendix K'!$H$35+'Appendix K'!$G$35))/((1+$Y$16)^AC$34))</f>
        <v>17588583.781065453</v>
      </c>
      <c r="AD940" s="193">
        <f>(((G940*'Appendix K'!$C$10*1000)-('Appendix K'!$E$36+'Appendix K'!$F$36+'Appendix K'!$H$36+'Appendix K'!$G$36))/((1+$Y$16)^AD$34))</f>
        <v>13011922.387214389</v>
      </c>
      <c r="AE940" s="193">
        <f>(((H940*'Appendix K'!$C$11*1000)-('Appendix K'!$E$37+'Appendix K'!$F$37+'Appendix K'!$H$37+'Appendix K'!$G$37))/((1+$Y$16)^AE$34))</f>
        <v>6331887.1078563854</v>
      </c>
      <c r="AF940" s="193">
        <f>(((I940*'Appendix K'!$C$12*1000)-('Appendix K'!$E$38+'Appendix K'!$F$38+'Appendix K'!$H$38+'Appendix K'!$G$38))/((1+$Y$16)^AF$34))</f>
        <v>4626289.3081390336</v>
      </c>
      <c r="AG940" s="193">
        <f>(((J940*'Appendix K'!$C$13*1000)-('Appendix K'!$E$39+'Appendix K'!$F$39+'Appendix K'!$H$39+'Appendix K'!$G$39))/((1+$Y$16)^AG$34))</f>
        <v>3314294.8871927001</v>
      </c>
      <c r="AH940" s="193">
        <f>(((K940*'Appendix K'!$C$14*1000)-('Appendix K'!$E$40+'Appendix K'!$F$40+'Appendix K'!$H$40+'Appendix K'!$G$40))/((1+$Y$16)^AH$34))</f>
        <v>3806819.7166468641</v>
      </c>
      <c r="AI940" s="193">
        <f>(((L940*'Appendix K'!$C$15*1000)-('Appendix K'!$E$41+'Appendix K'!$F$41+'Appendix K'!$H$41+'Appendix K'!$G$41))/((1+$Y$16)^AI$34))</f>
        <v>693696.47253505874</v>
      </c>
      <c r="AJ940" s="193">
        <f>(((M940*'Appendix K'!$C$16*1000)-('Appendix K'!$E$42+'Appendix K'!$F$42+'Appendix K'!$H$42+'Appendix K'!$G$42))/((1+$Y$16)^AJ$34))</f>
        <v>119957.1763631588</v>
      </c>
      <c r="AK940" s="193">
        <f>(((N940*'Appendix K'!$C$17*1000)-('Appendix K'!$E$43+'Appendix K'!$F$43+'Appendix K'!$H$43))/((1+$Y$16)^AK$34))</f>
        <v>648625.72373063024</v>
      </c>
      <c r="AL940" s="193">
        <f>(((O940*'Appendix K'!$C$18*1000)-('Appendix K'!$E$44+'Appendix K'!$F$44+'Appendix K'!$H$44+'Appendix K'!$G$44))/((1+$Y$16)^AL$34))</f>
        <v>417971.88208677579</v>
      </c>
      <c r="AM940" s="193">
        <f>(((P940*'Appendix K'!$C$19*1000)-('Appendix K'!$E$45+'Appendix K'!$F$45+'Appendix K'!$H$45+'Appendix K'!$G$45))/((1+$Y$16)^AM$34))</f>
        <v>48130.769803931129</v>
      </c>
      <c r="AN940" s="193">
        <f>(((Q940*'Appendix K'!$C$20*1000)-('Appendix K'!$E$46+'Appendix K'!$F$46+'Appendix K'!$H$46+'Appendix K'!$G$46))/((1+$Y$16)^AN$34))</f>
        <v>-336122.31317501259</v>
      </c>
      <c r="AO940" s="193">
        <f>(((R940*'Appendix K'!$C$21*1000)-('Appendix K'!$E$47+'Appendix K'!$F$47+'Appendix K'!$H$47+'Appendix K'!$G$47))/((1+$Y$16)^AO$34))</f>
        <v>-354784.32184654282</v>
      </c>
      <c r="AP940" s="193">
        <f>(((S940*'Appendix K'!$C$22*1000)-('Appendix K'!$E$48+'Appendix K'!$F$48+'Appendix K'!$H$48+'Appendix K'!$G$48))/((1+$Y$16)^AP$34))</f>
        <v>-345574.90722437733</v>
      </c>
      <c r="AQ940" s="193">
        <f>(((T940*'Appendix K'!$C$23*1000)-('Appendix K'!$E$49+'Appendix K'!$F$49+'Appendix K'!$H$49+'Appendix K'!$G$49))/((1+$Y$16)^AQ$34))</f>
        <v>-505474.10164313379</v>
      </c>
      <c r="AR940" s="193">
        <f>(((U940*'Appendix K'!$C$24*1000)-('Appendix K'!$E$50+'Appendix K'!$F$50+'Appendix K'!$H$50+'Appendix K'!$G$50))/((1+$Y$16)^AR$34))</f>
        <v>-467488.54065732402</v>
      </c>
      <c r="AS940" s="209">
        <f t="shared" si="44"/>
        <v>76915165.055728376</v>
      </c>
      <c r="AU940" s="199">
        <f t="shared" si="43"/>
        <v>6.9057885441496952E-9</v>
      </c>
    </row>
    <row r="941" spans="1:47" x14ac:dyDescent="0.35">
      <c r="A941">
        <v>907</v>
      </c>
      <c r="B941" s="70">
        <v>56</v>
      </c>
      <c r="C941" s="70">
        <v>70.043813407320869</v>
      </c>
      <c r="D941" s="70">
        <v>105.52884718271604</v>
      </c>
      <c r="E941" s="70">
        <v>140.03625162065913</v>
      </c>
      <c r="F941" s="70">
        <v>237.64924832616234</v>
      </c>
      <c r="G941" s="70">
        <v>238.00396407489845</v>
      </c>
      <c r="H941" s="70">
        <v>286.10084759507072</v>
      </c>
      <c r="I941" s="70">
        <v>230.87096647998618</v>
      </c>
      <c r="J941" s="70">
        <v>257.05663488114186</v>
      </c>
      <c r="K941" s="70">
        <v>328.26707392334879</v>
      </c>
      <c r="L941" s="70">
        <v>366.10840547451909</v>
      </c>
      <c r="M941" s="70">
        <v>207.88249716864829</v>
      </c>
      <c r="N941" s="70">
        <v>208.3149744332913</v>
      </c>
      <c r="O941" s="70">
        <v>227.86065919727082</v>
      </c>
      <c r="P941" s="70">
        <v>360.74421848446889</v>
      </c>
      <c r="Q941" s="70">
        <v>441.61145049332367</v>
      </c>
      <c r="R941" s="70">
        <v>500</v>
      </c>
      <c r="S941" s="70">
        <v>492.15650543357185</v>
      </c>
      <c r="T941" s="70">
        <v>443.01877603268184</v>
      </c>
      <c r="U941" s="70">
        <v>500</v>
      </c>
      <c r="V941" s="70">
        <v>437.57161198300884</v>
      </c>
      <c r="X941" s="193">
        <f>((0-('Appendix K'!$I$30))/(1+$Y$16)^0)</f>
        <v>-33594902.4440751</v>
      </c>
      <c r="Y941" s="193">
        <f>(((B941*'Appendix K'!$C$5*1000)-('Appendix K'!$E$31+'Appendix K'!$F$31+'Appendix K'!$H$31+'Appendix K'!$G$31))/((1+$Y$16)^1))</f>
        <v>34971064.972647354</v>
      </c>
      <c r="Z941" s="193">
        <f>+(((C941*'Appendix K'!$C$6*1000)-('Appendix K'!$E$32+'Appendix K'!$F$32+'Appendix K'!$H$32+'Appendix K'!$G$32))/((1+$Y$16)^2))</f>
        <v>14207017.564835044</v>
      </c>
      <c r="AA941" s="193">
        <f>(((D941*'Appendix K'!$C$7*1000)-('Appendix K'!$E$33+'Appendix K'!$F$33+'Appendix K'!$H$33+'Appendix K'!$G$33))/((1+$Y$16)^3))</f>
        <v>10476825.377113046</v>
      </c>
      <c r="AB941" s="193">
        <f>(((E941*'Appendix K'!$C$8*1000)-('Appendix K'!$E$34+'Appendix K'!$F$34+'Appendix K'!$H$34+'Appendix K'!$G$34))/((1+$Y$16)^4))</f>
        <v>27401456.557894513</v>
      </c>
      <c r="AC941" s="193">
        <f>(((F941*'Appendix K'!$C$9*1000)-('Appendix K'!$E$35+'Appendix K'!$F$35+'Appendix K'!$H$35+'Appendix K'!$G$35))/((1+$Y$16)^AC$34))</f>
        <v>60182568.509648427</v>
      </c>
      <c r="AD941" s="193">
        <f>(((G941*'Appendix K'!$C$10*1000)-('Appendix K'!$E$36+'Appendix K'!$F$36+'Appendix K'!$H$36+'Appendix K'!$G$36))/((1+$Y$16)^AD$34))</f>
        <v>34861320.017078929</v>
      </c>
      <c r="AE941" s="193">
        <f>(((H941*'Appendix K'!$C$11*1000)-('Appendix K'!$E$37+'Appendix K'!$F$37+'Appendix K'!$H$37+'Appendix K'!$G$37))/((1+$Y$16)^AE$34))</f>
        <v>26315079.181850038</v>
      </c>
      <c r="AF941" s="193">
        <f>(((I941*'Appendix K'!$C$12*1000)-('Appendix K'!$E$38+'Appendix K'!$F$38+'Appendix K'!$H$38+'Appendix K'!$G$38))/((1+$Y$16)^AF$34))</f>
        <v>13162968.981279409</v>
      </c>
      <c r="AG941" s="193">
        <f>(((J941*'Appendix K'!$C$13*1000)-('Appendix K'!$E$39+'Appendix K'!$F$39+'Appendix K'!$H$39+'Appendix K'!$G$39))/((1+$Y$16)^AG$34))</f>
        <v>10014528.074154681</v>
      </c>
      <c r="AH941" s="193">
        <f>(((K941*'Appendix K'!$C$14*1000)-('Appendix K'!$E$40+'Appendix K'!$F$40+'Appendix K'!$H$40+'Appendix K'!$G$40))/((1+$Y$16)^AH$34))</f>
        <v>9432001.7543024011</v>
      </c>
      <c r="AI941" s="193">
        <f>(((L941*'Appendix K'!$C$15*1000)-('Appendix K'!$E$41+'Appendix K'!$F$41+'Appendix K'!$H$41+'Appendix K'!$G$41))/((1+$Y$16)^AI$34))</f>
        <v>8076243.5011766823</v>
      </c>
      <c r="AJ941" s="193">
        <f>(((M941*'Appendix K'!$C$16*1000)-('Appendix K'!$E$42+'Appendix K'!$F$42+'Appendix K'!$H$42+'Appendix K'!$G$42))/((1+$Y$16)^AJ$34))</f>
        <v>2784802.3965897765</v>
      </c>
      <c r="AK941" s="193">
        <f>(((N941*'Appendix K'!$C$17*1000)-('Appendix K'!$E$43+'Appendix K'!$F$43+'Appendix K'!$H$43))/((1+$Y$16)^AK$34))</f>
        <v>2196271.290739364</v>
      </c>
      <c r="AL941" s="193">
        <f>(((O941*'Appendix K'!$C$18*1000)-('Appendix K'!$E$44+'Appendix K'!$F$44+'Appendix K'!$H$44+'Appendix K'!$G$44))/((1+$Y$16)^AL$34))</f>
        <v>1566310.3162784646</v>
      </c>
      <c r="AM941" s="193">
        <f>(((P941*'Appendix K'!$C$19*1000)-('Appendix K'!$E$45+'Appendix K'!$F$45+'Appendix K'!$H$45+'Appendix K'!$G$45))/((1+$Y$16)^AM$34))</f>
        <v>2316875.4646322881</v>
      </c>
      <c r="AN941" s="193">
        <f>(((Q941*'Appendix K'!$C$20*1000)-('Appendix K'!$E$46+'Appendix K'!$F$46+'Appendix K'!$H$46+'Appendix K'!$G$46))/((1+$Y$16)^AN$34))</f>
        <v>2279887.3984031719</v>
      </c>
      <c r="AO941" s="193">
        <f>(((R941*'Appendix K'!$C$21*1000)-('Appendix K'!$E$47+'Appendix K'!$F$47+'Appendix K'!$H$47+'Appendix K'!$G$47))/((1+$Y$16)^AO$34))</f>
        <v>2112056.3146391152</v>
      </c>
      <c r="AP941" s="193">
        <f>(((S941*'Appendix K'!$C$22*1000)-('Appendix K'!$E$48+'Appendix K'!$F$48+'Appendix K'!$H$48+'Appendix K'!$G$48))/((1+$Y$16)^AP$34))</f>
        <v>1592838.3003940827</v>
      </c>
      <c r="AQ941" s="193">
        <f>(((T941*'Appendix K'!$C$23*1000)-('Appendix K'!$E$49+'Appendix K'!$F$49+'Appendix K'!$H$49+'Appendix K'!$G$49))/((1+$Y$16)^AQ$34))</f>
        <v>1040376.4421647884</v>
      </c>
      <c r="AR941" s="193">
        <f>(((U941*'Appendix K'!$C$24*1000)-('Appendix K'!$E$50+'Appendix K'!$F$50+'Appendix K'!$H$50+'Appendix K'!$G$50))/((1+$Y$16)^AR$34))</f>
        <v>980725.14012097823</v>
      </c>
      <c r="AS941" s="209">
        <f t="shared" si="44"/>
        <v>232376315.11186749</v>
      </c>
      <c r="AU941" s="199">
        <f t="shared" si="43"/>
        <v>2.7169453855539247E-10</v>
      </c>
    </row>
    <row r="942" spans="1:47" x14ac:dyDescent="0.35">
      <c r="A942">
        <v>908</v>
      </c>
      <c r="B942" s="70">
        <v>56</v>
      </c>
      <c r="C942" s="70">
        <v>52.329022708758792</v>
      </c>
      <c r="D942" s="70">
        <v>59.653964943133069</v>
      </c>
      <c r="E942" s="70">
        <v>55.572797099530256</v>
      </c>
      <c r="F942" s="70">
        <v>70.493622905212945</v>
      </c>
      <c r="G942" s="70">
        <v>76.586492281159906</v>
      </c>
      <c r="H942" s="70">
        <v>67.289000263410571</v>
      </c>
      <c r="I942" s="70">
        <v>88.950369296615193</v>
      </c>
      <c r="J942" s="70">
        <v>77.787175627822151</v>
      </c>
      <c r="K942" s="70">
        <v>23.441439305722433</v>
      </c>
      <c r="L942" s="70">
        <v>20.502222952798608</v>
      </c>
      <c r="M942" s="70">
        <v>31.072740126526092</v>
      </c>
      <c r="N942" s="70">
        <v>32.822862375165656</v>
      </c>
      <c r="O942" s="70">
        <v>52.103365591366874</v>
      </c>
      <c r="P942" s="70">
        <v>55.425576002707338</v>
      </c>
      <c r="Q942" s="70">
        <v>51.967449755430906</v>
      </c>
      <c r="R942" s="70">
        <v>28.848287434395107</v>
      </c>
      <c r="S942" s="70">
        <v>11.563907350293416</v>
      </c>
      <c r="T942" s="70">
        <v>12.506014539965541</v>
      </c>
      <c r="U942" s="70">
        <v>7.6982950465932403</v>
      </c>
      <c r="V942" s="70">
        <v>10.306314375880691</v>
      </c>
      <c r="X942" s="193">
        <f>((0-('Appendix K'!$I$30))/(1+$Y$16)^0)</f>
        <v>-33594902.4440751</v>
      </c>
      <c r="Y942" s="193">
        <f>(((B942*'Appendix K'!$C$5*1000)-('Appendix K'!$E$31+'Appendix K'!$F$31+'Appendix K'!$H$31+'Appendix K'!$G$31))/((1+$Y$16)^1))</f>
        <v>34971064.972647354</v>
      </c>
      <c r="Z942" s="193">
        <f>+(((C942*'Appendix K'!$C$6*1000)-('Appendix K'!$E$32+'Appendix K'!$F$32+'Appendix K'!$H$32+'Appendix K'!$G$32))/((1+$Y$16)^2))</f>
        <v>9731958.4561147913</v>
      </c>
      <c r="AA942" s="193">
        <f>(((D942*'Appendix K'!$C$7*1000)-('Appendix K'!$E$33+'Appendix K'!$F$33+'Appendix K'!$H$33+'Appendix K'!$G$33))/((1+$Y$16)^3))</f>
        <v>4633518.1073865974</v>
      </c>
      <c r="AB942" s="193">
        <f>(((E942*'Appendix K'!$C$8*1000)-('Appendix K'!$E$34+'Appendix K'!$F$34+'Appendix K'!$H$34+'Appendix K'!$G$34))/((1+$Y$16)^4))</f>
        <v>8887840.5153695419</v>
      </c>
      <c r="AC942" s="193">
        <f>(((F942*'Appendix K'!$C$9*1000)-('Appendix K'!$E$35+'Appendix K'!$F$35+'Appendix K'!$H$35+'Appendix K'!$G$35))/((1+$Y$16)^AC$34))</f>
        <v>15752865.754194284</v>
      </c>
      <c r="AD942" s="193">
        <f>(((G942*'Appendix K'!$C$10*1000)-('Appendix K'!$E$36+'Appendix K'!$F$36+'Appendix K'!$H$36+'Appendix K'!$G$36))/((1+$Y$16)^AD$34))</f>
        <v>9511682.4028163981</v>
      </c>
      <c r="AE942" s="193">
        <f>(((H942*'Appendix K'!$C$11*1000)-('Appendix K'!$E$37+'Appendix K'!$F$37+'Appendix K'!$H$37+'Appendix K'!$G$37))/((1+$Y$16)^AE$34))</f>
        <v>4491304.3676597057</v>
      </c>
      <c r="AF942" s="193">
        <f>(((I942*'Appendix K'!$C$12*1000)-('Appendix K'!$E$38+'Appendix K'!$F$38+'Appendix K'!$H$38+'Appendix K'!$G$38))/((1+$Y$16)^AF$34))</f>
        <v>3844118.1233895384</v>
      </c>
      <c r="AG942" s="193">
        <f>(((J942*'Appendix K'!$C$13*1000)-('Appendix K'!$E$39+'Appendix K'!$F$39+'Appendix K'!$H$39+'Appendix K'!$G$39))/((1+$Y$16)^AG$34))</f>
        <v>1764738.9183871662</v>
      </c>
      <c r="AH942" s="193">
        <f>(((K942*'Appendix K'!$C$14*1000)-('Appendix K'!$E$40+'Appendix K'!$F$40+'Appendix K'!$H$40+'Appendix K'!$G$40))/((1+$Y$16)^AH$34))</f>
        <v>-842611.65489860019</v>
      </c>
      <c r="AI942" s="193">
        <f>(((L942*'Appendix K'!$C$15*1000)-('Appendix K'!$E$41+'Appendix K'!$F$41+'Appendix K'!$H$41+'Appendix K'!$G$41))/((1+$Y$16)^AI$34))</f>
        <v>-979284.76762278634</v>
      </c>
      <c r="AJ942" s="193">
        <f>(((M942*'Appendix K'!$C$16*1000)-('Appendix K'!$E$42+'Appendix K'!$F$42+'Appendix K'!$H$42+'Appendix K'!$G$42))/((1+$Y$16)^AJ$34))</f>
        <v>-758795.2344517142</v>
      </c>
      <c r="AK942" s="193">
        <f>(((N942*'Appendix K'!$C$17*1000)-('Appendix K'!$E$43+'Appendix K'!$F$43+'Appendix K'!$H$43))/((1+$Y$16)^AK$34))</f>
        <v>-499971.52442098752</v>
      </c>
      <c r="AL942" s="193">
        <f>(((O942*'Appendix K'!$C$18*1000)-('Appendix K'!$E$44+'Appendix K'!$F$44+'Appendix K'!$H$44+'Appendix K'!$G$44))/((1+$Y$16)^AL$34))</f>
        <v>-516992.60178962559</v>
      </c>
      <c r="AM942" s="193">
        <f>(((P942*'Appendix K'!$C$19*1000)-('Appendix K'!$E$45+'Appendix K'!$F$45+'Appendix K'!$H$45+'Appendix K'!$G$45))/((1+$Y$16)^AM$34))</f>
        <v>-513041.14371192572</v>
      </c>
      <c r="AN942" s="193">
        <f>(((Q942*'Appendix K'!$C$20*1000)-('Appendix K'!$E$46+'Appendix K'!$F$46+'Appendix K'!$H$46+'Appendix K'!$G$46))/((1+$Y$16)^AN$34))</f>
        <v>-539661.10116837732</v>
      </c>
      <c r="AO942" s="193">
        <f>(((R942*'Appendix K'!$C$21*1000)-('Appendix K'!$E$47+'Appendix K'!$F$47+'Appendix K'!$H$47+'Appendix K'!$G$47))/((1+$Y$16)^AO$34))</f>
        <v>-672502.35948377184</v>
      </c>
      <c r="AP942" s="193">
        <f>(((S942*'Appendix K'!$C$22*1000)-('Appendix K'!$E$48+'Appendix K'!$F$48+'Appendix K'!$H$48+'Appendix K'!$G$48))/((1+$Y$16)^AP$34))</f>
        <v>-709065.36211591505</v>
      </c>
      <c r="AQ942" s="193">
        <f>(((T942*'Appendix K'!$C$23*1000)-('Appendix K'!$E$49+'Appendix K'!$F$49+'Appendix K'!$H$49+'Appendix K'!$G$49))/((1+$Y$16)^AQ$34))</f>
        <v>-644540.29222419369</v>
      </c>
      <c r="AR942" s="193">
        <f>(((U942*'Appendix K'!$C$24*1000)-('Appendix K'!$E$50+'Appendix K'!$F$50+'Appendix K'!$H$50+'Appendix K'!$G$50))/((1+$Y$16)^AR$34))</f>
        <v>-604500.14356083644</v>
      </c>
      <c r="AS942" s="209">
        <f t="shared" si="44"/>
        <v>59994189.17389027</v>
      </c>
      <c r="AU942" s="199">
        <f t="shared" si="43"/>
        <v>6.244395373194648E-9</v>
      </c>
    </row>
    <row r="943" spans="1:47" x14ac:dyDescent="0.35">
      <c r="A943">
        <v>909</v>
      </c>
      <c r="B943" s="70">
        <v>56</v>
      </c>
      <c r="C943" s="70">
        <v>64.207152846787736</v>
      </c>
      <c r="D943" s="70">
        <v>56.819916472874162</v>
      </c>
      <c r="E943" s="70">
        <v>84.572215314276448</v>
      </c>
      <c r="F943" s="70">
        <v>137.77704351711429</v>
      </c>
      <c r="G943" s="70">
        <v>97.742396752645874</v>
      </c>
      <c r="H943" s="70">
        <v>75.334632546163306</v>
      </c>
      <c r="I943" s="70">
        <v>66.830590489485957</v>
      </c>
      <c r="J943" s="70">
        <v>68.100025695701476</v>
      </c>
      <c r="K943" s="70">
        <v>36.671388419186428</v>
      </c>
      <c r="L943" s="70">
        <v>33.92553771156976</v>
      </c>
      <c r="M943" s="70">
        <v>27.425377837651133</v>
      </c>
      <c r="N943" s="70">
        <v>32.858729575526127</v>
      </c>
      <c r="O943" s="70">
        <v>40.528222785543484</v>
      </c>
      <c r="P943" s="70">
        <v>63.60597239414227</v>
      </c>
      <c r="Q943" s="70">
        <v>49.986419846339828</v>
      </c>
      <c r="R943" s="70">
        <v>71.650102635247833</v>
      </c>
      <c r="S943" s="70">
        <v>68.985741880447335</v>
      </c>
      <c r="T943" s="70">
        <v>85.23635872939029</v>
      </c>
      <c r="U943" s="70">
        <v>151.18812592722421</v>
      </c>
      <c r="V943" s="70">
        <v>164.9081786321276</v>
      </c>
      <c r="X943" s="193">
        <f>((0-('Appendix K'!$I$30))/(1+$Y$16)^0)</f>
        <v>-33594902.4440751</v>
      </c>
      <c r="Y943" s="193">
        <f>(((B943*'Appendix K'!$C$5*1000)-('Appendix K'!$E$31+'Appendix K'!$F$31+'Appendix K'!$H$31+'Appendix K'!$G$31))/((1+$Y$16)^1))</f>
        <v>34971064.972647354</v>
      </c>
      <c r="Z943" s="193">
        <f>+(((C943*'Appendix K'!$C$6*1000)-('Appendix K'!$E$32+'Appendix K'!$F$32+'Appendix K'!$H$32+'Appendix K'!$G$32))/((1+$Y$16)^2))</f>
        <v>12732577.28211456</v>
      </c>
      <c r="AA943" s="193">
        <f>(((D943*'Appendix K'!$C$7*1000)-('Appendix K'!$E$33+'Appendix K'!$F$33+'Appendix K'!$H$33+'Appendix K'!$G$33))/((1+$Y$16)^3))</f>
        <v>4272531.5452296678</v>
      </c>
      <c r="AB943" s="193">
        <f>(((E943*'Appendix K'!$C$8*1000)-('Appendix K'!$E$34+'Appendix K'!$F$34+'Appendix K'!$H$34+'Appendix K'!$G$34))/((1+$Y$16)^4))</f>
        <v>15244247.523919163</v>
      </c>
      <c r="AC943" s="193">
        <f>(((F943*'Appendix K'!$C$9*1000)-('Appendix K'!$E$35+'Appendix K'!$F$35+'Appendix K'!$H$35+'Appendix K'!$G$35))/((1+$Y$16)^AC$34))</f>
        <v>33636693.298907705</v>
      </c>
      <c r="AD943" s="193">
        <f>(((G943*'Appendix K'!$C$10*1000)-('Appendix K'!$E$36+'Appendix K'!$F$36+'Appendix K'!$H$36+'Appendix K'!$G$36))/((1+$Y$16)^AD$34))</f>
        <v>12834089.238920301</v>
      </c>
      <c r="AE943" s="193">
        <f>(((H943*'Appendix K'!$C$11*1000)-('Appendix K'!$E$37+'Appendix K'!$F$37+'Appendix K'!$H$37+'Appendix K'!$G$37))/((1+$Y$16)^AE$34))</f>
        <v>5293756.6540317237</v>
      </c>
      <c r="AF943" s="193">
        <f>(((I943*'Appendix K'!$C$12*1000)-('Appendix K'!$E$38+'Appendix K'!$F$38+'Appendix K'!$H$38+'Appendix K'!$G$38))/((1+$Y$16)^AF$34))</f>
        <v>2391679.7613467444</v>
      </c>
      <c r="AG943" s="193">
        <f>(((J943*'Appendix K'!$C$13*1000)-('Appendix K'!$E$39+'Appendix K'!$F$39+'Appendix K'!$H$39+'Appendix K'!$G$39))/((1+$Y$16)^AG$34))</f>
        <v>1318946.6189449329</v>
      </c>
      <c r="AH943" s="193">
        <f>(((K943*'Appendix K'!$C$14*1000)-('Appendix K'!$E$40+'Appendix K'!$F$40+'Appendix K'!$H$40+'Appendix K'!$G$40))/((1+$Y$16)^AH$34))</f>
        <v>-396676.02112305479</v>
      </c>
      <c r="AI943" s="193">
        <f>(((L943*'Appendix K'!$C$15*1000)-('Appendix K'!$E$41+'Appendix K'!$F$41+'Appendix K'!$H$41+'Appendix K'!$G$41))/((1+$Y$16)^AI$34))</f>
        <v>-627568.81922129658</v>
      </c>
      <c r="AJ943" s="193">
        <f>(((M943*'Appendix K'!$C$16*1000)-('Appendix K'!$E$42+'Appendix K'!$F$42+'Appendix K'!$H$42+'Appendix K'!$G$42))/((1+$Y$16)^AJ$34))</f>
        <v>-831895.18426572962</v>
      </c>
      <c r="AK943" s="193">
        <f>(((N943*'Appendix K'!$C$17*1000)-('Appendix K'!$E$43+'Appendix K'!$F$43+'Appendix K'!$H$43))/((1+$Y$16)^AK$34))</f>
        <v>-499420.46443237795</v>
      </c>
      <c r="AL943" s="193">
        <f>(((O943*'Appendix K'!$C$18*1000)-('Appendix K'!$E$44+'Appendix K'!$F$44+'Appendix K'!$H$44+'Appendix K'!$G$44))/((1+$Y$16)^AL$34))</f>
        <v>-654196.17547743011</v>
      </c>
      <c r="AM943" s="193">
        <f>(((P943*'Appendix K'!$C$19*1000)-('Appendix K'!$E$45+'Appendix K'!$F$45+'Appendix K'!$H$45+'Appendix K'!$G$45))/((1+$Y$16)^AM$34))</f>
        <v>-437219.24360524077</v>
      </c>
      <c r="AN943" s="193">
        <f>(((Q943*'Appendix K'!$C$20*1000)-('Appendix K'!$E$46+'Appendix K'!$F$46+'Appendix K'!$H$46+'Appendix K'!$G$46))/((1+$Y$16)^AN$34))</f>
        <v>-553996.26325789071</v>
      </c>
      <c r="AO943" s="193">
        <f>(((R943*'Appendix K'!$C$21*1000)-('Appendix K'!$E$47+'Appendix K'!$F$47+'Appendix K'!$H$47+'Appendix K'!$G$47))/((1+$Y$16)^AO$34))</f>
        <v>-419538.9029004667</v>
      </c>
      <c r="AP943" s="193">
        <f>(((S943*'Appendix K'!$C$22*1000)-('Appendix K'!$E$48+'Appendix K'!$F$48+'Appendix K'!$H$48+'Appendix K'!$G$48))/((1+$Y$16)^AP$34))</f>
        <v>-434030.89063181629</v>
      </c>
      <c r="AQ943" s="193">
        <f>(((T943*'Appendix K'!$C$23*1000)-('Appendix K'!$E$49+'Appendix K'!$F$49+'Appendix K'!$H$49+'Appendix K'!$G$49))/((1+$Y$16)^AQ$34))</f>
        <v>-359892.34451241489</v>
      </c>
      <c r="AR943" s="193">
        <f>(((U943*'Appendix K'!$C$24*1000)-('Appendix K'!$E$50+'Appendix K'!$F$50+'Appendix K'!$H$50+'Appendix K'!$G$50))/((1+$Y$16)^AR$34))</f>
        <v>-142458.86770392692</v>
      </c>
      <c r="AS943" s="209">
        <f t="shared" si="44"/>
        <v>89100684.451987028</v>
      </c>
      <c r="AU943" s="199">
        <f t="shared" si="43"/>
        <v>7.0272718343309158E-9</v>
      </c>
    </row>
    <row r="944" spans="1:47" x14ac:dyDescent="0.35">
      <c r="A944">
        <v>910</v>
      </c>
      <c r="B944" s="70">
        <v>56</v>
      </c>
      <c r="C944" s="70">
        <v>80.661302780172861</v>
      </c>
      <c r="D944" s="70">
        <v>106.34619049471212</v>
      </c>
      <c r="E944" s="70">
        <v>114.08788027638121</v>
      </c>
      <c r="F944" s="70">
        <v>133.75453436072044</v>
      </c>
      <c r="G944" s="70">
        <v>135.5948447331042</v>
      </c>
      <c r="H944" s="70">
        <v>169.66302004027713</v>
      </c>
      <c r="I944" s="70">
        <v>230.95277569265704</v>
      </c>
      <c r="J944" s="70">
        <v>277.5822794109593</v>
      </c>
      <c r="K944" s="70">
        <v>403.25667741504117</v>
      </c>
      <c r="L944" s="70">
        <v>355.99628224817059</v>
      </c>
      <c r="M944" s="70">
        <v>466.7005989606032</v>
      </c>
      <c r="N944" s="70">
        <v>500</v>
      </c>
      <c r="O944" s="70">
        <v>453.23693708268218</v>
      </c>
      <c r="P944" s="70">
        <v>500</v>
      </c>
      <c r="Q944" s="70">
        <v>500</v>
      </c>
      <c r="R944" s="70">
        <v>500</v>
      </c>
      <c r="S944" s="70">
        <v>500</v>
      </c>
      <c r="T944" s="70">
        <v>500</v>
      </c>
      <c r="U944" s="70">
        <v>500</v>
      </c>
      <c r="V944" s="70">
        <v>500</v>
      </c>
      <c r="X944" s="193">
        <f>((0-('Appendix K'!$I$30))/(1+$Y$16)^0)</f>
        <v>-33594902.4440751</v>
      </c>
      <c r="Y944" s="193">
        <f>(((B944*'Appendix K'!$C$5*1000)-('Appendix K'!$E$31+'Appendix K'!$F$31+'Appendix K'!$H$31+'Appendix K'!$G$31))/((1+$Y$16)^1))</f>
        <v>34971064.972647354</v>
      </c>
      <c r="Z944" s="193">
        <f>+(((C944*'Appendix K'!$C$6*1000)-('Appendix K'!$E$32+'Appendix K'!$F$32+'Appendix K'!$H$32+'Appendix K'!$G$32))/((1+$Y$16)^2))</f>
        <v>16889176.97265568</v>
      </c>
      <c r="AA944" s="193">
        <f>(((D944*'Appendix K'!$C$7*1000)-('Appendix K'!$E$33+'Appendix K'!$F$33+'Appendix K'!$H$33+'Appendix K'!$G$33))/((1+$Y$16)^3))</f>
        <v>10580934.377151592</v>
      </c>
      <c r="AB944" s="193">
        <f>(((E944*'Appendix K'!$C$8*1000)-('Appendix K'!$E$34+'Appendix K'!$F$34+'Appendix K'!$H$34+'Appendix K'!$G$34))/((1+$Y$16)^4))</f>
        <v>21713811.093705676</v>
      </c>
      <c r="AC944" s="193">
        <f>(((F944*'Appendix K'!$C$9*1000)-('Appendix K'!$E$35+'Appendix K'!$F$35+'Appendix K'!$H$35+'Appendix K'!$G$35))/((1+$Y$16)^AC$34))</f>
        <v>32567516.681611087</v>
      </c>
      <c r="AD944" s="193">
        <f>(((G944*'Appendix K'!$C$10*1000)-('Appendix K'!$E$36+'Appendix K'!$F$36+'Appendix K'!$H$36+'Appendix K'!$G$36))/((1+$Y$16)^AD$34))</f>
        <v>18778587.244337354</v>
      </c>
      <c r="AE944" s="193">
        <f>(((H944*'Appendix K'!$C$11*1000)-('Appendix K'!$E$37+'Appendix K'!$F$37+'Appendix K'!$H$37+'Appendix K'!$G$37))/((1+$Y$16)^AE$34))</f>
        <v>14701846.354663607</v>
      </c>
      <c r="AF944" s="193">
        <f>(((I944*'Appendix K'!$C$12*1000)-('Appendix K'!$E$38+'Appendix K'!$F$38+'Appendix K'!$H$38+'Appendix K'!$G$38))/((1+$Y$16)^AF$34))</f>
        <v>13168340.772737531</v>
      </c>
      <c r="AG944" s="193">
        <f>(((J944*'Appendix K'!$C$13*1000)-('Appendix K'!$E$39+'Appendix K'!$F$39+'Appendix K'!$H$39+'Appendix K'!$G$39))/((1+$Y$16)^AG$34))</f>
        <v>10959096.325559674</v>
      </c>
      <c r="AH944" s="193">
        <f>(((K944*'Appendix K'!$C$14*1000)-('Appendix K'!$E$40+'Appendix K'!$F$40+'Appendix K'!$H$40+'Appendix K'!$G$40))/((1+$Y$16)^AH$34))</f>
        <v>11959640.830828598</v>
      </c>
      <c r="AI944" s="193">
        <f>(((L944*'Appendix K'!$C$15*1000)-('Appendix K'!$E$41+'Appendix K'!$F$41+'Appendix K'!$H$41+'Appendix K'!$G$41))/((1+$Y$16)^AI$34))</f>
        <v>7811286.962883194</v>
      </c>
      <c r="AJ944" s="193">
        <f>(((M944*'Appendix K'!$C$16*1000)-('Appendix K'!$E$42+'Appendix K'!$F$42+'Appendix K'!$H$42+'Appendix K'!$G$42))/((1+$Y$16)^AJ$34))</f>
        <v>7972000.3641891014</v>
      </c>
      <c r="AK944" s="193">
        <f>(((N944*'Appendix K'!$C$17*1000)-('Appendix K'!$E$43+'Appendix K'!$F$43+'Appendix K'!$H$43))/((1+$Y$16)^AK$34))</f>
        <v>6677690.1149291173</v>
      </c>
      <c r="AL944" s="193">
        <f>(((O944*'Appendix K'!$C$18*1000)-('Appendix K'!$E$44+'Appendix K'!$F$44+'Appendix K'!$H$44+'Appendix K'!$G$44))/((1+$Y$16)^AL$34))</f>
        <v>4237761.6555031715</v>
      </c>
      <c r="AM944" s="193">
        <f>(((P944*'Appendix K'!$C$19*1000)-('Appendix K'!$E$45+'Appendix K'!$F$45+'Appendix K'!$H$45+'Appendix K'!$G$45))/((1+$Y$16)^AM$34))</f>
        <v>3607599.9540230581</v>
      </c>
      <c r="AN944" s="193">
        <f>(((Q944*'Appendix K'!$C$20*1000)-('Appendix K'!$E$46+'Appendix K'!$F$46+'Appendix K'!$H$46+'Appendix K'!$G$46))/((1+$Y$16)^AN$34))</f>
        <v>2702399.606577659</v>
      </c>
      <c r="AO944" s="193">
        <f>(((R944*'Appendix K'!$C$21*1000)-('Appendix K'!$E$47+'Appendix K'!$F$47+'Appendix K'!$H$47+'Appendix K'!$G$47))/((1+$Y$16)^AO$34))</f>
        <v>2112056.3146391152</v>
      </c>
      <c r="AP944" s="193">
        <f>(((S944*'Appendix K'!$C$22*1000)-('Appendix K'!$E$48+'Appendix K'!$F$48+'Appendix K'!$H$48+'Appendix K'!$G$48))/((1+$Y$16)^AP$34))</f>
        <v>1630406.4380253027</v>
      </c>
      <c r="AQ944" s="193">
        <f>(((T944*'Appendix K'!$C$23*1000)-('Appendix K'!$E$49+'Appendix K'!$F$49+'Appendix K'!$H$49+'Appendix K'!$G$49))/((1+$Y$16)^AQ$34))</f>
        <v>1263386.3652054211</v>
      </c>
      <c r="AR944" s="193">
        <f>(((U944*'Appendix K'!$C$24*1000)-('Appendix K'!$E$50+'Appendix K'!$F$50+'Appendix K'!$H$50+'Appendix K'!$G$50))/((1+$Y$16)^AR$34))</f>
        <v>980725.14012097823</v>
      </c>
      <c r="AS944" s="209">
        <f t="shared" si="44"/>
        <v>191690426.0979192</v>
      </c>
      <c r="AU944" s="199">
        <f t="shared" si="43"/>
        <v>1.3081704482277544E-9</v>
      </c>
    </row>
    <row r="945" spans="1:47" x14ac:dyDescent="0.35">
      <c r="A945">
        <v>911</v>
      </c>
      <c r="B945" s="70">
        <v>56</v>
      </c>
      <c r="C945" s="70">
        <v>78.703890585971138</v>
      </c>
      <c r="D945" s="70">
        <v>80.965360928617116</v>
      </c>
      <c r="E945" s="70">
        <v>79.045199574506697</v>
      </c>
      <c r="F945" s="70">
        <v>52.838729865230334</v>
      </c>
      <c r="G945" s="70">
        <v>73.744303511889626</v>
      </c>
      <c r="H945" s="70">
        <v>32.369014769597555</v>
      </c>
      <c r="I945" s="70">
        <v>23.873548107432065</v>
      </c>
      <c r="J945" s="70">
        <v>32.344800670337378</v>
      </c>
      <c r="K945" s="70">
        <v>43.768497415542477</v>
      </c>
      <c r="L945" s="70">
        <v>69.467774255410333</v>
      </c>
      <c r="M945" s="70">
        <v>57.194665253805361</v>
      </c>
      <c r="N945" s="70">
        <v>72.627108747091413</v>
      </c>
      <c r="O945" s="70">
        <v>32.10919383536725</v>
      </c>
      <c r="P945" s="70">
        <v>38.333819502653604</v>
      </c>
      <c r="Q945" s="70">
        <v>37.586210650439753</v>
      </c>
      <c r="R945" s="70">
        <v>55.232199098708541</v>
      </c>
      <c r="S945" s="70">
        <v>43.931063455772396</v>
      </c>
      <c r="T945" s="70">
        <v>56.464504373902273</v>
      </c>
      <c r="U945" s="70">
        <v>92.250172029072161</v>
      </c>
      <c r="V945" s="70">
        <v>87.121870835369918</v>
      </c>
      <c r="X945" s="193">
        <f>((0-('Appendix K'!$I$30))/(1+$Y$16)^0)</f>
        <v>-33594902.4440751</v>
      </c>
      <c r="Y945" s="193">
        <f>(((B945*'Appendix K'!$C$5*1000)-('Appendix K'!$E$31+'Appendix K'!$F$31+'Appendix K'!$H$31+'Appendix K'!$G$31))/((1+$Y$16)^1))</f>
        <v>34971064.972647354</v>
      </c>
      <c r="Z945" s="193">
        <f>+(((C945*'Appendix K'!$C$6*1000)-('Appendix K'!$E$32+'Appendix K'!$F$32+'Appendix K'!$H$32+'Appendix K'!$G$32))/((1+$Y$16)^2))</f>
        <v>16394701.174536681</v>
      </c>
      <c r="AA945" s="193">
        <f>(((D945*'Appendix K'!$C$7*1000)-('Appendix K'!$E$33+'Appendix K'!$F$33+'Appendix K'!$H$33+'Appendix K'!$G$33))/((1+$Y$16)^3))</f>
        <v>7348054.4508183105</v>
      </c>
      <c r="AB945" s="193">
        <f>(((E945*'Appendix K'!$C$8*1000)-('Appendix K'!$E$34+'Appendix K'!$F$34+'Appendix K'!$H$34+'Appendix K'!$G$34))/((1+$Y$16)^4))</f>
        <v>14032776.268720949</v>
      </c>
      <c r="AC945" s="193">
        <f>(((F945*'Appendix K'!$C$9*1000)-('Appendix K'!$E$35+'Appendix K'!$F$35+'Appendix K'!$H$35+'Appendix K'!$G$35))/((1+$Y$16)^AC$34))</f>
        <v>11060222.907323899</v>
      </c>
      <c r="AD945" s="193">
        <f>(((G945*'Appendix K'!$C$10*1000)-('Appendix K'!$E$36+'Appendix K'!$F$36+'Appendix K'!$H$36+'Appendix K'!$G$36))/((1+$Y$16)^AD$34))</f>
        <v>9065333.8475348949</v>
      </c>
      <c r="AE945" s="193">
        <f>(((H945*'Appendix K'!$C$11*1000)-('Appendix K'!$E$37+'Appendix K'!$F$37+'Appendix K'!$H$37+'Appendix K'!$G$37))/((1+$Y$16)^AE$34))</f>
        <v>1008467.8155024077</v>
      </c>
      <c r="AF945" s="193">
        <f>(((I945*'Appendix K'!$C$12*1000)-('Appendix K'!$E$38+'Appendix K'!$F$38+'Appendix K'!$H$38+'Appendix K'!$G$38))/((1+$Y$16)^AF$34))</f>
        <v>-428983.89987775323</v>
      </c>
      <c r="AG945" s="193">
        <f>(((J945*'Appendix K'!$C$13*1000)-('Appendix K'!$E$39+'Appendix K'!$F$39+'Appendix K'!$H$39+'Appendix K'!$G$39))/((1+$Y$16)^AG$34))</f>
        <v>-326470.6702290104</v>
      </c>
      <c r="AH945" s="193">
        <f>(((K945*'Appendix K'!$C$14*1000)-('Appendix K'!$E$40+'Appendix K'!$F$40+'Appendix K'!$H$40+'Appendix K'!$G$40))/((1+$Y$16)^AH$34))</f>
        <v>-157457.12684603012</v>
      </c>
      <c r="AI945" s="193">
        <f>(((L945*'Appendix K'!$C$15*1000)-('Appendix K'!$E$41+'Appendix K'!$F$41+'Appendix K'!$H$41+'Appendix K'!$G$41))/((1+$Y$16)^AI$34))</f>
        <v>303704.24253557215</v>
      </c>
      <c r="AJ945" s="193">
        <f>(((M945*'Appendix K'!$C$16*1000)-('Appendix K'!$E$42+'Appendix K'!$F$42+'Appendix K'!$H$42+'Appendix K'!$G$42))/((1+$Y$16)^AJ$34))</f>
        <v>-235263.08584286983</v>
      </c>
      <c r="AK945" s="193">
        <f>(((N945*'Appendix K'!$C$17*1000)-('Appendix K'!$E$43+'Appendix K'!$F$43+'Appendix K'!$H$43))/((1+$Y$16)^AK$34))</f>
        <v>111576.83541430051</v>
      </c>
      <c r="AL945" s="193">
        <f>(((O945*'Appendix K'!$C$18*1000)-('Appendix K'!$E$44+'Appendix K'!$F$44+'Appendix K'!$H$44+'Appendix K'!$G$44))/((1+$Y$16)^AL$34))</f>
        <v>-753989.40294103674</v>
      </c>
      <c r="AM945" s="193">
        <f>(((P945*'Appendix K'!$C$19*1000)-('Appendix K'!$E$45+'Appendix K'!$F$45+'Appendix K'!$H$45+'Appendix K'!$G$45))/((1+$Y$16)^AM$34))</f>
        <v>-671460.05056975561</v>
      </c>
      <c r="AN945" s="193">
        <f>(((Q945*'Appendix K'!$C$20*1000)-('Appendix K'!$E$46+'Appendix K'!$F$46+'Appendix K'!$H$46+'Appendix K'!$G$46))/((1+$Y$16)^AN$34))</f>
        <v>-643726.86649177037</v>
      </c>
      <c r="AO945" s="193">
        <f>(((R945*'Appendix K'!$C$21*1000)-('Appendix K'!$E$47+'Appendix K'!$F$47+'Appendix K'!$H$47+'Appendix K'!$G$47))/((1+$Y$16)^AO$34))</f>
        <v>-516570.52665205713</v>
      </c>
      <c r="AP945" s="193">
        <f>(((S945*'Appendix K'!$C$22*1000)-('Appendix K'!$E$48+'Appendix K'!$F$48+'Appendix K'!$H$48+'Appendix K'!$G$48))/((1+$Y$16)^AP$34))</f>
        <v>-554035.76848217309</v>
      </c>
      <c r="AQ945" s="193">
        <f>(((T945*'Appendix K'!$C$23*1000)-('Appendix K'!$E$49+'Appendix K'!$F$49+'Appendix K'!$H$49+'Appendix K'!$G$49))/((1+$Y$16)^AQ$34))</f>
        <v>-472498.01667617593</v>
      </c>
      <c r="AR945" s="193">
        <f>(((U945*'Appendix K'!$C$24*1000)-('Appendix K'!$E$50+'Appendix K'!$F$50+'Appendix K'!$H$50+'Appendix K'!$G$50))/((1+$Y$16)^AR$34))</f>
        <v>-332240.73063017119</v>
      </c>
      <c r="AS945" s="209">
        <f t="shared" si="44"/>
        <v>60701000.070959277</v>
      </c>
      <c r="AU945" s="199">
        <f t="shared" si="43"/>
        <v>6.2818771502197812E-9</v>
      </c>
    </row>
    <row r="946" spans="1:47" x14ac:dyDescent="0.35">
      <c r="A946">
        <v>912</v>
      </c>
      <c r="B946" s="70">
        <v>56</v>
      </c>
      <c r="C946" s="70">
        <v>58.027182061894791</v>
      </c>
      <c r="D946" s="70">
        <v>53.37723744840941</v>
      </c>
      <c r="E946" s="70">
        <v>51.357285524218277</v>
      </c>
      <c r="F946" s="70">
        <v>77.290192883963499</v>
      </c>
      <c r="G946" s="70">
        <v>89.627132928822988</v>
      </c>
      <c r="H946" s="70">
        <v>55.849382678740575</v>
      </c>
      <c r="I946" s="70">
        <v>50.48110905099302</v>
      </c>
      <c r="J946" s="70">
        <v>22.125843924178472</v>
      </c>
      <c r="K946" s="70">
        <v>25.25260885815505</v>
      </c>
      <c r="L946" s="70">
        <v>22.306134725950479</v>
      </c>
      <c r="M946" s="70">
        <v>32.188990967534878</v>
      </c>
      <c r="N946" s="70">
        <v>23.467678914812524</v>
      </c>
      <c r="O946" s="70">
        <v>27.106790991835844</v>
      </c>
      <c r="P946" s="70">
        <v>30.284929955524873</v>
      </c>
      <c r="Q946" s="70">
        <v>34.132040142092386</v>
      </c>
      <c r="R946" s="70">
        <v>55.116551704361086</v>
      </c>
      <c r="S946" s="70">
        <v>54.920244285366628</v>
      </c>
      <c r="T946" s="70">
        <v>67.151020089472837</v>
      </c>
      <c r="U946" s="70">
        <v>101.21089905503374</v>
      </c>
      <c r="V946" s="70">
        <v>63.394934857340523</v>
      </c>
      <c r="X946" s="193">
        <f>((0-('Appendix K'!$I$30))/(1+$Y$16)^0)</f>
        <v>-33594902.4440751</v>
      </c>
      <c r="Y946" s="193">
        <f>(((B946*'Appendix K'!$C$5*1000)-('Appendix K'!$E$31+'Appendix K'!$F$31+'Appendix K'!$H$31+'Appendix K'!$G$31))/((1+$Y$16)^1))</f>
        <v>34971064.972647354</v>
      </c>
      <c r="Z946" s="193">
        <f>+(((C946*'Appendix K'!$C$6*1000)-('Appendix K'!$E$32+'Appendix K'!$F$32+'Appendix K'!$H$32+'Appendix K'!$G$32))/((1+$Y$16)^2))</f>
        <v>11171410.965043422</v>
      </c>
      <c r="AA946" s="193">
        <f>(((D946*'Appendix K'!$C$7*1000)-('Appendix K'!$E$33+'Appendix K'!$F$33+'Appendix K'!$H$33+'Appendix K'!$G$33))/((1+$Y$16)^3))</f>
        <v>3834020.7439173101</v>
      </c>
      <c r="AB946" s="193">
        <f>(((E946*'Appendix K'!$C$8*1000)-('Appendix K'!$E$34+'Appendix K'!$F$34+'Appendix K'!$H$34+'Appendix K'!$G$34))/((1+$Y$16)^4))</f>
        <v>7963838.9673553929</v>
      </c>
      <c r="AC946" s="193">
        <f>(((F946*'Appendix K'!$C$9*1000)-('Appendix K'!$E$35+'Appendix K'!$F$35+'Appendix K'!$H$35+'Appendix K'!$G$35))/((1+$Y$16)^AC$34))</f>
        <v>17559383.38201613</v>
      </c>
      <c r="AD946" s="193">
        <f>(((G946*'Appendix K'!$C$10*1000)-('Appendix K'!$E$36+'Appendix K'!$F$36+'Appendix K'!$H$36+'Appendix K'!$G$36))/((1+$Y$16)^AD$34))</f>
        <v>11559636.140429726</v>
      </c>
      <c r="AE946" s="193">
        <f>(((H946*'Appendix K'!$C$11*1000)-('Appendix K'!$E$37+'Appendix K'!$F$37+'Appendix K'!$H$37+'Appendix K'!$G$37))/((1+$Y$16)^AE$34))</f>
        <v>3350344.0349685834</v>
      </c>
      <c r="AF946" s="193">
        <f>(((I946*'Appendix K'!$C$12*1000)-('Appendix K'!$E$38+'Appendix K'!$F$38+'Appendix K'!$H$38+'Appendix K'!$G$38))/((1+$Y$16)^AF$34))</f>
        <v>1318133.1292655882</v>
      </c>
      <c r="AG946" s="193">
        <f>(((J946*'Appendix K'!$C$13*1000)-('Appendix K'!$E$39+'Appendix K'!$F$39+'Appendix K'!$H$39+'Appendix K'!$G$39))/((1+$Y$16)^AG$34))</f>
        <v>-796736.15158237075</v>
      </c>
      <c r="AH946" s="193">
        <f>(((K946*'Appendix K'!$C$14*1000)-('Appendix K'!$E$40+'Appendix K'!$F$40+'Appendix K'!$H$40+'Appendix K'!$G$40))/((1+$Y$16)^AH$34))</f>
        <v>-781563.41991959664</v>
      </c>
      <c r="AI946" s="193">
        <f>(((L946*'Appendix K'!$C$15*1000)-('Appendix K'!$E$41+'Appendix K'!$F$41+'Appendix K'!$H$41+'Appendix K'!$G$41))/((1+$Y$16)^AI$34))</f>
        <v>-932018.90583465027</v>
      </c>
      <c r="AJ946" s="193">
        <f>(((M946*'Appendix K'!$C$16*1000)-('Appendix K'!$E$42+'Appendix K'!$F$42+'Appendix K'!$H$42+'Appendix K'!$G$42))/((1+$Y$16)^AJ$34))</f>
        <v>-736423.48358219385</v>
      </c>
      <c r="AK946" s="193">
        <f>(((N946*'Appendix K'!$C$17*1000)-('Appendix K'!$E$43+'Appendix K'!$F$43+'Appendix K'!$H$43))/((1+$Y$16)^AK$34))</f>
        <v>-643703.60384988855</v>
      </c>
      <c r="AL946" s="193">
        <f>(((O946*'Appendix K'!$C$18*1000)-('Appendix K'!$E$44+'Appendix K'!$F$44+'Appendix K'!$H$44+'Appendix K'!$G$44))/((1+$Y$16)^AL$34))</f>
        <v>-813284.35581308638</v>
      </c>
      <c r="AM946" s="193">
        <f>(((P946*'Appendix K'!$C$19*1000)-('Appendix K'!$E$45+'Appendix K'!$F$45+'Appendix K'!$H$45+'Appendix K'!$G$45))/((1+$Y$16)^AM$34))</f>
        <v>-746063.04900771833</v>
      </c>
      <c r="AN946" s="193">
        <f>(((Q946*'Appendix K'!$C$20*1000)-('Appendix K'!$E$46+'Appendix K'!$F$46+'Appendix K'!$H$46+'Appendix K'!$G$46))/((1+$Y$16)^AN$34))</f>
        <v>-668721.9934682704</v>
      </c>
      <c r="AO946" s="193">
        <f>(((R946*'Appendix K'!$C$21*1000)-('Appendix K'!$E$47+'Appendix K'!$F$47+'Appendix K'!$H$47+'Appendix K'!$G$47))/((1+$Y$16)^AO$34))</f>
        <v>-517254.01552937948</v>
      </c>
      <c r="AP946" s="193">
        <f>(((S946*'Appendix K'!$C$22*1000)-('Appendix K'!$E$48+'Appendix K'!$F$48+'Appendix K'!$H$48+'Appendix K'!$G$48))/((1+$Y$16)^AP$34))</f>
        <v>-501400.67651339452</v>
      </c>
      <c r="AQ946" s="193">
        <f>(((T946*'Appendix K'!$C$23*1000)-('Appendix K'!$E$49+'Appendix K'!$F$49+'Appendix K'!$H$49+'Appendix K'!$G$49))/((1+$Y$16)^AQ$34))</f>
        <v>-430673.72998361912</v>
      </c>
      <c r="AR946" s="193">
        <f>(((U946*'Appendix K'!$C$24*1000)-('Appendix K'!$E$50+'Appendix K'!$F$50+'Appendix K'!$H$50+'Appendix K'!$G$50))/((1+$Y$16)^AR$34))</f>
        <v>-303386.93853723176</v>
      </c>
      <c r="AS946" s="209">
        <f t="shared" si="44"/>
        <v>58132929.8915684</v>
      </c>
      <c r="AU946" s="199">
        <f t="shared" si="43"/>
        <v>6.1422007305524304E-9</v>
      </c>
    </row>
    <row r="947" spans="1:47" x14ac:dyDescent="0.35">
      <c r="A947">
        <v>913</v>
      </c>
      <c r="B947" s="70">
        <v>56</v>
      </c>
      <c r="C947" s="70">
        <v>70.988420061794073</v>
      </c>
      <c r="D947" s="70">
        <v>64.841093053380717</v>
      </c>
      <c r="E947" s="70">
        <v>63.369622469949327</v>
      </c>
      <c r="F947" s="70">
        <v>82.624613459789359</v>
      </c>
      <c r="G947" s="70">
        <v>109.75519181726375</v>
      </c>
      <c r="H947" s="70">
        <v>119.30880971759039</v>
      </c>
      <c r="I947" s="70">
        <v>127.69684245945233</v>
      </c>
      <c r="J947" s="70">
        <v>136.89775876134624</v>
      </c>
      <c r="K947" s="70">
        <v>113.84444331544185</v>
      </c>
      <c r="L947" s="70">
        <v>116.32750880156034</v>
      </c>
      <c r="M947" s="70">
        <v>90.712235237751457</v>
      </c>
      <c r="N947" s="70">
        <v>155.6672303687551</v>
      </c>
      <c r="O947" s="70">
        <v>198.88739534022346</v>
      </c>
      <c r="P947" s="70">
        <v>248.78895165473432</v>
      </c>
      <c r="Q947" s="70">
        <v>321.73389581879292</v>
      </c>
      <c r="R947" s="70">
        <v>292.72524645964558</v>
      </c>
      <c r="S947" s="70">
        <v>190.27493106068451</v>
      </c>
      <c r="T947" s="70">
        <v>253.73132978189551</v>
      </c>
      <c r="U947" s="70">
        <v>225.94194585690624</v>
      </c>
      <c r="V947" s="70">
        <v>202.07821193546738</v>
      </c>
      <c r="X947" s="193">
        <f>((0-('Appendix K'!$I$30))/(1+$Y$16)^0)</f>
        <v>-33594902.4440751</v>
      </c>
      <c r="Y947" s="193">
        <f>(((B947*'Appendix K'!$C$5*1000)-('Appendix K'!$E$31+'Appendix K'!$F$31+'Appendix K'!$H$31+'Appendix K'!$G$31))/((1+$Y$16)^1))</f>
        <v>34971064.972647354</v>
      </c>
      <c r="Z947" s="193">
        <f>+(((C947*'Appendix K'!$C$6*1000)-('Appendix K'!$E$32+'Appendix K'!$F$32+'Appendix K'!$H$32+'Appendix K'!$G$32))/((1+$Y$16)^2))</f>
        <v>14445641.3614798</v>
      </c>
      <c r="AA947" s="193">
        <f>(((D947*'Appendix K'!$C$7*1000)-('Appendix K'!$E$33+'Appendix K'!$F$33+'Appendix K'!$H$33+'Appendix K'!$G$33))/((1+$Y$16)^3))</f>
        <v>5294227.8883363921</v>
      </c>
      <c r="AB947" s="193">
        <f>(((E947*'Appendix K'!$C$8*1000)-('Appendix K'!$E$34+'Appendix K'!$F$34+'Appendix K'!$H$34+'Appendix K'!$G$34))/((1+$Y$16)^4))</f>
        <v>10596833.263498819</v>
      </c>
      <c r="AC947" s="193">
        <f>(((F947*'Appendix K'!$C$9*1000)-('Appendix K'!$E$35+'Appendix K'!$F$35+'Appendix K'!$H$35+'Appendix K'!$G$35))/((1+$Y$16)^AC$34))</f>
        <v>18977263.994527169</v>
      </c>
      <c r="AD947" s="193">
        <f>(((G947*'Appendix K'!$C$10*1000)-('Appendix K'!$E$36+'Appendix K'!$F$36+'Appendix K'!$H$36+'Appendix K'!$G$36))/((1+$Y$16)^AD$34))</f>
        <v>14720626.044623615</v>
      </c>
      <c r="AE947" s="193">
        <f>(((H947*'Appendix K'!$C$11*1000)-('Appendix K'!$E$37+'Appendix K'!$F$37+'Appendix K'!$H$37+'Appendix K'!$G$37))/((1+$Y$16)^AE$34))</f>
        <v>9679636.815145269</v>
      </c>
      <c r="AF947" s="193">
        <f>(((I947*'Appendix K'!$C$12*1000)-('Appendix K'!$E$38+'Appendix K'!$F$38+'Appendix K'!$H$38+'Appendix K'!$G$38))/((1+$Y$16)^AF$34))</f>
        <v>6388305.5904643955</v>
      </c>
      <c r="AG947" s="193">
        <f>(((J947*'Appendix K'!$C$13*1000)-('Appendix K'!$E$39+'Appendix K'!$F$39+'Appendix K'!$H$39+'Appendix K'!$G$39))/((1+$Y$16)^AG$34))</f>
        <v>4484944.8572970359</v>
      </c>
      <c r="AH947" s="193">
        <f>(((K947*'Appendix K'!$C$14*1000)-('Appendix K'!$E$40+'Appendix K'!$F$40+'Appendix K'!$H$40+'Appendix K'!$G$40))/((1+$Y$16)^AH$34))</f>
        <v>2204559.6185918101</v>
      </c>
      <c r="AI947" s="193">
        <f>(((L947*'Appendix K'!$C$15*1000)-('Appendix K'!$E$41+'Appendix K'!$F$41+'Appendix K'!$H$41+'Appendix K'!$G$41))/((1+$Y$16)^AI$34))</f>
        <v>1531516.9157779894</v>
      </c>
      <c r="AJ947" s="193">
        <f>(((M947*'Appendix K'!$C$16*1000)-('Appendix K'!$E$42+'Appendix K'!$F$42+'Appendix K'!$H$42+'Appendix K'!$G$42))/((1+$Y$16)^AJ$34))</f>
        <v>436491.59319943527</v>
      </c>
      <c r="AK947" s="193">
        <f>(((N947*'Appendix K'!$C$17*1000)-('Appendix K'!$E$43+'Appendix K'!$F$43+'Appendix K'!$H$43))/((1+$Y$16)^AK$34))</f>
        <v>1387396.7492933623</v>
      </c>
      <c r="AL947" s="193">
        <f>(((O947*'Appendix K'!$C$18*1000)-('Appendix K'!$E$44+'Appendix K'!$F$44+'Appendix K'!$H$44+'Appendix K'!$G$44))/((1+$Y$16)^AL$34))</f>
        <v>1222881.6943363941</v>
      </c>
      <c r="AM947" s="193">
        <f>(((P947*'Appendix K'!$C$19*1000)-('Appendix K'!$E$45+'Appendix K'!$F$45+'Appendix K'!$H$45+'Appendix K'!$G$45))/((1+$Y$16)^AM$34))</f>
        <v>1279192.1236551655</v>
      </c>
      <c r="AN947" s="193">
        <f>(((Q947*'Appendix K'!$C$20*1000)-('Appendix K'!$E$46+'Appendix K'!$F$46+'Appendix K'!$H$46+'Appendix K'!$G$46))/((1+$Y$16)^AN$34))</f>
        <v>1412427.4124293423</v>
      </c>
      <c r="AO947" s="193">
        <f>(((R947*'Appendix K'!$C$21*1000)-('Appendix K'!$E$47+'Appendix K'!$F$47+'Appendix K'!$H$47+'Appendix K'!$G$47))/((1+$Y$16)^AO$34))</f>
        <v>887039.62149250903</v>
      </c>
      <c r="AP947" s="193">
        <f>(((S947*'Appendix K'!$C$22*1000)-('Appendix K'!$E$48+'Appendix K'!$F$48+'Appendix K'!$H$48+'Appendix K'!$G$48))/((1+$Y$16)^AP$34))</f>
        <v>146910.28472202469</v>
      </c>
      <c r="AQ947" s="193">
        <f>(((T947*'Appendix K'!$C$23*1000)-('Appendix K'!$E$49+'Appendix K'!$F$49+'Appendix K'!$H$49+'Appendix K'!$G$49))/((1+$Y$16)^AQ$34))</f>
        <v>299553.8363682332</v>
      </c>
      <c r="AR947" s="193">
        <f>(((U947*'Appendix K'!$C$24*1000)-('Appendix K'!$E$50+'Appendix K'!$F$50+'Appendix K'!$H$50+'Appendix K'!$G$50))/((1+$Y$16)^AR$34))</f>
        <v>98250.526986357436</v>
      </c>
      <c r="AS947" s="209">
        <f t="shared" si="44"/>
        <v>96869862.72079739</v>
      </c>
      <c r="AU947" s="199">
        <f t="shared" si="43"/>
        <v>6.9368579398858018E-9</v>
      </c>
    </row>
    <row r="948" spans="1:47" x14ac:dyDescent="0.35">
      <c r="A948">
        <v>914</v>
      </c>
      <c r="B948" s="70">
        <v>56</v>
      </c>
      <c r="C948" s="70">
        <v>50.431474252683721</v>
      </c>
      <c r="D948" s="70">
        <v>38.988603392426903</v>
      </c>
      <c r="E948" s="70">
        <v>47.587725025747673</v>
      </c>
      <c r="F948" s="70">
        <v>48.636610355305407</v>
      </c>
      <c r="G948" s="70">
        <v>68.380916307035122</v>
      </c>
      <c r="H948" s="70">
        <v>64.264047804886701</v>
      </c>
      <c r="I948" s="70">
        <v>93.531457291327897</v>
      </c>
      <c r="J948" s="70">
        <v>94.856073344338597</v>
      </c>
      <c r="K948" s="70">
        <v>71.475376640820059</v>
      </c>
      <c r="L948" s="70">
        <v>103.75218947404376</v>
      </c>
      <c r="M948" s="70">
        <v>99.393542155823695</v>
      </c>
      <c r="N948" s="70">
        <v>73.565976014895881</v>
      </c>
      <c r="O948" s="70">
        <v>35.220433511512816</v>
      </c>
      <c r="P948" s="70">
        <v>43.908852367579541</v>
      </c>
      <c r="Q948" s="70">
        <v>50.200427805998373</v>
      </c>
      <c r="R948" s="70">
        <v>48.418251532545938</v>
      </c>
      <c r="S948" s="70">
        <v>41.504334092309321</v>
      </c>
      <c r="T948" s="70">
        <v>70.910658078385197</v>
      </c>
      <c r="U948" s="70">
        <v>79.414558404974812</v>
      </c>
      <c r="V948" s="70">
        <v>85.171887728412955</v>
      </c>
      <c r="X948" s="193">
        <f>((0-('Appendix K'!$I$30))/(1+$Y$16)^0)</f>
        <v>-33594902.4440751</v>
      </c>
      <c r="Y948" s="193">
        <f>(((B948*'Appendix K'!$C$5*1000)-('Appendix K'!$E$31+'Appendix K'!$F$31+'Appendix K'!$H$31+'Appendix K'!$G$31))/((1+$Y$16)^1))</f>
        <v>34971064.972647354</v>
      </c>
      <c r="Z948" s="193">
        <f>+(((C948*'Appendix K'!$C$6*1000)-('Appendix K'!$E$32+'Appendix K'!$F$32+'Appendix K'!$H$32+'Appendix K'!$G$32))/((1+$Y$16)^2))</f>
        <v>9252605.2621035241</v>
      </c>
      <c r="AA948" s="193">
        <f>(((D948*'Appendix K'!$C$7*1000)-('Appendix K'!$E$33+'Appendix K'!$F$33+'Appendix K'!$H$33+'Appendix K'!$G$33))/((1+$Y$16)^3))</f>
        <v>2001270.3176238891</v>
      </c>
      <c r="AB948" s="193">
        <f>(((E948*'Appendix K'!$C$8*1000)-('Appendix K'!$E$34+'Appendix K'!$F$34+'Appendix K'!$H$34+'Appendix K'!$G$34))/((1+$Y$16)^4))</f>
        <v>7137585.8130956898</v>
      </c>
      <c r="AC948" s="193">
        <f>(((F948*'Appendix K'!$C$9*1000)-('Appendix K'!$E$35+'Appendix K'!$F$35+'Appendix K'!$H$35+'Appendix K'!$G$35))/((1+$Y$16)^AC$34))</f>
        <v>9943306.1400975864</v>
      </c>
      <c r="AD948" s="193">
        <f>(((G948*'Appendix K'!$C$10*1000)-('Appendix K'!$E$36+'Appendix K'!$F$36+'Appendix K'!$H$36+'Appendix K'!$G$36))/((1+$Y$16)^AD$34))</f>
        <v>8223046.3273724811</v>
      </c>
      <c r="AE948" s="193">
        <f>(((H948*'Appendix K'!$C$11*1000)-('Appendix K'!$E$37+'Appendix K'!$F$37+'Appendix K'!$H$37+'Appendix K'!$G$37))/((1+$Y$16)^AE$34))</f>
        <v>4189602.7821034444</v>
      </c>
      <c r="AF948" s="193">
        <f>(((I948*'Appendix K'!$C$12*1000)-('Appendix K'!$E$38+'Appendix K'!$F$38+'Appendix K'!$H$38+'Appendix K'!$G$38))/((1+$Y$16)^AF$34))</f>
        <v>4144923.4796017762</v>
      </c>
      <c r="AG948" s="193">
        <f>(((J948*'Appendix K'!$C$13*1000)-('Appendix K'!$E$39+'Appendix K'!$F$39+'Appendix K'!$H$39+'Appendix K'!$G$39))/((1+$Y$16)^AG$34))</f>
        <v>2550231.3713076692</v>
      </c>
      <c r="AH948" s="193">
        <f>(((K948*'Appendix K'!$C$14*1000)-('Appendix K'!$E$40+'Appendix K'!$F$40+'Appendix K'!$H$40+'Appendix K'!$G$40))/((1+$Y$16)^AH$34))</f>
        <v>776445.53909034817</v>
      </c>
      <c r="AI948" s="193">
        <f>(((L948*'Appendix K'!$C$15*1000)-('Appendix K'!$E$41+'Appendix K'!$F$41+'Appendix K'!$H$41+'Appendix K'!$G$41))/((1+$Y$16)^AI$34))</f>
        <v>1202020.033434602</v>
      </c>
      <c r="AJ948" s="193">
        <f>(((M948*'Appendix K'!$C$16*1000)-('Appendix K'!$E$42+'Appendix K'!$F$42+'Appendix K'!$H$42+'Appendix K'!$G$42))/((1+$Y$16)^AJ$34))</f>
        <v>610481.19164617755</v>
      </c>
      <c r="AK948" s="193">
        <f>(((N948*'Appendix K'!$C$17*1000)-('Appendix K'!$E$43+'Appendix K'!$F$43+'Appendix K'!$H$43))/((1+$Y$16)^AK$34))</f>
        <v>126001.49584786229</v>
      </c>
      <c r="AL948" s="193">
        <f>(((O948*'Appendix K'!$C$18*1000)-('Appendix K'!$E$44+'Appendix K'!$F$44+'Appendix K'!$H$44+'Appendix K'!$G$44))/((1+$Y$16)^AL$34))</f>
        <v>-717110.96357079397</v>
      </c>
      <c r="AM948" s="193">
        <f>(((P948*'Appendix K'!$C$19*1000)-('Appendix K'!$E$45+'Appendix K'!$F$45+'Appendix K'!$H$45+'Appendix K'!$G$45))/((1+$Y$16)^AM$34))</f>
        <v>-619786.56621165189</v>
      </c>
      <c r="AN948" s="193">
        <f>(((Q948*'Appendix K'!$C$20*1000)-('Appendix K'!$E$46+'Appendix K'!$F$46+'Appendix K'!$H$46+'Appendix K'!$G$46))/((1+$Y$16)^AN$34))</f>
        <v>-552447.65524542565</v>
      </c>
      <c r="AO948" s="193">
        <f>(((R948*'Appendix K'!$C$21*1000)-('Appendix K'!$E$47+'Appendix K'!$F$47+'Appendix K'!$H$47+'Appendix K'!$G$47))/((1+$Y$16)^AO$34))</f>
        <v>-556841.70957327948</v>
      </c>
      <c r="AP948" s="193">
        <f>(((S948*'Appendix K'!$C$22*1000)-('Appendix K'!$E$48+'Appendix K'!$F$48+'Appendix K'!$H$48+'Appendix K'!$G$48))/((1+$Y$16)^AP$34))</f>
        <v>-565659.12105138646</v>
      </c>
      <c r="AQ948" s="193">
        <f>(((T948*'Appendix K'!$C$23*1000)-('Appendix K'!$E$49+'Appendix K'!$F$49+'Appendix K'!$H$49+'Appendix K'!$G$49))/((1+$Y$16)^AQ$34))</f>
        <v>-415959.46938702557</v>
      </c>
      <c r="AR948" s="193">
        <f>(((U948*'Appendix K'!$C$24*1000)-('Appendix K'!$E$50+'Appendix K'!$F$50+'Appendix K'!$H$50+'Appendix K'!$G$50))/((1+$Y$16)^AR$34))</f>
        <v>-373571.76613900746</v>
      </c>
      <c r="AS948" s="209">
        <f t="shared" si="44"/>
        <v>51533682.281897314</v>
      </c>
      <c r="AU948" s="199">
        <f t="shared" si="43"/>
        <v>5.7431557252993485E-9</v>
      </c>
    </row>
    <row r="949" spans="1:47" x14ac:dyDescent="0.35">
      <c r="A949">
        <v>915</v>
      </c>
      <c r="B949" s="70">
        <v>56</v>
      </c>
      <c r="C949" s="70">
        <v>67.541984658517364</v>
      </c>
      <c r="D949" s="70">
        <v>84.105363069488746</v>
      </c>
      <c r="E949" s="70">
        <v>113.04822783200777</v>
      </c>
      <c r="F949" s="70">
        <v>65.08946941491763</v>
      </c>
      <c r="G949" s="70">
        <v>25.443300653475788</v>
      </c>
      <c r="H949" s="70">
        <v>35.14192229977396</v>
      </c>
      <c r="I949" s="70">
        <v>34.085331772819728</v>
      </c>
      <c r="J949" s="70">
        <v>38.866020086235004</v>
      </c>
      <c r="K949" s="70">
        <v>52.426512659767795</v>
      </c>
      <c r="L949" s="70">
        <v>63.594261159424704</v>
      </c>
      <c r="M949" s="70">
        <v>68.790712412095829</v>
      </c>
      <c r="N949" s="70">
        <v>107.91773638742157</v>
      </c>
      <c r="O949" s="70">
        <v>112.64117135478864</v>
      </c>
      <c r="P949" s="70">
        <v>107.9637039658943</v>
      </c>
      <c r="Q949" s="70">
        <v>70.797522733436168</v>
      </c>
      <c r="R949" s="70">
        <v>48.728986640128788</v>
      </c>
      <c r="S949" s="70">
        <v>104.57190913386745</v>
      </c>
      <c r="T949" s="70">
        <v>119.92424377455914</v>
      </c>
      <c r="U949" s="70">
        <v>133.31181775334832</v>
      </c>
      <c r="V949" s="70">
        <v>158.00430363016838</v>
      </c>
      <c r="X949" s="193">
        <f>((0-('Appendix K'!$I$30))/(1+$Y$16)^0)</f>
        <v>-33594902.4440751</v>
      </c>
      <c r="Y949" s="193">
        <f>(((B949*'Appendix K'!$C$5*1000)-('Appendix K'!$E$31+'Appendix K'!$F$31+'Appendix K'!$H$31+'Appendix K'!$G$31))/((1+$Y$16)^1))</f>
        <v>34971064.972647354</v>
      </c>
      <c r="Z949" s="193">
        <f>+(((C949*'Appendix K'!$C$6*1000)-('Appendix K'!$E$32+'Appendix K'!$F$32+'Appendix K'!$H$32+'Appendix K'!$G$32))/((1+$Y$16)^2))</f>
        <v>13575012.833799746</v>
      </c>
      <c r="AA949" s="193">
        <f>(((D949*'Appendix K'!$C$7*1000)-('Appendix K'!$E$33+'Appendix K'!$F$33+'Appendix K'!$H$33+'Appendix K'!$G$33))/((1+$Y$16)^3))</f>
        <v>7748011.8227171376</v>
      </c>
      <c r="AB949" s="193">
        <f>(((E949*'Appendix K'!$C$8*1000)-('Appendix K'!$E$34+'Appendix K'!$F$34+'Appendix K'!$H$34+'Appendix K'!$G$34))/((1+$Y$16)^4))</f>
        <v>21485928.795001116</v>
      </c>
      <c r="AC949" s="193">
        <f>(((F949*'Appendix K'!$C$9*1000)-('Appendix K'!$E$35+'Appendix K'!$F$35+'Appendix K'!$H$35+'Appendix K'!$G$35))/((1+$Y$16)^AC$34))</f>
        <v>14316450.242517589</v>
      </c>
      <c r="AD949" s="193">
        <f>(((G949*'Appendix K'!$C$10*1000)-('Appendix K'!$E$36+'Appendix K'!$F$36+'Appendix K'!$H$36+'Appendix K'!$G$36))/((1+$Y$16)^AD$34))</f>
        <v>1479953.4964486049</v>
      </c>
      <c r="AE949" s="193">
        <f>(((H949*'Appendix K'!$C$11*1000)-('Appendix K'!$E$37+'Appendix K'!$F$37+'Appendix K'!$H$37+'Appendix K'!$G$37))/((1+$Y$16)^AE$34))</f>
        <v>1285031.0375450314</v>
      </c>
      <c r="AF949" s="193">
        <f>(((I949*'Appendix K'!$C$12*1000)-('Appendix K'!$E$38+'Appendix K'!$F$38+'Appendix K'!$H$38+'Appendix K'!$G$38))/((1+$Y$16)^AF$34))</f>
        <v>241546.59998920918</v>
      </c>
      <c r="AG949" s="193">
        <f>(((J949*'Appendix K'!$C$13*1000)-('Appendix K'!$E$39+'Appendix K'!$F$39+'Appendix K'!$H$39+'Appendix K'!$G$39))/((1+$Y$16)^AG$34))</f>
        <v>-26371.113708166289</v>
      </c>
      <c r="AH949" s="193">
        <f>(((K949*'Appendix K'!$C$14*1000)-('Appendix K'!$E$40+'Appendix K'!$F$40+'Appendix K'!$H$40+'Appendix K'!$G$40))/((1+$Y$16)^AH$34))</f>
        <v>134374.49563864965</v>
      </c>
      <c r="AI949" s="193">
        <f>(((L949*'Appendix K'!$C$15*1000)-('Appendix K'!$E$41+'Appendix K'!$F$41+'Appendix K'!$H$41+'Appendix K'!$G$41))/((1+$Y$16)^AI$34))</f>
        <v>149807.21589740139</v>
      </c>
      <c r="AJ949" s="193">
        <f>(((M949*'Appendix K'!$C$16*1000)-('Appendix K'!$E$42+'Appendix K'!$F$42+'Appendix K'!$H$42+'Appendix K'!$G$42))/((1+$Y$16)^AJ$34))</f>
        <v>-2856.6512264022672</v>
      </c>
      <c r="AK949" s="193">
        <f>(((N949*'Appendix K'!$C$17*1000)-('Appendix K'!$E$43+'Appendix K'!$F$43+'Appendix K'!$H$43))/((1+$Y$16)^AK$34))</f>
        <v>653778.41987197509</v>
      </c>
      <c r="AL949" s="193">
        <f>(((O949*'Appendix K'!$C$18*1000)-('Appendix K'!$E$44+'Appendix K'!$F$44+'Appendix K'!$H$44+'Appendix K'!$G$44))/((1+$Y$16)^AL$34))</f>
        <v>200579.82330226453</v>
      </c>
      <c r="AM949" s="193">
        <f>(((P949*'Appendix K'!$C$19*1000)-('Appendix K'!$E$45+'Appendix K'!$F$45+'Appendix K'!$H$45+'Appendix K'!$G$45))/((1+$Y$16)^AM$34))</f>
        <v>-26079.326753048805</v>
      </c>
      <c r="AN949" s="193">
        <f>(((Q949*'Appendix K'!$C$20*1000)-('Appendix K'!$E$46+'Appendix K'!$F$46+'Appendix K'!$H$46+'Appendix K'!$G$46))/((1+$Y$16)^AN$34))</f>
        <v>-403402.60902833828</v>
      </c>
      <c r="AO949" s="193">
        <f>(((R949*'Appendix K'!$C$21*1000)-('Appendix K'!$E$47+'Appendix K'!$F$47+'Appendix K'!$H$47+'Appendix K'!$G$47))/((1+$Y$16)^AO$34))</f>
        <v>-555005.23075743765</v>
      </c>
      <c r="AP949" s="193">
        <f>(((S949*'Appendix K'!$C$22*1000)-('Appendix K'!$E$48+'Appendix K'!$F$48+'Appendix K'!$H$48+'Appendix K'!$G$48))/((1+$Y$16)^AP$34))</f>
        <v>-263583.13704168203</v>
      </c>
      <c r="AQ949" s="193">
        <f>(((T949*'Appendix K'!$C$23*1000)-('Appendix K'!$E$49+'Appendix K'!$F$49+'Appendix K'!$H$49+'Appendix K'!$G$49))/((1+$Y$16)^AQ$34))</f>
        <v>-224132.84277194174</v>
      </c>
      <c r="AR949" s="193">
        <f>(((U949*'Appendix K'!$C$24*1000)-('Appendix K'!$E$50+'Appendix K'!$F$50+'Appendix K'!$H$50+'Appendix K'!$G$50))/((1+$Y$16)^AR$34))</f>
        <v>-200021.08089755778</v>
      </c>
      <c r="AS949" s="209">
        <f t="shared" si="44"/>
        <v>62646637.311300971</v>
      </c>
      <c r="AU949" s="199">
        <f t="shared" si="43"/>
        <v>6.3811048526336849E-9</v>
      </c>
    </row>
    <row r="950" spans="1:47" x14ac:dyDescent="0.35">
      <c r="A950">
        <v>916</v>
      </c>
      <c r="B950" s="70">
        <v>56</v>
      </c>
      <c r="C950" s="70">
        <v>52.087572003693275</v>
      </c>
      <c r="D950" s="70">
        <v>60.727976741815496</v>
      </c>
      <c r="E950" s="70">
        <v>55.876273715299099</v>
      </c>
      <c r="F950" s="70">
        <v>71.981500063875686</v>
      </c>
      <c r="G950" s="70">
        <v>72.1483133115063</v>
      </c>
      <c r="H950" s="70">
        <v>65.303474581913491</v>
      </c>
      <c r="I950" s="70">
        <v>88.92939953766107</v>
      </c>
      <c r="J950" s="70">
        <v>84.084266598606462</v>
      </c>
      <c r="K950" s="70">
        <v>95.338968631333088</v>
      </c>
      <c r="L950" s="70">
        <v>78.355833476713642</v>
      </c>
      <c r="M950" s="70">
        <v>75.084823447611072</v>
      </c>
      <c r="N950" s="70">
        <v>82.129943479102067</v>
      </c>
      <c r="O950" s="70">
        <v>97.021374280548528</v>
      </c>
      <c r="P950" s="70">
        <v>107.52331885009013</v>
      </c>
      <c r="Q950" s="70">
        <v>144.37946069337394</v>
      </c>
      <c r="R950" s="70">
        <v>132.0268061742245</v>
      </c>
      <c r="S950" s="70">
        <v>191.54762463787887</v>
      </c>
      <c r="T950" s="70">
        <v>310.92128568365956</v>
      </c>
      <c r="U950" s="70">
        <v>328.97393831173918</v>
      </c>
      <c r="V950" s="70">
        <v>316.86412501605264</v>
      </c>
      <c r="X950" s="193">
        <f>((0-('Appendix K'!$I$30))/(1+$Y$16)^0)</f>
        <v>-33594902.4440751</v>
      </c>
      <c r="Y950" s="193">
        <f>(((B950*'Appendix K'!$C$5*1000)-('Appendix K'!$E$31+'Appendix K'!$F$31+'Appendix K'!$H$31+'Appendix K'!$G$31))/((1+$Y$16)^1))</f>
        <v>34971064.972647354</v>
      </c>
      <c r="Z950" s="193">
        <f>+(((C950*'Appendix K'!$C$6*1000)-('Appendix K'!$E$32+'Appendix K'!$F$32+'Appendix K'!$H$32+'Appendix K'!$G$32))/((1+$Y$16)^2))</f>
        <v>9670963.8784538712</v>
      </c>
      <c r="AA950" s="193">
        <f>(((D950*'Appendix K'!$C$7*1000)-('Appendix K'!$E$33+'Appendix K'!$F$33+'Appendix K'!$H$33+'Appendix K'!$G$33))/((1+$Y$16)^3))</f>
        <v>4770320.2231552545</v>
      </c>
      <c r="AB950" s="193">
        <f>(((E950*'Appendix K'!$C$8*1000)-('Appendix K'!$E$34+'Appendix K'!$F$34+'Appendix K'!$H$34+'Appendix K'!$G$34))/((1+$Y$16)^4))</f>
        <v>8954359.8114850409</v>
      </c>
      <c r="AC950" s="193">
        <f>(((F950*'Appendix K'!$C$9*1000)-('Appendix K'!$E$35+'Appendix K'!$F$35+'Appendix K'!$H$35+'Appendix K'!$G$35))/((1+$Y$16)^AC$34))</f>
        <v>16148341.166580435</v>
      </c>
      <c r="AD950" s="193">
        <f>(((G950*'Appendix K'!$C$10*1000)-('Appendix K'!$E$36+'Appendix K'!$F$36+'Appendix K'!$H$36+'Appendix K'!$G$36))/((1+$Y$16)^AD$34))</f>
        <v>8814693.239885373</v>
      </c>
      <c r="AE950" s="193">
        <f>(((H950*'Appendix K'!$C$11*1000)-('Appendix K'!$E$37+'Appendix K'!$F$37+'Appendix K'!$H$37+'Appendix K'!$G$37))/((1+$Y$16)^AE$34))</f>
        <v>4293272.7441932447</v>
      </c>
      <c r="AF950" s="193">
        <f>(((I950*'Appendix K'!$C$12*1000)-('Appendix K'!$E$38+'Appendix K'!$F$38+'Appendix K'!$H$38+'Appendix K'!$G$38))/((1+$Y$16)^AF$34))</f>
        <v>3842741.1981221871</v>
      </c>
      <c r="AG950" s="193">
        <f>(((J950*'Appendix K'!$C$13*1000)-('Appendix K'!$E$39+'Appendix K'!$F$39+'Appendix K'!$H$39+'Appendix K'!$G$39))/((1+$Y$16)^AG$34))</f>
        <v>2054524.3231071616</v>
      </c>
      <c r="AH950" s="193">
        <f>(((K950*'Appendix K'!$C$14*1000)-('Appendix K'!$E$40+'Appendix K'!$F$40+'Appendix K'!$H$40+'Appendix K'!$G$40))/((1+$Y$16)^AH$34))</f>
        <v>1580804.3410165459</v>
      </c>
      <c r="AI950" s="193">
        <f>(((L950*'Appendix K'!$C$15*1000)-('Appendix K'!$E$41+'Appendix K'!$F$41+'Appendix K'!$H$41+'Appendix K'!$G$41))/((1+$Y$16)^AI$34))</f>
        <v>536588.01488596282</v>
      </c>
      <c r="AJ950" s="193">
        <f>(((M950*'Appendix K'!$C$16*1000)-('Appendix K'!$E$42+'Appendix K'!$F$42+'Appendix K'!$H$42+'Appendix K'!$G$42))/((1+$Y$16)^AJ$34))</f>
        <v>123289.08489182802</v>
      </c>
      <c r="AK950" s="193">
        <f>(((N950*'Appendix K'!$C$17*1000)-('Appendix K'!$E$43+'Appendix K'!$F$43+'Appendix K'!$H$43))/((1+$Y$16)^AK$34))</f>
        <v>257577.41384117372</v>
      </c>
      <c r="AL950" s="193">
        <f>(((O950*'Appendix K'!$C$18*1000)-('Appendix K'!$E$44+'Appendix K'!$F$44+'Appendix K'!$H$44+'Appendix K'!$G$44))/((1+$Y$16)^AL$34))</f>
        <v>15433.772422799069</v>
      </c>
      <c r="AM950" s="193">
        <f>(((P950*'Appendix K'!$C$19*1000)-('Appendix K'!$E$45+'Appendix K'!$F$45+'Appendix K'!$H$45+'Appendix K'!$G$45))/((1+$Y$16)^AM$34))</f>
        <v>-30161.138276746526</v>
      </c>
      <c r="AN950" s="193">
        <f>(((Q950*'Appendix K'!$C$20*1000)-('Appendix K'!$E$46+'Appendix K'!$F$46+'Appendix K'!$H$46+'Appendix K'!$G$46))/((1+$Y$16)^AN$34))</f>
        <v>129052.25330141603</v>
      </c>
      <c r="AO950" s="193">
        <f>(((R950*'Appendix K'!$C$21*1000)-('Appendix K'!$E$47+'Appendix K'!$F$47+'Appendix K'!$H$47+'Appendix K'!$G$47))/((1+$Y$16)^AO$34))</f>
        <v>-62705.914564478262</v>
      </c>
      <c r="AP950" s="193">
        <f>(((S950*'Appendix K'!$C$22*1000)-('Appendix K'!$E$48+'Appendix K'!$F$48+'Appendix K'!$H$48+'Appendix K'!$G$48))/((1+$Y$16)^AP$34))</f>
        <v>153006.12976475051</v>
      </c>
      <c r="AQ950" s="193">
        <f>(((T950*'Appendix K'!$C$23*1000)-('Appendix K'!$E$49+'Appendix K'!$F$49+'Appendix K'!$H$49+'Appendix K'!$G$49))/((1+$Y$16)^AQ$34))</f>
        <v>523380.68276354152</v>
      </c>
      <c r="AR950" s="193">
        <f>(((U950*'Appendix K'!$C$24*1000)-('Appendix K'!$E$50+'Appendix K'!$F$50+'Appendix K'!$H$50+'Appendix K'!$G$50))/((1+$Y$16)^AR$34))</f>
        <v>430016.42952974432</v>
      </c>
      <c r="AS950" s="209">
        <f t="shared" si="44"/>
        <v>63674527.235972591</v>
      </c>
      <c r="AU950" s="199">
        <f t="shared" si="43"/>
        <v>6.4311062452164118E-9</v>
      </c>
    </row>
    <row r="951" spans="1:47" x14ac:dyDescent="0.35">
      <c r="A951">
        <v>917</v>
      </c>
      <c r="B951" s="70">
        <v>56</v>
      </c>
      <c r="C951" s="70">
        <v>83.785289165522187</v>
      </c>
      <c r="D951" s="70">
        <v>84.173388383767545</v>
      </c>
      <c r="E951" s="70">
        <v>53.719752186645593</v>
      </c>
      <c r="F951" s="70">
        <v>33.879042321635225</v>
      </c>
      <c r="G951" s="70">
        <v>44.174470545756343</v>
      </c>
      <c r="H951" s="70">
        <v>40.937597690377189</v>
      </c>
      <c r="I951" s="70">
        <v>35.634151373480215</v>
      </c>
      <c r="J951" s="70">
        <v>20.43449587357798</v>
      </c>
      <c r="K951" s="70">
        <v>21.244392787623866</v>
      </c>
      <c r="L951" s="70">
        <v>18.346617627873961</v>
      </c>
      <c r="M951" s="70">
        <v>27.244588316319465</v>
      </c>
      <c r="N951" s="70">
        <v>31.648285907850894</v>
      </c>
      <c r="O951" s="70">
        <v>33.101764081030112</v>
      </c>
      <c r="P951" s="70">
        <v>36.171955525946935</v>
      </c>
      <c r="Q951" s="70">
        <v>18.921957527851507</v>
      </c>
      <c r="R951" s="70">
        <v>17.675192021553649</v>
      </c>
      <c r="S951" s="70">
        <v>20.744439821490609</v>
      </c>
      <c r="T951" s="70">
        <v>23.239074337852028</v>
      </c>
      <c r="U951" s="70">
        <v>22.111886473589134</v>
      </c>
      <c r="V951" s="70">
        <v>11.550454500756214</v>
      </c>
      <c r="X951" s="193">
        <f>((0-('Appendix K'!$I$30))/(1+$Y$16)^0)</f>
        <v>-33594902.4440751</v>
      </c>
      <c r="Y951" s="193">
        <f>(((B951*'Appendix K'!$C$5*1000)-('Appendix K'!$E$31+'Appendix K'!$F$31+'Appendix K'!$H$31+'Appendix K'!$G$31))/((1+$Y$16)^1))</f>
        <v>34971064.972647354</v>
      </c>
      <c r="Z951" s="193">
        <f>+(((C951*'Appendix K'!$C$6*1000)-('Appendix K'!$E$32+'Appendix K'!$F$32+'Appendix K'!$H$32+'Appendix K'!$G$32))/((1+$Y$16)^2))</f>
        <v>17678349.36352171</v>
      </c>
      <c r="AA951" s="193">
        <f>(((D951*'Appendix K'!$C$7*1000)-('Appendix K'!$E$33+'Appendix K'!$F$33+'Appendix K'!$H$33+'Appendix K'!$G$33))/((1+$Y$16)^3))</f>
        <v>7756676.5384405442</v>
      </c>
      <c r="AB951" s="193">
        <f>(((E951*'Appendix K'!$C$8*1000)-('Appendix K'!$E$34+'Appendix K'!$F$34+'Appendix K'!$H$34+'Appendix K'!$G$34))/((1+$Y$16)^4))</f>
        <v>8481670.033458706</v>
      </c>
      <c r="AC951" s="193">
        <f>(((F951*'Appendix K'!$C$9*1000)-('Appendix K'!$E$35+'Appendix K'!$F$35+'Appendix K'!$H$35+'Appendix K'!$G$35))/((1+$Y$16)^AC$34))</f>
        <v>6020767.7302883565</v>
      </c>
      <c r="AD951" s="193">
        <f>(((G951*'Appendix K'!$C$10*1000)-('Appendix K'!$E$36+'Appendix K'!$F$36+'Appendix K'!$H$36+'Appendix K'!$G$36))/((1+$Y$16)^AD$34))</f>
        <v>4421570.4328558315</v>
      </c>
      <c r="AE951" s="193">
        <f>(((H951*'Appendix K'!$C$11*1000)-('Appendix K'!$E$37+'Appendix K'!$F$37+'Appendix K'!$H$37+'Appendix K'!$G$37))/((1+$Y$16)^AE$34))</f>
        <v>1863077.9585097551</v>
      </c>
      <c r="AF951" s="193">
        <f>(((I951*'Appendix K'!$C$12*1000)-('Appendix K'!$E$38+'Appendix K'!$F$38+'Appendix K'!$H$38+'Appendix K'!$G$38))/((1+$Y$16)^AF$34))</f>
        <v>343245.8540142111</v>
      </c>
      <c r="AG951" s="193">
        <f>(((J951*'Appendix K'!$C$13*1000)-('Appendix K'!$E$39+'Appendix K'!$F$39+'Appendix K'!$H$39+'Appendix K'!$G$39))/((1+$Y$16)^AG$34))</f>
        <v>-874570.18346147391</v>
      </c>
      <c r="AH951" s="193">
        <f>(((K951*'Appendix K'!$C$14*1000)-('Appendix K'!$E$40+'Appendix K'!$F$40+'Appendix K'!$H$40+'Appendix K'!$G$40))/((1+$Y$16)^AH$34))</f>
        <v>-916666.46214540722</v>
      </c>
      <c r="AI951" s="193">
        <f>(((L951*'Appendix K'!$C$15*1000)-('Appendix K'!$E$41+'Appendix K'!$F$41+'Appendix K'!$H$41+'Appendix K'!$G$41))/((1+$Y$16)^AI$34))</f>
        <v>-1035765.6581375357</v>
      </c>
      <c r="AJ951" s="193">
        <f>(((M951*'Appendix K'!$C$16*1000)-('Appendix K'!$E$42+'Appendix K'!$F$42+'Appendix K'!$H$42+'Appendix K'!$G$42))/((1+$Y$16)^AJ$34))</f>
        <v>-835518.5438032659</v>
      </c>
      <c r="AK951" s="193">
        <f>(((N951*'Appendix K'!$C$17*1000)-('Appendix K'!$E$43+'Appendix K'!$F$43+'Appendix K'!$H$43))/((1+$Y$16)^AK$34))</f>
        <v>-518017.59682682261</v>
      </c>
      <c r="AL951" s="193">
        <f>(((O951*'Appendix K'!$C$18*1000)-('Appendix K'!$E$44+'Appendix K'!$F$44+'Appendix K'!$H$44+'Appendix K'!$G$44))/((1+$Y$16)^AL$34))</f>
        <v>-742224.17575328972</v>
      </c>
      <c r="AM951" s="193">
        <f>(((P951*'Appendix K'!$C$19*1000)-('Appendix K'!$E$45+'Appendix K'!$F$45+'Appendix K'!$H$45+'Appendix K'!$G$45))/((1+$Y$16)^AM$34))</f>
        <v>-691497.78794122546</v>
      </c>
      <c r="AN951" s="193">
        <f>(((Q951*'Appendix K'!$C$20*1000)-('Appendix K'!$E$46+'Appendix K'!$F$46+'Appendix K'!$H$46+'Appendix K'!$G$46))/((1+$Y$16)^AN$34))</f>
        <v>-778785.45019319654</v>
      </c>
      <c r="AO951" s="193">
        <f>(((R951*'Appendix K'!$C$21*1000)-('Appendix K'!$E$47+'Appendix K'!$F$47+'Appendix K'!$H$47+'Appendix K'!$G$47))/((1+$Y$16)^AO$34))</f>
        <v>-738536.58777769573</v>
      </c>
      <c r="AP951" s="193">
        <f>(((S951*'Appendix K'!$C$22*1000)-('Appendix K'!$E$48+'Appendix K'!$F$48+'Appendix K'!$H$48+'Appendix K'!$G$48))/((1+$Y$16)^AP$34))</f>
        <v>-665093.18817165704</v>
      </c>
      <c r="AQ951" s="193">
        <f>(((T951*'Appendix K'!$C$23*1000)-('Appendix K'!$E$49+'Appendix K'!$F$49+'Appendix K'!$H$49+'Appendix K'!$G$49))/((1+$Y$16)^AQ$34))</f>
        <v>-602533.843909043</v>
      </c>
      <c r="AR951" s="193">
        <f>(((U951*'Appendix K'!$C$24*1000)-('Appendix K'!$E$50+'Appendix K'!$F$50+'Appendix K'!$H$50+'Appendix K'!$G$50))/((1+$Y$16)^AR$34))</f>
        <v>-558087.97531352995</v>
      </c>
      <c r="AS951" s="209">
        <f t="shared" si="44"/>
        <v>47941520.439661376</v>
      </c>
      <c r="AU951" s="199">
        <f t="shared" si="43"/>
        <v>5.5055711088923996E-9</v>
      </c>
    </row>
    <row r="952" spans="1:47" x14ac:dyDescent="0.35">
      <c r="A952">
        <v>918</v>
      </c>
      <c r="B952" s="70">
        <v>56</v>
      </c>
      <c r="C952" s="70">
        <v>50.55383303844134</v>
      </c>
      <c r="D952" s="70">
        <v>39.483597641957758</v>
      </c>
      <c r="E952" s="70">
        <v>60.05418520990537</v>
      </c>
      <c r="F952" s="70">
        <v>60.62143233603377</v>
      </c>
      <c r="G952" s="70">
        <v>73.596642340532128</v>
      </c>
      <c r="H952" s="70">
        <v>56.853951605039882</v>
      </c>
      <c r="I952" s="70">
        <v>18.802112208875755</v>
      </c>
      <c r="J952" s="70">
        <v>27.685441776369181</v>
      </c>
      <c r="K952" s="70">
        <v>34.84610406753545</v>
      </c>
      <c r="L952" s="70">
        <v>52.780898155080564</v>
      </c>
      <c r="M952" s="70">
        <v>56.370697537112683</v>
      </c>
      <c r="N952" s="70">
        <v>63.242587754067713</v>
      </c>
      <c r="O952" s="70">
        <v>69.732368557440196</v>
      </c>
      <c r="P952" s="70">
        <v>52.564096788481201</v>
      </c>
      <c r="Q952" s="70">
        <v>60.829383164827419</v>
      </c>
      <c r="R952" s="70">
        <v>113.03127422717166</v>
      </c>
      <c r="S952" s="70">
        <v>115.86140918145652</v>
      </c>
      <c r="T952" s="70">
        <v>128.95521565677763</v>
      </c>
      <c r="U952" s="70">
        <v>145.22881879327272</v>
      </c>
      <c r="V952" s="70">
        <v>144.620578129205</v>
      </c>
      <c r="X952" s="193">
        <f>((0-('Appendix K'!$I$30))/(1+$Y$16)^0)</f>
        <v>-33594902.4440751</v>
      </c>
      <c r="Y952" s="193">
        <f>(((B952*'Appendix K'!$C$5*1000)-('Appendix K'!$E$31+'Appendix K'!$F$31+'Appendix K'!$H$31+'Appendix K'!$G$31))/((1+$Y$16)^1))</f>
        <v>34971064.972647354</v>
      </c>
      <c r="Z952" s="193">
        <f>+(((C952*'Appendix K'!$C$6*1000)-('Appendix K'!$E$32+'Appendix K'!$F$32+'Appendix K'!$H$32+'Appendix K'!$G$32))/((1+$Y$16)^2))</f>
        <v>9283515.1841033939</v>
      </c>
      <c r="AA952" s="193">
        <f>(((D952*'Appendix K'!$C$7*1000)-('Appendix K'!$E$33+'Appendix K'!$F$33+'Appendix K'!$H$33+'Appendix K'!$G$33))/((1+$Y$16)^3))</f>
        <v>2064320.1469760553</v>
      </c>
      <c r="AB952" s="193">
        <f>(((E952*'Appendix K'!$C$8*1000)-('Appendix K'!$E$34+'Appendix K'!$F$34+'Appendix K'!$H$34+'Appendix K'!$G$34))/((1+$Y$16)^4))</f>
        <v>9870119.7660041098</v>
      </c>
      <c r="AC952" s="193">
        <f>(((F952*'Appendix K'!$C$9*1000)-('Appendix K'!$E$35+'Appendix K'!$F$35+'Appendix K'!$H$35+'Appendix K'!$G$35))/((1+$Y$16)^AC$34))</f>
        <v>13128853.003027508</v>
      </c>
      <c r="AD952" s="193">
        <f>(((G952*'Appendix K'!$C$10*1000)-('Appendix K'!$E$36+'Appendix K'!$F$36+'Appendix K'!$H$36+'Appendix K'!$G$36))/((1+$Y$16)^AD$34))</f>
        <v>9042144.5536993835</v>
      </c>
      <c r="AE952" s="193">
        <f>(((H952*'Appendix K'!$C$11*1000)-('Appendix K'!$E$37+'Appendix K'!$F$37+'Appendix K'!$H$37+'Appendix K'!$G$37))/((1+$Y$16)^AE$34))</f>
        <v>3450537.3576804879</v>
      </c>
      <c r="AF952" s="193">
        <f>(((I952*'Appendix K'!$C$12*1000)-('Appendix K'!$E$38+'Appendix K'!$F$38+'Appendix K'!$H$38+'Appendix K'!$G$38))/((1+$Y$16)^AF$34))</f>
        <v>-761986.68954986765</v>
      </c>
      <c r="AG952" s="193">
        <f>(((J952*'Appendix K'!$C$13*1000)-('Appendix K'!$E$39+'Appendix K'!$F$39+'Appendix K'!$H$39+'Appendix K'!$G$39))/((1+$Y$16)^AG$34))</f>
        <v>-540889.39295172039</v>
      </c>
      <c r="AH952" s="193">
        <f>(((K952*'Appendix K'!$C$14*1000)-('Appendix K'!$E$40+'Appendix K'!$F$40+'Appendix K'!$H$40+'Appendix K'!$G$40))/((1+$Y$16)^AH$34))</f>
        <v>-458200.01695956982</v>
      </c>
      <c r="AI952" s="193">
        <f>(((L952*'Appendix K'!$C$15*1000)-('Appendix K'!$E$41+'Appendix K'!$F$41+'Appendix K'!$H$41+'Appendix K'!$G$41))/((1+$Y$16)^AI$34))</f>
        <v>-133523.11590438758</v>
      </c>
      <c r="AJ952" s="193">
        <f>(((M952*'Appendix K'!$C$16*1000)-('Appendix K'!$E$42+'Appendix K'!$F$42+'Appendix K'!$H$42+'Appendix K'!$G$42))/((1+$Y$16)^AJ$34))</f>
        <v>-251776.93721494783</v>
      </c>
      <c r="AK952" s="193">
        <f>(((N952*'Appendix K'!$C$17*1000)-('Appendix K'!$E$43+'Appendix K'!$F$43+'Appendix K'!$H$43))/((1+$Y$16)^AK$34))</f>
        <v>-32605.982858357285</v>
      </c>
      <c r="AL952" s="193">
        <f>(((O952*'Appendix K'!$C$18*1000)-('Appendix K'!$E$44+'Appendix K'!$F$44+'Appendix K'!$H$44+'Appendix K'!$G$44))/((1+$Y$16)^AL$34))</f>
        <v>-308030.84226115572</v>
      </c>
      <c r="AM952" s="193">
        <f>(((P952*'Appendix K'!$C$19*1000)-('Appendix K'!$E$45+'Appendix K'!$F$45+'Appendix K'!$H$45+'Appendix K'!$G$45))/((1+$Y$16)^AM$34))</f>
        <v>-539563.42707775068</v>
      </c>
      <c r="AN952" s="193">
        <f>(((Q952*'Appendix K'!$C$20*1000)-('Appendix K'!$E$46+'Appendix K'!$F$46+'Appendix K'!$H$46+'Appendix K'!$G$46))/((1+$Y$16)^AN$34))</f>
        <v>-475534.22894540417</v>
      </c>
      <c r="AO952" s="193">
        <f>(((R952*'Appendix K'!$C$21*1000)-('Appendix K'!$E$47+'Appendix K'!$F$47+'Appendix K'!$H$47+'Appendix K'!$G$47))/((1+$Y$16)^AO$34))</f>
        <v>-174971.60699869433</v>
      </c>
      <c r="AP952" s="193">
        <f>(((S952*'Appendix K'!$C$22*1000)-('Appendix K'!$E$48+'Appendix K'!$F$48+'Appendix K'!$H$48+'Appendix K'!$G$48))/((1+$Y$16)^AP$34))</f>
        <v>-209509.60030579392</v>
      </c>
      <c r="AQ952" s="193">
        <f>(((T952*'Appendix K'!$C$23*1000)-('Appendix K'!$E$49+'Appendix K'!$F$49+'Appendix K'!$H$49+'Appendix K'!$G$49))/((1+$Y$16)^AQ$34))</f>
        <v>-188787.93081303401</v>
      </c>
      <c r="AR952" s="193">
        <f>(((U952*'Appendix K'!$C$24*1000)-('Appendix K'!$E$50+'Appendix K'!$F$50+'Appendix K'!$H$50+'Appendix K'!$G$50))/((1+$Y$16)^AR$34))</f>
        <v>-161648.0036482345</v>
      </c>
      <c r="AS952" s="209">
        <f t="shared" si="44"/>
        <v>48215652.540063195</v>
      </c>
      <c r="AU952" s="199">
        <f t="shared" si="43"/>
        <v>5.5241304706470954E-9</v>
      </c>
    </row>
    <row r="953" spans="1:47" x14ac:dyDescent="0.35">
      <c r="A953">
        <v>919</v>
      </c>
      <c r="B953" s="70">
        <v>56</v>
      </c>
      <c r="C953" s="70">
        <v>50.254201824802671</v>
      </c>
      <c r="D953" s="70">
        <v>70.781089548758558</v>
      </c>
      <c r="E953" s="70">
        <v>81.543595947653458</v>
      </c>
      <c r="F953" s="70">
        <v>106.64776516538294</v>
      </c>
      <c r="G953" s="70">
        <v>98.051609250437735</v>
      </c>
      <c r="H953" s="70">
        <v>123.63405942608534</v>
      </c>
      <c r="I953" s="70">
        <v>123.80170287728986</v>
      </c>
      <c r="J953" s="70">
        <v>125.62356662703934</v>
      </c>
      <c r="K953" s="70">
        <v>165.11157952179374</v>
      </c>
      <c r="L953" s="70">
        <v>154.03086521684361</v>
      </c>
      <c r="M953" s="70">
        <v>110.46525261918737</v>
      </c>
      <c r="N953" s="70">
        <v>107.65380073546768</v>
      </c>
      <c r="O953" s="70">
        <v>152.75531419963255</v>
      </c>
      <c r="P953" s="70">
        <v>75.963993024614979</v>
      </c>
      <c r="Q953" s="70">
        <v>65.042864997462601</v>
      </c>
      <c r="R953" s="70">
        <v>66.195661926035257</v>
      </c>
      <c r="S953" s="70">
        <v>67.774630176971669</v>
      </c>
      <c r="T953" s="70">
        <v>50.661137903817362</v>
      </c>
      <c r="U953" s="70">
        <v>64.157497405524467</v>
      </c>
      <c r="V953" s="70">
        <v>80.417507110108147</v>
      </c>
      <c r="X953" s="193">
        <f>((0-('Appendix K'!$I$30))/(1+$Y$16)^0)</f>
        <v>-33594902.4440751</v>
      </c>
      <c r="Y953" s="193">
        <f>(((B953*'Appendix K'!$C$5*1000)-('Appendix K'!$E$31+'Appendix K'!$F$31+'Appendix K'!$H$31+'Appendix K'!$G$31))/((1+$Y$16)^1))</f>
        <v>34971064.972647354</v>
      </c>
      <c r="Z953" s="193">
        <f>+(((C953*'Appendix K'!$C$6*1000)-('Appendix K'!$E$32+'Appendix K'!$F$32+'Appendix K'!$H$32+'Appendix K'!$G$32))/((1+$Y$16)^2))</f>
        <v>9207823.2149084378</v>
      </c>
      <c r="AA953" s="193">
        <f>(((D953*'Appendix K'!$C$7*1000)-('Appendix K'!$E$33+'Appendix K'!$F$33+'Appendix K'!$H$33+'Appendix K'!$G$33))/((1+$Y$16)^3))</f>
        <v>6050834.1837448692</v>
      </c>
      <c r="AB953" s="193">
        <f>(((E953*'Appendix K'!$C$8*1000)-('Appendix K'!$E$34+'Appendix K'!$F$34+'Appendix K'!$H$34+'Appendix K'!$G$34))/((1+$Y$16)^4))</f>
        <v>14580401.883097228</v>
      </c>
      <c r="AC953" s="193">
        <f>(((F953*'Appendix K'!$C$9*1000)-('Appendix K'!$E$35+'Appendix K'!$F$35+'Appendix K'!$H$35+'Appendix K'!$G$35))/((1+$Y$16)^AC$34))</f>
        <v>25362579.994756348</v>
      </c>
      <c r="AD953" s="193">
        <f>(((G953*'Appendix K'!$C$10*1000)-('Appendix K'!$E$36+'Appendix K'!$F$36+'Appendix K'!$H$36+'Appendix K'!$G$36))/((1+$Y$16)^AD$34))</f>
        <v>12882649.191431765</v>
      </c>
      <c r="AE953" s="193">
        <f>(((H953*'Appendix K'!$C$11*1000)-('Appendix K'!$E$37+'Appendix K'!$F$37+'Appendix K'!$H$37+'Appendix K'!$G$37))/((1+$Y$16)^AE$34))</f>
        <v>10111026.965196243</v>
      </c>
      <c r="AF953" s="193">
        <f>(((I953*'Appendix K'!$C$12*1000)-('Appendix K'!$E$38+'Appendix K'!$F$38+'Appendix K'!$H$38+'Appendix K'!$G$38))/((1+$Y$16)^AF$34))</f>
        <v>6132541.2718437798</v>
      </c>
      <c r="AG953" s="193">
        <f>(((J953*'Appendix K'!$C$13*1000)-('Appendix K'!$E$39+'Appendix K'!$F$39+'Appendix K'!$H$39+'Appendix K'!$G$39))/((1+$Y$16)^AG$34))</f>
        <v>3966118.5697796764</v>
      </c>
      <c r="AH953" s="193">
        <f>(((K953*'Appendix K'!$C$14*1000)-('Appendix K'!$E$40+'Appendix K'!$F$40+'Appendix K'!$H$40+'Appendix K'!$G$40))/((1+$Y$16)^AH$34))</f>
        <v>3932596.7168426602</v>
      </c>
      <c r="AI953" s="193">
        <f>(((L953*'Appendix K'!$C$15*1000)-('Appendix K'!$E$41+'Appendix K'!$F$41+'Appendix K'!$H$41+'Appendix K'!$G$41))/((1+$Y$16)^AI$34))</f>
        <v>2519415.3594806334</v>
      </c>
      <c r="AJ953" s="193">
        <f>(((M953*'Appendix K'!$C$16*1000)-('Appendix K'!$E$42+'Appendix K'!$F$42+'Appendix K'!$H$42+'Appendix K'!$G$42))/((1+$Y$16)^AJ$34))</f>
        <v>832378.93997126585</v>
      </c>
      <c r="AK953" s="193">
        <f>(((N953*'Appendix K'!$C$17*1000)-('Appendix K'!$E$43+'Appendix K'!$F$43+'Appendix K'!$H$43))/((1+$Y$16)^AK$34))</f>
        <v>649723.33957862458</v>
      </c>
      <c r="AL953" s="193">
        <f>(((O953*'Appendix K'!$C$18*1000)-('Appendix K'!$E$44+'Appendix K'!$F$44+'Appendix K'!$H$44+'Appendix K'!$G$44))/((1+$Y$16)^AL$34))</f>
        <v>676064.56211401557</v>
      </c>
      <c r="AM953" s="193">
        <f>(((P953*'Appendix K'!$C$19*1000)-('Appendix K'!$E$45+'Appendix K'!$F$45+'Appendix K'!$H$45+'Appendix K'!$G$45))/((1+$Y$16)^AM$34))</f>
        <v>-322676.06489801768</v>
      </c>
      <c r="AN953" s="193">
        <f>(((Q953*'Appendix K'!$C$20*1000)-('Appendix K'!$E$46+'Appendix K'!$F$46+'Appendix K'!$H$46+'Appendix K'!$G$46))/((1+$Y$16)^AN$34))</f>
        <v>-445044.56053865235</v>
      </c>
      <c r="AO953" s="193">
        <f>(((R953*'Appendix K'!$C$21*1000)-('Appendix K'!$E$47+'Appendix K'!$F$47+'Appendix K'!$H$47+'Appendix K'!$G$47))/((1+$Y$16)^AO$34))</f>
        <v>-451775.25009874202</v>
      </c>
      <c r="AP953" s="193">
        <f>(((S953*'Appendix K'!$C$22*1000)-('Appendix K'!$E$48+'Appendix K'!$F$48+'Appendix K'!$H$48+'Appendix K'!$G$48))/((1+$Y$16)^AP$34))</f>
        <v>-439831.77578289452</v>
      </c>
      <c r="AQ953" s="193">
        <f>(((T953*'Appendix K'!$C$23*1000)-('Appendix K'!$E$49+'Appendix K'!$F$49+'Appendix K'!$H$49+'Appendix K'!$G$49))/((1+$Y$16)^AQ$34))</f>
        <v>-495210.90734016948</v>
      </c>
      <c r="AR953" s="193">
        <f>(((U953*'Appendix K'!$C$24*1000)-('Appendix K'!$E$50+'Appendix K'!$F$50+'Appendix K'!$H$50+'Appendix K'!$G$50))/((1+$Y$16)^AR$34))</f>
        <v>-422699.93004267191</v>
      </c>
      <c r="AS953" s="209">
        <f t="shared" si="44"/>
        <v>98280316.721317798</v>
      </c>
      <c r="AU953" s="199">
        <f t="shared" si="43"/>
        <v>6.9066723302999749E-9</v>
      </c>
    </row>
    <row r="954" spans="1:47" x14ac:dyDescent="0.35">
      <c r="A954">
        <v>920</v>
      </c>
      <c r="B954" s="70">
        <v>56</v>
      </c>
      <c r="C954" s="70">
        <v>73.233391657184896</v>
      </c>
      <c r="D954" s="70">
        <v>117.33269692863524</v>
      </c>
      <c r="E954" s="70">
        <v>143.30462509657914</v>
      </c>
      <c r="F954" s="70">
        <v>217.73125868443475</v>
      </c>
      <c r="G954" s="70">
        <v>337.97865577939046</v>
      </c>
      <c r="H954" s="70">
        <v>500</v>
      </c>
      <c r="I954" s="70">
        <v>442.33675264199837</v>
      </c>
      <c r="J954" s="70">
        <v>203.40104290691494</v>
      </c>
      <c r="K954" s="70">
        <v>248.70762258254507</v>
      </c>
      <c r="L954" s="70">
        <v>310.86036309347821</v>
      </c>
      <c r="M954" s="70">
        <v>244.94907507051158</v>
      </c>
      <c r="N954" s="70">
        <v>272.4308967108293</v>
      </c>
      <c r="O954" s="70">
        <v>279.66076506558403</v>
      </c>
      <c r="P954" s="70">
        <v>340.13894077695898</v>
      </c>
      <c r="Q954" s="70">
        <v>400.8703227544753</v>
      </c>
      <c r="R954" s="70">
        <v>500</v>
      </c>
      <c r="S954" s="70">
        <v>500</v>
      </c>
      <c r="T954" s="70">
        <v>500</v>
      </c>
      <c r="U954" s="70">
        <v>316.83894428862402</v>
      </c>
      <c r="V954" s="70">
        <v>388.57835343273103</v>
      </c>
      <c r="X954" s="193">
        <f>((0-('Appendix K'!$I$30))/(1+$Y$16)^0)</f>
        <v>-33594902.4440751</v>
      </c>
      <c r="Y954" s="193">
        <f>(((B954*'Appendix K'!$C$5*1000)-('Appendix K'!$E$31+'Appendix K'!$F$31+'Appendix K'!$H$31+'Appendix K'!$G$31))/((1+$Y$16)^1))</f>
        <v>34971064.972647354</v>
      </c>
      <c r="Z954" s="193">
        <f>+(((C954*'Appendix K'!$C$6*1000)-('Appendix K'!$E$32+'Appendix K'!$F$32+'Appendix K'!$H$32+'Appendix K'!$G$32))/((1+$Y$16)^2))</f>
        <v>15012759.582503285</v>
      </c>
      <c r="AA954" s="193">
        <f>(((D954*'Appendix K'!$C$7*1000)-('Appendix K'!$E$33+'Appendix K'!$F$33+'Appendix K'!$H$33+'Appendix K'!$G$33))/((1+$Y$16)^3))</f>
        <v>11980339.231837995</v>
      </c>
      <c r="AB954" s="193">
        <f>(((E954*'Appendix K'!$C$8*1000)-('Appendix K'!$E$34+'Appendix K'!$F$34+'Appendix K'!$H$34+'Appendix K'!$G$34))/((1+$Y$16)^4))</f>
        <v>28117854.10473673</v>
      </c>
      <c r="AC954" s="193">
        <f>(((F954*'Appendix K'!$C$9*1000)-('Appendix K'!$E$35+'Appendix K'!$F$35+'Appendix K'!$H$35+'Appendix K'!$G$35))/((1+$Y$16)^AC$34))</f>
        <v>54888398.139733613</v>
      </c>
      <c r="AD954" s="193">
        <f>(((G954*'Appendix K'!$C$10*1000)-('Appendix K'!$E$36+'Appendix K'!$F$36+'Appendix K'!$H$36+'Appendix K'!$G$36))/((1+$Y$16)^AD$34))</f>
        <v>50561740.653978027</v>
      </c>
      <c r="AE954" s="193">
        <f>(((H954*'Appendix K'!$C$11*1000)-('Appendix K'!$E$37+'Appendix K'!$F$37+'Appendix K'!$H$37+'Appendix K'!$G$37))/((1+$Y$16)^AE$34))</f>
        <v>47648873.452851206</v>
      </c>
      <c r="AF954" s="193">
        <f>(((I954*'Appendix K'!$C$12*1000)-('Appendix K'!$E$38+'Appendix K'!$F$38+'Appendix K'!$H$38+'Appendix K'!$G$38))/((1+$Y$16)^AF$34))</f>
        <v>27048325.736395452</v>
      </c>
      <c r="AG954" s="193">
        <f>(((J954*'Appendix K'!$C$13*1000)-('Appendix K'!$E$39+'Appendix K'!$F$39+'Appendix K'!$H$39+'Appendix K'!$G$39))/((1+$Y$16)^AG$34))</f>
        <v>7545355.0055296812</v>
      </c>
      <c r="AH954" s="193">
        <f>(((K954*'Appendix K'!$C$14*1000)-('Appendix K'!$E$40+'Appendix K'!$F$40+'Appendix K'!$H$40+'Appendix K'!$G$40))/((1+$Y$16)^AH$34))</f>
        <v>6750328.9789785761</v>
      </c>
      <c r="AI954" s="193">
        <f>(((L954*'Appendix K'!$C$15*1000)-('Appendix K'!$E$41+'Appendix K'!$F$41+'Appendix K'!$H$41+'Appendix K'!$G$41))/((1+$Y$16)^AI$34))</f>
        <v>6628641.4764475543</v>
      </c>
      <c r="AJ954" s="193">
        <f>(((M954*'Appendix K'!$C$16*1000)-('Appendix K'!$E$42+'Appendix K'!$F$42+'Appendix K'!$H$42+'Appendix K'!$G$42))/((1+$Y$16)^AJ$34))</f>
        <v>3527685.8202266623</v>
      </c>
      <c r="AK954" s="193">
        <f>(((N954*'Appendix K'!$C$17*1000)-('Appendix K'!$E$43+'Appendix K'!$F$43+'Appendix K'!$H$43))/((1+$Y$16)^AK$34))</f>
        <v>3181341.7463330235</v>
      </c>
      <c r="AL954" s="193">
        <f>(((O954*'Appendix K'!$C$18*1000)-('Appendix K'!$E$44+'Appendix K'!$F$44+'Appendix K'!$H$44+'Appendix K'!$G$44))/((1+$Y$16)^AL$34))</f>
        <v>2180312.2134268614</v>
      </c>
      <c r="AM954" s="193">
        <f>(((P954*'Appendix K'!$C$19*1000)-('Appendix K'!$E$45+'Appendix K'!$F$45+'Appendix K'!$H$45+'Appendix K'!$G$45))/((1+$Y$16)^AM$34))</f>
        <v>2125890.6720560854</v>
      </c>
      <c r="AN954" s="193">
        <f>(((Q954*'Appendix K'!$C$20*1000)-('Appendix K'!$E$46+'Appendix K'!$F$46+'Appendix K'!$H$46+'Appendix K'!$G$46))/((1+$Y$16)^AN$34))</f>
        <v>1985075.7617056142</v>
      </c>
      <c r="AO954" s="193">
        <f>(((R954*'Appendix K'!$C$21*1000)-('Appendix K'!$E$47+'Appendix K'!$F$47+'Appendix K'!$H$47+'Appendix K'!$G$47))/((1+$Y$16)^AO$34))</f>
        <v>2112056.3146391152</v>
      </c>
      <c r="AP954" s="193">
        <f>(((S954*'Appendix K'!$C$22*1000)-('Appendix K'!$E$48+'Appendix K'!$F$48+'Appendix K'!$H$48+'Appendix K'!$G$48))/((1+$Y$16)^AP$34))</f>
        <v>1630406.4380253027</v>
      </c>
      <c r="AQ954" s="193">
        <f>(((T954*'Appendix K'!$C$23*1000)-('Appendix K'!$E$49+'Appendix K'!$F$49+'Appendix K'!$H$49+'Appendix K'!$G$49))/((1+$Y$16)^AQ$34))</f>
        <v>1263386.3652054211</v>
      </c>
      <c r="AR954" s="193">
        <f>(((U954*'Appendix K'!$C$24*1000)-('Appendix K'!$E$50+'Appendix K'!$F$50+'Appendix K'!$H$50+'Appendix K'!$G$50))/((1+$Y$16)^AR$34))</f>
        <v>390941.40876663214</v>
      </c>
      <c r="AS954" s="209">
        <f t="shared" si="44"/>
        <v>275955875.63194913</v>
      </c>
      <c r="AU954" s="199">
        <f t="shared" si="43"/>
        <v>2.8533723818373253E-11</v>
      </c>
    </row>
    <row r="955" spans="1:47" x14ac:dyDescent="0.35">
      <c r="A955">
        <v>921</v>
      </c>
      <c r="B955" s="70">
        <v>56</v>
      </c>
      <c r="C955" s="70">
        <v>70.801303051064991</v>
      </c>
      <c r="D955" s="70">
        <v>78.528431340539214</v>
      </c>
      <c r="E955" s="70">
        <v>97.366005230464992</v>
      </c>
      <c r="F955" s="70">
        <v>131.82160715574901</v>
      </c>
      <c r="G955" s="70">
        <v>182.59824694874484</v>
      </c>
      <c r="H955" s="70">
        <v>179.28348378601979</v>
      </c>
      <c r="I955" s="70">
        <v>280.29265011448103</v>
      </c>
      <c r="J955" s="70">
        <v>228.51103497083921</v>
      </c>
      <c r="K955" s="70">
        <v>172.55008282869724</v>
      </c>
      <c r="L955" s="70">
        <v>103.68507645859816</v>
      </c>
      <c r="M955" s="70">
        <v>78.811396028969384</v>
      </c>
      <c r="N955" s="70">
        <v>86.022402293096079</v>
      </c>
      <c r="O955" s="70">
        <v>97.54113515385778</v>
      </c>
      <c r="P955" s="70">
        <v>169.12558602986724</v>
      </c>
      <c r="Q955" s="70">
        <v>113.22538865602638</v>
      </c>
      <c r="R955" s="70">
        <v>102.50588371575425</v>
      </c>
      <c r="S955" s="70">
        <v>83.898923796440897</v>
      </c>
      <c r="T955" s="70">
        <v>97.618129824951637</v>
      </c>
      <c r="U955" s="70">
        <v>108.97650957504963</v>
      </c>
      <c r="V955" s="70">
        <v>84.828121377671835</v>
      </c>
      <c r="X955" s="193">
        <f>((0-('Appendix K'!$I$30))/(1+$Y$16)^0)</f>
        <v>-33594902.4440751</v>
      </c>
      <c r="Y955" s="193">
        <f>(((B955*'Appendix K'!$C$5*1000)-('Appendix K'!$E$31+'Appendix K'!$F$31+'Appendix K'!$H$31+'Appendix K'!$G$31))/((1+$Y$16)^1))</f>
        <v>34971064.972647354</v>
      </c>
      <c r="Z955" s="193">
        <f>+(((C955*'Appendix K'!$C$6*1000)-('Appendix K'!$E$32+'Appendix K'!$F$32+'Appendix K'!$H$32+'Appendix K'!$G$32))/((1+$Y$16)^2))</f>
        <v>14398372.404284179</v>
      </c>
      <c r="AA955" s="193">
        <f>(((D955*'Appendix K'!$C$7*1000)-('Appendix K'!$E$33+'Appendix K'!$F$33+'Appendix K'!$H$33+'Appendix K'!$G$33))/((1+$Y$16)^3))</f>
        <v>7037650.855590323</v>
      </c>
      <c r="AB955" s="193">
        <f>(((E955*'Appendix K'!$C$8*1000)-('Appendix K'!$E$34+'Appendix K'!$F$34+'Appendix K'!$H$34+'Appendix K'!$G$34))/((1+$Y$16)^4))</f>
        <v>18048529.157673456</v>
      </c>
      <c r="AC955" s="193">
        <f>(((F955*'Appendix K'!$C$9*1000)-('Appendix K'!$E$35+'Appendix K'!$F$35+'Appendix K'!$H$35+'Appendix K'!$G$35))/((1+$Y$16)^AC$34))</f>
        <v>32053747.665770061</v>
      </c>
      <c r="AD955" s="193">
        <f>(((G955*'Appendix K'!$C$10*1000)-('Appendix K'!$E$36+'Appendix K'!$F$36+'Appendix K'!$H$36+'Appendix K'!$G$36))/((1+$Y$16)^AD$34))</f>
        <v>26160187.262992423</v>
      </c>
      <c r="AE955" s="193">
        <f>(((H955*'Appendix K'!$C$11*1000)-('Appendix K'!$E$37+'Appendix K'!$F$37+'Appendix K'!$H$37+'Appendix K'!$G$37))/((1+$Y$16)^AE$34))</f>
        <v>15661368.596971329</v>
      </c>
      <c r="AF955" s="193">
        <f>(((I955*'Appendix K'!$C$12*1000)-('Appendix K'!$E$38+'Appendix K'!$F$38+'Appendix K'!$H$38+'Appendix K'!$G$38))/((1+$Y$16)^AF$34))</f>
        <v>16408116.677075868</v>
      </c>
      <c r="AG955" s="193">
        <f>(((J955*'Appendix K'!$C$13*1000)-('Appendix K'!$E$39+'Appendix K'!$F$39+'Appendix K'!$H$39+'Appendix K'!$G$39))/((1+$Y$16)^AG$34))</f>
        <v>8700890.0369465556</v>
      </c>
      <c r="AH955" s="193">
        <f>(((K955*'Appendix K'!$C$14*1000)-('Appendix K'!$E$40+'Appendix K'!$F$40+'Appendix K'!$H$40+'Appendix K'!$G$40))/((1+$Y$16)^AH$34))</f>
        <v>4183322.8275825526</v>
      </c>
      <c r="AI955" s="193">
        <f>(((L955*'Appendix K'!$C$15*1000)-('Appendix K'!$E$41+'Appendix K'!$F$41+'Appendix K'!$H$41+'Appendix K'!$G$41))/((1+$Y$16)^AI$34))</f>
        <v>1200261.5469279729</v>
      </c>
      <c r="AJ955" s="193">
        <f>(((M955*'Appendix K'!$C$16*1000)-('Appendix K'!$E$42+'Appendix K'!$F$42+'Appendix K'!$H$42+'Appendix K'!$G$42))/((1+$Y$16)^AJ$34))</f>
        <v>197976.55685107905</v>
      </c>
      <c r="AK955" s="193">
        <f>(((N955*'Appendix K'!$C$17*1000)-('Appendix K'!$E$43+'Appendix K'!$F$43+'Appendix K'!$H$43))/((1+$Y$16)^AK$34))</f>
        <v>317380.75193686428</v>
      </c>
      <c r="AL955" s="193">
        <f>(((O955*'Appendix K'!$C$18*1000)-('Appendix K'!$E$44+'Appendix K'!$F$44+'Appendix K'!$H$44+'Appendix K'!$G$44))/((1+$Y$16)^AL$34))</f>
        <v>21594.65099487541</v>
      </c>
      <c r="AM955" s="193">
        <f>(((P955*'Appendix K'!$C$19*1000)-('Appendix K'!$E$45+'Appendix K'!$F$45+'Appendix K'!$H$45+'Appendix K'!$G$45))/((1+$Y$16)^AM$34))</f>
        <v>540813.75400852435</v>
      </c>
      <c r="AN955" s="193">
        <f>(((Q955*'Appendix K'!$C$20*1000)-('Appendix K'!$E$46+'Appendix K'!$F$46+'Appendix K'!$H$46+'Appendix K'!$G$46))/((1+$Y$16)^AN$34))</f>
        <v>-96385.36899508661</v>
      </c>
      <c r="AO955" s="193">
        <f>(((R955*'Appendix K'!$C$21*1000)-('Appendix K'!$E$47+'Appendix K'!$F$47+'Appendix K'!$H$47+'Appendix K'!$G$47))/((1+$Y$16)^AO$34))</f>
        <v>-237177.82776673842</v>
      </c>
      <c r="AP955" s="193">
        <f>(((S955*'Appendix K'!$C$22*1000)-('Appendix K'!$E$48+'Appendix K'!$F$48+'Appendix K'!$H$48+'Appendix K'!$G$48))/((1+$Y$16)^AP$34))</f>
        <v>-362600.93476271891</v>
      </c>
      <c r="AQ955" s="193">
        <f>(((T955*'Appendix K'!$C$23*1000)-('Appendix K'!$E$49+'Appendix K'!$F$49+'Appendix K'!$H$49+'Appendix K'!$G$49))/((1+$Y$16)^AQ$34))</f>
        <v>-311433.2622590817</v>
      </c>
      <c r="AR955" s="193">
        <f>(((U955*'Appendix K'!$C$24*1000)-('Appendix K'!$E$50+'Appendix K'!$F$50+'Appendix K'!$H$50+'Appendix K'!$G$50))/((1+$Y$16)^AR$34))</f>
        <v>-278381.45507923764</v>
      </c>
      <c r="AS955" s="209">
        <f t="shared" si="44"/>
        <v>146306375.27417827</v>
      </c>
      <c r="AU955" s="199">
        <f t="shared" si="43"/>
        <v>4.1181546684328429E-9</v>
      </c>
    </row>
    <row r="956" spans="1:47" x14ac:dyDescent="0.35">
      <c r="A956">
        <v>922</v>
      </c>
      <c r="B956" s="70">
        <v>56</v>
      </c>
      <c r="C956" s="70">
        <v>63.132205744458645</v>
      </c>
      <c r="D956" s="70">
        <v>87.758908288703793</v>
      </c>
      <c r="E956" s="70">
        <v>119.1197200479361</v>
      </c>
      <c r="F956" s="70">
        <v>114.75318693720831</v>
      </c>
      <c r="G956" s="70">
        <v>102.27203655564148</v>
      </c>
      <c r="H956" s="70">
        <v>91.502208127060754</v>
      </c>
      <c r="I956" s="70">
        <v>97.248135674878014</v>
      </c>
      <c r="J956" s="70">
        <v>60.56102534799804</v>
      </c>
      <c r="K956" s="70">
        <v>74.462019238609429</v>
      </c>
      <c r="L956" s="70">
        <v>58.64148341715368</v>
      </c>
      <c r="M956" s="70">
        <v>63.605010283840762</v>
      </c>
      <c r="N956" s="70">
        <v>79.208933223429156</v>
      </c>
      <c r="O956" s="70">
        <v>109.13286272656495</v>
      </c>
      <c r="P956" s="70">
        <v>131.75636787968526</v>
      </c>
      <c r="Q956" s="70">
        <v>151.45864812252623</v>
      </c>
      <c r="R956" s="70">
        <v>243.48034549819761</v>
      </c>
      <c r="S956" s="70">
        <v>222.52654006654197</v>
      </c>
      <c r="T956" s="70">
        <v>342.9643681327936</v>
      </c>
      <c r="U956" s="70">
        <v>423.07096223658095</v>
      </c>
      <c r="V956" s="70">
        <v>240.12531195376982</v>
      </c>
      <c r="X956" s="193">
        <f>((0-('Appendix K'!$I$30))/(1+$Y$16)^0)</f>
        <v>-33594902.4440751</v>
      </c>
      <c r="Y956" s="193">
        <f>(((B956*'Appendix K'!$C$5*1000)-('Appendix K'!$E$31+'Appendix K'!$F$31+'Appendix K'!$H$31+'Appendix K'!$G$31))/((1+$Y$16)^1))</f>
        <v>34971064.972647354</v>
      </c>
      <c r="Z956" s="193">
        <f>+(((C956*'Appendix K'!$C$6*1000)-('Appendix K'!$E$32+'Appendix K'!$F$32+'Appendix K'!$H$32+'Appendix K'!$G$32))/((1+$Y$16)^2))</f>
        <v>12461027.259112554</v>
      </c>
      <c r="AA956" s="193">
        <f>(((D956*'Appendix K'!$C$7*1000)-('Appendix K'!$E$33+'Appendix K'!$F$33+'Appendix K'!$H$33+'Appendix K'!$G$33))/((1+$Y$16)^3))</f>
        <v>8213381.6786705321</v>
      </c>
      <c r="AB956" s="193">
        <f>(((E956*'Appendix K'!$C$8*1000)-('Appendix K'!$E$34+'Appendix K'!$F$34+'Appendix K'!$H$34+'Appendix K'!$G$34))/((1+$Y$16)^4))</f>
        <v>22816744.309570886</v>
      </c>
      <c r="AC956" s="193">
        <f>(((F956*'Appendix K'!$C$9*1000)-('Appendix K'!$E$35+'Appendix K'!$F$35+'Appendix K'!$H$35+'Appendix K'!$G$35))/((1+$Y$16)^AC$34))</f>
        <v>27516988.373911347</v>
      </c>
      <c r="AD956" s="193">
        <f>(((G956*'Appendix K'!$C$10*1000)-('Appendix K'!$E$36+'Appendix K'!$F$36+'Appendix K'!$H$36+'Appendix K'!$G$36))/((1+$Y$16)^AD$34))</f>
        <v>13545441.772528328</v>
      </c>
      <c r="AE956" s="193">
        <f>(((H956*'Appendix K'!$C$11*1000)-('Appendix K'!$E$37+'Appendix K'!$F$37+'Appendix K'!$H$37+'Appendix K'!$G$37))/((1+$Y$16)^AE$34))</f>
        <v>6906272.3065050608</v>
      </c>
      <c r="AF956" s="193">
        <f>(((I956*'Appendix K'!$C$12*1000)-('Appendix K'!$E$38+'Appendix K'!$F$38+'Appendix K'!$H$38+'Appendix K'!$G$38))/((1+$Y$16)^AF$34))</f>
        <v>4388969.6027892074</v>
      </c>
      <c r="AG956" s="193">
        <f>(((J956*'Appendix K'!$C$13*1000)-('Appendix K'!$E$39+'Appendix K'!$F$39+'Appendix K'!$H$39+'Appendix K'!$G$39))/((1+$Y$16)^AG$34))</f>
        <v>972009.87036063871</v>
      </c>
      <c r="AH956" s="193">
        <f>(((K956*'Appendix K'!$C$14*1000)-('Appendix K'!$E$40+'Appendix K'!$F$40+'Appendix K'!$H$40+'Appendix K'!$G$40))/((1+$Y$16)^AH$34))</f>
        <v>877114.88772380853</v>
      </c>
      <c r="AI956" s="193">
        <f>(((L956*'Appendix K'!$C$15*1000)-('Appendix K'!$E$41+'Appendix K'!$F$41+'Appendix K'!$H$41+'Appendix K'!$G$41))/((1+$Y$16)^AI$34))</f>
        <v>20035.177310107472</v>
      </c>
      <c r="AJ956" s="193">
        <f>(((M956*'Appendix K'!$C$16*1000)-('Appendix K'!$E$42+'Appendix K'!$F$42+'Appendix K'!$H$42+'Appendix K'!$G$42))/((1+$Y$16)^AJ$34))</f>
        <v>-106787.80346815113</v>
      </c>
      <c r="AK956" s="193">
        <f>(((N956*'Appendix K'!$C$17*1000)-('Appendix K'!$E$43+'Appendix K'!$F$43+'Appendix K'!$H$43))/((1+$Y$16)^AK$34))</f>
        <v>212699.31178574226</v>
      </c>
      <c r="AL956" s="193">
        <f>(((O956*'Appendix K'!$C$18*1000)-('Appendix K'!$E$44+'Appendix K'!$F$44+'Appendix K'!$H$44+'Appendix K'!$G$44))/((1+$Y$16)^AL$34))</f>
        <v>158994.80880465626</v>
      </c>
      <c r="AM956" s="193">
        <f>(((P956*'Appendix K'!$C$19*1000)-('Appendix K'!$E$45+'Appendix K'!$F$45+'Appendix K'!$H$45+'Appendix K'!$G$45))/((1+$Y$16)^AM$34))</f>
        <v>194448.49368756224</v>
      </c>
      <c r="AN956" s="193">
        <f>(((Q956*'Appendix K'!$C$20*1000)-('Appendix K'!$E$46+'Appendix K'!$F$46+'Appendix K'!$H$46+'Appendix K'!$G$46))/((1+$Y$16)^AN$34))</f>
        <v>180278.78894998864</v>
      </c>
      <c r="AO956" s="193">
        <f>(((R956*'Appendix K'!$C$21*1000)-('Appendix K'!$E$47+'Appendix K'!$F$47+'Appendix K'!$H$47+'Appendix K'!$G$47))/((1+$Y$16)^AO$34))</f>
        <v>595996.81623171188</v>
      </c>
      <c r="AP956" s="193">
        <f>(((S956*'Appendix K'!$C$22*1000)-('Appendix K'!$E$48+'Appendix K'!$F$48+'Appendix K'!$H$48+'Appendix K'!$G$48))/((1+$Y$16)^AP$34))</f>
        <v>301386.44017783384</v>
      </c>
      <c r="AQ956" s="193">
        <f>(((T956*'Appendix K'!$C$23*1000)-('Appendix K'!$E$49+'Appendix K'!$F$49+'Appendix K'!$H$49+'Appendix K'!$G$49))/((1+$Y$16)^AQ$34))</f>
        <v>648789.10422996373</v>
      </c>
      <c r="AR956" s="193">
        <f>(((U956*'Appendix K'!$C$24*1000)-('Appendix K'!$E$50+'Appendix K'!$F$50+'Appendix K'!$H$50+'Appendix K'!$G$50))/((1+$Y$16)^AR$34))</f>
        <v>733011.48305894015</v>
      </c>
      <c r="AS956" s="209">
        <f t="shared" si="44"/>
        <v>102119753.0139811</v>
      </c>
      <c r="AU956" s="199">
        <f t="shared" si="43"/>
        <v>6.8038428579462738E-9</v>
      </c>
    </row>
    <row r="957" spans="1:47" x14ac:dyDescent="0.35">
      <c r="A957">
        <v>923</v>
      </c>
      <c r="B957" s="70">
        <v>56</v>
      </c>
      <c r="C957" s="70">
        <v>64.898781386465899</v>
      </c>
      <c r="D957" s="70">
        <v>92.402329584854073</v>
      </c>
      <c r="E957" s="70">
        <v>145.25269933383564</v>
      </c>
      <c r="F957" s="70">
        <v>124.08591839369583</v>
      </c>
      <c r="G957" s="70">
        <v>128.04321526338893</v>
      </c>
      <c r="H957" s="70">
        <v>44.095016781403743</v>
      </c>
      <c r="I957" s="70">
        <v>67.081216372541348</v>
      </c>
      <c r="J957" s="70">
        <v>95.48377493476012</v>
      </c>
      <c r="K957" s="70">
        <v>118.09249490705761</v>
      </c>
      <c r="L957" s="70">
        <v>99.374661732025359</v>
      </c>
      <c r="M957" s="70">
        <v>128.14982074806832</v>
      </c>
      <c r="N957" s="70">
        <v>116.01101637063189</v>
      </c>
      <c r="O957" s="70">
        <v>119.78427958815941</v>
      </c>
      <c r="P957" s="70">
        <v>110.67651903934291</v>
      </c>
      <c r="Q957" s="70">
        <v>167.89379298966966</v>
      </c>
      <c r="R957" s="70">
        <v>192.34046344297008</v>
      </c>
      <c r="S957" s="70">
        <v>209.87368730539018</v>
      </c>
      <c r="T957" s="70">
        <v>295.42858762729998</v>
      </c>
      <c r="U957" s="70">
        <v>185.87894628522176</v>
      </c>
      <c r="V957" s="70">
        <v>264.44379950182986</v>
      </c>
      <c r="X957" s="193">
        <f>((0-('Appendix K'!$I$30))/(1+$Y$16)^0)</f>
        <v>-33594902.4440751</v>
      </c>
      <c r="Y957" s="193">
        <f>(((B957*'Appendix K'!$C$5*1000)-('Appendix K'!$E$31+'Appendix K'!$F$31+'Appendix K'!$H$31+'Appendix K'!$G$31))/((1+$Y$16)^1))</f>
        <v>34971064.972647354</v>
      </c>
      <c r="Z957" s="193">
        <f>+(((C957*'Appendix K'!$C$6*1000)-('Appendix K'!$E$32+'Appendix K'!$F$32+'Appendix K'!$H$32+'Appendix K'!$G$32))/((1+$Y$16)^2))</f>
        <v>12907294.480246002</v>
      </c>
      <c r="AA957" s="193">
        <f>(((D957*'Appendix K'!$C$7*1000)-('Appendix K'!$E$33+'Appendix K'!$F$33+'Appendix K'!$H$33+'Appendix K'!$G$33))/((1+$Y$16)^3))</f>
        <v>8804836.8735742476</v>
      </c>
      <c r="AB957" s="193">
        <f>(((E957*'Appendix K'!$C$8*1000)-('Appendix K'!$E$34+'Appendix K'!$F$34+'Appendix K'!$H$34+'Appendix K'!$G$34))/((1+$Y$16)^4))</f>
        <v>28544854.144640133</v>
      </c>
      <c r="AC957" s="193">
        <f>(((F957*'Appendix K'!$C$9*1000)-('Appendix K'!$E$35+'Appendix K'!$F$35+'Appendix K'!$H$35+'Appendix K'!$G$35))/((1+$Y$16)^AC$34))</f>
        <v>29997613.740027506</v>
      </c>
      <c r="AD957" s="193">
        <f>(((G957*'Appendix K'!$C$10*1000)-('Appendix K'!$E$36+'Appendix K'!$F$36+'Appendix K'!$H$36+'Appendix K'!$G$36))/((1+$Y$16)^AD$34))</f>
        <v>17592649.512026191</v>
      </c>
      <c r="AE957" s="193">
        <f>(((H957*'Appendix K'!$C$11*1000)-('Appendix K'!$E$37+'Appendix K'!$F$37+'Appendix K'!$H$37+'Appendix K'!$G$37))/((1+$Y$16)^AE$34))</f>
        <v>2177991.4518917883</v>
      </c>
      <c r="AF957" s="193">
        <f>(((I957*'Appendix K'!$C$12*1000)-('Appendix K'!$E$38+'Appendix K'!$F$38+'Appendix K'!$H$38+'Appendix K'!$G$38))/((1+$Y$16)^AF$34))</f>
        <v>2408136.465106965</v>
      </c>
      <c r="AG957" s="193">
        <f>(((J957*'Appendix K'!$C$13*1000)-('Appendix K'!$E$39+'Appendix K'!$F$39+'Appendix K'!$H$39+'Appendix K'!$G$39))/((1+$Y$16)^AG$34))</f>
        <v>2579117.5284662074</v>
      </c>
      <c r="AH957" s="193">
        <f>(((K957*'Appendix K'!$C$14*1000)-('Appendix K'!$E$40+'Appendix K'!$F$40+'Appendix K'!$H$40+'Appendix K'!$G$40))/((1+$Y$16)^AH$34))</f>
        <v>2347746.6832261342</v>
      </c>
      <c r="AI957" s="193">
        <f>(((L957*'Appendix K'!$C$15*1000)-('Appendix K'!$E$41+'Appendix K'!$F$41+'Appendix K'!$H$41+'Appendix K'!$G$41))/((1+$Y$16)^AI$34))</f>
        <v>1087320.6205767018</v>
      </c>
      <c r="AJ957" s="193">
        <f>(((M957*'Appendix K'!$C$16*1000)-('Appendix K'!$E$42+'Appendix K'!$F$42+'Appendix K'!$H$42+'Appendix K'!$G$42))/((1+$Y$16)^AJ$34))</f>
        <v>1186810.7019727537</v>
      </c>
      <c r="AK957" s="193">
        <f>(((N957*'Appendix K'!$C$17*1000)-('Appendix K'!$E$43+'Appendix K'!$F$43+'Appendix K'!$H$43))/((1+$Y$16)^AK$34))</f>
        <v>778122.74367032538</v>
      </c>
      <c r="AL957" s="193">
        <f>(((O957*'Appendix K'!$C$18*1000)-('Appendix K'!$E$44+'Appendix K'!$F$44+'Appendix K'!$H$44+'Appendix K'!$G$44))/((1+$Y$16)^AL$34))</f>
        <v>285249.18706719216</v>
      </c>
      <c r="AM957" s="193">
        <f>(((P957*'Appendix K'!$C$19*1000)-('Appendix K'!$E$45+'Appendix K'!$F$45+'Appendix K'!$H$45+'Appendix K'!$G$45))/((1+$Y$16)^AM$34))</f>
        <v>-934.97143521936459</v>
      </c>
      <c r="AN957" s="193">
        <f>(((Q957*'Appendix K'!$C$20*1000)-('Appendix K'!$E$46+'Appendix K'!$F$46+'Appendix K'!$H$46+'Appendix K'!$G$46))/((1+$Y$16)^AN$34))</f>
        <v>299207.06184175401</v>
      </c>
      <c r="AO957" s="193">
        <f>(((R957*'Appendix K'!$C$21*1000)-('Appendix K'!$E$47+'Appendix K'!$F$47+'Appendix K'!$H$47+'Appendix K'!$G$47))/((1+$Y$16)^AO$34))</f>
        <v>293754.46334909013</v>
      </c>
      <c r="AP957" s="193">
        <f>(((S957*'Appendix K'!$C$22*1000)-('Appendix K'!$E$48+'Appendix K'!$F$48+'Appendix K'!$H$48+'Appendix K'!$G$48))/((1+$Y$16)^AP$34))</f>
        <v>240782.82658025605</v>
      </c>
      <c r="AQ957" s="193">
        <f>(((T957*'Appendix K'!$C$23*1000)-('Appendix K'!$E$49+'Appendix K'!$F$49+'Appendix K'!$H$49+'Appendix K'!$G$49))/((1+$Y$16)^AQ$34))</f>
        <v>462746.22880337125</v>
      </c>
      <c r="AR957" s="193">
        <f>(((U957*'Appendix K'!$C$24*1000)-('Appendix K'!$E$50+'Appendix K'!$F$50+'Appendix K'!$H$50+'Appendix K'!$G$50))/((1+$Y$16)^AR$34))</f>
        <v>-30753.454153985509</v>
      </c>
      <c r="AS957" s="209">
        <f t="shared" si="44"/>
        <v>113370397.24163884</v>
      </c>
      <c r="AU957" s="199">
        <f t="shared" si="43"/>
        <v>6.3418823635935813E-9</v>
      </c>
    </row>
    <row r="958" spans="1:47" x14ac:dyDescent="0.35">
      <c r="A958">
        <v>924</v>
      </c>
      <c r="B958" s="70">
        <v>56</v>
      </c>
      <c r="C958" s="70">
        <v>56.821142243897853</v>
      </c>
      <c r="D958" s="70">
        <v>39.348678621657669</v>
      </c>
      <c r="E958" s="70">
        <v>57.462904115962722</v>
      </c>
      <c r="F958" s="70">
        <v>58.693312400290644</v>
      </c>
      <c r="G958" s="70">
        <v>97.316355116274778</v>
      </c>
      <c r="H958" s="70">
        <v>90.549888596862189</v>
      </c>
      <c r="I958" s="70">
        <v>100.15543474715891</v>
      </c>
      <c r="J958" s="70">
        <v>113.02166644901828</v>
      </c>
      <c r="K958" s="70">
        <v>151.20807354871559</v>
      </c>
      <c r="L958" s="70">
        <v>198.28464064553688</v>
      </c>
      <c r="M958" s="70">
        <v>252.59313713564288</v>
      </c>
      <c r="N958" s="70">
        <v>297.11778110364156</v>
      </c>
      <c r="O958" s="70">
        <v>272.52145443675261</v>
      </c>
      <c r="P958" s="70">
        <v>275.5806215213924</v>
      </c>
      <c r="Q958" s="70">
        <v>206.90499417610638</v>
      </c>
      <c r="R958" s="70">
        <v>259.68797399231511</v>
      </c>
      <c r="S958" s="70">
        <v>302.93628303652764</v>
      </c>
      <c r="T958" s="70">
        <v>422.24461809268507</v>
      </c>
      <c r="U958" s="70">
        <v>346.4644210829116</v>
      </c>
      <c r="V958" s="70">
        <v>332.95464634005407</v>
      </c>
      <c r="X958" s="193">
        <f>((0-('Appendix K'!$I$30))/(1+$Y$16)^0)</f>
        <v>-33594902.4440751</v>
      </c>
      <c r="Y958" s="193">
        <f>(((B958*'Appendix K'!$C$5*1000)-('Appendix K'!$E$31+'Appendix K'!$F$31+'Appendix K'!$H$31+'Appendix K'!$G$31))/((1+$Y$16)^1))</f>
        <v>34971064.972647354</v>
      </c>
      <c r="Z958" s="193">
        <f>+(((C958*'Appendix K'!$C$6*1000)-('Appendix K'!$E$32+'Appendix K'!$F$32+'Appendix K'!$H$32+'Appendix K'!$G$32))/((1+$Y$16)^2))</f>
        <v>10866744.679968735</v>
      </c>
      <c r="AA958" s="193">
        <f>(((D958*'Appendix K'!$C$7*1000)-('Appendix K'!$E$33+'Appendix K'!$F$33+'Appendix K'!$H$33+'Appendix K'!$G$33))/((1+$Y$16)^3))</f>
        <v>2047134.8539866025</v>
      </c>
      <c r="AB958" s="193">
        <f>(((E958*'Appendix K'!$C$8*1000)-('Appendix K'!$E$34+'Appendix K'!$F$34+'Appendix K'!$H$34+'Appendix K'!$G$34))/((1+$Y$16)^4))</f>
        <v>9302134.6711071506</v>
      </c>
      <c r="AC958" s="193">
        <f>(((F958*'Appendix K'!$C$9*1000)-('Appendix K'!$E$35+'Appendix K'!$F$35+'Appendix K'!$H$35+'Appendix K'!$G$35))/((1+$Y$16)^AC$34))</f>
        <v>12616361.751798602</v>
      </c>
      <c r="AD958" s="193">
        <f>(((G958*'Appendix K'!$C$10*1000)-('Appendix K'!$E$36+'Appendix K'!$F$36+'Appendix K'!$H$36+'Appendix K'!$G$36))/((1+$Y$16)^AD$34))</f>
        <v>12767181.976834105</v>
      </c>
      <c r="AE958" s="193">
        <f>(((H958*'Appendix K'!$C$11*1000)-('Appendix K'!$E$37+'Appendix K'!$F$37+'Appendix K'!$H$37+'Appendix K'!$G$37))/((1+$Y$16)^AE$34))</f>
        <v>6811290.214668382</v>
      </c>
      <c r="AF958" s="193">
        <f>(((I958*'Appendix K'!$C$12*1000)-('Appendix K'!$E$38+'Appendix K'!$F$38+'Appendix K'!$H$38+'Appendix K'!$G$38))/((1+$Y$16)^AF$34))</f>
        <v>4579869.9160035169</v>
      </c>
      <c r="AG958" s="193">
        <f>(((J958*'Appendix K'!$C$13*1000)-('Appendix K'!$E$39+'Appendix K'!$F$39+'Appendix K'!$H$39+'Appendix K'!$G$39))/((1+$Y$16)^AG$34))</f>
        <v>3386192.5753368856</v>
      </c>
      <c r="AH958" s="193">
        <f>(((K958*'Appendix K'!$C$14*1000)-('Appendix K'!$E$40+'Appendix K'!$F$40+'Appendix K'!$H$40+'Appendix K'!$G$40))/((1+$Y$16)^AH$34))</f>
        <v>3463957.8207567385</v>
      </c>
      <c r="AI958" s="193">
        <f>(((L958*'Appendix K'!$C$15*1000)-('Appendix K'!$E$41+'Appendix K'!$F$41+'Appendix K'!$H$41+'Appendix K'!$G$41))/((1+$Y$16)^AI$34))</f>
        <v>3678947.0306782387</v>
      </c>
      <c r="AJ958" s="193">
        <f>(((M958*'Appendix K'!$C$16*1000)-('Appendix K'!$E$42+'Appendix K'!$F$42+'Appendix K'!$H$42+'Appendix K'!$G$42))/((1+$Y$16)^AJ$34))</f>
        <v>3680887.0953072007</v>
      </c>
      <c r="AK958" s="193">
        <f>(((N958*'Appendix K'!$C$17*1000)-('Appendix K'!$E$43+'Appendix K'!$F$43+'Appendix K'!$H$43))/((1+$Y$16)^AK$34))</f>
        <v>3560628.5068158428</v>
      </c>
      <c r="AL958" s="193">
        <f>(((O958*'Appendix K'!$C$18*1000)-('Appendix K'!$E$44+'Appendix K'!$F$44+'Appendix K'!$H$44+'Appendix K'!$G$44))/((1+$Y$16)^AL$34))</f>
        <v>2095687.8637859921</v>
      </c>
      <c r="AM958" s="193">
        <f>(((P958*'Appendix K'!$C$19*1000)-('Appendix K'!$E$45+'Appendix K'!$F$45+'Appendix K'!$H$45+'Appendix K'!$G$45))/((1+$Y$16)^AM$34))</f>
        <v>1527516.9259163311</v>
      </c>
      <c r="AN958" s="193">
        <f>(((Q958*'Appendix K'!$C$20*1000)-('Appendix K'!$E$46+'Appendix K'!$F$46+'Appendix K'!$H$46+'Appendix K'!$G$46))/((1+$Y$16)^AN$34))</f>
        <v>581500.57480076049</v>
      </c>
      <c r="AO958" s="193">
        <f>(((R958*'Appendix K'!$C$21*1000)-('Appendix K'!$E$47+'Appendix K'!$F$47+'Appendix K'!$H$47+'Appendix K'!$G$47))/((1+$Y$16)^AO$34))</f>
        <v>691785.69125139446</v>
      </c>
      <c r="AP958" s="193">
        <f>(((S958*'Appendix K'!$C$22*1000)-('Appendix K'!$E$48+'Appendix K'!$F$48+'Appendix K'!$H$48+'Appendix K'!$G$48))/((1+$Y$16)^AP$34))</f>
        <v>686526.54134107241</v>
      </c>
      <c r="AQ958" s="193">
        <f>(((T958*'Appendix K'!$C$23*1000)-('Appendix K'!$E$49+'Appendix K'!$F$49+'Appendix K'!$H$49+'Appendix K'!$G$49))/((1+$Y$16)^AQ$34))</f>
        <v>959071.7063084679</v>
      </c>
      <c r="AR958" s="193">
        <f>(((U958*'Appendix K'!$C$24*1000)-('Appendix K'!$E$50+'Appendix K'!$F$50+'Appendix K'!$H$50+'Appendix K'!$G$50))/((1+$Y$16)^AR$34))</f>
        <v>486336.27411628247</v>
      </c>
      <c r="AS958" s="209">
        <f t="shared" si="44"/>
        <v>85165919.199354529</v>
      </c>
      <c r="AU958" s="199">
        <f t="shared" si="43"/>
        <v>7.0231200924490393E-9</v>
      </c>
    </row>
    <row r="959" spans="1:47" x14ac:dyDescent="0.35">
      <c r="A959">
        <v>925</v>
      </c>
      <c r="B959" s="70">
        <v>56</v>
      </c>
      <c r="C959" s="70">
        <v>49.561326360130202</v>
      </c>
      <c r="D959" s="70">
        <v>42.06813361229203</v>
      </c>
      <c r="E959" s="70">
        <v>34.432659130891778</v>
      </c>
      <c r="F959" s="70">
        <v>33.798127524229535</v>
      </c>
      <c r="G959" s="70">
        <v>37.729297385811478</v>
      </c>
      <c r="H959" s="70">
        <v>50.517199506197997</v>
      </c>
      <c r="I959" s="70">
        <v>43.647868349262815</v>
      </c>
      <c r="J959" s="70">
        <v>17.51225861804215</v>
      </c>
      <c r="K959" s="70">
        <v>19.386050509148703</v>
      </c>
      <c r="L959" s="70">
        <v>22.730268272681386</v>
      </c>
      <c r="M959" s="70">
        <v>32.602436385306376</v>
      </c>
      <c r="N959" s="70">
        <v>34.035448932474829</v>
      </c>
      <c r="O959" s="70">
        <v>30.437268793638751</v>
      </c>
      <c r="P959" s="70">
        <v>19.46636767420565</v>
      </c>
      <c r="Q959" s="70">
        <v>19.92543322217211</v>
      </c>
      <c r="R959" s="70">
        <v>14.367810163169452</v>
      </c>
      <c r="S959" s="70">
        <v>9.5842477724556332</v>
      </c>
      <c r="T959" s="70">
        <v>5.8495397445869113</v>
      </c>
      <c r="U959" s="70">
        <v>6.0728391274210374</v>
      </c>
      <c r="V959" s="70">
        <v>5.8101425453529298</v>
      </c>
      <c r="X959" s="193">
        <f>((0-('Appendix K'!$I$30))/(1+$Y$16)^0)</f>
        <v>-33594902.4440751</v>
      </c>
      <c r="Y959" s="193">
        <f>(((B959*'Appendix K'!$C$5*1000)-('Appendix K'!$E$31+'Appendix K'!$F$31+'Appendix K'!$H$31+'Appendix K'!$G$31))/((1+$Y$16)^1))</f>
        <v>34971064.972647354</v>
      </c>
      <c r="Z959" s="193">
        <f>+(((C959*'Appendix K'!$C$6*1000)-('Appendix K'!$E$32+'Appendix K'!$F$32+'Appendix K'!$H$32+'Appendix K'!$G$32))/((1+$Y$16)^2))</f>
        <v>9032791.0221971273</v>
      </c>
      <c r="AA959" s="193">
        <f>(((D959*'Appendix K'!$C$7*1000)-('Appendix K'!$E$33+'Appendix K'!$F$33+'Appendix K'!$H$33+'Appendix K'!$G$33))/((1+$Y$16)^3))</f>
        <v>2393525.0863032425</v>
      </c>
      <c r="AB959" s="193">
        <f>(((E959*'Appendix K'!$C$8*1000)-('Appendix K'!$E$34+'Appendix K'!$F$34+'Appendix K'!$H$34+'Appendix K'!$G$34))/((1+$Y$16)^4))</f>
        <v>4254115.7919807844</v>
      </c>
      <c r="AC959" s="193">
        <f>(((F959*'Appendix K'!$C$9*1000)-('Appendix K'!$E$35+'Appendix K'!$F$35+'Appendix K'!$H$35+'Appendix K'!$G$35))/((1+$Y$16)^AC$34))</f>
        <v>5999260.704196956</v>
      </c>
      <c r="AD959" s="193">
        <f>(((G959*'Appendix K'!$C$10*1000)-('Appendix K'!$E$36+'Appendix K'!$F$36+'Appendix K'!$H$36+'Appendix K'!$G$36))/((1+$Y$16)^AD$34))</f>
        <v>3409394.9716111743</v>
      </c>
      <c r="AE959" s="193">
        <f>(((H959*'Appendix K'!$C$11*1000)-('Appendix K'!$E$37+'Appendix K'!$F$37+'Appendix K'!$H$37+'Appendix K'!$G$37))/((1+$Y$16)^AE$34))</f>
        <v>2818524.7288173912</v>
      </c>
      <c r="AF959" s="193">
        <f>(((I959*'Appendix K'!$C$12*1000)-('Appendix K'!$E$38+'Appendix K'!$F$38+'Appendix K'!$H$38+'Appendix K'!$G$38))/((1+$Y$16)^AF$34))</f>
        <v>869445.96024804038</v>
      </c>
      <c r="AG959" s="193">
        <f>(((J959*'Appendix K'!$C$13*1000)-('Appendix K'!$E$39+'Appendix K'!$F$39+'Appendix K'!$H$39+'Appendix K'!$G$39))/((1+$Y$16)^AG$34))</f>
        <v>-1009048.4226535347</v>
      </c>
      <c r="AH959" s="193">
        <f>(((K959*'Appendix K'!$C$14*1000)-('Appendix K'!$E$40+'Appendix K'!$F$40+'Appendix K'!$H$40+'Appendix K'!$G$40))/((1+$Y$16)^AH$34))</f>
        <v>-979304.72587692458</v>
      </c>
      <c r="AI959" s="193">
        <f>(((L959*'Appendix K'!$C$15*1000)-('Appendix K'!$E$41+'Appendix K'!$F$41+'Appendix K'!$H$41+'Appendix K'!$G$41))/((1+$Y$16)^AI$34))</f>
        <v>-920905.81377667899</v>
      </c>
      <c r="AJ959" s="193">
        <f>(((M959*'Appendix K'!$C$16*1000)-('Appendix K'!$E$42+'Appendix K'!$F$42+'Appendix K'!$H$42+'Appendix K'!$G$42))/((1+$Y$16)^AJ$34))</f>
        <v>-728137.26551657519</v>
      </c>
      <c r="AK959" s="193">
        <f>(((N959*'Appendix K'!$C$17*1000)-('Appendix K'!$E$43+'Appendix K'!$F$43+'Appendix K'!$H$43))/((1+$Y$16)^AK$34))</f>
        <v>-481341.46888993325</v>
      </c>
      <c r="AL959" s="193">
        <f>(((O959*'Appendix K'!$C$18*1000)-('Appendix K'!$E$44+'Appendix K'!$F$44+'Appendix K'!$H$44+'Appendix K'!$G$44))/((1+$Y$16)^AL$34))</f>
        <v>-773807.22242814268</v>
      </c>
      <c r="AM959" s="193">
        <f>(((P959*'Appendix K'!$C$19*1000)-('Appendix K'!$E$45+'Appendix K'!$F$45+'Appendix K'!$H$45+'Appendix K'!$G$45))/((1+$Y$16)^AM$34))</f>
        <v>-846337.40117126284</v>
      </c>
      <c r="AN959" s="193">
        <f>(((Q959*'Appendix K'!$C$20*1000)-('Appendix K'!$E$46+'Appendix K'!$F$46+'Appendix K'!$H$46+'Appendix K'!$G$46))/((1+$Y$16)^AN$34))</f>
        <v>-771524.08242436138</v>
      </c>
      <c r="AO959" s="193">
        <f>(((R959*'Appendix K'!$C$21*1000)-('Appendix K'!$E$47+'Appendix K'!$F$47+'Appendix K'!$H$47+'Appendix K'!$G$47))/((1+$Y$16)^AO$34))</f>
        <v>-758083.57996042713</v>
      </c>
      <c r="AP959" s="193">
        <f>(((S959*'Appendix K'!$C$22*1000)-('Appendix K'!$E$48+'Appendix K'!$F$48+'Appendix K'!$H$48+'Appendix K'!$G$48))/((1+$Y$16)^AP$34))</f>
        <v>-718547.37588583608</v>
      </c>
      <c r="AQ959" s="193">
        <f>(((T959*'Appendix K'!$C$23*1000)-('Appendix K'!$E$49+'Appendix K'!$F$49+'Appendix K'!$H$49+'Appendix K'!$G$49))/((1+$Y$16)^AQ$34))</f>
        <v>-670592.03047205438</v>
      </c>
      <c r="AR959" s="193">
        <f>(((U959*'Appendix K'!$C$24*1000)-('Appendix K'!$E$50+'Appendix K'!$F$50+'Appendix K'!$H$50+'Appendix K'!$G$50))/((1+$Y$16)^AR$34))</f>
        <v>-609734.15716399031</v>
      </c>
      <c r="AS959" s="209">
        <f t="shared" si="44"/>
        <v>30153220.793926962</v>
      </c>
      <c r="AU959" s="199">
        <f t="shared" si="43"/>
        <v>4.2101755498994552E-9</v>
      </c>
    </row>
    <row r="960" spans="1:47" x14ac:dyDescent="0.35">
      <c r="A960">
        <v>926</v>
      </c>
      <c r="B960" s="70">
        <v>56</v>
      </c>
      <c r="C960" s="70">
        <v>75.18893711157736</v>
      </c>
      <c r="D960" s="70">
        <v>106.33028120835549</v>
      </c>
      <c r="E960" s="70">
        <v>86.560314918339415</v>
      </c>
      <c r="F960" s="70">
        <v>94.807031168176579</v>
      </c>
      <c r="G960" s="70">
        <v>60.356452596511723</v>
      </c>
      <c r="H960" s="70">
        <v>51.31020658437766</v>
      </c>
      <c r="I960" s="70">
        <v>51.297953901080135</v>
      </c>
      <c r="J960" s="70">
        <v>83.830601988288407</v>
      </c>
      <c r="K960" s="70">
        <v>93.995696749325887</v>
      </c>
      <c r="L960" s="70">
        <v>107.27664409862476</v>
      </c>
      <c r="M960" s="70">
        <v>101.63629815506464</v>
      </c>
      <c r="N960" s="70">
        <v>61.590044775950673</v>
      </c>
      <c r="O960" s="70">
        <v>63.986573557715559</v>
      </c>
      <c r="P960" s="70">
        <v>87.702360194499221</v>
      </c>
      <c r="Q960" s="70">
        <v>107.51215140631776</v>
      </c>
      <c r="R960" s="70">
        <v>98.973621193228936</v>
      </c>
      <c r="S960" s="70">
        <v>93.376578574096627</v>
      </c>
      <c r="T960" s="70">
        <v>100.63116872028728</v>
      </c>
      <c r="U960" s="70">
        <v>87.753390098996817</v>
      </c>
      <c r="V960" s="70">
        <v>137.34646573958224</v>
      </c>
      <c r="X960" s="193">
        <f>((0-('Appendix K'!$I$30))/(1+$Y$16)^0)</f>
        <v>-33594902.4440751</v>
      </c>
      <c r="Y960" s="193">
        <f>(((B960*'Appendix K'!$C$5*1000)-('Appendix K'!$E$31+'Appendix K'!$F$31+'Appendix K'!$H$31+'Appendix K'!$G$31))/((1+$Y$16)^1))</f>
        <v>34971064.972647354</v>
      </c>
      <c r="Z960" s="193">
        <f>+(((C960*'Appendix K'!$C$6*1000)-('Appendix K'!$E$32+'Appendix K'!$F$32+'Appendix K'!$H$32+'Appendix K'!$G$32))/((1+$Y$16)^2))</f>
        <v>15506763.810219385</v>
      </c>
      <c r="AA960" s="193">
        <f>(((D960*'Appendix K'!$C$7*1000)-('Appendix K'!$E$33+'Appendix K'!$F$33+'Appendix K'!$H$33+'Appendix K'!$G$33))/((1+$Y$16)^3))</f>
        <v>10578907.933832601</v>
      </c>
      <c r="AB960" s="193">
        <f>(((E960*'Appendix K'!$C$8*1000)-('Appendix K'!$E$34+'Appendix K'!$F$34+'Appendix K'!$H$34+'Appendix K'!$G$34))/((1+$Y$16)^4))</f>
        <v>15680020.75782958</v>
      </c>
      <c r="AC960" s="193">
        <f>(((F960*'Appendix K'!$C$9*1000)-('Appendix K'!$E$35+'Appendix K'!$F$35+'Appendix K'!$H$35+'Appendix K'!$G$35))/((1+$Y$16)^AC$34))</f>
        <v>22215331.491587844</v>
      </c>
      <c r="AD960" s="193">
        <f>(((G960*'Appendix K'!$C$10*1000)-('Appendix K'!$E$36+'Appendix K'!$F$36+'Appendix K'!$H$36+'Appendix K'!$G$36))/((1+$Y$16)^AD$34))</f>
        <v>6962852.8374725888</v>
      </c>
      <c r="AE960" s="193">
        <f>(((H960*'Appendix K'!$C$11*1000)-('Appendix K'!$E$37+'Appendix K'!$F$37+'Appendix K'!$H$37+'Appendix K'!$G$37))/((1+$Y$16)^AE$34))</f>
        <v>2897617.3744455776</v>
      </c>
      <c r="AF960" s="193">
        <f>(((I960*'Appendix K'!$C$12*1000)-('Appendix K'!$E$38+'Appendix K'!$F$38+'Appendix K'!$H$38+'Appendix K'!$G$38))/((1+$Y$16)^AF$34))</f>
        <v>1371769.1446366478</v>
      </c>
      <c r="AG960" s="193">
        <f>(((J960*'Appendix K'!$C$13*1000)-('Appendix K'!$E$39+'Appendix K'!$F$39+'Appendix K'!$H$39+'Appendix K'!$G$39))/((1+$Y$16)^AG$34))</f>
        <v>2042850.9485116214</v>
      </c>
      <c r="AH960" s="193">
        <f>(((K960*'Appendix K'!$C$14*1000)-('Appendix K'!$E$40+'Appendix K'!$F$40+'Appendix K'!$H$40+'Appendix K'!$G$40))/((1+$Y$16)^AH$34))</f>
        <v>1535527.3113848793</v>
      </c>
      <c r="AI960" s="193">
        <f>(((L960*'Appendix K'!$C$15*1000)-('Appendix K'!$E$41+'Appendix K'!$F$41+'Appendix K'!$H$41+'Appendix K'!$G$41))/((1+$Y$16)^AI$34))</f>
        <v>1294367.3353610898</v>
      </c>
      <c r="AJ960" s="193">
        <f>(((M960*'Appendix K'!$C$16*1000)-('Appendix K'!$E$42+'Appendix K'!$F$42+'Appendix K'!$H$42+'Appendix K'!$G$42))/((1+$Y$16)^AJ$34))</f>
        <v>655430.20904695906</v>
      </c>
      <c r="AK960" s="193">
        <f>(((N960*'Appendix K'!$C$17*1000)-('Appendix K'!$E$43+'Appendix K'!$F$43+'Appendix K'!$H$43))/((1+$Y$16)^AK$34))</f>
        <v>-57995.483726726721</v>
      </c>
      <c r="AL960" s="193">
        <f>(((O960*'Appendix K'!$C$18*1000)-('Appendix K'!$E$44+'Appendix K'!$F$44+'Appendix K'!$H$44+'Appendix K'!$G$44))/((1+$Y$16)^AL$34))</f>
        <v>-376137.44110528624</v>
      </c>
      <c r="AM960" s="193">
        <f>(((P960*'Appendix K'!$C$19*1000)-('Appendix K'!$E$45+'Appendix K'!$F$45+'Appendix K'!$H$45+'Appendix K'!$G$45))/((1+$Y$16)^AM$34))</f>
        <v>-213876.28792114268</v>
      </c>
      <c r="AN960" s="193">
        <f>(((Q960*'Appendix K'!$C$20*1000)-('Appendix K'!$E$46+'Appendix K'!$F$46+'Appendix K'!$H$46+'Appendix K'!$G$46))/((1+$Y$16)^AN$34))</f>
        <v>-137727.59288306165</v>
      </c>
      <c r="AO960" s="193">
        <f>(((R960*'Appendix K'!$C$21*1000)-('Appendix K'!$E$47+'Appendix K'!$F$47+'Appendix K'!$H$47+'Appendix K'!$G$47))/((1+$Y$16)^AO$34))</f>
        <v>-258053.88951936865</v>
      </c>
      <c r="AP960" s="193">
        <f>(((S960*'Appendix K'!$C$22*1000)-('Appendix K'!$E$48+'Appendix K'!$F$48+'Appendix K'!$H$48+'Appendix K'!$G$48))/((1+$Y$16)^AP$34))</f>
        <v>-317205.62836037047</v>
      </c>
      <c r="AQ960" s="193">
        <f>(((T960*'Appendix K'!$C$23*1000)-('Appendix K'!$E$49+'Appendix K'!$F$49+'Appendix K'!$H$49+'Appendix K'!$G$49))/((1+$Y$16)^AQ$34))</f>
        <v>-299640.99938047765</v>
      </c>
      <c r="AR960" s="193">
        <f>(((U960*'Appendix K'!$C$24*1000)-('Appendix K'!$E$50+'Appendix K'!$F$50+'Appendix K'!$H$50+'Appendix K'!$G$50))/((1+$Y$16)^AR$34))</f>
        <v>-346720.49443971075</v>
      </c>
      <c r="AS960" s="209">
        <f t="shared" si="44"/>
        <v>82117601.682901025</v>
      </c>
      <c r="AU960" s="199">
        <f t="shared" si="43"/>
        <v>6.9967452119563237E-9</v>
      </c>
    </row>
    <row r="961" spans="1:47" x14ac:dyDescent="0.35">
      <c r="A961">
        <v>927</v>
      </c>
      <c r="B961" s="70">
        <v>56</v>
      </c>
      <c r="C961" s="70">
        <v>76.43714675188653</v>
      </c>
      <c r="D961" s="70">
        <v>126.57848951700107</v>
      </c>
      <c r="E961" s="70">
        <v>85.149865882307111</v>
      </c>
      <c r="F961" s="70">
        <v>95.991763797921578</v>
      </c>
      <c r="G961" s="70">
        <v>127.11011409176044</v>
      </c>
      <c r="H961" s="70">
        <v>131.58998157520008</v>
      </c>
      <c r="I961" s="70">
        <v>186.89018400616939</v>
      </c>
      <c r="J961" s="70">
        <v>267.08351726231092</v>
      </c>
      <c r="K961" s="70">
        <v>303.1966716027859</v>
      </c>
      <c r="L961" s="70">
        <v>261.23674164005774</v>
      </c>
      <c r="M961" s="70">
        <v>384.14152636683332</v>
      </c>
      <c r="N961" s="70">
        <v>356.62221118334173</v>
      </c>
      <c r="O961" s="70">
        <v>463.3235232469325</v>
      </c>
      <c r="P961" s="70">
        <v>360.00185304620891</v>
      </c>
      <c r="Q961" s="70">
        <v>339.64987458045317</v>
      </c>
      <c r="R961" s="70">
        <v>286.6779400932358</v>
      </c>
      <c r="S961" s="70">
        <v>275.35274839875456</v>
      </c>
      <c r="T961" s="70">
        <v>422.60002954219874</v>
      </c>
      <c r="U961" s="70">
        <v>350.91169391596458</v>
      </c>
      <c r="V961" s="70">
        <v>391.14602295341007</v>
      </c>
      <c r="X961" s="193">
        <f>((0-('Appendix K'!$I$30))/(1+$Y$16)^0)</f>
        <v>-33594902.4440751</v>
      </c>
      <c r="Y961" s="193">
        <f>(((B961*'Appendix K'!$C$5*1000)-('Appendix K'!$E$31+'Appendix K'!$F$31+'Appendix K'!$H$31+'Appendix K'!$G$31))/((1+$Y$16)^1))</f>
        <v>34971064.972647354</v>
      </c>
      <c r="Z961" s="193">
        <f>+(((C961*'Appendix K'!$C$6*1000)-('Appendix K'!$E$32+'Appendix K'!$F$32+'Appendix K'!$H$32+'Appendix K'!$G$32))/((1+$Y$16)^2))</f>
        <v>15822082.913645845</v>
      </c>
      <c r="AA961" s="193">
        <f>(((D961*'Appendix K'!$C$7*1000)-('Appendix K'!$E$33+'Appendix K'!$F$33+'Appendix K'!$H$33+'Appendix K'!$G$33))/((1+$Y$16)^3))</f>
        <v>13158020.882633928</v>
      </c>
      <c r="AB961" s="193">
        <f>(((E961*'Appendix K'!$C$8*1000)-('Appendix K'!$E$34+'Appendix K'!$F$34+'Appendix K'!$H$34+'Appendix K'!$G$34))/((1+$Y$16)^4))</f>
        <v>15370863.240549497</v>
      </c>
      <c r="AC961" s="193">
        <f>(((F961*'Appendix K'!$C$9*1000)-('Appendix K'!$E$35+'Appendix K'!$F$35+'Appendix K'!$H$35+'Appendix K'!$G$35))/((1+$Y$16)^AC$34))</f>
        <v>22530231.564209994</v>
      </c>
      <c r="AD961" s="193">
        <f>(((G961*'Appendix K'!$C$10*1000)-('Appendix K'!$E$36+'Appendix K'!$F$36+'Appendix K'!$H$36+'Appendix K'!$G$36))/((1+$Y$16)^AD$34))</f>
        <v>17446111.616869144</v>
      </c>
      <c r="AE961" s="193">
        <f>(((H961*'Appendix K'!$C$11*1000)-('Appendix K'!$E$37+'Appendix K'!$F$37+'Appendix K'!$H$37+'Appendix K'!$G$37))/((1+$Y$16)^AE$34))</f>
        <v>10904531.775556603</v>
      </c>
      <c r="AF961" s="193">
        <f>(((I961*'Appendix K'!$C$12*1000)-('Appendix K'!$E$38+'Appendix K'!$F$38+'Appendix K'!$H$38+'Appendix K'!$G$38))/((1+$Y$16)^AF$34))</f>
        <v>10275084.060972592</v>
      </c>
      <c r="AG961" s="193">
        <f>(((J961*'Appendix K'!$C$13*1000)-('Appendix K'!$E$39+'Appendix K'!$F$39+'Appendix K'!$H$39+'Appendix K'!$G$39))/((1+$Y$16)^AG$34))</f>
        <v>10475954.498258725</v>
      </c>
      <c r="AH961" s="193">
        <f>(((K961*'Appendix K'!$C$14*1000)-('Appendix K'!$E$40+'Appendix K'!$F$40+'Appendix K'!$H$40+'Appendix K'!$G$40))/((1+$Y$16)^AH$34))</f>
        <v>8586965.5676967725</v>
      </c>
      <c r="AI961" s="193">
        <f>(((L961*'Appendix K'!$C$15*1000)-('Appendix K'!$E$41+'Appendix K'!$F$41+'Appendix K'!$H$41+'Appendix K'!$G$41))/((1+$Y$16)^AI$34))</f>
        <v>5328409.7977407919</v>
      </c>
      <c r="AJ961" s="193">
        <f>(((M961*'Appendix K'!$C$16*1000)-('Appendix K'!$E$42+'Appendix K'!$F$42+'Appendix K'!$H$42+'Appendix K'!$G$42))/((1+$Y$16)^AJ$34))</f>
        <v>6317362.4134420268</v>
      </c>
      <c r="AK961" s="193">
        <f>(((N961*'Appendix K'!$C$17*1000)-('Appendix K'!$E$43+'Appendix K'!$F$43+'Appendix K'!$H$43))/((1+$Y$16)^AK$34))</f>
        <v>4474848.4691322306</v>
      </c>
      <c r="AL961" s="193">
        <f>(((O961*'Appendix K'!$C$18*1000)-('Appendix K'!$E$44+'Appendix K'!$F$44+'Appendix K'!$H$44+'Appendix K'!$G$44))/((1+$Y$16)^AL$34))</f>
        <v>4357320.9293074543</v>
      </c>
      <c r="AM961" s="193">
        <f>(((P961*'Appendix K'!$C$19*1000)-('Appendix K'!$E$45+'Appendix K'!$F$45+'Appendix K'!$H$45+'Appendix K'!$G$45))/((1+$Y$16)^AM$34))</f>
        <v>2309994.6784932031</v>
      </c>
      <c r="AN961" s="193">
        <f>(((Q961*'Appendix K'!$C$20*1000)-('Appendix K'!$E$46+'Appendix K'!$F$46+'Appendix K'!$H$46+'Appendix K'!$G$46))/((1+$Y$16)^AN$34))</f>
        <v>1542071.3205612048</v>
      </c>
      <c r="AO961" s="193">
        <f>(((R961*'Appendix K'!$C$21*1000)-('Appendix K'!$E$47+'Appendix K'!$F$47+'Appendix K'!$H$47+'Appendix K'!$G$47))/((1+$Y$16)^AO$34))</f>
        <v>851299.37276037619</v>
      </c>
      <c r="AP961" s="193">
        <f>(((S961*'Appendix K'!$C$22*1000)-('Appendix K'!$E$48+'Appendix K'!$F$48+'Appendix K'!$H$48+'Appendix K'!$G$48))/((1+$Y$16)^AP$34))</f>
        <v>554409.15197449992</v>
      </c>
      <c r="AQ961" s="193">
        <f>(((T961*'Appendix K'!$C$23*1000)-('Appendix K'!$E$49+'Appendix K'!$F$49+'Appendix K'!$H$49+'Appendix K'!$G$49))/((1+$Y$16)^AQ$34))</f>
        <v>960462.69573419995</v>
      </c>
      <c r="AR961" s="193">
        <f>(((U961*'Appendix K'!$C$24*1000)-('Appendix K'!$E$50+'Appendix K'!$F$50+'Appendix K'!$H$50+'Appendix K'!$G$50))/((1+$Y$16)^AR$34))</f>
        <v>500656.61724622169</v>
      </c>
      <c r="AS961" s="209">
        <f t="shared" si="44"/>
        <v>153142844.0953576</v>
      </c>
      <c r="AU961" s="199">
        <f t="shared" si="43"/>
        <v>3.609507763634729E-9</v>
      </c>
    </row>
    <row r="962" spans="1:47" x14ac:dyDescent="0.35">
      <c r="A962">
        <v>928</v>
      </c>
      <c r="B962" s="70">
        <v>56</v>
      </c>
      <c r="C962" s="70">
        <v>59.711006705639193</v>
      </c>
      <c r="D962" s="70">
        <v>58.599835161623133</v>
      </c>
      <c r="E962" s="70">
        <v>74.566141374662223</v>
      </c>
      <c r="F962" s="70">
        <v>72.077151043888122</v>
      </c>
      <c r="G962" s="70">
        <v>56.282759968303978</v>
      </c>
      <c r="H962" s="70">
        <v>36.444557806541738</v>
      </c>
      <c r="I962" s="70">
        <v>24.022352326588042</v>
      </c>
      <c r="J962" s="70">
        <v>24.055168202060127</v>
      </c>
      <c r="K962" s="70">
        <v>39.178134533320872</v>
      </c>
      <c r="L962" s="70">
        <v>47.071176797181614</v>
      </c>
      <c r="M962" s="70">
        <v>44.510705991095499</v>
      </c>
      <c r="N962" s="70">
        <v>32.91545058371829</v>
      </c>
      <c r="O962" s="70">
        <v>45.406893883184281</v>
      </c>
      <c r="P962" s="70">
        <v>35.515584314823528</v>
      </c>
      <c r="Q962" s="70">
        <v>37.054015969982892</v>
      </c>
      <c r="R962" s="70">
        <v>34.48765478892124</v>
      </c>
      <c r="S962" s="70">
        <v>28.21179445757614</v>
      </c>
      <c r="T962" s="70">
        <v>24.261752741961274</v>
      </c>
      <c r="U962" s="70">
        <v>25.74109681022659</v>
      </c>
      <c r="V962" s="70">
        <v>17.927345042641115</v>
      </c>
      <c r="X962" s="193">
        <f>((0-('Appendix K'!$I$30))/(1+$Y$16)^0)</f>
        <v>-33594902.4440751</v>
      </c>
      <c r="Y962" s="193">
        <f>(((B962*'Appendix K'!$C$5*1000)-('Appendix K'!$E$31+'Appendix K'!$F$31+'Appendix K'!$H$31+'Appendix K'!$G$31))/((1+$Y$16)^1))</f>
        <v>34971064.972647354</v>
      </c>
      <c r="Z962" s="193">
        <f>+(((C962*'Appendix K'!$C$6*1000)-('Appendix K'!$E$32+'Appendix K'!$F$32+'Appendix K'!$H$32+'Appendix K'!$G$32))/((1+$Y$16)^2))</f>
        <v>11596773.868715078</v>
      </c>
      <c r="AA962" s="193">
        <f>(((D962*'Appendix K'!$C$7*1000)-('Appendix K'!$E$33+'Appendix K'!$F$33+'Appendix K'!$H$33+'Appendix K'!$G$33))/((1+$Y$16)^3))</f>
        <v>4499248.4610175127</v>
      </c>
      <c r="AB962" s="193">
        <f>(((E962*'Appendix K'!$C$8*1000)-('Appendix K'!$E$34+'Appendix K'!$F$34+'Appendix K'!$H$34+'Appendix K'!$G$34))/((1+$Y$16)^4))</f>
        <v>13051007.71314642</v>
      </c>
      <c r="AC962" s="193">
        <f>(((F962*'Appendix K'!$C$9*1000)-('Appendix K'!$E$35+'Appendix K'!$F$35+'Appendix K'!$H$35+'Appendix K'!$G$35))/((1+$Y$16)^AC$34))</f>
        <v>16173765.046868749</v>
      </c>
      <c r="AD962" s="193">
        <f>(((G962*'Appendix K'!$C$10*1000)-('Appendix K'!$E$36+'Appendix K'!$F$36+'Appendix K'!$H$36+'Appendix K'!$G$36))/((1+$Y$16)^AD$34))</f>
        <v>6323104.0498759495</v>
      </c>
      <c r="AE962" s="193">
        <f>(((H962*'Appendix K'!$C$11*1000)-('Appendix K'!$E$37+'Appendix K'!$F$37+'Appendix K'!$H$37+'Appendix K'!$G$37))/((1+$Y$16)^AE$34))</f>
        <v>1414952.8142282597</v>
      </c>
      <c r="AF962" s="193">
        <f>(((I962*'Appendix K'!$C$12*1000)-('Appendix K'!$E$38+'Appendix K'!$F$38+'Appendix K'!$H$38+'Appendix K'!$G$38))/((1+$Y$16)^AF$34))</f>
        <v>-419213.053694323</v>
      </c>
      <c r="AG962" s="193">
        <f>(((J962*'Appendix K'!$C$13*1000)-('Appendix K'!$E$39+'Appendix K'!$F$39+'Appendix K'!$H$39+'Appendix K'!$G$39))/((1+$Y$16)^AG$34))</f>
        <v>-707950.70774870622</v>
      </c>
      <c r="AH962" s="193">
        <f>(((K962*'Appendix K'!$C$14*1000)-('Appendix K'!$E$40+'Appendix K'!$F$40+'Appendix K'!$H$40+'Appendix K'!$G$40))/((1+$Y$16)^AH$34))</f>
        <v>-312182.31615609425</v>
      </c>
      <c r="AI962" s="193">
        <f>(((L962*'Appendix K'!$C$15*1000)-('Appendix K'!$E$41+'Appendix K'!$F$41+'Appendix K'!$H$41+'Appendix K'!$G$41))/((1+$Y$16)^AI$34))</f>
        <v>-283128.49271263537</v>
      </c>
      <c r="AJ962" s="193">
        <f>(((M962*'Appendix K'!$C$16*1000)-('Appendix K'!$E$42+'Appendix K'!$F$42+'Appendix K'!$H$42+'Appendix K'!$G$42))/((1+$Y$16)^AJ$34))</f>
        <v>-489473.3101398102</v>
      </c>
      <c r="AK962" s="193">
        <f>(((N962*'Appendix K'!$C$17*1000)-('Appendix K'!$E$43+'Appendix K'!$F$43+'Appendix K'!$H$43))/((1+$Y$16)^AK$34))</f>
        <v>-498549.00867853686</v>
      </c>
      <c r="AL962" s="193">
        <f>(((O962*'Appendix K'!$C$18*1000)-('Appendix K'!$E$44+'Appendix K'!$F$44+'Appendix K'!$H$44+'Appendix K'!$G$44))/((1+$Y$16)^AL$34))</f>
        <v>-596367.8513977509</v>
      </c>
      <c r="AM962" s="193">
        <f>(((P962*'Appendix K'!$C$19*1000)-('Appendix K'!$E$45+'Appendix K'!$F$45+'Appendix K'!$H$45+'Appendix K'!$G$45))/((1+$Y$16)^AM$34))</f>
        <v>-697581.51665329747</v>
      </c>
      <c r="AN962" s="193">
        <f>(((Q962*'Appendix K'!$C$20*1000)-('Appendix K'!$E$46+'Appendix K'!$F$46+'Appendix K'!$H$46+'Appendix K'!$G$46))/((1+$Y$16)^AN$34))</f>
        <v>-647577.94262773148</v>
      </c>
      <c r="AO962" s="193">
        <f>(((R962*'Appendix K'!$C$21*1000)-('Appendix K'!$E$47+'Appendix K'!$F$47+'Appendix K'!$H$47+'Appendix K'!$G$47))/((1+$Y$16)^AO$34))</f>
        <v>-639173.07538099017</v>
      </c>
      <c r="AP962" s="193">
        <f>(((S962*'Appendix K'!$C$22*1000)-('Appendix K'!$E$48+'Appendix K'!$F$48+'Appendix K'!$H$48+'Appendix K'!$G$48))/((1+$Y$16)^AP$34))</f>
        <v>-629326.65523997904</v>
      </c>
      <c r="AQ962" s="193">
        <f>(((T962*'Appendix K'!$C$23*1000)-('Appendix K'!$E$49+'Appendix K'!$F$49+'Appendix K'!$H$49+'Appendix K'!$G$49))/((1+$Y$16)^AQ$34))</f>
        <v>-598531.34244774538</v>
      </c>
      <c r="AR962" s="193">
        <f>(((U962*'Appendix K'!$C$24*1000)-('Appendix K'!$E$50+'Appendix K'!$F$50+'Appendix K'!$H$50+'Appendix K'!$G$50))/((1+$Y$16)^AR$34))</f>
        <v>-546401.81634322612</v>
      </c>
      <c r="AS962" s="209">
        <f t="shared" si="44"/>
        <v>54435014.482424222</v>
      </c>
      <c r="AU962" s="199">
        <f t="shared" si="43"/>
        <v>5.9251579405228999E-9</v>
      </c>
    </row>
    <row r="963" spans="1:47" x14ac:dyDescent="0.35">
      <c r="A963">
        <v>929</v>
      </c>
      <c r="B963" s="70">
        <v>56</v>
      </c>
      <c r="C963" s="70">
        <v>61.284433638411663</v>
      </c>
      <c r="D963" s="70">
        <v>66.536890663659037</v>
      </c>
      <c r="E963" s="70">
        <v>68.026195873928472</v>
      </c>
      <c r="F963" s="70">
        <v>86.422982917414501</v>
      </c>
      <c r="G963" s="70">
        <v>68.05567427399221</v>
      </c>
      <c r="H963" s="70">
        <v>53.301295559691411</v>
      </c>
      <c r="I963" s="70">
        <v>68.182655819421484</v>
      </c>
      <c r="J963" s="70">
        <v>70.49798409609231</v>
      </c>
      <c r="K963" s="70">
        <v>84.098500632178911</v>
      </c>
      <c r="L963" s="70">
        <v>103.39844682190474</v>
      </c>
      <c r="M963" s="70">
        <v>66.019186499883801</v>
      </c>
      <c r="N963" s="70">
        <v>51.795720905966945</v>
      </c>
      <c r="O963" s="70">
        <v>65.084889675791956</v>
      </c>
      <c r="P963" s="70">
        <v>94.164050991117563</v>
      </c>
      <c r="Q963" s="70">
        <v>95.069343340953935</v>
      </c>
      <c r="R963" s="70">
        <v>114.83780987753745</v>
      </c>
      <c r="S963" s="70">
        <v>103.71926787931775</v>
      </c>
      <c r="T963" s="70">
        <v>147.56834613657793</v>
      </c>
      <c r="U963" s="70">
        <v>159.74160135715491</v>
      </c>
      <c r="V963" s="70">
        <v>85.181442184664348</v>
      </c>
      <c r="X963" s="193">
        <f>((0-('Appendix K'!$I$30))/(1+$Y$16)^0)</f>
        <v>-33594902.4440751</v>
      </c>
      <c r="Y963" s="193">
        <f>(((B963*'Appendix K'!$C$5*1000)-('Appendix K'!$E$31+'Appendix K'!$F$31+'Appendix K'!$H$31+'Appendix K'!$G$31))/((1+$Y$16)^1))</f>
        <v>34971064.972647354</v>
      </c>
      <c r="Z963" s="193">
        <f>+(((C963*'Appendix K'!$C$6*1000)-('Appendix K'!$E$32+'Appendix K'!$F$32+'Appendix K'!$H$32+'Appendix K'!$G$32))/((1+$Y$16)^2))</f>
        <v>11994248.422449475</v>
      </c>
      <c r="AA963" s="193">
        <f>(((D963*'Appendix K'!$C$7*1000)-('Appendix K'!$E$33+'Appendix K'!$F$33+'Appendix K'!$H$33+'Appendix K'!$G$33))/((1+$Y$16)^3))</f>
        <v>5510229.8924913816</v>
      </c>
      <c r="AB963" s="193">
        <f>(((E963*'Appendix K'!$C$8*1000)-('Appendix K'!$E$34+'Appendix K'!$F$34+'Appendix K'!$H$34+'Appendix K'!$G$34))/((1+$Y$16)^4))</f>
        <v>11617511.526824379</v>
      </c>
      <c r="AC963" s="193">
        <f>(((F963*'Appendix K'!$C$9*1000)-('Appendix K'!$E$35+'Appendix K'!$F$35+'Appendix K'!$H$35+'Appendix K'!$G$35))/((1+$Y$16)^AC$34))</f>
        <v>19986864.631853551</v>
      </c>
      <c r="AD963" s="193">
        <f>(((G963*'Appendix K'!$C$10*1000)-('Appendix K'!$E$36+'Appendix K'!$F$36+'Appendix K'!$H$36+'Appendix K'!$G$36))/((1+$Y$16)^AD$34))</f>
        <v>8171969.033304221</v>
      </c>
      <c r="AE963" s="193">
        <f>(((H963*'Appendix K'!$C$11*1000)-('Appendix K'!$E$37+'Appendix K'!$F$37+'Appendix K'!$H$37+'Appendix K'!$G$37))/((1+$Y$16)^AE$34))</f>
        <v>3096203.8676458346</v>
      </c>
      <c r="AF963" s="193">
        <f>(((I963*'Appendix K'!$C$12*1000)-('Appendix K'!$E$38+'Appendix K'!$F$38+'Appendix K'!$H$38+'Appendix K'!$G$38))/((1+$Y$16)^AF$34))</f>
        <v>2480459.6524256505</v>
      </c>
      <c r="AG963" s="193">
        <f>(((J963*'Appendix K'!$C$13*1000)-('Appendix K'!$E$39+'Appendix K'!$F$39+'Appendix K'!$H$39+'Appendix K'!$G$39))/((1+$Y$16)^AG$34))</f>
        <v>1429298.1048585023</v>
      </c>
      <c r="AH963" s="193">
        <f>(((K963*'Appendix K'!$C$14*1000)-('Appendix K'!$E$40+'Appendix K'!$F$40+'Appendix K'!$H$40+'Appendix K'!$G$40))/((1+$Y$16)^AH$34))</f>
        <v>1201927.2056513496</v>
      </c>
      <c r="AI963" s="193">
        <f>(((L963*'Appendix K'!$C$15*1000)-('Appendix K'!$E$41+'Appendix K'!$F$41+'Appendix K'!$H$41+'Appendix K'!$G$41))/((1+$Y$16)^AI$34))</f>
        <v>1192751.3144465564</v>
      </c>
      <c r="AJ963" s="193">
        <f>(((M963*'Appendix K'!$C$16*1000)-('Appendix K'!$E$42+'Appendix K'!$F$42+'Appendix K'!$H$42+'Appendix K'!$G$42))/((1+$Y$16)^AJ$34))</f>
        <v>-58403.204884891209</v>
      </c>
      <c r="AK963" s="193">
        <f>(((N963*'Appendix K'!$C$17*1000)-('Appendix K'!$E$43+'Appendix K'!$F$43+'Appendix K'!$H$43))/((1+$Y$16)^AK$34))</f>
        <v>-208474.47138088677</v>
      </c>
      <c r="AL963" s="193">
        <f>(((O963*'Appendix K'!$C$18*1000)-('Appendix K'!$E$44+'Appendix K'!$F$44+'Appendix K'!$H$44+'Appendix K'!$G$44))/((1+$Y$16)^AL$34))</f>
        <v>-363118.77697587403</v>
      </c>
      <c r="AM963" s="193">
        <f>(((P963*'Appendix K'!$C$19*1000)-('Appendix K'!$E$45+'Appendix K'!$F$45+'Appendix K'!$H$45+'Appendix K'!$G$45))/((1+$Y$16)^AM$34))</f>
        <v>-153984.60900269105</v>
      </c>
      <c r="AN963" s="193">
        <f>(((Q963*'Appendix K'!$C$20*1000)-('Appendix K'!$E$46+'Appendix K'!$F$46+'Appendix K'!$H$46+'Appendix K'!$G$46))/((1+$Y$16)^AN$34))</f>
        <v>-227766.4507756875</v>
      </c>
      <c r="AO963" s="193">
        <f>(((R963*'Appendix K'!$C$21*1000)-('Appendix K'!$E$47+'Appendix K'!$F$47+'Appendix K'!$H$47+'Appendix K'!$G$47))/((1+$Y$16)^AO$34))</f>
        <v>-164294.78171890113</v>
      </c>
      <c r="AP963" s="193">
        <f>(((S963*'Appendix K'!$C$22*1000)-('Appendix K'!$E$48+'Appendix K'!$F$48+'Appendix K'!$H$48+'Appendix K'!$G$48))/((1+$Y$16)^AP$34))</f>
        <v>-267667.04935011698</v>
      </c>
      <c r="AQ963" s="193">
        <f>(((T963*'Appendix K'!$C$23*1000)-('Appendix K'!$E$49+'Appendix K'!$F$49+'Appendix K'!$H$49+'Appendix K'!$G$49))/((1+$Y$16)^AQ$34))</f>
        <v>-115940.90319870455</v>
      </c>
      <c r="AR963" s="193">
        <f>(((U963*'Appendix K'!$C$24*1000)-('Appendix K'!$E$50+'Appendix K'!$F$50+'Appendix K'!$H$50+'Appendix K'!$G$50))/((1+$Y$16)^AR$34))</f>
        <v>-114916.43716093172</v>
      </c>
      <c r="AS963" s="209">
        <f t="shared" si="44"/>
        <v>68057626.180523127</v>
      </c>
      <c r="AU963" s="199">
        <f t="shared" si="43"/>
        <v>6.6243205024386276E-9</v>
      </c>
    </row>
    <row r="964" spans="1:47" x14ac:dyDescent="0.35">
      <c r="A964">
        <v>930</v>
      </c>
      <c r="B964" s="70">
        <v>56</v>
      </c>
      <c r="C964" s="70">
        <v>89.833481910481851</v>
      </c>
      <c r="D964" s="70">
        <v>106.94716301378143</v>
      </c>
      <c r="E964" s="70">
        <v>116.34348814364078</v>
      </c>
      <c r="F964" s="70">
        <v>203.0552681900773</v>
      </c>
      <c r="G964" s="70">
        <v>329.62965523422838</v>
      </c>
      <c r="H964" s="70">
        <v>247.51573689328575</v>
      </c>
      <c r="I964" s="70">
        <v>264.10868958986617</v>
      </c>
      <c r="J964" s="70">
        <v>196.05341620124227</v>
      </c>
      <c r="K964" s="70">
        <v>205.66426873834106</v>
      </c>
      <c r="L964" s="70">
        <v>240.54328802343304</v>
      </c>
      <c r="M964" s="70">
        <v>327.18871082210541</v>
      </c>
      <c r="N964" s="70">
        <v>275.70645198940167</v>
      </c>
      <c r="O964" s="70">
        <v>400.28393733178001</v>
      </c>
      <c r="P964" s="70">
        <v>254.92477107795091</v>
      </c>
      <c r="Q964" s="70">
        <v>224.06291666730155</v>
      </c>
      <c r="R964" s="70">
        <v>247.19575313010984</v>
      </c>
      <c r="S964" s="70">
        <v>100.27941969189308</v>
      </c>
      <c r="T964" s="70">
        <v>103.1137417978259</v>
      </c>
      <c r="U964" s="70">
        <v>93.5401251369981</v>
      </c>
      <c r="V964" s="70">
        <v>113.86251875678423</v>
      </c>
      <c r="X964" s="193">
        <f>((0-('Appendix K'!$I$30))/(1+$Y$16)^0)</f>
        <v>-33594902.4440751</v>
      </c>
      <c r="Y964" s="193">
        <f>(((B964*'Appendix K'!$C$5*1000)-('Appendix K'!$E$31+'Appendix K'!$F$31+'Appendix K'!$H$31+'Appendix K'!$G$31))/((1+$Y$16)^1))</f>
        <v>34971064.972647354</v>
      </c>
      <c r="Z964" s="193">
        <f>+(((C964*'Appendix K'!$C$6*1000)-('Appendix K'!$E$32+'Appendix K'!$F$32+'Appendix K'!$H$32+'Appendix K'!$G$32))/((1+$Y$16)^2))</f>
        <v>19206226.293889534</v>
      </c>
      <c r="AA964" s="193">
        <f>(((D964*'Appendix K'!$C$7*1000)-('Appendix K'!$E$33+'Appendix K'!$F$33+'Appendix K'!$H$33+'Appendix K'!$G$33))/((1+$Y$16)^3))</f>
        <v>10657483.175058991</v>
      </c>
      <c r="AB964" s="193">
        <f>(((E964*'Appendix K'!$C$8*1000)-('Appendix K'!$E$34+'Appendix K'!$F$34+'Appendix K'!$H$34+'Appendix K'!$G$34))/((1+$Y$16)^4))</f>
        <v>22208219.690106336</v>
      </c>
      <c r="AC964" s="193">
        <f>(((F964*'Appendix K'!$C$9*1000)-('Appendix K'!$E$35+'Appendix K'!$F$35+'Appendix K'!$H$35+'Appendix K'!$G$35))/((1+$Y$16)^AC$34))</f>
        <v>50987542.911773972</v>
      </c>
      <c r="AD964" s="193">
        <f>(((G964*'Appendix K'!$C$10*1000)-('Appendix K'!$E$36+'Appendix K'!$F$36+'Appendix K'!$H$36+'Appendix K'!$G$36))/((1+$Y$16)^AD$34))</f>
        <v>49250580.617153876</v>
      </c>
      <c r="AE964" s="193">
        <f>(((H964*'Appendix K'!$C$11*1000)-('Appendix K'!$E$37+'Appendix K'!$F$37+'Appendix K'!$H$37+'Appendix K'!$G$37))/((1+$Y$16)^AE$34))</f>
        <v>22466691.732060794</v>
      </c>
      <c r="AF964" s="193">
        <f>(((I964*'Appendix K'!$C$12*1000)-('Appendix K'!$E$38+'Appendix K'!$F$38+'Appendix K'!$H$38+'Appendix K'!$G$38))/((1+$Y$16)^AF$34))</f>
        <v>15345438.549925666</v>
      </c>
      <c r="AG964" s="193">
        <f>(((J964*'Appendix K'!$C$13*1000)-('Appendix K'!$E$39+'Appendix K'!$F$39+'Appendix K'!$H$39+'Appendix K'!$G$39))/((1+$Y$16)^AG$34))</f>
        <v>7207225.0676721055</v>
      </c>
      <c r="AH964" s="193">
        <f>(((K964*'Appendix K'!$C$14*1000)-('Appendix K'!$E$40+'Appendix K'!$F$40+'Appendix K'!$H$40+'Appendix K'!$G$40))/((1+$Y$16)^AH$34))</f>
        <v>5299487.0209542597</v>
      </c>
      <c r="AI964" s="193">
        <f>(((L964*'Appendix K'!$C$15*1000)-('Appendix K'!$E$41+'Appendix K'!$F$41+'Appendix K'!$H$41+'Appendix K'!$G$41))/((1+$Y$16)^AI$34))</f>
        <v>4786202.6160372095</v>
      </c>
      <c r="AJ964" s="193">
        <f>(((M964*'Appendix K'!$C$16*1000)-('Appendix K'!$E$42+'Appendix K'!$F$42+'Appendix K'!$H$42+'Appendix K'!$G$42))/((1+$Y$16)^AJ$34))</f>
        <v>5175921.660274989</v>
      </c>
      <c r="AK964" s="193">
        <f>(((N964*'Appendix K'!$C$17*1000)-('Appendix K'!$E$43+'Appendix K'!$F$43+'Appendix K'!$H$43))/((1+$Y$16)^AK$34))</f>
        <v>3231667.0417661658</v>
      </c>
      <c r="AL964" s="193">
        <f>(((O964*'Appendix K'!$C$18*1000)-('Appendix K'!$E$44+'Appendix K'!$F$44+'Appendix K'!$H$44+'Appendix K'!$G$44))/((1+$Y$16)^AL$34))</f>
        <v>3610094.1679229722</v>
      </c>
      <c r="AM964" s="193">
        <f>(((P964*'Appendix K'!$C$19*1000)-('Appendix K'!$E$45+'Appendix K'!$F$45+'Appendix K'!$H$45+'Appendix K'!$G$45))/((1+$Y$16)^AM$34))</f>
        <v>1336063.388214777</v>
      </c>
      <c r="AN964" s="193">
        <f>(((Q964*'Appendix K'!$C$20*1000)-('Appendix K'!$E$46+'Appendix K'!$F$46+'Appendix K'!$H$46+'Appendix K'!$G$46))/((1+$Y$16)^AN$34))</f>
        <v>705659.02334404283</v>
      </c>
      <c r="AO964" s="193">
        <f>(((R964*'Appendix K'!$C$21*1000)-('Appendix K'!$E$47+'Appendix K'!$F$47+'Appendix K'!$H$47+'Appendix K'!$G$47))/((1+$Y$16)^AO$34))</f>
        <v>617955.28581469774</v>
      </c>
      <c r="AP964" s="193">
        <f>(((S964*'Appendix K'!$C$22*1000)-('Appendix K'!$E$48+'Appendix K'!$F$48+'Appendix K'!$H$48+'Appendix K'!$G$48))/((1+$Y$16)^AP$34))</f>
        <v>-284142.95674588415</v>
      </c>
      <c r="AQ964" s="193">
        <f>(((T964*'Appendix K'!$C$23*1000)-('Appendix K'!$E$49+'Appendix K'!$F$49+'Appendix K'!$H$49+'Appendix K'!$G$49))/((1+$Y$16)^AQ$34))</f>
        <v>-289924.84390999889</v>
      </c>
      <c r="AR964" s="193">
        <f>(((U964*'Appendix K'!$C$24*1000)-('Appendix K'!$E$50+'Appendix K'!$F$50+'Appendix K'!$H$50+'Appendix K'!$G$50))/((1+$Y$16)^AR$34))</f>
        <v>-328087.045479636</v>
      </c>
      <c r="AS964" s="209">
        <f t="shared" si="44"/>
        <v>223468620.77054262</v>
      </c>
      <c r="AU964" s="199">
        <f t="shared" si="43"/>
        <v>4.0050669583659869E-10</v>
      </c>
    </row>
    <row r="965" spans="1:47" x14ac:dyDescent="0.35">
      <c r="A965">
        <v>931</v>
      </c>
      <c r="B965" s="70">
        <v>56</v>
      </c>
      <c r="C965" s="70">
        <v>47.295516787552344</v>
      </c>
      <c r="D965" s="70">
        <v>32.075828376516732</v>
      </c>
      <c r="E965" s="70">
        <v>48.13875666331792</v>
      </c>
      <c r="F965" s="70">
        <v>57.934897529641269</v>
      </c>
      <c r="G965" s="70">
        <v>56.261361433357813</v>
      </c>
      <c r="H965" s="70">
        <v>50.14141095233132</v>
      </c>
      <c r="I965" s="70">
        <v>83.218175212272428</v>
      </c>
      <c r="J965" s="70">
        <v>71.151007148569335</v>
      </c>
      <c r="K965" s="70">
        <v>45.945531554835696</v>
      </c>
      <c r="L965" s="70">
        <v>42.076027989026315</v>
      </c>
      <c r="M965" s="70">
        <v>22.627351788438137</v>
      </c>
      <c r="N965" s="70">
        <v>34.822851129195357</v>
      </c>
      <c r="O965" s="70">
        <v>35.594038880110759</v>
      </c>
      <c r="P965" s="70">
        <v>34.702814244030606</v>
      </c>
      <c r="Q965" s="70">
        <v>42.024148162597044</v>
      </c>
      <c r="R965" s="70">
        <v>51.043789268090258</v>
      </c>
      <c r="S965" s="70">
        <v>38.623384812361863</v>
      </c>
      <c r="T965" s="70">
        <v>54.607903324271192</v>
      </c>
      <c r="U965" s="70">
        <v>84.059473855833573</v>
      </c>
      <c r="V965" s="70">
        <v>98.697002343930507</v>
      </c>
      <c r="X965" s="193">
        <f>((0-('Appendix K'!$I$30))/(1+$Y$16)^0)</f>
        <v>-33594902.4440751</v>
      </c>
      <c r="Y965" s="193">
        <f>(((B965*'Appendix K'!$C$5*1000)-('Appendix K'!$E$31+'Appendix K'!$F$31+'Appendix K'!$H$31+'Appendix K'!$G$31))/((1+$Y$16)^1))</f>
        <v>34971064.972647354</v>
      </c>
      <c r="Z965" s="193">
        <f>+(((C965*'Appendix K'!$C$6*1000)-('Appendix K'!$E$32+'Appendix K'!$F$32+'Appendix K'!$H$32+'Appendix K'!$G$32))/((1+$Y$16)^2))</f>
        <v>8460408.7717416845</v>
      </c>
      <c r="AA965" s="193">
        <f>(((D965*'Appendix K'!$C$7*1000)-('Appendix K'!$E$33+'Appendix K'!$F$33+'Appendix K'!$H$33+'Appendix K'!$G$33))/((1+$Y$16)^3))</f>
        <v>1120756.4823295521</v>
      </c>
      <c r="AB965" s="193">
        <f>(((E965*'Appendix K'!$C$8*1000)-('Appendix K'!$E$34+'Appendix K'!$F$34+'Appendix K'!$H$34+'Appendix K'!$G$34))/((1+$Y$16)^4))</f>
        <v>7258366.9038419519</v>
      </c>
      <c r="AC965" s="193">
        <f>(((F965*'Appendix K'!$C$9*1000)-('Appendix K'!$E$35+'Appendix K'!$F$35+'Appendix K'!$H$35+'Appendix K'!$G$35))/((1+$Y$16)^AC$34))</f>
        <v>12414776.270105058</v>
      </c>
      <c r="AD965" s="193">
        <f>(((G965*'Appendix K'!$C$10*1000)-('Appendix K'!$E$36+'Appendix K'!$F$36+'Appendix K'!$H$36+'Appendix K'!$G$36))/((1+$Y$16)^AD$34))</f>
        <v>6319743.5393913444</v>
      </c>
      <c r="AE965" s="193">
        <f>(((H965*'Appendix K'!$C$11*1000)-('Appendix K'!$E$37+'Appendix K'!$F$37+'Appendix K'!$H$37+'Appendix K'!$G$37))/((1+$Y$16)^AE$34))</f>
        <v>2781044.4695108375</v>
      </c>
      <c r="AF965" s="193">
        <f>(((I965*'Appendix K'!$C$12*1000)-('Appendix K'!$E$38+'Appendix K'!$F$38+'Appendix K'!$H$38+'Appendix K'!$G$38))/((1+$Y$16)^AF$34))</f>
        <v>3467728.347552774</v>
      </c>
      <c r="AG965" s="193">
        <f>(((J965*'Appendix K'!$C$13*1000)-('Appendix K'!$E$39+'Appendix K'!$F$39+'Appendix K'!$H$39+'Appendix K'!$G$39))/((1+$Y$16)^AG$34))</f>
        <v>1459349.5286717382</v>
      </c>
      <c r="AH965" s="193">
        <f>(((K965*'Appendix K'!$C$14*1000)-('Appendix K'!$E$40+'Appendix K'!$F$40+'Appendix K'!$H$40+'Appendix K'!$G$40))/((1+$Y$16)^AH$34))</f>
        <v>-84076.86738088014</v>
      </c>
      <c r="AI965" s="193">
        <f>(((L965*'Appendix K'!$C$15*1000)-('Appendix K'!$E$41+'Appendix K'!$F$41+'Appendix K'!$H$41+'Appendix K'!$G$41))/((1+$Y$16)^AI$34))</f>
        <v>-414010.73246037908</v>
      </c>
      <c r="AJ965" s="193">
        <f>(((M965*'Appendix K'!$C$16*1000)-('Appendix K'!$E$42+'Appendix K'!$F$42+'Appendix K'!$H$42+'Appendix K'!$G$42))/((1+$Y$16)^AJ$34))</f>
        <v>-928056.5841007852</v>
      </c>
      <c r="AK965" s="193">
        <f>(((N965*'Appendix K'!$C$17*1000)-('Appendix K'!$E$43+'Appendix K'!$F$43+'Appendix K'!$H$43))/((1+$Y$16)^AK$34))</f>
        <v>-469243.90227767423</v>
      </c>
      <c r="AL965" s="193">
        <f>(((O965*'Appendix K'!$C$18*1000)-('Appendix K'!$E$44+'Appendix K'!$F$44+'Appendix K'!$H$44+'Appendix K'!$G$44))/((1+$Y$16)^AL$34))</f>
        <v>-712682.50920262851</v>
      </c>
      <c r="AM965" s="193">
        <f>(((P965*'Appendix K'!$C$19*1000)-('Appendix K'!$E$45+'Appendix K'!$F$45+'Appendix K'!$H$45+'Appendix K'!$G$45))/((1+$Y$16)^AM$34))</f>
        <v>-705114.86444826354</v>
      </c>
      <c r="AN965" s="193">
        <f>(((Q965*'Appendix K'!$C$20*1000)-('Appendix K'!$E$46+'Appendix K'!$F$46+'Appendix K'!$H$46+'Appendix K'!$G$46))/((1+$Y$16)^AN$34))</f>
        <v>-611612.98810560547</v>
      </c>
      <c r="AO965" s="193">
        <f>(((R965*'Appendix K'!$C$21*1000)-('Appendix K'!$E$47+'Appendix K'!$F$47+'Appendix K'!$H$47+'Appendix K'!$G$47))/((1+$Y$16)^AO$34))</f>
        <v>-541324.49148669792</v>
      </c>
      <c r="AP965" s="193">
        <f>(((S965*'Appendix K'!$C$22*1000)-('Appendix K'!$E$48+'Appendix K'!$F$48+'Appendix K'!$H$48+'Appendix K'!$G$48))/((1+$Y$16)^AP$34))</f>
        <v>-579458.05953996361</v>
      </c>
      <c r="AQ965" s="193">
        <f>(((T965*'Appendix K'!$C$23*1000)-('Appendix K'!$E$49+'Appendix K'!$F$49+'Appendix K'!$H$49+'Appendix K'!$G$49))/((1+$Y$16)^AQ$34))</f>
        <v>-479764.27788237366</v>
      </c>
      <c r="AR965" s="193">
        <f>(((U965*'Appendix K'!$C$24*1000)-('Appendix K'!$E$50+'Appendix K'!$F$50+'Appendix K'!$H$50+'Appendix K'!$G$50))/((1+$Y$16)^AR$34))</f>
        <v>-358615.00824201322</v>
      </c>
      <c r="AS965" s="209">
        <f t="shared" si="44"/>
        <v>44658336.841717206</v>
      </c>
      <c r="AU965" s="199">
        <f t="shared" si="43"/>
        <v>5.27849902578985E-9</v>
      </c>
    </row>
    <row r="966" spans="1:47" x14ac:dyDescent="0.35">
      <c r="A966">
        <v>932</v>
      </c>
      <c r="B966" s="70">
        <v>56</v>
      </c>
      <c r="C966" s="70">
        <v>92.80907086618322</v>
      </c>
      <c r="D966" s="70">
        <v>148.45227586904599</v>
      </c>
      <c r="E966" s="70">
        <v>147.23158719639264</v>
      </c>
      <c r="F966" s="70">
        <v>168.6852482084621</v>
      </c>
      <c r="G966" s="70">
        <v>279.02729734764563</v>
      </c>
      <c r="H966" s="70">
        <v>205.71735279572772</v>
      </c>
      <c r="I966" s="70">
        <v>179.58127320162072</v>
      </c>
      <c r="J966" s="70">
        <v>211.04343465004607</v>
      </c>
      <c r="K966" s="70">
        <v>236.24053547693222</v>
      </c>
      <c r="L966" s="70">
        <v>301.68205191642312</v>
      </c>
      <c r="M966" s="70">
        <v>260.83571376182169</v>
      </c>
      <c r="N966" s="70">
        <v>258.59488903463455</v>
      </c>
      <c r="O966" s="70">
        <v>252.51196664250486</v>
      </c>
      <c r="P966" s="70">
        <v>146.57709919694042</v>
      </c>
      <c r="Q966" s="70">
        <v>179.23082680944324</v>
      </c>
      <c r="R966" s="70">
        <v>221.50984758663282</v>
      </c>
      <c r="S966" s="70">
        <v>300.87526163776801</v>
      </c>
      <c r="T966" s="70">
        <v>339.90282192780541</v>
      </c>
      <c r="U966" s="70">
        <v>396.25928005307111</v>
      </c>
      <c r="V966" s="70">
        <v>500</v>
      </c>
      <c r="X966" s="193">
        <f>((0-('Appendix K'!$I$30))/(1+$Y$16)^0)</f>
        <v>-33594902.4440751</v>
      </c>
      <c r="Y966" s="193">
        <f>(((B966*'Appendix K'!$C$5*1000)-('Appendix K'!$E$31+'Appendix K'!$F$31+'Appendix K'!$H$31+'Appendix K'!$G$31))/((1+$Y$16)^1))</f>
        <v>34971064.972647354</v>
      </c>
      <c r="Z966" s="193">
        <f>+(((C966*'Appendix K'!$C$6*1000)-('Appendix K'!$E$32+'Appendix K'!$F$32+'Appendix K'!$H$32+'Appendix K'!$G$32))/((1+$Y$16)^2))</f>
        <v>19957910.955966838</v>
      </c>
      <c r="AA966" s="193">
        <f>(((D966*'Appendix K'!$C$7*1000)-('Appendix K'!$E$33+'Appendix K'!$F$33+'Appendix K'!$H$33+'Appendix K'!$G$33))/((1+$Y$16)^3))</f>
        <v>15944191.627221959</v>
      </c>
      <c r="AB966" s="193">
        <f>(((E966*'Appendix K'!$C$8*1000)-('Appendix K'!$E$34+'Appendix K'!$F$34+'Appendix K'!$H$34+'Appendix K'!$G$34))/((1+$Y$16)^4))</f>
        <v>28978608.249137823</v>
      </c>
      <c r="AC966" s="193">
        <f>(((F966*'Appendix K'!$C$9*1000)-('Appendix K'!$E$35+'Appendix K'!$F$35+'Appendix K'!$H$35+'Appendix K'!$G$35))/((1+$Y$16)^AC$34))</f>
        <v>41852045.57127706</v>
      </c>
      <c r="AD966" s="193">
        <f>(((G966*'Appendix K'!$C$10*1000)-('Appendix K'!$E$36+'Appendix K'!$F$36+'Appendix K'!$H$36+'Appendix K'!$G$36))/((1+$Y$16)^AD$34))</f>
        <v>41303786.378601998</v>
      </c>
      <c r="AE966" s="193">
        <f>(((H966*'Appendix K'!$C$11*1000)-('Appendix K'!$E$37+'Appendix K'!$F$37+'Appendix K'!$H$37+'Appendix K'!$G$37))/((1+$Y$16)^AE$34))</f>
        <v>18297820.012973793</v>
      </c>
      <c r="AF966" s="193">
        <f>(((I966*'Appendix K'!$C$12*1000)-('Appendix K'!$E$38+'Appendix K'!$F$38+'Appendix K'!$H$38+'Appendix K'!$G$38))/((1+$Y$16)^AF$34))</f>
        <v>9795163.2385340706</v>
      </c>
      <c r="AG966" s="193">
        <f>(((J966*'Appendix K'!$C$13*1000)-('Appendix K'!$E$39+'Appendix K'!$F$39+'Appendix K'!$H$39+'Appendix K'!$G$39))/((1+$Y$16)^AG$34))</f>
        <v>7897049.7157676322</v>
      </c>
      <c r="AH966" s="193">
        <f>(((K966*'Appendix K'!$C$14*1000)-('Appendix K'!$E$40+'Appendix K'!$F$40+'Appendix K'!$H$40+'Appendix K'!$G$40))/((1+$Y$16)^AH$34))</f>
        <v>6330106.7738819178</v>
      </c>
      <c r="AI966" s="193">
        <f>(((L966*'Appendix K'!$C$15*1000)-('Appendix K'!$E$41+'Appendix K'!$F$41+'Appendix K'!$H$41+'Appendix K'!$G$41))/((1+$Y$16)^AI$34))</f>
        <v>6388152.5600826498</v>
      </c>
      <c r="AJ966" s="193">
        <f>(((M966*'Appendix K'!$C$16*1000)-('Appendix K'!$E$42+'Appendix K'!$F$42+'Appendix K'!$H$42+'Appendix K'!$G$42))/((1+$Y$16)^AJ$34))</f>
        <v>3846083.7196046179</v>
      </c>
      <c r="AK966" s="193">
        <f>(((N966*'Appendix K'!$C$17*1000)-('Appendix K'!$E$43+'Appendix K'!$F$43+'Appendix K'!$H$43))/((1+$Y$16)^AK$34))</f>
        <v>2968766.7431038893</v>
      </c>
      <c r="AL966" s="193">
        <f>(((O966*'Appendix K'!$C$18*1000)-('Appendix K'!$E$44+'Appendix K'!$F$44+'Appendix K'!$H$44+'Appendix K'!$G$44))/((1+$Y$16)^AL$34))</f>
        <v>1858509.5171264489</v>
      </c>
      <c r="AM966" s="193">
        <f>(((P966*'Appendix K'!$C$19*1000)-('Appendix K'!$E$45+'Appendix K'!$F$45+'Appendix K'!$H$45+'Appendix K'!$G$45))/((1+$Y$16)^AM$34))</f>
        <v>331817.87723253551</v>
      </c>
      <c r="AN966" s="193">
        <f>(((Q966*'Appendix K'!$C$20*1000)-('Appendix K'!$E$46+'Appendix K'!$F$46+'Appendix K'!$H$46+'Appendix K'!$G$46))/((1+$Y$16)^AN$34))</f>
        <v>381244.29746093409</v>
      </c>
      <c r="AO966" s="193">
        <f>(((R966*'Appendix K'!$C$21*1000)-('Appendix K'!$E$47+'Appendix K'!$F$47+'Appendix K'!$H$47+'Appendix K'!$G$47))/((1+$Y$16)^AO$34))</f>
        <v>466148.74627287057</v>
      </c>
      <c r="AP966" s="193">
        <f>(((S966*'Appendix K'!$C$22*1000)-('Appendix K'!$E$48+'Appendix K'!$F$48+'Appendix K'!$H$48+'Appendix K'!$G$48))/((1+$Y$16)^AP$34))</f>
        <v>676654.82728380733</v>
      </c>
      <c r="AQ966" s="193">
        <f>(((T966*'Appendix K'!$C$23*1000)-('Appendix K'!$E$49+'Appendix K'!$F$49+'Appendix K'!$H$49+'Appendix K'!$G$49))/((1+$Y$16)^AQ$34))</f>
        <v>636806.99615956913</v>
      </c>
      <c r="AR966" s="193">
        <f>(((U966*'Appendix K'!$C$24*1000)-('Appendix K'!$E$50+'Appendix K'!$F$50+'Appendix K'!$H$50+'Appendix K'!$G$50))/((1+$Y$16)^AR$34))</f>
        <v>646677.11519530707</v>
      </c>
      <c r="AS966" s="209">
        <f t="shared" si="44"/>
        <v>209933707.45145792</v>
      </c>
      <c r="AU966" s="199">
        <f t="shared" si="43"/>
        <v>6.8897431988221254E-10</v>
      </c>
    </row>
    <row r="967" spans="1:47" x14ac:dyDescent="0.35">
      <c r="A967">
        <v>933</v>
      </c>
      <c r="B967" s="70">
        <v>56</v>
      </c>
      <c r="C967" s="70">
        <v>67.848022487578191</v>
      </c>
      <c r="D967" s="70">
        <v>61.17254825043414</v>
      </c>
      <c r="E967" s="70">
        <v>69.158657567699734</v>
      </c>
      <c r="F967" s="70">
        <v>42.078859379368815</v>
      </c>
      <c r="G967" s="70">
        <v>46.686434950181251</v>
      </c>
      <c r="H967" s="70">
        <v>64.574028562389486</v>
      </c>
      <c r="I967" s="70">
        <v>75.641247847104111</v>
      </c>
      <c r="J967" s="70">
        <v>79.773361825461222</v>
      </c>
      <c r="K967" s="70">
        <v>84.773167606874694</v>
      </c>
      <c r="L967" s="70">
        <v>67.209332719016601</v>
      </c>
      <c r="M967" s="70">
        <v>99.214114107732428</v>
      </c>
      <c r="N967" s="70">
        <v>99.524611232497676</v>
      </c>
      <c r="O967" s="70">
        <v>116.32741417874865</v>
      </c>
      <c r="P967" s="70">
        <v>115.31302481206181</v>
      </c>
      <c r="Q967" s="70">
        <v>109.94461558435452</v>
      </c>
      <c r="R967" s="70">
        <v>68.276554812733337</v>
      </c>
      <c r="S967" s="70">
        <v>38.813522545690674</v>
      </c>
      <c r="T967" s="70">
        <v>49.986220621045298</v>
      </c>
      <c r="U967" s="70">
        <v>31.000101585735727</v>
      </c>
      <c r="V967" s="70">
        <v>25.458563070149168</v>
      </c>
      <c r="X967" s="193">
        <f>((0-('Appendix K'!$I$30))/(1+$Y$16)^0)</f>
        <v>-33594902.4440751</v>
      </c>
      <c r="Y967" s="193">
        <f>(((B967*'Appendix K'!$C$5*1000)-('Appendix K'!$E$31+'Appendix K'!$F$31+'Appendix K'!$H$31+'Appendix K'!$G$31))/((1+$Y$16)^1))</f>
        <v>34971064.972647354</v>
      </c>
      <c r="Z967" s="193">
        <f>+(((C967*'Appendix K'!$C$6*1000)-('Appendix K'!$E$32+'Appendix K'!$F$32+'Appendix K'!$H$32+'Appendix K'!$G$32))/((1+$Y$16)^2))</f>
        <v>13652323.223623477</v>
      </c>
      <c r="AA967" s="193">
        <f>(((D967*'Appendix K'!$C$7*1000)-('Appendix K'!$E$33+'Appendix K'!$F$33+'Appendix K'!$H$33+'Appendix K'!$G$33))/((1+$Y$16)^3))</f>
        <v>4826947.4623197652</v>
      </c>
      <c r="AB967" s="193">
        <f>(((E967*'Appendix K'!$C$8*1000)-('Appendix K'!$E$34+'Appendix K'!$F$34+'Appendix K'!$H$34+'Appendix K'!$G$34))/((1+$Y$16)^4))</f>
        <v>11865736.76341003</v>
      </c>
      <c r="AC967" s="193">
        <f>(((F967*'Appendix K'!$C$9*1000)-('Appendix K'!$E$35+'Appendix K'!$F$35+'Appendix K'!$H$35+'Appendix K'!$G$35))/((1+$Y$16)^AC$34))</f>
        <v>8200266.228210561</v>
      </c>
      <c r="AD967" s="193">
        <f>(((G967*'Appendix K'!$C$10*1000)-('Appendix K'!$E$36+'Appendix K'!$F$36+'Appendix K'!$H$36+'Appendix K'!$G$36))/((1+$Y$16)^AD$34))</f>
        <v>4816059.2489950527</v>
      </c>
      <c r="AE967" s="193">
        <f>(((H967*'Appendix K'!$C$11*1000)-('Appendix K'!$E$37+'Appendix K'!$F$37+'Appendix K'!$H$37+'Appendix K'!$G$37))/((1+$Y$16)^AE$34))</f>
        <v>4220519.5278417096</v>
      </c>
      <c r="AF967" s="193">
        <f>(((I967*'Appendix K'!$C$12*1000)-('Appendix K'!$E$38+'Appendix K'!$F$38+'Appendix K'!$H$38+'Appendix K'!$G$38))/((1+$Y$16)^AF$34))</f>
        <v>2970208.9072573157</v>
      </c>
      <c r="AG967" s="193">
        <f>(((J967*'Appendix K'!$C$13*1000)-('Appendix K'!$E$39+'Appendix K'!$F$39+'Appendix K'!$H$39+'Appendix K'!$G$39))/((1+$Y$16)^AG$34))</f>
        <v>1856141.0870714816</v>
      </c>
      <c r="AH967" s="193">
        <f>(((K967*'Appendix K'!$C$14*1000)-('Appendix K'!$E$40+'Appendix K'!$F$40+'Appendix K'!$H$40+'Appendix K'!$G$40))/((1+$Y$16)^AH$34))</f>
        <v>1224667.8860854271</v>
      </c>
      <c r="AI967" s="193">
        <f>(((L967*'Appendix K'!$C$15*1000)-('Appendix K'!$E$41+'Appendix K'!$F$41+'Appendix K'!$H$41+'Appendix K'!$G$41))/((1+$Y$16)^AI$34))</f>
        <v>244528.85097567432</v>
      </c>
      <c r="AJ967" s="193">
        <f>(((M967*'Appendix K'!$C$16*1000)-('Appendix K'!$E$42+'Appendix K'!$F$42+'Appendix K'!$H$42+'Appendix K'!$G$42))/((1+$Y$16)^AJ$34))</f>
        <v>606885.11857421976</v>
      </c>
      <c r="AK967" s="193">
        <f>(((N967*'Appendix K'!$C$17*1000)-('Appendix K'!$E$43+'Appendix K'!$F$43+'Appendix K'!$H$43))/((1+$Y$16)^AK$34))</f>
        <v>524827.30560075457</v>
      </c>
      <c r="AL967" s="193">
        <f>(((O967*'Appendix K'!$C$18*1000)-('Appendix K'!$E$44+'Appendix K'!$F$44+'Appendix K'!$H$44+'Appendix K'!$G$44))/((1+$Y$16)^AL$34))</f>
        <v>244273.94417945031</v>
      </c>
      <c r="AM967" s="193">
        <f>(((P967*'Appendix K'!$C$19*1000)-('Appendix K'!$E$45+'Appendix K'!$F$45+'Appendix K'!$H$45+'Appendix K'!$G$45))/((1+$Y$16)^AM$34))</f>
        <v>42039.557025435868</v>
      </c>
      <c r="AN967" s="193">
        <f>(((Q967*'Appendix K'!$C$20*1000)-('Appendix K'!$E$46+'Appendix K'!$F$46+'Appendix K'!$H$46+'Appendix K'!$G$46))/((1+$Y$16)^AN$34))</f>
        <v>-120125.75451147924</v>
      </c>
      <c r="AO967" s="193">
        <f>(((R967*'Appendix K'!$C$21*1000)-('Appendix K'!$E$47+'Appendix K'!$F$47+'Appendix K'!$H$47+'Appendix K'!$G$47))/((1+$Y$16)^AO$34))</f>
        <v>-439476.9432412266</v>
      </c>
      <c r="AP967" s="193">
        <f>(((S967*'Appendix K'!$C$22*1000)-('Appendix K'!$E$48+'Appendix K'!$F$48+'Appendix K'!$H$48+'Appendix K'!$G$48))/((1+$Y$16)^AP$34))</f>
        <v>-578547.35316105443</v>
      </c>
      <c r="AQ967" s="193">
        <f>(((T967*'Appendix K'!$C$23*1000)-('Appendix K'!$E$49+'Appendix K'!$F$49+'Appendix K'!$H$49+'Appendix K'!$G$49))/((1+$Y$16)^AQ$34))</f>
        <v>-497852.36080168368</v>
      </c>
      <c r="AR967" s="193">
        <f>(((U967*'Appendix K'!$C$24*1000)-('Appendix K'!$E$50+'Appendix K'!$F$50+'Appendix K'!$H$50+'Appendix K'!$G$50))/((1+$Y$16)^AR$34))</f>
        <v>-529467.67361477565</v>
      </c>
      <c r="AS967" s="209">
        <f t="shared" si="44"/>
        <v>56671587.639742576</v>
      </c>
      <c r="AU967" s="199">
        <f t="shared" si="43"/>
        <v>6.0585688422846918E-9</v>
      </c>
    </row>
    <row r="968" spans="1:47" x14ac:dyDescent="0.35">
      <c r="A968">
        <v>934</v>
      </c>
      <c r="B968" s="70">
        <v>56</v>
      </c>
      <c r="C968" s="70">
        <v>52.84919442145641</v>
      </c>
      <c r="D968" s="70">
        <v>56.78279441526044</v>
      </c>
      <c r="E968" s="70">
        <v>100.40177634418382</v>
      </c>
      <c r="F968" s="70">
        <v>183.10885035276448</v>
      </c>
      <c r="G968" s="70">
        <v>188.11208610523462</v>
      </c>
      <c r="H968" s="70">
        <v>178.90258141999044</v>
      </c>
      <c r="I968" s="70">
        <v>170.80205921382475</v>
      </c>
      <c r="J968" s="70">
        <v>88.706291087357471</v>
      </c>
      <c r="K968" s="70">
        <v>78.396289702452378</v>
      </c>
      <c r="L968" s="70">
        <v>52.001434780924505</v>
      </c>
      <c r="M968" s="70">
        <v>67.013951745008228</v>
      </c>
      <c r="N968" s="70">
        <v>81.07266525162062</v>
      </c>
      <c r="O968" s="70">
        <v>105.01522194078181</v>
      </c>
      <c r="P968" s="70">
        <v>68.124486767256343</v>
      </c>
      <c r="Q968" s="70">
        <v>81.76654553267521</v>
      </c>
      <c r="R968" s="70">
        <v>105.82205690215318</v>
      </c>
      <c r="S968" s="70">
        <v>134.84392967218201</v>
      </c>
      <c r="T968" s="70">
        <v>143.2640554162933</v>
      </c>
      <c r="U968" s="70">
        <v>165.15703767894797</v>
      </c>
      <c r="V968" s="70">
        <v>217.39720983209361</v>
      </c>
      <c r="X968" s="193">
        <f>((0-('Appendix K'!$I$30))/(1+$Y$16)^0)</f>
        <v>-33594902.4440751</v>
      </c>
      <c r="Y968" s="193">
        <f>(((B968*'Appendix K'!$C$5*1000)-('Appendix K'!$E$31+'Appendix K'!$F$31+'Appendix K'!$H$31+'Appendix K'!$G$31))/((1+$Y$16)^1))</f>
        <v>34971064.972647354</v>
      </c>
      <c r="Z968" s="193">
        <f>+(((C968*'Appendix K'!$C$6*1000)-('Appendix K'!$E$32+'Appendix K'!$F$32+'Appendix K'!$H$32+'Appendix K'!$G$32))/((1+$Y$16)^2))</f>
        <v>9863362.7273035571</v>
      </c>
      <c r="AA968" s="193">
        <f>(((D968*'Appendix K'!$C$7*1000)-('Appendix K'!$E$33+'Appendix K'!$F$33+'Appendix K'!$H$33+'Appendix K'!$G$33))/((1+$Y$16)^3))</f>
        <v>4267803.1278794361</v>
      </c>
      <c r="AB968" s="193">
        <f>(((E968*'Appendix K'!$C$8*1000)-('Appendix K'!$E$34+'Appendix K'!$F$34+'Appendix K'!$H$34+'Appendix K'!$G$34))/((1+$Y$16)^4))</f>
        <v>18713942.395990852</v>
      </c>
      <c r="AC968" s="193">
        <f>(((F968*'Appendix K'!$C$9*1000)-('Appendix K'!$E$35+'Appendix K'!$F$35+'Appendix K'!$H$35+'Appendix K'!$G$35))/((1+$Y$16)^AC$34))</f>
        <v>45685816.372112878</v>
      </c>
      <c r="AD968" s="193">
        <f>(((G968*'Appendix K'!$C$10*1000)-('Appendix K'!$E$36+'Appendix K'!$F$36+'Appendix K'!$H$36+'Appendix K'!$G$36))/((1+$Y$16)^AD$34))</f>
        <v>27026102.352152981</v>
      </c>
      <c r="AE968" s="193">
        <f>(((H968*'Appendix K'!$C$11*1000)-('Appendix K'!$E$37+'Appendix K'!$F$37+'Appendix K'!$H$37+'Appendix K'!$G$37))/((1+$Y$16)^AE$34))</f>
        <v>15623378.298165355</v>
      </c>
      <c r="AF968" s="193">
        <f>(((I968*'Appendix K'!$C$12*1000)-('Appendix K'!$E$38+'Appendix K'!$F$38+'Appendix K'!$H$38+'Appendix K'!$G$38))/((1+$Y$16)^AF$34))</f>
        <v>9218698.740600314</v>
      </c>
      <c r="AG968" s="193">
        <f>(((J968*'Appendix K'!$C$13*1000)-('Appendix K'!$E$39+'Appendix K'!$F$39+'Appendix K'!$H$39+'Appendix K'!$G$39))/((1+$Y$16)^AG$34))</f>
        <v>2267224.9563539475</v>
      </c>
      <c r="AH968" s="193">
        <f>(((K968*'Appendix K'!$C$14*1000)-('Appendix K'!$E$40+'Appendix K'!$F$40+'Appendix K'!$H$40+'Appendix K'!$G$40))/((1+$Y$16)^AH$34))</f>
        <v>1009725.4803792818</v>
      </c>
      <c r="AI968" s="193">
        <f>(((L968*'Appendix K'!$C$15*1000)-('Appendix K'!$E$41+'Appendix K'!$F$41+'Appendix K'!$H$41+'Appendix K'!$G$41))/((1+$Y$16)^AI$34))</f>
        <v>-153946.51391093343</v>
      </c>
      <c r="AJ968" s="193">
        <f>(((M968*'Appendix K'!$C$16*1000)-('Appendix K'!$E$42+'Appendix K'!$F$42+'Appendix K'!$H$42+'Appendix K'!$G$42))/((1+$Y$16)^AJ$34))</f>
        <v>-38466.252167821462</v>
      </c>
      <c r="AK968" s="193">
        <f>(((N968*'Appendix K'!$C$17*1000)-('Appendix K'!$E$43+'Appendix K'!$F$43+'Appendix K'!$H$43))/((1+$Y$16)^AK$34))</f>
        <v>241333.49956468391</v>
      </c>
      <c r="AL968" s="193">
        <f>(((O968*'Appendix K'!$C$18*1000)-('Appendix K'!$E$44+'Appendix K'!$F$44+'Appendix K'!$H$44+'Appendix K'!$G$44))/((1+$Y$16)^AL$34))</f>
        <v>110187.20094621323</v>
      </c>
      <c r="AM968" s="193">
        <f>(((P968*'Appendix K'!$C$19*1000)-('Appendix K'!$E$45+'Appendix K'!$F$45+'Appendix K'!$H$45+'Appendix K'!$G$45))/((1+$Y$16)^AM$34))</f>
        <v>-395338.34578131756</v>
      </c>
      <c r="AN968" s="193">
        <f>(((Q968*'Appendix K'!$C$20*1000)-('Appendix K'!$E$46+'Appendix K'!$F$46+'Appendix K'!$H$46+'Appendix K'!$G$46))/((1+$Y$16)^AN$34))</f>
        <v>-324028.38097198203</v>
      </c>
      <c r="AO968" s="193">
        <f>(((R968*'Appendix K'!$C$21*1000)-('Appendix K'!$E$47+'Appendix K'!$F$47+'Appendix K'!$H$47+'Appendix K'!$G$47))/((1+$Y$16)^AO$34))</f>
        <v>-217578.8778641737</v>
      </c>
      <c r="AP968" s="193">
        <f>(((S968*'Appendix K'!$C$22*1000)-('Appendix K'!$E$48+'Appendix K'!$F$48+'Appendix K'!$H$48+'Appendix K'!$G$48))/((1+$Y$16)^AP$34))</f>
        <v>-118588.6547574392</v>
      </c>
      <c r="AQ968" s="193">
        <f>(((T968*'Appendix K'!$C$23*1000)-('Appendix K'!$E$49+'Appendix K'!$F$49+'Appendix K'!$H$49+'Appendix K'!$G$49))/((1+$Y$16)^AQ$34))</f>
        <v>-132786.795151214</v>
      </c>
      <c r="AR968" s="193">
        <f>(((U968*'Appendix K'!$C$24*1000)-('Appendix K'!$E$50+'Appendix K'!$F$50+'Appendix K'!$H$50+'Appendix K'!$G$50))/((1+$Y$16)^AR$34))</f>
        <v>-97478.580470413726</v>
      </c>
      <c r="AS968" s="209">
        <f t="shared" si="44"/>
        <v>135403737.68002173</v>
      </c>
      <c r="AU968" s="199">
        <f t="shared" si="43"/>
        <v>4.9314125471958689E-9</v>
      </c>
    </row>
    <row r="969" spans="1:47" x14ac:dyDescent="0.35">
      <c r="A969">
        <v>935</v>
      </c>
      <c r="B969" s="70">
        <v>56</v>
      </c>
      <c r="C969" s="70">
        <v>70.862771903507465</v>
      </c>
      <c r="D969" s="70">
        <v>120.57819260576662</v>
      </c>
      <c r="E969" s="70">
        <v>149.0396145120834</v>
      </c>
      <c r="F969" s="70">
        <v>117.18306980718231</v>
      </c>
      <c r="G969" s="70">
        <v>101.89230359608166</v>
      </c>
      <c r="H969" s="70">
        <v>126.500185144299</v>
      </c>
      <c r="I969" s="70">
        <v>138.01085046762194</v>
      </c>
      <c r="J969" s="70">
        <v>218.54316082787889</v>
      </c>
      <c r="K969" s="70">
        <v>279.96440261132449</v>
      </c>
      <c r="L969" s="70">
        <v>307.49126663422652</v>
      </c>
      <c r="M969" s="70">
        <v>225.36846153866037</v>
      </c>
      <c r="N969" s="70">
        <v>168.33411514409426</v>
      </c>
      <c r="O969" s="70">
        <v>239.34613233701066</v>
      </c>
      <c r="P969" s="70">
        <v>257.75073354402161</v>
      </c>
      <c r="Q969" s="70">
        <v>288.8802288089326</v>
      </c>
      <c r="R969" s="70">
        <v>273.62875221052144</v>
      </c>
      <c r="S969" s="70">
        <v>364.68840508147906</v>
      </c>
      <c r="T969" s="70">
        <v>250.85926649205197</v>
      </c>
      <c r="U969" s="70">
        <v>185.74812598879834</v>
      </c>
      <c r="V969" s="70">
        <v>165.98464617244679</v>
      </c>
      <c r="X969" s="193">
        <f>((0-('Appendix K'!$I$30))/(1+$Y$16)^0)</f>
        <v>-33594902.4440751</v>
      </c>
      <c r="Y969" s="193">
        <f>(((B969*'Appendix K'!$C$5*1000)-('Appendix K'!$E$31+'Appendix K'!$F$31+'Appendix K'!$H$31+'Appendix K'!$G$31))/((1+$Y$16)^1))</f>
        <v>34971064.972647354</v>
      </c>
      <c r="Z969" s="193">
        <f>+(((C969*'Appendix K'!$C$6*1000)-('Appendix K'!$E$32+'Appendix K'!$F$32+'Appendix K'!$H$32+'Appendix K'!$G$32))/((1+$Y$16)^2))</f>
        <v>14413900.487720558</v>
      </c>
      <c r="AA969" s="193">
        <f>(((D969*'Appendix K'!$C$7*1000)-('Appendix K'!$E$33+'Appendix K'!$F$33+'Appendix K'!$H$33+'Appendix K'!$G$33))/((1+$Y$16)^3))</f>
        <v>12393733.82945255</v>
      </c>
      <c r="AB969" s="193">
        <f>(((E969*'Appendix K'!$C$8*1000)-('Appendix K'!$E$34+'Appendix K'!$F$34+'Appendix K'!$H$34+'Appendix K'!$G$34))/((1+$Y$16)^4))</f>
        <v>29374911.285840191</v>
      </c>
      <c r="AC969" s="193">
        <f>(((F969*'Appendix K'!$C$9*1000)-('Appendix K'!$E$35+'Appendix K'!$F$35+'Appendix K'!$H$35+'Appendix K'!$G$35))/((1+$Y$16)^AC$34))</f>
        <v>28162847.425149623</v>
      </c>
      <c r="AD969" s="193">
        <f>(((G969*'Appendix K'!$C$10*1000)-('Appendix K'!$E$36+'Appendix K'!$F$36+'Appendix K'!$H$36+'Appendix K'!$G$36))/((1+$Y$16)^AD$34))</f>
        <v>13485807.008038064</v>
      </c>
      <c r="AE969" s="193">
        <f>(((H969*'Appendix K'!$C$11*1000)-('Appendix K'!$E$37+'Appendix K'!$F$37+'Appendix K'!$H$37+'Appendix K'!$G$37))/((1+$Y$16)^AE$34))</f>
        <v>10396887.548278136</v>
      </c>
      <c r="AF969" s="193">
        <f>(((I969*'Appendix K'!$C$12*1000)-('Appendix K'!$E$38+'Appendix K'!$F$38+'Appendix K'!$H$38+'Appendix K'!$G$38))/((1+$Y$16)^AF$34))</f>
        <v>7065548.3887808919</v>
      </c>
      <c r="AG969" s="193">
        <f>(((J969*'Appendix K'!$C$13*1000)-('Appendix K'!$E$39+'Appendix K'!$F$39+'Appendix K'!$H$39+'Appendix K'!$G$39))/((1+$Y$16)^AG$34))</f>
        <v>8242179.1089772303</v>
      </c>
      <c r="AH969" s="193">
        <f>(((K969*'Appendix K'!$C$14*1000)-('Appendix K'!$E$40+'Appendix K'!$F$40+'Appendix K'!$H$40+'Appendix K'!$G$40))/((1+$Y$16)^AH$34))</f>
        <v>7803886.4713298846</v>
      </c>
      <c r="AI969" s="193">
        <f>(((L969*'Appendix K'!$C$15*1000)-('Appendix K'!$E$41+'Appendix K'!$F$41+'Appendix K'!$H$41+'Appendix K'!$G$41))/((1+$Y$16)^AI$34))</f>
        <v>6540364.8489738889</v>
      </c>
      <c r="AJ969" s="193">
        <f>(((M969*'Appendix K'!$C$16*1000)-('Appendix K'!$E$42+'Appendix K'!$F$42+'Appendix K'!$H$42+'Appendix K'!$G$42))/((1+$Y$16)^AJ$34))</f>
        <v>3135253.7684746939</v>
      </c>
      <c r="AK969" s="193">
        <f>(((N969*'Appendix K'!$C$17*1000)-('Appendix K'!$E$43+'Appendix K'!$F$43+'Appendix K'!$H$43))/((1+$Y$16)^AK$34))</f>
        <v>1582009.4681525449</v>
      </c>
      <c r="AL969" s="193">
        <f>(((O969*'Appendix K'!$C$18*1000)-('Appendix K'!$E$44+'Appendix K'!$F$44+'Appendix K'!$H$44+'Appendix K'!$G$44))/((1+$Y$16)^AL$34))</f>
        <v>1702451.0090286909</v>
      </c>
      <c r="AM969" s="193">
        <f>(((P969*'Appendix K'!$C$19*1000)-('Appendix K'!$E$45+'Appendix K'!$F$45+'Appendix K'!$H$45+'Appendix K'!$G$45))/((1+$Y$16)^AM$34))</f>
        <v>1362256.4763678154</v>
      </c>
      <c r="AN969" s="193">
        <f>(((Q969*'Appendix K'!$C$20*1000)-('Appendix K'!$E$46+'Appendix K'!$F$46+'Appendix K'!$H$46+'Appendix K'!$G$46))/((1+$Y$16)^AN$34))</f>
        <v>1174691.152285079</v>
      </c>
      <c r="AO969" s="193">
        <f>(((R969*'Appendix K'!$C$21*1000)-('Appendix K'!$E$47+'Appendix K'!$F$47+'Appendix K'!$H$47+'Appendix K'!$G$47))/((1+$Y$16)^AO$34))</f>
        <v>774177.23069873231</v>
      </c>
      <c r="AP969" s="193">
        <f>(((S969*'Appendix K'!$C$22*1000)-('Appendix K'!$E$48+'Appendix K'!$F$48+'Appendix K'!$H$48+'Appendix K'!$G$48))/((1+$Y$16)^AP$34))</f>
        <v>982301.8746898527</v>
      </c>
      <c r="AQ969" s="193">
        <f>(((T969*'Appendix K'!$C$23*1000)-('Appendix K'!$E$49+'Appendix K'!$F$49+'Appendix K'!$H$49+'Appendix K'!$G$49))/((1+$Y$16)^AQ$34))</f>
        <v>288313.31591884472</v>
      </c>
      <c r="AR969" s="193">
        <f>(((U969*'Appendix K'!$C$24*1000)-('Appendix K'!$E$50+'Appendix K'!$F$50+'Appendix K'!$H$50+'Appendix K'!$G$50))/((1+$Y$16)^AR$34))</f>
        <v>-31174.699173904275</v>
      </c>
      <c r="AS969" s="209">
        <f t="shared" si="44"/>
        <v>150257683.22672951</v>
      </c>
      <c r="AU969" s="199">
        <f t="shared" si="43"/>
        <v>3.8227818150655502E-9</v>
      </c>
    </row>
    <row r="970" spans="1:47" x14ac:dyDescent="0.35">
      <c r="A970">
        <v>936</v>
      </c>
      <c r="B970" s="70">
        <v>56</v>
      </c>
      <c r="C970" s="70">
        <v>86.077405201062106</v>
      </c>
      <c r="D970" s="70">
        <v>81.679337775254993</v>
      </c>
      <c r="E970" s="70">
        <v>88.998972360806121</v>
      </c>
      <c r="F970" s="70">
        <v>116.15936545152267</v>
      </c>
      <c r="G970" s="70">
        <v>119.7094320366013</v>
      </c>
      <c r="H970" s="70">
        <v>122.0392192793184</v>
      </c>
      <c r="I970" s="70">
        <v>183.35175801170357</v>
      </c>
      <c r="J970" s="70">
        <v>236.73848585683112</v>
      </c>
      <c r="K970" s="70">
        <v>157.86195730185347</v>
      </c>
      <c r="L970" s="70">
        <v>163.76399507458115</v>
      </c>
      <c r="M970" s="70">
        <v>195.48124540617258</v>
      </c>
      <c r="N970" s="70">
        <v>233.12127331426865</v>
      </c>
      <c r="O970" s="70">
        <v>185.23252446986481</v>
      </c>
      <c r="P970" s="70">
        <v>151.14518952543585</v>
      </c>
      <c r="Q970" s="70">
        <v>117.18249054467799</v>
      </c>
      <c r="R970" s="70">
        <v>112.72493944115962</v>
      </c>
      <c r="S970" s="70">
        <v>99.716369305352814</v>
      </c>
      <c r="T970" s="70">
        <v>87.36014517162431</v>
      </c>
      <c r="U970" s="70">
        <v>93.398232320515916</v>
      </c>
      <c r="V970" s="70">
        <v>117.6348782419474</v>
      </c>
      <c r="X970" s="193">
        <f>((0-('Appendix K'!$I$30))/(1+$Y$16)^0)</f>
        <v>-33594902.4440751</v>
      </c>
      <c r="Y970" s="193">
        <f>(((B970*'Appendix K'!$C$5*1000)-('Appendix K'!$E$31+'Appendix K'!$F$31+'Appendix K'!$H$31+'Appendix K'!$G$31))/((1+$Y$16)^1))</f>
        <v>34971064.972647354</v>
      </c>
      <c r="Z970" s="193">
        <f>+(((C970*'Appendix K'!$C$6*1000)-('Appendix K'!$E$32+'Appendix K'!$F$32+'Appendix K'!$H$32+'Appendix K'!$G$32))/((1+$Y$16)^2))</f>
        <v>18257377.076444071</v>
      </c>
      <c r="AA970" s="193">
        <f>(((D970*'Appendix K'!$C$7*1000)-('Appendix K'!$E$33+'Appendix K'!$F$33+'Appendix K'!$H$33+'Appendix K'!$G$33))/((1+$Y$16)^3))</f>
        <v>7438997.1605257075</v>
      </c>
      <c r="AB970" s="193">
        <f>(((E970*'Appendix K'!$C$8*1000)-('Appendix K'!$E$34+'Appendix K'!$F$34+'Appendix K'!$H$34+'Appendix K'!$G$34))/((1+$Y$16)^4))</f>
        <v>16214552.145458067</v>
      </c>
      <c r="AC970" s="193">
        <f>(((F970*'Appendix K'!$C$9*1000)-('Appendix K'!$E$35+'Appendix K'!$F$35+'Appendix K'!$H$35+'Appendix K'!$G$35))/((1+$Y$16)^AC$34))</f>
        <v>27890748.4149196</v>
      </c>
      <c r="AD970" s="193">
        <f>(((G970*'Appendix K'!$C$10*1000)-('Appendix K'!$E$36+'Appendix K'!$F$36+'Appendix K'!$H$36+'Appendix K'!$G$36))/((1+$Y$16)^AD$34))</f>
        <v>16283879.263011048</v>
      </c>
      <c r="AE970" s="193">
        <f>(((H970*'Appendix K'!$C$11*1000)-('Appendix K'!$E$37+'Appendix K'!$F$37+'Appendix K'!$H$37+'Appendix K'!$G$37))/((1+$Y$16)^AE$34))</f>
        <v>9951961.39058448</v>
      </c>
      <c r="AF970" s="193">
        <f>(((I970*'Appendix K'!$C$12*1000)-('Appendix K'!$E$38+'Appendix K'!$F$38+'Appendix K'!$H$38+'Appendix K'!$G$38))/((1+$Y$16)^AF$34))</f>
        <v>10042742.42227794</v>
      </c>
      <c r="AG970" s="193">
        <f>(((J970*'Appendix K'!$C$13*1000)-('Appendix K'!$E$39+'Appendix K'!$F$39+'Appendix K'!$H$39+'Appendix K'!$G$39))/((1+$Y$16)^AG$34))</f>
        <v>9079508.544424478</v>
      </c>
      <c r="AH970" s="193">
        <f>(((K970*'Appendix K'!$C$14*1000)-('Appendix K'!$E$40+'Appendix K'!$F$40+'Appendix K'!$H$40+'Appendix K'!$G$40))/((1+$Y$16)^AH$34))</f>
        <v>3688237.1315142266</v>
      </c>
      <c r="AI970" s="193">
        <f>(((L970*'Appendix K'!$C$15*1000)-('Appendix K'!$E$41+'Appendix K'!$F$41+'Appendix K'!$H$41+'Appendix K'!$G$41))/((1+$Y$16)^AI$34))</f>
        <v>2774441.5627954397</v>
      </c>
      <c r="AJ970" s="193">
        <f>(((M970*'Appendix K'!$C$16*1000)-('Appendix K'!$E$42+'Appendix K'!$F$42+'Appendix K'!$H$42+'Appendix K'!$G$42))/((1+$Y$16)^AJ$34))</f>
        <v>2536258.1584061971</v>
      </c>
      <c r="AK970" s="193">
        <f>(((N970*'Appendix K'!$C$17*1000)-('Appendix K'!$E$43+'Appendix K'!$F$43+'Appendix K'!$H$43))/((1+$Y$16)^AK$34))</f>
        <v>2577392.7231739028</v>
      </c>
      <c r="AL970" s="193">
        <f>(((O970*'Appendix K'!$C$18*1000)-('Appendix K'!$E$44+'Appendix K'!$F$44+'Appendix K'!$H$44+'Appendix K'!$G$44))/((1+$Y$16)^AL$34))</f>
        <v>1061026.4919352485</v>
      </c>
      <c r="AM970" s="193">
        <f>(((P970*'Appendix K'!$C$19*1000)-('Appendix K'!$E$45+'Appendix K'!$F$45+'Appendix K'!$H$45+'Appendix K'!$G$45))/((1+$Y$16)^AM$34))</f>
        <v>374158.28129023401</v>
      </c>
      <c r="AN970" s="193">
        <f>(((Q970*'Appendix K'!$C$20*1000)-('Appendix K'!$E$46+'Appendix K'!$F$46+'Appendix K'!$H$46+'Appendix K'!$G$46))/((1+$Y$16)^AN$34))</f>
        <v>-67750.921469472945</v>
      </c>
      <c r="AO970" s="193">
        <f>(((R970*'Appendix K'!$C$21*1000)-('Appendix K'!$E$47+'Appendix K'!$F$47+'Appendix K'!$H$47+'Appendix K'!$G$47))/((1+$Y$16)^AO$34))</f>
        <v>-176782.079427905</v>
      </c>
      <c r="AP970" s="193">
        <f>(((S970*'Appendix K'!$C$22*1000)-('Appendix K'!$E$48+'Appendix K'!$F$48+'Appendix K'!$H$48+'Appendix K'!$G$48))/((1+$Y$16)^AP$34))</f>
        <v>-286839.81007263908</v>
      </c>
      <c r="AQ970" s="193">
        <f>(((T970*'Appendix K'!$C$23*1000)-('Appendix K'!$E$49+'Appendix K'!$F$49+'Appendix K'!$H$49+'Appendix K'!$G$49))/((1+$Y$16)^AQ$34))</f>
        <v>-351580.38808078395</v>
      </c>
      <c r="AR970" s="193">
        <f>(((U970*'Appendix K'!$C$24*1000)-('Appendix K'!$E$50+'Appendix K'!$F$50+'Appendix K'!$H$50+'Appendix K'!$G$50))/((1+$Y$16)^AR$34))</f>
        <v>-328543.94432438334</v>
      </c>
      <c r="AS970" s="209">
        <f t="shared" si="44"/>
        <v>129547443.29533291</v>
      </c>
      <c r="AU970" s="199">
        <f t="shared" si="43"/>
        <v>5.3505170720518916E-9</v>
      </c>
    </row>
    <row r="971" spans="1:47" x14ac:dyDescent="0.35">
      <c r="A971">
        <v>937</v>
      </c>
      <c r="B971" s="70">
        <v>56</v>
      </c>
      <c r="C971" s="70">
        <v>54.438363828524011</v>
      </c>
      <c r="D971" s="70">
        <v>74.122718324188526</v>
      </c>
      <c r="E971" s="70">
        <v>73.520779596587346</v>
      </c>
      <c r="F971" s="70">
        <v>78.382145972754188</v>
      </c>
      <c r="G971" s="70">
        <v>81.172548279499111</v>
      </c>
      <c r="H971" s="70">
        <v>98.14725840784962</v>
      </c>
      <c r="I971" s="70">
        <v>72.818369918833071</v>
      </c>
      <c r="J971" s="70">
        <v>44.078666901370624</v>
      </c>
      <c r="K971" s="70">
        <v>31.235532977977257</v>
      </c>
      <c r="L971" s="70">
        <v>35.434903509323156</v>
      </c>
      <c r="M971" s="70">
        <v>45.501861143332547</v>
      </c>
      <c r="N971" s="70">
        <v>66.514472405842042</v>
      </c>
      <c r="O971" s="70">
        <v>62.641021934660905</v>
      </c>
      <c r="P971" s="70">
        <v>52.96406068538316</v>
      </c>
      <c r="Q971" s="70">
        <v>75.34693813982301</v>
      </c>
      <c r="R971" s="70">
        <v>62.302029431697505</v>
      </c>
      <c r="S971" s="70">
        <v>43.114154589467148</v>
      </c>
      <c r="T971" s="70">
        <v>47.754798896757407</v>
      </c>
      <c r="U971" s="70">
        <v>69.932699870304901</v>
      </c>
      <c r="V971" s="70">
        <v>80.242151695559059</v>
      </c>
      <c r="X971" s="193">
        <f>((0-('Appendix K'!$I$30))/(1+$Y$16)^0)</f>
        <v>-33594902.4440751</v>
      </c>
      <c r="Y971" s="193">
        <f>(((B971*'Appendix K'!$C$5*1000)-('Appendix K'!$E$31+'Appendix K'!$F$31+'Appendix K'!$H$31+'Appendix K'!$G$31))/((1+$Y$16)^1))</f>
        <v>34971064.972647354</v>
      </c>
      <c r="Z971" s="193">
        <f>+(((C971*'Appendix K'!$C$6*1000)-('Appendix K'!$E$32+'Appendix K'!$F$32+'Appendix K'!$H$32+'Appendix K'!$G$32))/((1+$Y$16)^2))</f>
        <v>10264814.099290397</v>
      </c>
      <c r="AA971" s="193">
        <f>(((D971*'Appendix K'!$C$7*1000)-('Appendix K'!$E$33+'Appendix K'!$F$33+'Appendix K'!$H$33+'Appendix K'!$G$33))/((1+$Y$16)^3))</f>
        <v>6476473.7224846315</v>
      </c>
      <c r="AB971" s="193">
        <f>(((E971*'Appendix K'!$C$8*1000)-('Appendix K'!$E$34+'Appendix K'!$F$34+'Appendix K'!$H$34+'Appendix K'!$G$34))/((1+$Y$16)^4))</f>
        <v>12821873.98075843</v>
      </c>
      <c r="AC971" s="193">
        <f>(((F971*'Appendix K'!$C$9*1000)-('Appendix K'!$E$35+'Appendix K'!$F$35+'Appendix K'!$H$35+'Appendix K'!$G$35))/((1+$Y$16)^AC$34))</f>
        <v>17849622.798342649</v>
      </c>
      <c r="AD971" s="193">
        <f>(((G971*'Appendix K'!$C$10*1000)-('Appendix K'!$E$36+'Appendix K'!$F$36+'Appendix K'!$H$36+'Appendix K'!$G$36))/((1+$Y$16)^AD$34))</f>
        <v>10231894.758670701</v>
      </c>
      <c r="AE971" s="193">
        <f>(((H971*'Appendix K'!$C$11*1000)-('Appendix K'!$E$37+'Appendix K'!$F$37+'Appendix K'!$H$37+'Appendix K'!$G$37))/((1+$Y$16)^AE$34))</f>
        <v>7569033.8650101498</v>
      </c>
      <c r="AF971" s="193">
        <f>(((I971*'Appendix K'!$C$12*1000)-('Appendix K'!$E$38+'Appendix K'!$F$38+'Appendix K'!$H$38+'Appendix K'!$G$38))/((1+$Y$16)^AF$34))</f>
        <v>2784851.8912521056</v>
      </c>
      <c r="AG971" s="193">
        <f>(((J971*'Appendix K'!$C$13*1000)-('Appendix K'!$E$39+'Appendix K'!$F$39+'Appendix K'!$H$39+'Appendix K'!$G$39))/((1+$Y$16)^AG$34))</f>
        <v>213509.3285460021</v>
      </c>
      <c r="AH971" s="193">
        <f>(((K971*'Appendix K'!$C$14*1000)-('Appendix K'!$E$40+'Appendix K'!$F$40+'Appendix K'!$H$40+'Appendix K'!$G$40))/((1+$Y$16)^AH$34))</f>
        <v>-579899.82799476327</v>
      </c>
      <c r="AI971" s="193">
        <f>(((L971*'Appendix K'!$C$15*1000)-('Appendix K'!$E$41+'Appendix K'!$F$41+'Appendix K'!$H$41+'Appendix K'!$G$41))/((1+$Y$16)^AI$34))</f>
        <v>-588020.6127922755</v>
      </c>
      <c r="AJ971" s="193">
        <f>(((M971*'Appendix K'!$C$16*1000)-('Appendix K'!$E$42+'Appendix K'!$F$42+'Appendix K'!$H$42+'Appendix K'!$G$42))/((1+$Y$16)^AJ$34))</f>
        <v>-469608.71042416774</v>
      </c>
      <c r="AK971" s="193">
        <f>(((N971*'Appendix K'!$C$17*1000)-('Appendix K'!$E$43+'Appendix K'!$F$43+'Appendix K'!$H$43))/((1+$Y$16)^AK$34))</f>
        <v>17662.917441036428</v>
      </c>
      <c r="AL971" s="193">
        <f>(((O971*'Appendix K'!$C$18*1000)-('Appendix K'!$E$44+'Appendix K'!$F$44+'Appendix K'!$H$44+'Appendix K'!$G$44))/((1+$Y$16)^AL$34))</f>
        <v>-392086.66042477894</v>
      </c>
      <c r="AM971" s="193">
        <f>(((P971*'Appendix K'!$C$19*1000)-('Appendix K'!$E$45+'Appendix K'!$F$45+'Appendix K'!$H$45+'Appendix K'!$G$45))/((1+$Y$16)^AM$34))</f>
        <v>-535856.26899077429</v>
      </c>
      <c r="AN971" s="193">
        <f>(((Q971*'Appendix K'!$C$20*1000)-('Appendix K'!$E$46+'Appendix K'!$F$46+'Appendix K'!$H$46+'Appendix K'!$G$46))/((1+$Y$16)^AN$34))</f>
        <v>-370482.05242098944</v>
      </c>
      <c r="AO971" s="193">
        <f>(((R971*'Appendix K'!$C$21*1000)-('Appendix K'!$E$47+'Appendix K'!$F$47+'Appendix K'!$H$47+'Appendix K'!$G$47))/((1+$Y$16)^AO$34))</f>
        <v>-474787.04830895277</v>
      </c>
      <c r="AP971" s="193">
        <f>(((S971*'Appendix K'!$C$22*1000)-('Appendix K'!$E$48+'Appendix K'!$F$48+'Appendix K'!$H$48+'Appendix K'!$G$48))/((1+$Y$16)^AP$34))</f>
        <v>-557948.53267950926</v>
      </c>
      <c r="AQ971" s="193">
        <f>(((T971*'Appendix K'!$C$23*1000)-('Appendix K'!$E$49+'Appendix K'!$F$49+'Appendix K'!$H$49+'Appendix K'!$G$49))/((1+$Y$16)^AQ$34))</f>
        <v>-506585.57417193451</v>
      </c>
      <c r="AR971" s="193">
        <f>(((U971*'Appendix K'!$C$24*1000)-('Appendix K'!$E$50+'Appendix K'!$F$50+'Appendix K'!$H$50+'Appendix K'!$G$50))/((1+$Y$16)^AR$34))</f>
        <v>-404103.61629149789</v>
      </c>
      <c r="AS971" s="209">
        <f t="shared" si="44"/>
        <v>69605899.890368372</v>
      </c>
      <c r="AU971" s="199">
        <f t="shared" si="43"/>
        <v>6.684412843791905E-9</v>
      </c>
    </row>
    <row r="972" spans="1:47" x14ac:dyDescent="0.35">
      <c r="A972">
        <v>938</v>
      </c>
      <c r="B972" s="70">
        <v>56</v>
      </c>
      <c r="C972" s="70">
        <v>60.847199042661551</v>
      </c>
      <c r="D972" s="70">
        <v>61.174631418483344</v>
      </c>
      <c r="E972" s="70">
        <v>87.120758167486173</v>
      </c>
      <c r="F972" s="70">
        <v>62.472921867481439</v>
      </c>
      <c r="G972" s="70">
        <v>77.637927990906334</v>
      </c>
      <c r="H972" s="70">
        <v>88.120842810879537</v>
      </c>
      <c r="I972" s="70">
        <v>188.47580197829524</v>
      </c>
      <c r="J972" s="70">
        <v>146.67004105234847</v>
      </c>
      <c r="K972" s="70">
        <v>142.38742243199175</v>
      </c>
      <c r="L972" s="70">
        <v>217.87860766652494</v>
      </c>
      <c r="M972" s="70">
        <v>181.71444569930358</v>
      </c>
      <c r="N972" s="70">
        <v>100.56885437181579</v>
      </c>
      <c r="O972" s="70">
        <v>67.20730115360297</v>
      </c>
      <c r="P972" s="70">
        <v>61.407866184446512</v>
      </c>
      <c r="Q972" s="70">
        <v>61.713705712183582</v>
      </c>
      <c r="R972" s="70">
        <v>70.862998340637745</v>
      </c>
      <c r="S972" s="70">
        <v>76.054042782142588</v>
      </c>
      <c r="T972" s="70">
        <v>47.075467203406333</v>
      </c>
      <c r="U972" s="70">
        <v>59.799352219694931</v>
      </c>
      <c r="V972" s="70">
        <v>34.017478567036328</v>
      </c>
      <c r="X972" s="193">
        <f>((0-('Appendix K'!$I$30))/(1+$Y$16)^0)</f>
        <v>-33594902.4440751</v>
      </c>
      <c r="Y972" s="193">
        <f>(((B972*'Appendix K'!$C$5*1000)-('Appendix K'!$E$31+'Appendix K'!$F$31+'Appendix K'!$H$31+'Appendix K'!$G$31))/((1+$Y$16)^1))</f>
        <v>34971064.972647354</v>
      </c>
      <c r="Z972" s="193">
        <f>+(((C972*'Appendix K'!$C$6*1000)-('Appendix K'!$E$32+'Appendix K'!$F$32+'Appendix K'!$H$32+'Appendix K'!$G$32))/((1+$Y$16)^2))</f>
        <v>11883795.485485451</v>
      </c>
      <c r="AA972" s="193">
        <f>(((D972*'Appendix K'!$C$7*1000)-('Appendix K'!$E$33+'Appendix K'!$F$33+'Appendix K'!$H$33+'Appendix K'!$G$33))/((1+$Y$16)^3))</f>
        <v>4827212.8055841345</v>
      </c>
      <c r="AB972" s="193">
        <f>(((E972*'Appendix K'!$C$8*1000)-('Appendix K'!$E$34+'Appendix K'!$F$34+'Appendix K'!$H$34+'Appendix K'!$G$34))/((1+$Y$16)^4))</f>
        <v>15802864.787678404</v>
      </c>
      <c r="AC972" s="193">
        <f>(((F972*'Appendix K'!$C$9*1000)-('Appendix K'!$E$35+'Appendix K'!$F$35+'Appendix K'!$H$35+'Appendix K'!$G$35))/((1+$Y$16)^AC$34))</f>
        <v>13620976.013126008</v>
      </c>
      <c r="AD972" s="193">
        <f>(((G972*'Appendix K'!$C$10*1000)-('Appendix K'!$E$36+'Appendix K'!$F$36+'Appendix K'!$H$36+'Appendix K'!$G$36))/((1+$Y$16)^AD$34))</f>
        <v>9676804.0214403439</v>
      </c>
      <c r="AE972" s="193">
        <f>(((H972*'Appendix K'!$C$11*1000)-('Appendix K'!$E$37+'Appendix K'!$F$37+'Appendix K'!$H$37+'Appendix K'!$G$37))/((1+$Y$16)^AE$34))</f>
        <v>6569022.9476392232</v>
      </c>
      <c r="AF972" s="193">
        <f>(((I972*'Appendix K'!$C$12*1000)-('Appendix K'!$E$38+'Appendix K'!$F$38+'Appendix K'!$H$38+'Appendix K'!$G$38))/((1+$Y$16)^AF$34))</f>
        <v>10379199.585379094</v>
      </c>
      <c r="AG972" s="193">
        <f>(((J972*'Appendix K'!$C$13*1000)-('Appendix K'!$E$39+'Appendix K'!$F$39+'Appendix K'!$H$39+'Appendix K'!$G$39))/((1+$Y$16)^AG$34))</f>
        <v>4934654.8570214668</v>
      </c>
      <c r="AH972" s="193">
        <f>(((K972*'Appendix K'!$C$14*1000)-('Appendix K'!$E$40+'Appendix K'!$F$40+'Appendix K'!$H$40+'Appendix K'!$G$40))/((1+$Y$16)^AH$34))</f>
        <v>3166644.3078841767</v>
      </c>
      <c r="AI972" s="193">
        <f>(((L972*'Appendix K'!$C$15*1000)-('Appendix K'!$E$41+'Appendix K'!$F$41+'Appendix K'!$H$41+'Appendix K'!$G$41))/((1+$Y$16)^AI$34))</f>
        <v>4192345.6075261249</v>
      </c>
      <c r="AJ972" s="193">
        <f>(((M972*'Appendix K'!$C$16*1000)-('Appendix K'!$E$42+'Appendix K'!$F$42+'Appendix K'!$H$42+'Appendix K'!$G$42))/((1+$Y$16)^AJ$34))</f>
        <v>2260345.7899690773</v>
      </c>
      <c r="AK972" s="193">
        <f>(((N972*'Appendix K'!$C$17*1000)-('Appendix K'!$E$43+'Appendix K'!$F$43+'Appendix K'!$H$43))/((1+$Y$16)^AK$34))</f>
        <v>540870.95011928654</v>
      </c>
      <c r="AL972" s="193">
        <f>(((O972*'Appendix K'!$C$18*1000)-('Appendix K'!$E$44+'Appendix K'!$F$44+'Appendix K'!$H$44+'Appendix K'!$G$44))/((1+$Y$16)^AL$34))</f>
        <v>-337961.2092052903</v>
      </c>
      <c r="AM972" s="193">
        <f>(((P972*'Appendix K'!$C$19*1000)-('Appendix K'!$E$45+'Appendix K'!$F$45+'Appendix K'!$H$45+'Appendix K'!$G$45))/((1+$Y$16)^AM$34))</f>
        <v>-457592.90051383968</v>
      </c>
      <c r="AN972" s="193">
        <f>(((Q972*'Appendix K'!$C$20*1000)-('Appendix K'!$E$46+'Appendix K'!$F$46+'Appendix K'!$H$46+'Appendix K'!$G$46))/((1+$Y$16)^AN$34))</f>
        <v>-469135.07919123507</v>
      </c>
      <c r="AO972" s="193">
        <f>(((R972*'Appendix K'!$C$21*1000)-('Appendix K'!$E$47+'Appendix K'!$F$47+'Appendix K'!$H$47+'Appendix K'!$G$47))/((1+$Y$16)^AO$34))</f>
        <v>-424190.77624092647</v>
      </c>
      <c r="AP972" s="193">
        <f>(((S972*'Appendix K'!$C$22*1000)-('Appendix K'!$E$48+'Appendix K'!$F$48+'Appendix K'!$H$48+'Appendix K'!$G$48))/((1+$Y$16)^AP$34))</f>
        <v>-400175.71309011889</v>
      </c>
      <c r="AQ972" s="193">
        <f>(((T972*'Appendix K'!$C$23*1000)-('Appendix K'!$E$49+'Appendix K'!$F$49+'Appendix K'!$H$49+'Appendix K'!$G$49))/((1+$Y$16)^AQ$34))</f>
        <v>-509244.30450633692</v>
      </c>
      <c r="AR972" s="193">
        <f>(((U972*'Appendix K'!$C$24*1000)-('Appendix K'!$E$50+'Appendix K'!$F$50+'Appendix K'!$H$50+'Appendix K'!$G$50))/((1+$Y$16)^AR$34))</f>
        <v>-436733.27965129662</v>
      </c>
      <c r="AS972" s="209">
        <f t="shared" si="44"/>
        <v>89230899.687425017</v>
      </c>
      <c r="AU972" s="199">
        <f t="shared" si="43"/>
        <v>7.0268318173969805E-9</v>
      </c>
    </row>
    <row r="973" spans="1:47" x14ac:dyDescent="0.35">
      <c r="A973">
        <v>939</v>
      </c>
      <c r="B973" s="70">
        <v>56</v>
      </c>
      <c r="C973" s="70">
        <v>75.452518878929538</v>
      </c>
      <c r="D973" s="70">
        <v>68.049836014509893</v>
      </c>
      <c r="E973" s="70">
        <v>101.24794418574453</v>
      </c>
      <c r="F973" s="70">
        <v>105.370566080404</v>
      </c>
      <c r="G973" s="70">
        <v>120.34700444497226</v>
      </c>
      <c r="H973" s="70">
        <v>110.40893325230178</v>
      </c>
      <c r="I973" s="70">
        <v>84.512595066051404</v>
      </c>
      <c r="J973" s="70">
        <v>40.683855885298271</v>
      </c>
      <c r="K973" s="70">
        <v>34.503928656239239</v>
      </c>
      <c r="L973" s="70">
        <v>37.787472015002827</v>
      </c>
      <c r="M973" s="70">
        <v>32.326255904997112</v>
      </c>
      <c r="N973" s="70">
        <v>23.519045099144925</v>
      </c>
      <c r="O973" s="70">
        <v>18.229586161889259</v>
      </c>
      <c r="P973" s="70">
        <v>18.656094906111623</v>
      </c>
      <c r="Q973" s="70">
        <v>15.002715603079331</v>
      </c>
      <c r="R973" s="70">
        <v>17.117519895520715</v>
      </c>
      <c r="S973" s="70">
        <v>16.2027804676983</v>
      </c>
      <c r="T973" s="70">
        <v>21.185159527742051</v>
      </c>
      <c r="U973" s="70">
        <v>33.342451721551164</v>
      </c>
      <c r="V973" s="70">
        <v>36.571138628905082</v>
      </c>
      <c r="X973" s="193">
        <f>((0-('Appendix K'!$I$30))/(1+$Y$16)^0)</f>
        <v>-33594902.4440751</v>
      </c>
      <c r="Y973" s="193">
        <f>(((B973*'Appendix K'!$C$5*1000)-('Appendix K'!$E$31+'Appendix K'!$F$31+'Appendix K'!$H$31+'Appendix K'!$G$31))/((1+$Y$16)^1))</f>
        <v>34971064.972647354</v>
      </c>
      <c r="Z973" s="193">
        <f>+(((C973*'Appendix K'!$C$6*1000)-('Appendix K'!$E$32+'Appendix K'!$F$32+'Appendix K'!$H$32+'Appendix K'!$G$32))/((1+$Y$16)^2))</f>
        <v>15573349.072724218</v>
      </c>
      <c r="AA973" s="193">
        <f>(((D973*'Appendix K'!$C$7*1000)-('Appendix K'!$E$33+'Appendix K'!$F$33+'Appendix K'!$H$33+'Appendix K'!$G$33))/((1+$Y$16)^3))</f>
        <v>5702941.1134413397</v>
      </c>
      <c r="AB973" s="193">
        <f>(((E973*'Appendix K'!$C$8*1000)-('Appendix K'!$E$34+'Appendix K'!$F$34+'Appendix K'!$H$34+'Appendix K'!$G$34))/((1+$Y$16)^4))</f>
        <v>18899414.640939917</v>
      </c>
      <c r="AC973" s="193">
        <f>(((F973*'Appendix K'!$C$9*1000)-('Appendix K'!$E$35+'Appendix K'!$F$35+'Appendix K'!$H$35+'Appendix K'!$G$35))/((1+$Y$16)^AC$34))</f>
        <v>25023102.483531412</v>
      </c>
      <c r="AD973" s="193">
        <f>(((G973*'Appendix K'!$C$10*1000)-('Appendix K'!$E$36+'Appendix K'!$F$36+'Appendix K'!$H$36+'Appendix K'!$G$36))/((1+$Y$16)^AD$34))</f>
        <v>16384006.153399397</v>
      </c>
      <c r="AE973" s="193">
        <f>(((H973*'Appendix K'!$C$11*1000)-('Appendix K'!$E$37+'Appendix K'!$F$37+'Appendix K'!$H$37+'Appendix K'!$G$37))/((1+$Y$16)^AE$34))</f>
        <v>8791984.2395597603</v>
      </c>
      <c r="AF973" s="193">
        <f>(((I973*'Appendix K'!$C$12*1000)-('Appendix K'!$E$38+'Appendix K'!$F$38+'Appendix K'!$H$38+'Appendix K'!$G$38))/((1+$Y$16)^AF$34))</f>
        <v>3552723.0967594185</v>
      </c>
      <c r="AG973" s="193">
        <f>(((J973*'Appendix K'!$C$13*1000)-('Appendix K'!$E$39+'Appendix K'!$F$39+'Appendix K'!$H$39+'Appendix K'!$G$39))/((1+$Y$16)^AG$34))</f>
        <v>57283.749337338413</v>
      </c>
      <c r="AH973" s="193">
        <f>(((K973*'Appendix K'!$C$14*1000)-('Appendix K'!$E$40+'Appendix K'!$F$40+'Appendix K'!$H$40+'Appendix K'!$G$40))/((1+$Y$16)^AH$34))</f>
        <v>-469733.561615724</v>
      </c>
      <c r="AI973" s="193">
        <f>(((L973*'Appendix K'!$C$15*1000)-('Appendix K'!$E$41+'Appendix K'!$F$41+'Appendix K'!$H$41+'Appendix K'!$G$41))/((1+$Y$16)^AI$34))</f>
        <v>-526378.91861879046</v>
      </c>
      <c r="AJ973" s="193">
        <f>(((M973*'Appendix K'!$C$16*1000)-('Appendix K'!$E$42+'Appendix K'!$F$42+'Appendix K'!$H$42+'Appendix K'!$G$42))/((1+$Y$16)^AJ$34))</f>
        <v>-733672.43796483928</v>
      </c>
      <c r="AK973" s="193">
        <f>(((N973*'Appendix K'!$C$17*1000)-('Appendix K'!$E$43+'Appendix K'!$F$43+'Appendix K'!$H$43))/((1+$Y$16)^AK$34))</f>
        <v>-642914.41906075925</v>
      </c>
      <c r="AL973" s="193">
        <f>(((O973*'Appendix K'!$C$18*1000)-('Appendix K'!$E$44+'Appendix K'!$F$44+'Appendix K'!$H$44+'Appendix K'!$G$44))/((1+$Y$16)^AL$34))</f>
        <v>-918508.47679883789</v>
      </c>
      <c r="AM973" s="193">
        <f>(((P973*'Appendix K'!$C$19*1000)-('Appendix K'!$E$45+'Appendix K'!$F$45+'Appendix K'!$H$45+'Appendix K'!$G$45))/((1+$Y$16)^AM$34))</f>
        <v>-853847.60213730868</v>
      </c>
      <c r="AN973" s="193">
        <f>(((Q973*'Appendix K'!$C$20*1000)-('Appendix K'!$E$46+'Appendix K'!$F$46+'Appendix K'!$H$46+'Appendix K'!$G$46))/((1+$Y$16)^AN$34))</f>
        <v>-807145.93480869767</v>
      </c>
      <c r="AO973" s="193">
        <f>(((R973*'Appendix K'!$C$21*1000)-('Appendix K'!$E$47+'Appendix K'!$F$47+'Appendix K'!$H$47+'Appendix K'!$G$47))/((1+$Y$16)^AO$34))</f>
        <v>-741832.4916541893</v>
      </c>
      <c r="AP973" s="193">
        <f>(((S973*'Appendix K'!$C$22*1000)-('Appendix K'!$E$48+'Appendix K'!$F$48+'Appendix K'!$H$48+'Appendix K'!$G$48))/((1+$Y$16)^AP$34))</f>
        <v>-686846.46182185947</v>
      </c>
      <c r="AQ973" s="193">
        <f>(((T973*'Appendix K'!$C$23*1000)-('Appendix K'!$E$49+'Appendix K'!$F$49+'Appendix K'!$H$49+'Appendix K'!$G$49))/((1+$Y$16)^AQ$34))</f>
        <v>-610572.34066013701</v>
      </c>
      <c r="AR973" s="193">
        <f>(((U973*'Appendix K'!$C$24*1000)-('Appendix K'!$E$50+'Appendix K'!$F$50+'Appendix K'!$H$50+'Appendix K'!$G$50))/((1+$Y$16)^AR$34))</f>
        <v>-521925.24054747284</v>
      </c>
      <c r="AS973" s="209">
        <f t="shared" si="44"/>
        <v>95360967.078265071</v>
      </c>
      <c r="AU973" s="199">
        <f t="shared" si="43"/>
        <v>6.964532031372209E-9</v>
      </c>
    </row>
    <row r="974" spans="1:47" x14ac:dyDescent="0.35">
      <c r="A974">
        <v>940</v>
      </c>
      <c r="B974" s="70">
        <v>56</v>
      </c>
      <c r="C974" s="70">
        <v>36.591971907930613</v>
      </c>
      <c r="D974" s="70">
        <v>54.350442178409644</v>
      </c>
      <c r="E974" s="70">
        <v>78.807274104496244</v>
      </c>
      <c r="F974" s="70">
        <v>91.04847067619859</v>
      </c>
      <c r="G974" s="70">
        <v>128.17712314039494</v>
      </c>
      <c r="H974" s="70">
        <v>124.20963333313949</v>
      </c>
      <c r="I974" s="70">
        <v>133.63017989382445</v>
      </c>
      <c r="J974" s="70">
        <v>100.87839539152858</v>
      </c>
      <c r="K974" s="70">
        <v>133.1553925831202</v>
      </c>
      <c r="L974" s="70">
        <v>143.84645950207369</v>
      </c>
      <c r="M974" s="70">
        <v>155.73316184895785</v>
      </c>
      <c r="N974" s="70">
        <v>120.96930334741749</v>
      </c>
      <c r="O974" s="70">
        <v>124.41352357715934</v>
      </c>
      <c r="P974" s="70">
        <v>104.25696183047333</v>
      </c>
      <c r="Q974" s="70">
        <v>149.69763608666352</v>
      </c>
      <c r="R974" s="70">
        <v>168.10612713290138</v>
      </c>
      <c r="S974" s="70">
        <v>129.09942969376971</v>
      </c>
      <c r="T974" s="70">
        <v>113.50059213846369</v>
      </c>
      <c r="U974" s="70">
        <v>143.68314413288368</v>
      </c>
      <c r="V974" s="70">
        <v>234.59555332945814</v>
      </c>
      <c r="X974" s="193">
        <f>((0-('Appendix K'!$I$30))/(1+$Y$16)^0)</f>
        <v>-33594902.4440751</v>
      </c>
      <c r="Y974" s="193">
        <f>(((B974*'Appendix K'!$C$5*1000)-('Appendix K'!$E$31+'Appendix K'!$F$31+'Appendix K'!$H$31+'Appendix K'!$G$31))/((1+$Y$16)^1))</f>
        <v>34971064.972647354</v>
      </c>
      <c r="Z974" s="193">
        <f>+(((C974*'Appendix K'!$C$6*1000)-('Appendix K'!$E$32+'Appendix K'!$F$32+'Appendix K'!$H$32+'Appendix K'!$G$32))/((1+$Y$16)^2))</f>
        <v>5756510.2710930007</v>
      </c>
      <c r="AA974" s="193">
        <f>(((D974*'Appendix K'!$C$7*1000)-('Appendix K'!$E$33+'Appendix K'!$F$33+'Appendix K'!$H$33+'Appendix K'!$G$33))/((1+$Y$16)^3))</f>
        <v>3957982.5721797426</v>
      </c>
      <c r="AB974" s="193">
        <f>(((E974*'Appendix K'!$C$8*1000)-('Appendix K'!$E$34+'Appendix K'!$F$34+'Appendix K'!$H$34+'Appendix K'!$G$34))/((1+$Y$16)^4))</f>
        <v>13980625.183692701</v>
      </c>
      <c r="AC974" s="193">
        <f>(((F974*'Appendix K'!$C$9*1000)-('Appendix K'!$E$35+'Appendix K'!$F$35+'Appendix K'!$H$35+'Appendix K'!$G$35))/((1+$Y$16)^AC$34))</f>
        <v>21216312.014819175</v>
      </c>
      <c r="AD974" s="193">
        <f>(((G974*'Appendix K'!$C$10*1000)-('Appendix K'!$E$36+'Appendix K'!$F$36+'Appendix K'!$H$36+'Appendix K'!$G$36))/((1+$Y$16)^AD$34))</f>
        <v>17613678.934170373</v>
      </c>
      <c r="AE974" s="193">
        <f>(((H974*'Appendix K'!$C$11*1000)-('Appendix K'!$E$37+'Appendix K'!$F$37+'Appendix K'!$H$37+'Appendix K'!$G$37))/((1+$Y$16)^AE$34))</f>
        <v>10168433.341905976</v>
      </c>
      <c r="AF974" s="193">
        <f>(((I974*'Appendix K'!$C$12*1000)-('Appendix K'!$E$38+'Appendix K'!$F$38+'Appendix K'!$H$38+'Appendix K'!$G$38))/((1+$Y$16)^AF$34))</f>
        <v>6777902.9268468507</v>
      </c>
      <c r="AG974" s="193">
        <f>(((J974*'Appendix K'!$C$13*1000)-('Appendix K'!$E$39+'Appendix K'!$F$39+'Appendix K'!$H$39+'Appendix K'!$G$39))/((1+$Y$16)^AG$34))</f>
        <v>2827372.2034627008</v>
      </c>
      <c r="AH974" s="193">
        <f>(((K974*'Appendix K'!$C$14*1000)-('Appendix K'!$E$40+'Appendix K'!$F$40+'Appendix K'!$H$40+'Appendix K'!$G$40))/((1+$Y$16)^AH$34))</f>
        <v>2855464.6467695655</v>
      </c>
      <c r="AI974" s="193">
        <f>(((L974*'Appendix K'!$C$15*1000)-('Appendix K'!$E$41+'Appendix K'!$F$41+'Appendix K'!$H$41+'Appendix K'!$G$41))/((1+$Y$16)^AI$34))</f>
        <v>2252564.8848215872</v>
      </c>
      <c r="AJ974" s="193">
        <f>(((M974*'Appendix K'!$C$16*1000)-('Appendix K'!$E$42+'Appendix K'!$F$42+'Appendix K'!$H$42+'Appendix K'!$G$42))/((1+$Y$16)^AJ$34))</f>
        <v>1739632.3551241434</v>
      </c>
      <c r="AK974" s="193">
        <f>(((N974*'Appendix K'!$C$17*1000)-('Appendix K'!$E$43+'Appendix K'!$F$43+'Appendix K'!$H$43))/((1+$Y$16)^AK$34))</f>
        <v>854301.35637192265</v>
      </c>
      <c r="AL974" s="193">
        <f>(((O974*'Appendix K'!$C$18*1000)-('Appendix K'!$E$44+'Appendix K'!$F$44+'Appendix K'!$H$44+'Appendix K'!$G$44))/((1+$Y$16)^AL$34))</f>
        <v>340120.97823369416</v>
      </c>
      <c r="AM974" s="193">
        <f>(((P974*'Appendix K'!$C$19*1000)-('Appendix K'!$E$45+'Appendix K'!$F$45+'Appendix K'!$H$45+'Appendix K'!$G$45))/((1+$Y$16)^AM$34))</f>
        <v>-60436.125429381522</v>
      </c>
      <c r="AN974" s="193">
        <f>(((Q974*'Appendix K'!$C$20*1000)-('Appendix K'!$E$46+'Appendix K'!$F$46+'Appendix K'!$H$46+'Appendix K'!$G$46))/((1+$Y$16)^AN$34))</f>
        <v>167535.72391102716</v>
      </c>
      <c r="AO974" s="193">
        <f>(((R974*'Appendix K'!$C$21*1000)-('Appendix K'!$E$47+'Appendix K'!$F$47+'Appendix K'!$H$47+'Appendix K'!$G$47))/((1+$Y$16)^AO$34))</f>
        <v>150526.85834613332</v>
      </c>
      <c r="AP974" s="193">
        <f>(((S974*'Appendix K'!$C$22*1000)-('Appendix K'!$E$48+'Appendix K'!$F$48+'Appendix K'!$H$48+'Appendix K'!$G$48))/((1+$Y$16)^AP$34))</f>
        <v>-146103.19741234812</v>
      </c>
      <c r="AQ974" s="193">
        <f>(((T974*'Appendix K'!$C$23*1000)-('Appendix K'!$E$49+'Appendix K'!$F$49+'Appendix K'!$H$49+'Appendix K'!$G$49))/((1+$Y$16)^AQ$34))</f>
        <v>-249273.37077862551</v>
      </c>
      <c r="AR974" s="193">
        <f>(((U974*'Appendix K'!$C$24*1000)-('Appendix K'!$E$50+'Appendix K'!$F$50+'Appendix K'!$H$50+'Appendix K'!$G$50))/((1+$Y$16)^AR$34))</f>
        <v>-166625.11936272692</v>
      </c>
      <c r="AS974" s="209">
        <f t="shared" si="44"/>
        <v>92035126.780320883</v>
      </c>
      <c r="AU974" s="199">
        <f t="shared" si="43"/>
        <v>7.0084036766394329E-9</v>
      </c>
    </row>
    <row r="975" spans="1:47" x14ac:dyDescent="0.35">
      <c r="A975">
        <v>941</v>
      </c>
      <c r="B975" s="70">
        <v>56</v>
      </c>
      <c r="C975" s="70">
        <v>65.600688727246961</v>
      </c>
      <c r="D975" s="70">
        <v>78.154175737871313</v>
      </c>
      <c r="E975" s="70">
        <v>108.37690474692739</v>
      </c>
      <c r="F975" s="70">
        <v>103.65892382914014</v>
      </c>
      <c r="G975" s="70">
        <v>73.890805193130205</v>
      </c>
      <c r="H975" s="70">
        <v>119.41408116258958</v>
      </c>
      <c r="I975" s="70">
        <v>151.77316996853247</v>
      </c>
      <c r="J975" s="70">
        <v>204.11173560437175</v>
      </c>
      <c r="K975" s="70">
        <v>236.19811229527639</v>
      </c>
      <c r="L975" s="70">
        <v>175.42875602559792</v>
      </c>
      <c r="M975" s="70">
        <v>152.44010288551874</v>
      </c>
      <c r="N975" s="70">
        <v>185.51510844831779</v>
      </c>
      <c r="O975" s="70">
        <v>188.9994067866071</v>
      </c>
      <c r="P975" s="70">
        <v>119.79791211009713</v>
      </c>
      <c r="Q975" s="70">
        <v>55.772510171863232</v>
      </c>
      <c r="R975" s="70">
        <v>75.690214558038505</v>
      </c>
      <c r="S975" s="70">
        <v>56.878037005130523</v>
      </c>
      <c r="T975" s="70">
        <v>54.685354327837253</v>
      </c>
      <c r="U975" s="70">
        <v>50.349953187473474</v>
      </c>
      <c r="V975" s="70">
        <v>26.719826027229672</v>
      </c>
      <c r="X975" s="193">
        <f>((0-('Appendix K'!$I$30))/(1+$Y$16)^0)</f>
        <v>-33594902.4440751</v>
      </c>
      <c r="Y975" s="193">
        <f>(((B975*'Appendix K'!$C$5*1000)-('Appendix K'!$E$31+'Appendix K'!$F$31+'Appendix K'!$H$31+'Appendix K'!$G$31))/((1+$Y$16)^1))</f>
        <v>34971064.972647354</v>
      </c>
      <c r="Z975" s="193">
        <f>+(((C975*'Appendix K'!$C$6*1000)-('Appendix K'!$E$32+'Appendix K'!$F$32+'Appendix K'!$H$32+'Appendix K'!$G$32))/((1+$Y$16)^2))</f>
        <v>13084608.279335642</v>
      </c>
      <c r="AA975" s="193">
        <f>(((D975*'Appendix K'!$C$7*1000)-('Appendix K'!$E$33+'Appendix K'!$F$33+'Appendix K'!$H$33+'Appendix K'!$G$33))/((1+$Y$16)^3))</f>
        <v>6989980.09597106</v>
      </c>
      <c r="AB975" s="193">
        <f>(((E975*'Appendix K'!$C$8*1000)-('Appendix K'!$E$34+'Appendix K'!$F$34+'Appendix K'!$H$34+'Appendix K'!$G$34))/((1+$Y$16)^4))</f>
        <v>20462017.536598504</v>
      </c>
      <c r="AC975" s="193">
        <f>(((F975*'Appendix K'!$C$9*1000)-('Appendix K'!$E$35+'Appendix K'!$F$35+'Appendix K'!$H$35+'Appendix K'!$G$35))/((1+$Y$16)^AC$34))</f>
        <v>24568150.660906132</v>
      </c>
      <c r="AD975" s="193">
        <f>(((G975*'Appendix K'!$C$10*1000)-('Appendix K'!$E$36+'Appendix K'!$F$36+'Appendix K'!$H$36+'Appendix K'!$G$36))/((1+$Y$16)^AD$34))</f>
        <v>9088341.0504606981</v>
      </c>
      <c r="AE975" s="193">
        <f>(((H975*'Appendix K'!$C$11*1000)-('Appendix K'!$E$37+'Appendix K'!$F$37+'Appendix K'!$H$37+'Appendix K'!$G$37))/((1+$Y$16)^AE$34))</f>
        <v>9690136.3394536786</v>
      </c>
      <c r="AF975" s="193">
        <f>(((I975*'Appendix K'!$C$12*1000)-('Appendix K'!$E$38+'Appendix K'!$F$38+'Appendix K'!$H$38+'Appendix K'!$G$38))/((1+$Y$16)^AF$34))</f>
        <v>7969215.6888973676</v>
      </c>
      <c r="AG975" s="193">
        <f>(((J975*'Appendix K'!$C$13*1000)-('Appendix K'!$E$39+'Appendix K'!$F$39+'Appendix K'!$H$39+'Appendix K'!$G$39))/((1+$Y$16)^AG$34))</f>
        <v>7578060.3248461038</v>
      </c>
      <c r="AH975" s="193">
        <f>(((K975*'Appendix K'!$C$14*1000)-('Appendix K'!$E$40+'Appendix K'!$F$40+'Appendix K'!$H$40+'Appendix K'!$G$40))/((1+$Y$16)^AH$34))</f>
        <v>6328676.8357743556</v>
      </c>
      <c r="AI975" s="193">
        <f>(((L975*'Appendix K'!$C$15*1000)-('Appendix K'!$E$41+'Appendix K'!$F$41+'Appendix K'!$H$41+'Appendix K'!$G$41))/((1+$Y$16)^AI$34))</f>
        <v>3080080.1129220184</v>
      </c>
      <c r="AJ975" s="193">
        <f>(((M975*'Appendix K'!$C$16*1000)-('Appendix K'!$E$42+'Appendix K'!$F$42+'Appendix K'!$H$42+'Appendix K'!$G$42))/((1+$Y$16)^AJ$34))</f>
        <v>1673633.3054283576</v>
      </c>
      <c r="AK975" s="193">
        <f>(((N975*'Appendix K'!$C$17*1000)-('Appendix K'!$E$43+'Appendix K'!$F$43+'Appendix K'!$H$43))/((1+$Y$16)^AK$34))</f>
        <v>1845976.4875846638</v>
      </c>
      <c r="AL975" s="193">
        <f>(((O975*'Appendix K'!$C$18*1000)-('Appendix K'!$E$44+'Appendix K'!$F$44+'Appendix K'!$H$44+'Appendix K'!$G$44))/((1+$Y$16)^AL$34))</f>
        <v>1105676.4564487247</v>
      </c>
      <c r="AM975" s="193">
        <f>(((P975*'Appendix K'!$C$19*1000)-('Appendix K'!$E$45+'Appendix K'!$F$45+'Appendix K'!$H$45+'Appendix K'!$G$45))/((1+$Y$16)^AM$34))</f>
        <v>83608.77450949511</v>
      </c>
      <c r="AN975" s="193">
        <f>(((Q975*'Appendix K'!$C$20*1000)-('Appendix K'!$E$46+'Appendix K'!$F$46+'Appendix K'!$H$46+'Appendix K'!$G$46))/((1+$Y$16)^AN$34))</f>
        <v>-512126.85871215188</v>
      </c>
      <c r="AO975" s="193">
        <f>(((R975*'Appendix K'!$C$21*1000)-('Appendix K'!$E$47+'Appendix K'!$F$47+'Appendix K'!$H$47+'Appendix K'!$G$47))/((1+$Y$16)^AO$34))</f>
        <v>-395661.39508504601</v>
      </c>
      <c r="AP975" s="193">
        <f>(((S975*'Appendix K'!$C$22*1000)-('Appendix K'!$E$48+'Appendix K'!$F$48+'Appendix K'!$H$48+'Appendix K'!$G$48))/((1+$Y$16)^AP$34))</f>
        <v>-492023.39885653183</v>
      </c>
      <c r="AQ975" s="193">
        <f>(((T975*'Appendix K'!$C$23*1000)-('Appendix K'!$E$49+'Appendix K'!$F$49+'Appendix K'!$H$49+'Appendix K'!$G$49))/((1+$Y$16)^AQ$34))</f>
        <v>-479461.15448238153</v>
      </c>
      <c r="AR975" s="193">
        <f>(((U975*'Appendix K'!$C$24*1000)-('Appendix K'!$E$50+'Appendix K'!$F$50+'Appendix K'!$H$50+'Appendix K'!$G$50))/((1+$Y$16)^AR$34))</f>
        <v>-467160.60929642478</v>
      </c>
      <c r="AS975" s="209">
        <f t="shared" si="44"/>
        <v>114924324.47770905</v>
      </c>
      <c r="AU975" s="199">
        <f t="shared" si="43"/>
        <v>6.2612210867436407E-9</v>
      </c>
    </row>
    <row r="976" spans="1:47" x14ac:dyDescent="0.35">
      <c r="A976">
        <v>942</v>
      </c>
      <c r="B976" s="70">
        <v>56</v>
      </c>
      <c r="C976" s="70">
        <v>70.518882946252248</v>
      </c>
      <c r="D976" s="70">
        <v>65.45669087823677</v>
      </c>
      <c r="E976" s="70">
        <v>23.127665906832739</v>
      </c>
      <c r="F976" s="70">
        <v>26.807175320112226</v>
      </c>
      <c r="G976" s="70">
        <v>34.038520036689931</v>
      </c>
      <c r="H976" s="70">
        <v>39.817946714372795</v>
      </c>
      <c r="I976" s="70">
        <v>52.313867659735209</v>
      </c>
      <c r="J976" s="70">
        <v>38.16844379438902</v>
      </c>
      <c r="K976" s="70">
        <v>37.128337079810755</v>
      </c>
      <c r="L976" s="70">
        <v>58.708336960119567</v>
      </c>
      <c r="M976" s="70">
        <v>70.003114026954819</v>
      </c>
      <c r="N976" s="70">
        <v>47.660284371134075</v>
      </c>
      <c r="O976" s="70">
        <v>56.397767089852636</v>
      </c>
      <c r="P976" s="70">
        <v>54.370564566403147</v>
      </c>
      <c r="Q976" s="70">
        <v>29.926193119227538</v>
      </c>
      <c r="R976" s="70">
        <v>42.179770682160999</v>
      </c>
      <c r="S976" s="70">
        <v>75.247530578018171</v>
      </c>
      <c r="T976" s="70">
        <v>98.436633293172065</v>
      </c>
      <c r="U976" s="70">
        <v>108.70719348404872</v>
      </c>
      <c r="V976" s="70">
        <v>141.68191092092869</v>
      </c>
      <c r="X976" s="193">
        <f>((0-('Appendix K'!$I$30))/(1+$Y$16)^0)</f>
        <v>-33594902.4440751</v>
      </c>
      <c r="Y976" s="193">
        <f>(((B976*'Appendix K'!$C$5*1000)-('Appendix K'!$E$31+'Appendix K'!$F$31+'Appendix K'!$H$31+'Appendix K'!$G$31))/((1+$Y$16)^1))</f>
        <v>34971064.972647354</v>
      </c>
      <c r="Z976" s="193">
        <f>+(((C976*'Appendix K'!$C$6*1000)-('Appendix K'!$E$32+'Appendix K'!$F$32+'Appendix K'!$H$32+'Appendix K'!$G$32))/((1+$Y$16)^2))</f>
        <v>14327028.255542384</v>
      </c>
      <c r="AA976" s="193">
        <f>(((D976*'Appendix K'!$C$7*1000)-('Appendix K'!$E$33+'Appendix K'!$F$33+'Appendix K'!$H$33+'Appendix K'!$G$33))/((1+$Y$16)^3))</f>
        <v>5372639.5827015797</v>
      </c>
      <c r="AB976" s="193">
        <f>(((E976*'Appendix K'!$C$8*1000)-('Appendix K'!$E$34+'Appendix K'!$F$34+'Appendix K'!$H$34+'Appendix K'!$G$34))/((1+$Y$16)^4))</f>
        <v>1776164.7645193255</v>
      </c>
      <c r="AC976" s="193">
        <f>(((F976*'Appendix K'!$C$9*1000)-('Appendix K'!$E$35+'Appendix K'!$F$35+'Appendix K'!$H$35+'Appendix K'!$G$35))/((1+$Y$16)^AC$34))</f>
        <v>4141076.5861074962</v>
      </c>
      <c r="AD976" s="193">
        <f>(((G976*'Appendix K'!$C$10*1000)-('Appendix K'!$E$36+'Appendix K'!$F$36+'Appendix K'!$H$36+'Appendix K'!$G$36))/((1+$Y$16)^AD$34))</f>
        <v>2829780.7125382056</v>
      </c>
      <c r="AE976" s="193">
        <f>(((H976*'Appendix K'!$C$11*1000)-('Appendix K'!$E$37+'Appendix K'!$F$37+'Appendix K'!$H$37+'Appendix K'!$G$37))/((1+$Y$16)^AE$34))</f>
        <v>1751406.6250386229</v>
      </c>
      <c r="AF976" s="193">
        <f>(((I976*'Appendix K'!$C$12*1000)-('Appendix K'!$E$38+'Appendix K'!$F$38+'Appendix K'!$H$38+'Appendix K'!$G$38))/((1+$Y$16)^AF$34))</f>
        <v>1438476.5076922921</v>
      </c>
      <c r="AG976" s="193">
        <f>(((J976*'Appendix K'!$C$13*1000)-('Appendix K'!$E$39+'Appendix K'!$F$39+'Appendix K'!$H$39+'Appendix K'!$G$39))/((1+$Y$16)^AG$34))</f>
        <v>-58472.830039331646</v>
      </c>
      <c r="AH976" s="193">
        <f>(((K976*'Appendix K'!$C$14*1000)-('Appendix K'!$E$40+'Appendix K'!$F$40+'Appendix K'!$H$40+'Appendix K'!$G$40))/((1+$Y$16)^AH$34))</f>
        <v>-381273.86886753171</v>
      </c>
      <c r="AI976" s="193">
        <f>(((L976*'Appendix K'!$C$15*1000)-('Appendix K'!$E$41+'Appendix K'!$F$41+'Appendix K'!$H$41+'Appendix K'!$G$41))/((1+$Y$16)^AI$34))</f>
        <v>21786.865152552113</v>
      </c>
      <c r="AJ976" s="193">
        <f>(((M976*'Appendix K'!$C$16*1000)-('Appendix K'!$E$42+'Appendix K'!$F$42+'Appendix K'!$H$42+'Appendix K'!$G$42))/((1+$Y$16)^AJ$34))</f>
        <v>21442.140662450907</v>
      </c>
      <c r="AK976" s="193">
        <f>(((N976*'Appendix K'!$C$17*1000)-('Appendix K'!$E$43+'Appendix K'!$F$43+'Appendix K'!$H$43))/((1+$Y$16)^AK$34))</f>
        <v>-272010.89426524786</v>
      </c>
      <c r="AL976" s="193">
        <f>(((O976*'Appendix K'!$C$18*1000)-('Appendix K'!$E$44+'Appendix K'!$F$44+'Appendix K'!$H$44+'Appendix K'!$G$44))/((1+$Y$16)^AL$34))</f>
        <v>-466089.79719130282</v>
      </c>
      <c r="AM976" s="193">
        <f>(((P976*'Appendix K'!$C$19*1000)-('Appendix K'!$E$45+'Appendix K'!$F$45+'Appendix K'!$H$45+'Appendix K'!$G$45))/((1+$Y$16)^AM$34))</f>
        <v>-522819.76175280951</v>
      </c>
      <c r="AN976" s="193">
        <f>(((Q976*'Appendix K'!$C$20*1000)-('Appendix K'!$E$46+'Appendix K'!$F$46+'Appendix K'!$H$46+'Appendix K'!$G$46))/((1+$Y$16)^AN$34))</f>
        <v>-699156.4147356035</v>
      </c>
      <c r="AO976" s="193">
        <f>(((R976*'Appendix K'!$C$21*1000)-('Appendix K'!$E$47+'Appendix K'!$F$47+'Appendix K'!$H$47+'Appendix K'!$G$47))/((1+$Y$16)^AO$34))</f>
        <v>-593711.8206266698</v>
      </c>
      <c r="AP976" s="193">
        <f>(((S976*'Appendix K'!$C$22*1000)-('Appendix K'!$E$48+'Appendix K'!$F$48+'Appendix K'!$H$48+'Appendix K'!$G$48))/((1+$Y$16)^AP$34))</f>
        <v>-404038.6801935184</v>
      </c>
      <c r="AQ976" s="193">
        <f>(((T976*'Appendix K'!$C$23*1000)-('Appendix K'!$E$49+'Appendix K'!$F$49+'Appendix K'!$H$49+'Appendix K'!$G$49))/((1+$Y$16)^AQ$34))</f>
        <v>-308229.84922672884</v>
      </c>
      <c r="AR976" s="193">
        <f>(((U976*'Appendix K'!$C$24*1000)-('Appendix K'!$E$50+'Appendix K'!$F$50+'Appendix K'!$H$50+'Appendix K'!$G$50))/((1+$Y$16)^AR$34))</f>
        <v>-279248.66043819004</v>
      </c>
      <c r="AS976" s="209">
        <f t="shared" si="44"/>
        <v>33055964.56852717</v>
      </c>
      <c r="AU976" s="199">
        <f t="shared" si="43"/>
        <v>4.4281732470839747E-9</v>
      </c>
    </row>
    <row r="977" spans="1:47" x14ac:dyDescent="0.35">
      <c r="A977">
        <v>943</v>
      </c>
      <c r="B977" s="70">
        <v>56</v>
      </c>
      <c r="C977" s="70">
        <v>13.807252571397967</v>
      </c>
      <c r="D977" s="70">
        <v>23.161000080871673</v>
      </c>
      <c r="E977" s="70">
        <v>35.103969829122079</v>
      </c>
      <c r="F977" s="70">
        <v>39.45327467749042</v>
      </c>
      <c r="G977" s="70">
        <v>34.013460613966515</v>
      </c>
      <c r="H977" s="70">
        <v>47.388951291082847</v>
      </c>
      <c r="I977" s="70">
        <v>26.528139317054372</v>
      </c>
      <c r="J977" s="70">
        <v>45.483207821963248</v>
      </c>
      <c r="K977" s="70">
        <v>55.204606778764017</v>
      </c>
      <c r="L977" s="70">
        <v>72.727690495879884</v>
      </c>
      <c r="M977" s="70">
        <v>61.251071697698265</v>
      </c>
      <c r="N977" s="70">
        <v>61.956043165783477</v>
      </c>
      <c r="O977" s="70">
        <v>51.354014430914717</v>
      </c>
      <c r="P977" s="70">
        <v>64.764436098128783</v>
      </c>
      <c r="Q977" s="70">
        <v>80.432180660702187</v>
      </c>
      <c r="R977" s="70">
        <v>68.294481089255783</v>
      </c>
      <c r="S977" s="70">
        <v>81.530044236669127</v>
      </c>
      <c r="T977" s="70">
        <v>125.19080760089987</v>
      </c>
      <c r="U977" s="70">
        <v>174.50649675109605</v>
      </c>
      <c r="V977" s="70">
        <v>249.62257617576773</v>
      </c>
      <c r="X977" s="193">
        <f>((0-('Appendix K'!$I$30))/(1+$Y$16)^0)</f>
        <v>-33594902.4440751</v>
      </c>
      <c r="Y977" s="193">
        <f>(((B977*'Appendix K'!$C$5*1000)-('Appendix K'!$E$31+'Appendix K'!$F$31+'Appendix K'!$H$31+'Appendix K'!$G$31))/((1+$Y$16)^1))</f>
        <v>34971064.972647354</v>
      </c>
      <c r="Z977" s="193">
        <f>+(((C977*'Appendix K'!$C$6*1000)-('Appendix K'!$E$32+'Appendix K'!$F$32+'Appendix K'!$H$32+'Appendix K'!$G$32))/((1+$Y$16)^2))</f>
        <v>700.47680278008499</v>
      </c>
      <c r="AA977" s="193">
        <f>(((D977*'Appendix K'!$C$7*1000)-('Appendix K'!$E$33+'Appendix K'!$F$33+'Appendix K'!$H$33+'Appendix K'!$G$33))/((1+$Y$16)^3))</f>
        <v>-14768.633925861162</v>
      </c>
      <c r="AB977" s="193">
        <f>(((E977*'Appendix K'!$C$8*1000)-('Appendix K'!$E$34+'Appendix K'!$F$34+'Appendix K'!$H$34+'Appendix K'!$G$34))/((1+$Y$16)^4))</f>
        <v>4401260.9517749073</v>
      </c>
      <c r="AC977" s="193">
        <f>(((F977*'Appendix K'!$C$9*1000)-('Appendix K'!$E$35+'Appendix K'!$F$35+'Appendix K'!$H$35+'Appendix K'!$G$35))/((1+$Y$16)^AC$34))</f>
        <v>7502389.9373591226</v>
      </c>
      <c r="AD977" s="193">
        <f>(((G977*'Appendix K'!$C$10*1000)-('Appendix K'!$E$36+'Appendix K'!$F$36+'Appendix K'!$H$36+'Appendix K'!$G$36))/((1+$Y$16)^AD$34))</f>
        <v>2825845.2817710019</v>
      </c>
      <c r="AE977" s="193">
        <f>(((H977*'Appendix K'!$C$11*1000)-('Appendix K'!$E$37+'Appendix K'!$F$37+'Appendix K'!$H$37+'Appendix K'!$G$37))/((1+$Y$16)^AE$34))</f>
        <v>2506520.6694298461</v>
      </c>
      <c r="AF977" s="193">
        <f>(((I977*'Appendix K'!$C$12*1000)-('Appendix K'!$E$38+'Appendix K'!$F$38+'Appendix K'!$H$38+'Appendix K'!$G$38))/((1+$Y$16)^AF$34))</f>
        <v>-254676.99825745574</v>
      </c>
      <c r="AG977" s="193">
        <f>(((J977*'Appendix K'!$C$13*1000)-('Appendix K'!$E$39+'Appendix K'!$F$39+'Appendix K'!$H$39+'Appendix K'!$G$39))/((1+$Y$16)^AG$34))</f>
        <v>278144.80245103192</v>
      </c>
      <c r="AH977" s="193">
        <f>(((K977*'Appendix K'!$C$14*1000)-('Appendix K'!$E$40+'Appendix K'!$F$40+'Appendix K'!$H$40+'Appendix K'!$G$40))/((1+$Y$16)^AH$34))</f>
        <v>228014.3993917132</v>
      </c>
      <c r="AI977" s="193">
        <f>(((L977*'Appendix K'!$C$15*1000)-('Appendix K'!$E$41+'Appendix K'!$F$41+'Appendix K'!$H$41+'Appendix K'!$G$41))/((1+$Y$16)^AI$34))</f>
        <v>389120.14410913619</v>
      </c>
      <c r="AJ977" s="193">
        <f>(((M977*'Appendix K'!$C$16*1000)-('Appendix K'!$E$42+'Appendix K'!$F$42+'Appendix K'!$H$42+'Appendix K'!$G$42))/((1+$Y$16)^AJ$34))</f>
        <v>-153965.12748587772</v>
      </c>
      <c r="AK977" s="193">
        <f>(((N977*'Appendix K'!$C$17*1000)-('Appendix K'!$E$43+'Appendix K'!$F$43+'Appendix K'!$H$43))/((1+$Y$16)^AK$34))</f>
        <v>-52372.321993850048</v>
      </c>
      <c r="AL977" s="193">
        <f>(((O977*'Appendix K'!$C$18*1000)-('Appendix K'!$E$44+'Appendix K'!$F$44+'Appendix K'!$H$44+'Appendix K'!$G$44))/((1+$Y$16)^AL$34))</f>
        <v>-525874.88159263704</v>
      </c>
      <c r="AM977" s="193">
        <f>(((P977*'Appendix K'!$C$19*1000)-('Appendix K'!$E$45+'Appendix K'!$F$45+'Appendix K'!$H$45+'Appendix K'!$G$45))/((1+$Y$16)^AM$34))</f>
        <v>-426481.75424190698</v>
      </c>
      <c r="AN977" s="193">
        <f>(((Q977*'Appendix K'!$C$20*1000)-('Appendix K'!$E$46+'Appendix K'!$F$46+'Appendix K'!$H$46+'Appendix K'!$G$46))/((1+$Y$16)^AN$34))</f>
        <v>-333684.13459715684</v>
      </c>
      <c r="AO977" s="193">
        <f>(((R977*'Appendix K'!$C$21*1000)-('Appendix K'!$E$47+'Appendix K'!$F$47+'Appendix K'!$H$47+'Appendix K'!$G$47))/((1+$Y$16)^AO$34))</f>
        <v>-439370.99696648313</v>
      </c>
      <c r="AP977" s="193">
        <f>(((S977*'Appendix K'!$C$22*1000)-('Appendix K'!$E$48+'Appendix K'!$F$48+'Appendix K'!$H$48+'Appendix K'!$G$48))/((1+$Y$16)^AP$34))</f>
        <v>-373947.20300827938</v>
      </c>
      <c r="AQ977" s="193">
        <f>(((T977*'Appendix K'!$C$23*1000)-('Appendix K'!$E$49+'Appendix K'!$F$49+'Appendix K'!$H$49+'Appendix K'!$G$49))/((1+$Y$16)^AQ$34))</f>
        <v>-203520.86023056175</v>
      </c>
      <c r="AR977" s="193">
        <f>(((U977*'Appendix K'!$C$24*1000)-('Appendix K'!$E$50+'Appendix K'!$F$50+'Appendix K'!$H$50+'Appendix K'!$G$50))/((1+$Y$16)^AR$34))</f>
        <v>-67373.060296925381</v>
      </c>
      <c r="AS977" s="209">
        <f t="shared" si="44"/>
        <v>19508159.191661797</v>
      </c>
      <c r="AU977" s="199">
        <f t="shared" si="43"/>
        <v>3.4211700944343207E-9</v>
      </c>
    </row>
    <row r="978" spans="1:47" x14ac:dyDescent="0.35">
      <c r="A978">
        <v>944</v>
      </c>
      <c r="B978" s="70">
        <v>56</v>
      </c>
      <c r="C978" s="70">
        <v>59.41463095616718</v>
      </c>
      <c r="D978" s="70">
        <v>30.306572691130221</v>
      </c>
      <c r="E978" s="70">
        <v>21.173789483211159</v>
      </c>
      <c r="F978" s="70">
        <v>24.649254806250898</v>
      </c>
      <c r="G978" s="70">
        <v>25.9351024051089</v>
      </c>
      <c r="H978" s="70">
        <v>35.110667449940237</v>
      </c>
      <c r="I978" s="70">
        <v>47.829301924972626</v>
      </c>
      <c r="J978" s="70">
        <v>51.618833035588125</v>
      </c>
      <c r="K978" s="70">
        <v>92.800068824661281</v>
      </c>
      <c r="L978" s="70">
        <v>97.945990921239741</v>
      </c>
      <c r="M978" s="70">
        <v>65.070491872611271</v>
      </c>
      <c r="N978" s="70">
        <v>57.859595064098173</v>
      </c>
      <c r="O978" s="70">
        <v>52.310681125507436</v>
      </c>
      <c r="P978" s="70">
        <v>48.035327030764222</v>
      </c>
      <c r="Q978" s="70">
        <v>28.845574887386004</v>
      </c>
      <c r="R978" s="70">
        <v>43.668232896219372</v>
      </c>
      <c r="S978" s="70">
        <v>62.00195416015071</v>
      </c>
      <c r="T978" s="70">
        <v>76.602759904873693</v>
      </c>
      <c r="U978" s="70">
        <v>89.090177934367546</v>
      </c>
      <c r="V978" s="70">
        <v>53.795931398119272</v>
      </c>
      <c r="X978" s="193">
        <f>((0-('Appendix K'!$I$30))/(1+$Y$16)^0)</f>
        <v>-33594902.4440751</v>
      </c>
      <c r="Y978" s="193">
        <f>(((B978*'Appendix K'!$C$5*1000)-('Appendix K'!$E$31+'Appendix K'!$F$31+'Appendix K'!$H$31+'Appendix K'!$G$31))/((1+$Y$16)^1))</f>
        <v>34971064.972647354</v>
      </c>
      <c r="Z978" s="193">
        <f>+(((C978*'Appendix K'!$C$6*1000)-('Appendix K'!$E$32+'Appendix K'!$F$32+'Appendix K'!$H$32+'Appendix K'!$G$32))/((1+$Y$16)^2))</f>
        <v>11521904.285447227</v>
      </c>
      <c r="AA978" s="193">
        <f>(((D978*'Appendix K'!$C$7*1000)-('Appendix K'!$E$33+'Appendix K'!$F$33+'Appendix K'!$H$33+'Appendix K'!$G$33))/((1+$Y$16)^3))</f>
        <v>895397.76523395814</v>
      </c>
      <c r="AB978" s="193">
        <f>(((E978*'Appendix K'!$C$8*1000)-('Appendix K'!$E$34+'Appendix K'!$F$34+'Appendix K'!$H$34+'Appendix K'!$G$34))/((1+$Y$16)^4))</f>
        <v>1347892.9384785984</v>
      </c>
      <c r="AC978" s="193">
        <f>(((F978*'Appendix K'!$C$9*1000)-('Appendix K'!$E$35+'Appendix K'!$F$35+'Appendix K'!$H$35+'Appendix K'!$G$35))/((1+$Y$16)^AC$34))</f>
        <v>3567504.7020664369</v>
      </c>
      <c r="AD978" s="193">
        <f>(((G978*'Appendix K'!$C$10*1000)-('Appendix K'!$E$36+'Appendix K'!$F$36+'Appendix K'!$H$36+'Appendix K'!$G$36))/((1+$Y$16)^AD$34))</f>
        <v>1557187.986887716</v>
      </c>
      <c r="AE978" s="193">
        <f>(((H978*'Appendix K'!$C$11*1000)-('Appendix K'!$E$37+'Appendix K'!$F$37+'Appendix K'!$H$37+'Appendix K'!$G$37))/((1+$Y$16)^AE$34))</f>
        <v>1281913.7529329753</v>
      </c>
      <c r="AF978" s="193">
        <f>(((I978*'Appendix K'!$C$12*1000)-('Appendix K'!$E$38+'Appendix K'!$F$38+'Appendix K'!$H$38+'Appendix K'!$G$38))/((1+$Y$16)^AF$34))</f>
        <v>1144009.0373316717</v>
      </c>
      <c r="AG978" s="193">
        <f>(((J978*'Appendix K'!$C$13*1000)-('Appendix K'!$E$39+'Appendix K'!$F$39+'Appendix K'!$H$39+'Appendix K'!$G$39))/((1+$Y$16)^AG$34))</f>
        <v>560499.72538126807</v>
      </c>
      <c r="AH978" s="193">
        <f>(((K978*'Appendix K'!$C$14*1000)-('Appendix K'!$E$40+'Appendix K'!$F$40+'Appendix K'!$H$40+'Appendix K'!$G$40))/((1+$Y$16)^AH$34))</f>
        <v>1495226.8467517653</v>
      </c>
      <c r="AI978" s="193">
        <f>(((L978*'Appendix K'!$C$15*1000)-('Appendix K'!$E$41+'Appendix K'!$F$41+'Appendix K'!$H$41+'Appendix K'!$G$41))/((1+$Y$16)^AI$34))</f>
        <v>1049886.7737066022</v>
      </c>
      <c r="AJ978" s="193">
        <f>(((M978*'Appendix K'!$C$16*1000)-('Appendix K'!$E$42+'Appendix K'!$F$42+'Appendix K'!$H$42+'Appendix K'!$G$42))/((1+$Y$16)^AJ$34))</f>
        <v>-77416.816407381004</v>
      </c>
      <c r="AK978" s="193">
        <f>(((N978*'Appendix K'!$C$17*1000)-('Appendix K'!$E$43+'Appendix K'!$F$43+'Appendix K'!$H$43))/((1+$Y$16)^AK$34))</f>
        <v>-115309.73058910356</v>
      </c>
      <c r="AL978" s="193">
        <f>(((O978*'Appendix K'!$C$18*1000)-('Appendix K'!$E$44+'Appendix K'!$F$44+'Appendix K'!$H$44+'Appendix K'!$G$44))/((1+$Y$16)^AL$34))</f>
        <v>-514535.22976042068</v>
      </c>
      <c r="AM978" s="193">
        <f>(((P978*'Appendix K'!$C$19*1000)-('Appendix K'!$E$45+'Appendix K'!$F$45+'Appendix K'!$H$45+'Appendix K'!$G$45))/((1+$Y$16)^AM$34))</f>
        <v>-581539.37931098475</v>
      </c>
      <c r="AN978" s="193">
        <f>(((Q978*'Appendix K'!$C$20*1000)-('Appendix K'!$E$46+'Appendix K'!$F$46+'Appendix K'!$H$46+'Appendix K'!$G$46))/((1+$Y$16)^AN$34))</f>
        <v>-706976.00263745338</v>
      </c>
      <c r="AO978" s="193">
        <f>(((R978*'Appendix K'!$C$21*1000)-('Appendix K'!$E$47+'Appendix K'!$F$47+'Appendix K'!$H$47+'Appendix K'!$G$47))/((1+$Y$16)^AO$34))</f>
        <v>-584914.84449621942</v>
      </c>
      <c r="AP978" s="193">
        <f>(((S978*'Appendix K'!$C$22*1000)-('Appendix K'!$E$48+'Appendix K'!$F$48+'Appendix K'!$H$48+'Appendix K'!$G$48))/((1+$Y$16)^AP$34))</f>
        <v>-467481.27375394135</v>
      </c>
      <c r="AQ978" s="193">
        <f>(((T978*'Appendix K'!$C$23*1000)-('Appendix K'!$E$49+'Appendix K'!$F$49+'Appendix K'!$H$49+'Appendix K'!$G$49))/((1+$Y$16)^AQ$34))</f>
        <v>-393682.04005358915</v>
      </c>
      <c r="AR978" s="193">
        <f>(((U978*'Appendix K'!$C$24*1000)-('Appendix K'!$E$50+'Appendix K'!$F$50+'Appendix K'!$H$50+'Appendix K'!$G$50))/((1+$Y$16)^AR$34))</f>
        <v>-342416.00015454768</v>
      </c>
      <c r="AS978" s="209">
        <f t="shared" si="44"/>
        <v>25797586.342790462</v>
      </c>
      <c r="AU978" s="199">
        <f t="shared" si="43"/>
        <v>3.8839227635851177E-9</v>
      </c>
    </row>
    <row r="979" spans="1:47" x14ac:dyDescent="0.35">
      <c r="A979">
        <v>945</v>
      </c>
      <c r="B979" s="70">
        <v>56</v>
      </c>
      <c r="C979" s="70">
        <v>64.187094593883387</v>
      </c>
      <c r="D979" s="70">
        <v>63.944189249872366</v>
      </c>
      <c r="E979" s="70">
        <v>64.606359085807071</v>
      </c>
      <c r="F979" s="70">
        <v>91.110017937179165</v>
      </c>
      <c r="G979" s="70">
        <v>108.42273267638279</v>
      </c>
      <c r="H979" s="70">
        <v>125.22467262776674</v>
      </c>
      <c r="I979" s="70">
        <v>119.03706327020188</v>
      </c>
      <c r="J979" s="70">
        <v>104.56542192506691</v>
      </c>
      <c r="K979" s="70">
        <v>151.82690646378373</v>
      </c>
      <c r="L979" s="70">
        <v>181.57312624367313</v>
      </c>
      <c r="M979" s="70">
        <v>121.90134987443966</v>
      </c>
      <c r="N979" s="70">
        <v>165.81562175328236</v>
      </c>
      <c r="O979" s="70">
        <v>179.24447164390443</v>
      </c>
      <c r="P979" s="70">
        <v>208.9892930922899</v>
      </c>
      <c r="Q979" s="70">
        <v>226.23360706442099</v>
      </c>
      <c r="R979" s="70">
        <v>309.65625449156522</v>
      </c>
      <c r="S979" s="70">
        <v>252.07907444543724</v>
      </c>
      <c r="T979" s="70">
        <v>435.43720072354256</v>
      </c>
      <c r="U979" s="70">
        <v>422.81617833871394</v>
      </c>
      <c r="V979" s="70">
        <v>301.93524082035935</v>
      </c>
      <c r="X979" s="193">
        <f>((0-('Appendix K'!$I$30))/(1+$Y$16)^0)</f>
        <v>-33594902.4440751</v>
      </c>
      <c r="Y979" s="193">
        <f>(((B979*'Appendix K'!$C$5*1000)-('Appendix K'!$E$31+'Appendix K'!$F$31+'Appendix K'!$H$31+'Appendix K'!$G$31))/((1+$Y$16)^1))</f>
        <v>34971064.972647354</v>
      </c>
      <c r="Z979" s="193">
        <f>+(((C979*'Appendix K'!$C$6*1000)-('Appendix K'!$E$32+'Appendix K'!$F$32+'Appendix K'!$H$32+'Appendix K'!$G$32))/((1+$Y$16)^2))</f>
        <v>12727510.224372134</v>
      </c>
      <c r="AA979" s="193">
        <f>(((D979*'Appendix K'!$C$7*1000)-('Appendix K'!$E$33+'Appendix K'!$F$33+'Appendix K'!$H$33+'Appendix K'!$G$33))/((1+$Y$16)^3))</f>
        <v>5179984.880846695</v>
      </c>
      <c r="AB979" s="193">
        <f>(((E979*'Appendix K'!$C$8*1000)-('Appendix K'!$E$34+'Appendix K'!$F$34+'Appendix K'!$H$34+'Appendix K'!$G$34))/((1+$Y$16)^4))</f>
        <v>10867914.60846079</v>
      </c>
      <c r="AC979" s="193">
        <f>(((F979*'Appendix K'!$C$9*1000)-('Appendix K'!$E$35+'Appendix K'!$F$35+'Appendix K'!$H$35+'Appendix K'!$G$35))/((1+$Y$16)^AC$34))</f>
        <v>21232671.180141266</v>
      </c>
      <c r="AD979" s="193">
        <f>(((G979*'Appendix K'!$C$10*1000)-('Appendix K'!$E$36+'Appendix K'!$F$36+'Appendix K'!$H$36+'Appendix K'!$G$36))/((1+$Y$16)^AD$34))</f>
        <v>14511371.395905633</v>
      </c>
      <c r="AE979" s="193">
        <f>(((H979*'Appendix K'!$C$11*1000)-('Appendix K'!$E$37+'Appendix K'!$F$37+'Appendix K'!$H$37+'Appendix K'!$G$37))/((1+$Y$16)^AE$34))</f>
        <v>10269670.95432795</v>
      </c>
      <c r="AF979" s="193">
        <f>(((I979*'Appendix K'!$C$12*1000)-('Appendix K'!$E$38+'Appendix K'!$F$38+'Appendix K'!$H$38+'Appendix K'!$G$38))/((1+$Y$16)^AF$34))</f>
        <v>5819683.4712760542</v>
      </c>
      <c r="AG979" s="193">
        <f>(((J979*'Appendix K'!$C$13*1000)-('Appendix K'!$E$39+'Appendix K'!$F$39+'Appendix K'!$H$39+'Appendix K'!$G$39))/((1+$Y$16)^AG$34))</f>
        <v>2997045.2288631406</v>
      </c>
      <c r="AH979" s="193">
        <f>(((K979*'Appendix K'!$C$14*1000)-('Appendix K'!$E$40+'Appendix K'!$F$40+'Appendix K'!$H$40+'Appendix K'!$G$40))/((1+$Y$16)^AH$34))</f>
        <v>3484816.5289660725</v>
      </c>
      <c r="AI979" s="193">
        <f>(((L979*'Appendix K'!$C$15*1000)-('Appendix K'!$E$41+'Appendix K'!$F$41+'Appendix K'!$H$41+'Appendix K'!$G$41))/((1+$Y$16)^AI$34))</f>
        <v>3241074.1026642383</v>
      </c>
      <c r="AJ979" s="193">
        <f>(((M979*'Appendix K'!$C$16*1000)-('Appendix K'!$E$42+'Appendix K'!$F$42+'Appendix K'!$H$42+'Appendix K'!$G$42))/((1+$Y$16)^AJ$34))</f>
        <v>1061579.6799079066</v>
      </c>
      <c r="AK979" s="193">
        <f>(((N979*'Appendix K'!$C$17*1000)-('Appendix K'!$E$43+'Appendix K'!$F$43+'Appendix K'!$H$43))/((1+$Y$16)^AK$34))</f>
        <v>1543315.5939358154</v>
      </c>
      <c r="AL979" s="193">
        <f>(((O979*'Appendix K'!$C$18*1000)-('Appendix K'!$E$44+'Appendix K'!$F$44+'Appendix K'!$H$44+'Appendix K'!$G$44))/((1+$Y$16)^AL$34))</f>
        <v>990048.33979186509</v>
      </c>
      <c r="AM979" s="193">
        <f>(((P979*'Appendix K'!$C$19*1000)-('Appendix K'!$E$45+'Appendix K'!$F$45+'Appendix K'!$H$45+'Appendix K'!$G$45))/((1+$Y$16)^AM$34))</f>
        <v>910299.76301584276</v>
      </c>
      <c r="AN979" s="193">
        <f>(((Q979*'Appendix K'!$C$20*1000)-('Appendix K'!$E$46+'Appendix K'!$F$46+'Appendix K'!$H$46+'Appendix K'!$G$46))/((1+$Y$16)^AN$34))</f>
        <v>721366.60986056051</v>
      </c>
      <c r="AO979" s="193">
        <f>(((R979*'Appendix K'!$C$21*1000)-('Appendix K'!$E$47+'Appendix K'!$F$47+'Appendix K'!$H$47+'Appendix K'!$G$47))/((1+$Y$16)^AO$34))</f>
        <v>987103.74949960236</v>
      </c>
      <c r="AP979" s="193">
        <f>(((S979*'Appendix K'!$C$22*1000)-('Appendix K'!$E$48+'Appendix K'!$F$48+'Appendix K'!$H$48+'Appendix K'!$G$48))/((1+$Y$16)^AP$34))</f>
        <v>442934.78568823152</v>
      </c>
      <c r="AQ979" s="193">
        <f>(((T979*'Appendix K'!$C$23*1000)-('Appendix K'!$E$49+'Appendix K'!$F$49+'Appendix K'!$H$49+'Appendix K'!$G$49))/((1+$Y$16)^AQ$34))</f>
        <v>1010704.0973378737</v>
      </c>
      <c r="AR979" s="193">
        <f>(((U979*'Appendix K'!$C$24*1000)-('Appendix K'!$E$50+'Appendix K'!$F$50+'Appendix K'!$H$50+'Appendix K'!$G$50))/((1+$Y$16)^AR$34))</f>
        <v>732191.07176905405</v>
      </c>
      <c r="AS979" s="209">
        <f t="shared" si="44"/>
        <v>100107448.79520297</v>
      </c>
      <c r="AU979" s="199">
        <f t="shared" si="43"/>
        <v>6.8614602935674065E-9</v>
      </c>
    </row>
    <row r="980" spans="1:47" x14ac:dyDescent="0.35">
      <c r="A980">
        <v>946</v>
      </c>
      <c r="B980" s="70">
        <v>56</v>
      </c>
      <c r="C980" s="70">
        <v>59.626136359641343</v>
      </c>
      <c r="D980" s="70">
        <v>65.374108892372732</v>
      </c>
      <c r="E980" s="70">
        <v>69.441018016336983</v>
      </c>
      <c r="F980" s="70">
        <v>75.487364164377269</v>
      </c>
      <c r="G980" s="70">
        <v>91.706993417297866</v>
      </c>
      <c r="H980" s="70">
        <v>139.60998032168862</v>
      </c>
      <c r="I980" s="70">
        <v>118.36688096632417</v>
      </c>
      <c r="J980" s="70">
        <v>169.87226000426179</v>
      </c>
      <c r="K980" s="70">
        <v>121.55341820919324</v>
      </c>
      <c r="L980" s="70">
        <v>172.6373339227604</v>
      </c>
      <c r="M980" s="70">
        <v>175.93885942376914</v>
      </c>
      <c r="N980" s="70">
        <v>254.74190276971655</v>
      </c>
      <c r="O980" s="70">
        <v>397.19287844466811</v>
      </c>
      <c r="P980" s="70">
        <v>500</v>
      </c>
      <c r="Q980" s="70">
        <v>500</v>
      </c>
      <c r="R980" s="70">
        <v>442.48148709908077</v>
      </c>
      <c r="S980" s="70">
        <v>445.94086767421345</v>
      </c>
      <c r="T980" s="70">
        <v>500</v>
      </c>
      <c r="U980" s="70">
        <v>500</v>
      </c>
      <c r="V980" s="70">
        <v>500</v>
      </c>
      <c r="X980" s="193">
        <f>((0-('Appendix K'!$I$30))/(1+$Y$16)^0)</f>
        <v>-33594902.4440751</v>
      </c>
      <c r="Y980" s="193">
        <f>(((B980*'Appendix K'!$C$5*1000)-('Appendix K'!$E$31+'Appendix K'!$F$31+'Appendix K'!$H$31+'Appendix K'!$G$31))/((1+$Y$16)^1))</f>
        <v>34971064.972647354</v>
      </c>
      <c r="Z980" s="193">
        <f>+(((C980*'Appendix K'!$C$6*1000)-('Appendix K'!$E$32+'Appendix K'!$F$32+'Appendix K'!$H$32+'Appendix K'!$G$32))/((1+$Y$16)^2))</f>
        <v>11575334.167767961</v>
      </c>
      <c r="AA980" s="193">
        <f>(((D980*'Appendix K'!$C$7*1000)-('Appendix K'!$E$33+'Appendix K'!$F$33+'Appendix K'!$H$33+'Appendix K'!$G$33))/((1+$Y$16)^3))</f>
        <v>5362120.7127930392</v>
      </c>
      <c r="AB980" s="193">
        <f>(((E980*'Appendix K'!$C$8*1000)-('Appendix K'!$E$34+'Appendix K'!$F$34+'Appendix K'!$H$34+'Appendix K'!$G$34))/((1+$Y$16)^4))</f>
        <v>11927627.588990193</v>
      </c>
      <c r="AC980" s="193">
        <f>(((F980*'Appendix K'!$C$9*1000)-('Appendix K'!$E$35+'Appendix K'!$F$35+'Appendix K'!$H$35+'Appendix K'!$G$35))/((1+$Y$16)^AC$34))</f>
        <v>17080194.339299213</v>
      </c>
      <c r="AD980" s="193">
        <f>(((G980*'Appendix K'!$C$10*1000)-('Appendix K'!$E$36+'Appendix K'!$F$36+'Appendix K'!$H$36+'Appendix K'!$G$36))/((1+$Y$16)^AD$34))</f>
        <v>11886265.650142485</v>
      </c>
      <c r="AE980" s="193">
        <f>(((H980*'Appendix K'!$C$11*1000)-('Appendix K'!$E$37+'Appendix K'!$F$37+'Appendix K'!$H$37+'Appendix K'!$G$37))/((1+$Y$16)^AE$34))</f>
        <v>11704427.43380294</v>
      </c>
      <c r="AF980" s="193">
        <f>(((I980*'Appendix K'!$C$12*1000)-('Appendix K'!$E$38+'Appendix K'!$F$38+'Appendix K'!$H$38+'Appendix K'!$G$38))/((1+$Y$16)^AF$34))</f>
        <v>5775677.6746448288</v>
      </c>
      <c r="AG980" s="193">
        <f>(((J980*'Appendix K'!$C$13*1000)-('Appendix K'!$E$39+'Appendix K'!$F$39+'Appendix K'!$H$39+'Appendix K'!$G$39))/((1+$Y$16)^AG$34))</f>
        <v>6002396.2062535072</v>
      </c>
      <c r="AH980" s="193">
        <f>(((K980*'Appendix K'!$C$14*1000)-('Appendix K'!$E$40+'Appendix K'!$F$40+'Appendix K'!$H$40+'Appendix K'!$G$40))/((1+$Y$16)^AH$34))</f>
        <v>2464402.3871105695</v>
      </c>
      <c r="AI980" s="193">
        <f>(((L980*'Appendix K'!$C$15*1000)-('Appendix K'!$E$41+'Appendix K'!$F$41+'Appendix K'!$H$41+'Appendix K'!$G$41))/((1+$Y$16)^AI$34))</f>
        <v>3006939.6338427481</v>
      </c>
      <c r="AJ980" s="193">
        <f>(((M980*'Appendix K'!$C$16*1000)-('Appendix K'!$E$42+'Appendix K'!$F$42+'Appendix K'!$H$42+'Appendix K'!$G$42))/((1+$Y$16)^AJ$34))</f>
        <v>2144592.2581151547</v>
      </c>
      <c r="AK980" s="193">
        <f>(((N980*'Appendix K'!$C$17*1000)-('Appendix K'!$E$43+'Appendix K'!$F$43+'Appendix K'!$H$43))/((1+$Y$16)^AK$34))</f>
        <v>2909569.8572047907</v>
      </c>
      <c r="AL980" s="193">
        <f>(((O980*'Appendix K'!$C$18*1000)-('Appendix K'!$E$44+'Appendix K'!$F$44+'Appendix K'!$H$44+'Appendix K'!$G$44))/((1+$Y$16)^AL$34))</f>
        <v>3573454.9373833858</v>
      </c>
      <c r="AM980" s="193">
        <f>(((P980*'Appendix K'!$C$19*1000)-('Appendix K'!$E$45+'Appendix K'!$F$45+'Appendix K'!$H$45+'Appendix K'!$G$45))/((1+$Y$16)^AM$34))</f>
        <v>3607599.9540230581</v>
      </c>
      <c r="AN980" s="193">
        <f>(((Q980*'Appendix K'!$C$20*1000)-('Appendix K'!$E$46+'Appendix K'!$F$46+'Appendix K'!$H$46+'Appendix K'!$G$46))/((1+$Y$16)^AN$34))</f>
        <v>2702399.606577659</v>
      </c>
      <c r="AO980" s="193">
        <f>(((R980*'Appendix K'!$C$21*1000)-('Appendix K'!$E$47+'Appendix K'!$F$47+'Appendix K'!$H$47+'Appendix K'!$G$47))/((1+$Y$16)^AO$34))</f>
        <v>1772115.5487470625</v>
      </c>
      <c r="AP980" s="193">
        <f>(((S980*'Appendix K'!$C$22*1000)-('Appendix K'!$E$48+'Appendix K'!$F$48+'Appendix K'!$H$48+'Appendix K'!$G$48))/((1+$Y$16)^AP$34))</f>
        <v>1371478.3663297885</v>
      </c>
      <c r="AQ980" s="193">
        <f>(((T980*'Appendix K'!$C$23*1000)-('Appendix K'!$E$49+'Appendix K'!$F$49+'Appendix K'!$H$49+'Appendix K'!$G$49))/((1+$Y$16)^AQ$34))</f>
        <v>1263386.3652054211</v>
      </c>
      <c r="AR980" s="193">
        <f>(((U980*'Appendix K'!$C$24*1000)-('Appendix K'!$E$50+'Appendix K'!$F$50+'Appendix K'!$H$50+'Appendix K'!$G$50))/((1+$Y$16)^AR$34))</f>
        <v>980725.14012097823</v>
      </c>
      <c r="AS980" s="209">
        <f t="shared" si="44"/>
        <v>108486870.35692707</v>
      </c>
      <c r="AU980" s="199">
        <f t="shared" si="43"/>
        <v>6.5700595696743563E-9</v>
      </c>
    </row>
    <row r="981" spans="1:47" x14ac:dyDescent="0.35">
      <c r="A981">
        <v>947</v>
      </c>
      <c r="B981" s="70">
        <v>56</v>
      </c>
      <c r="C981" s="70">
        <v>82.11556173693981</v>
      </c>
      <c r="D981" s="70">
        <v>67.007316202158421</v>
      </c>
      <c r="E981" s="70">
        <v>58.884138163627028</v>
      </c>
      <c r="F981" s="70">
        <v>88.15536322370582</v>
      </c>
      <c r="G981" s="70">
        <v>50.804305671717628</v>
      </c>
      <c r="H981" s="70">
        <v>53.218421894036737</v>
      </c>
      <c r="I981" s="70">
        <v>74.400191223191356</v>
      </c>
      <c r="J981" s="70">
        <v>53.686152234863009</v>
      </c>
      <c r="K981" s="70">
        <v>68.366994677462756</v>
      </c>
      <c r="L981" s="70">
        <v>75.05433080323823</v>
      </c>
      <c r="M981" s="70">
        <v>92.158755214066616</v>
      </c>
      <c r="N981" s="70">
        <v>70.600922742175158</v>
      </c>
      <c r="O981" s="70">
        <v>52.395936830033087</v>
      </c>
      <c r="P981" s="70">
        <v>65.0123399387533</v>
      </c>
      <c r="Q981" s="70">
        <v>47.614241030154872</v>
      </c>
      <c r="R981" s="70">
        <v>60.562017845561954</v>
      </c>
      <c r="S981" s="70">
        <v>85.827400096667049</v>
      </c>
      <c r="T981" s="70">
        <v>98.178485081653463</v>
      </c>
      <c r="U981" s="70">
        <v>103.06000058792058</v>
      </c>
      <c r="V981" s="70">
        <v>94.247796139379105</v>
      </c>
      <c r="X981" s="193">
        <f>((0-('Appendix K'!$I$30))/(1+$Y$16)^0)</f>
        <v>-33594902.4440751</v>
      </c>
      <c r="Y981" s="193">
        <f>(((B981*'Appendix K'!$C$5*1000)-('Appendix K'!$E$31+'Appendix K'!$F$31+'Appendix K'!$H$31+'Appendix K'!$G$31))/((1+$Y$16)^1))</f>
        <v>34971064.972647354</v>
      </c>
      <c r="Z981" s="193">
        <f>+(((C981*'Appendix K'!$C$6*1000)-('Appendix K'!$E$32+'Appendix K'!$F$32+'Appendix K'!$H$32+'Appendix K'!$G$32))/((1+$Y$16)^2))</f>
        <v>17256547.657506403</v>
      </c>
      <c r="AA981" s="193">
        <f>(((D981*'Appendix K'!$C$7*1000)-('Appendix K'!$E$33+'Appendix K'!$F$33+'Appendix K'!$H$33+'Appendix K'!$G$33))/((1+$Y$16)^3))</f>
        <v>5570150.2854119027</v>
      </c>
      <c r="AB981" s="193">
        <f>(((E981*'Appendix K'!$C$8*1000)-('Appendix K'!$E$34+'Appendix K'!$F$34+'Appendix K'!$H$34+'Appendix K'!$G$34))/((1+$Y$16)^4))</f>
        <v>9613656.1642096918</v>
      </c>
      <c r="AC981" s="193">
        <f>(((F981*'Appendix K'!$C$9*1000)-('Appendix K'!$E$35+'Appendix K'!$F$35+'Appendix K'!$H$35+'Appendix K'!$G$35))/((1+$Y$16)^AC$34))</f>
        <v>20447328.596940544</v>
      </c>
      <c r="AD981" s="193">
        <f>(((G981*'Appendix K'!$C$10*1000)-('Appendix K'!$E$36+'Appendix K'!$F$36+'Appendix K'!$H$36+'Appendix K'!$G$36))/((1+$Y$16)^AD$34))</f>
        <v>5462745.9389384789</v>
      </c>
      <c r="AE981" s="193">
        <f>(((H981*'Appendix K'!$C$11*1000)-('Appendix K'!$E$37+'Appendix K'!$F$37+'Appendix K'!$H$37+'Appendix K'!$G$37))/((1+$Y$16)^AE$34))</f>
        <v>3087938.2447404498</v>
      </c>
      <c r="AF981" s="193">
        <f>(((I981*'Appendix K'!$C$12*1000)-('Appendix K'!$E$38+'Appendix K'!$F$38+'Appendix K'!$H$38+'Appendix K'!$G$38))/((1+$Y$16)^AF$34))</f>
        <v>2888718.1172383283</v>
      </c>
      <c r="AG981" s="193">
        <f>(((J981*'Appendix K'!$C$13*1000)-('Appendix K'!$E$39+'Appendix K'!$F$39+'Appendix K'!$H$39+'Appendix K'!$G$39))/((1+$Y$16)^AG$34))</f>
        <v>655635.54819639784</v>
      </c>
      <c r="AH981" s="193">
        <f>(((K981*'Appendix K'!$C$14*1000)-('Appendix K'!$E$40+'Appendix K'!$F$40+'Appendix K'!$H$40+'Appendix K'!$G$40))/((1+$Y$16)^AH$34))</f>
        <v>671672.77927409497</v>
      </c>
      <c r="AI981" s="193">
        <f>(((L981*'Appendix K'!$C$15*1000)-('Appendix K'!$E$41+'Appendix K'!$F$41+'Appendix K'!$H$41+'Appendix K'!$G$41))/((1+$Y$16)^AI$34))</f>
        <v>450082.47100063396</v>
      </c>
      <c r="AJ981" s="193">
        <f>(((M981*'Appendix K'!$C$16*1000)-('Appendix K'!$E$42+'Appendix K'!$F$42+'Appendix K'!$H$42+'Appendix K'!$G$42))/((1+$Y$16)^AJ$34))</f>
        <v>465482.55414568819</v>
      </c>
      <c r="AK981" s="193">
        <f>(((N981*'Appendix K'!$C$17*1000)-('Appendix K'!$E$43+'Appendix K'!$F$43+'Appendix K'!$H$43))/((1+$Y$16)^AK$34))</f>
        <v>80446.72139456353</v>
      </c>
      <c r="AL981" s="193">
        <f>(((O981*'Appendix K'!$C$18*1000)-('Appendix K'!$E$44+'Appendix K'!$F$44+'Appendix K'!$H$44+'Appendix K'!$G$44))/((1+$Y$16)^AL$34))</f>
        <v>-513524.66880800592</v>
      </c>
      <c r="AM981" s="193">
        <f>(((P981*'Appendix K'!$C$19*1000)-('Appendix K'!$E$45+'Appendix K'!$F$45+'Appendix K'!$H$45+'Appendix K'!$G$45))/((1+$Y$16)^AM$34))</f>
        <v>-424184.00003288419</v>
      </c>
      <c r="AN981" s="193">
        <f>(((Q981*'Appendix K'!$C$20*1000)-('Appendix K'!$E$46+'Appendix K'!$F$46+'Appendix K'!$H$46+'Appendix K'!$G$46))/((1+$Y$16)^AN$34))</f>
        <v>-571161.86367576779</v>
      </c>
      <c r="AO981" s="193">
        <f>(((R981*'Appendix K'!$C$21*1000)-('Appendix K'!$E$47+'Appendix K'!$F$47+'Appendix K'!$H$47+'Appendix K'!$G$47))/((1+$Y$16)^AO$34))</f>
        <v>-485070.70901956392</v>
      </c>
      <c r="AP981" s="193">
        <f>(((S981*'Appendix K'!$C$22*1000)-('Appendix K'!$E$48+'Appendix K'!$F$48+'Appendix K'!$H$48+'Appendix K'!$G$48))/((1+$Y$16)^AP$34))</f>
        <v>-353364.07452754513</v>
      </c>
      <c r="AQ981" s="193">
        <f>(((T981*'Appendix K'!$C$23*1000)-('Appendix K'!$E$49+'Appendix K'!$F$49+'Appendix K'!$H$49+'Appendix K'!$G$49))/((1+$Y$16)^AQ$34))</f>
        <v>-309240.17523897561</v>
      </c>
      <c r="AR981" s="193">
        <f>(((U981*'Appendix K'!$C$24*1000)-('Appendix K'!$E$50+'Appendix K'!$F$50+'Appendix K'!$H$50+'Appendix K'!$G$50))/((1+$Y$16)^AR$34))</f>
        <v>-297432.77979162172</v>
      </c>
      <c r="AS981" s="209">
        <f t="shared" si="44"/>
        <v>68026567.607569456</v>
      </c>
      <c r="AU981" s="199">
        <f t="shared" si="43"/>
        <v>6.6230701502255217E-9</v>
      </c>
    </row>
    <row r="982" spans="1:47" x14ac:dyDescent="0.35">
      <c r="A982">
        <v>948</v>
      </c>
      <c r="B982" s="70">
        <v>56</v>
      </c>
      <c r="C982" s="70">
        <v>36.34602543209791</v>
      </c>
      <c r="D982" s="70">
        <v>41.663676358275438</v>
      </c>
      <c r="E982" s="70">
        <v>62.758150996921145</v>
      </c>
      <c r="F982" s="70">
        <v>33.960209221311189</v>
      </c>
      <c r="G982" s="70">
        <v>53.50048342572758</v>
      </c>
      <c r="H982" s="70">
        <v>45.737929001949418</v>
      </c>
      <c r="I982" s="70">
        <v>48.784879206565051</v>
      </c>
      <c r="J982" s="70">
        <v>51.342257221822436</v>
      </c>
      <c r="K982" s="70">
        <v>41.651082507866995</v>
      </c>
      <c r="L982" s="70">
        <v>68.295790106806038</v>
      </c>
      <c r="M982" s="70">
        <v>84.791776147056368</v>
      </c>
      <c r="N982" s="70">
        <v>101.17971235574225</v>
      </c>
      <c r="O982" s="70">
        <v>87.70149327017316</v>
      </c>
      <c r="P982" s="70">
        <v>96.504114954548783</v>
      </c>
      <c r="Q982" s="70">
        <v>131.26867275849764</v>
      </c>
      <c r="R982" s="70">
        <v>149.28047860431593</v>
      </c>
      <c r="S982" s="70">
        <v>203.53212536067718</v>
      </c>
      <c r="T982" s="70">
        <v>101.83521514466682</v>
      </c>
      <c r="U982" s="70">
        <v>166.91169677926291</v>
      </c>
      <c r="V982" s="70">
        <v>172.8933701134728</v>
      </c>
      <c r="X982" s="193">
        <f>((0-('Appendix K'!$I$30))/(1+$Y$16)^0)</f>
        <v>-33594902.4440751</v>
      </c>
      <c r="Y982" s="193">
        <f>(((B982*'Appendix K'!$C$5*1000)-('Appendix K'!$E$31+'Appendix K'!$F$31+'Appendix K'!$H$31+'Appendix K'!$G$31))/((1+$Y$16)^1))</f>
        <v>34971064.972647354</v>
      </c>
      <c r="Z982" s="193">
        <f>+(((C982*'Appendix K'!$C$6*1000)-('Appendix K'!$E$32+'Appendix K'!$F$32+'Appendix K'!$H$32+'Appendix K'!$G$32))/((1+$Y$16)^2))</f>
        <v>5694379.9848445663</v>
      </c>
      <c r="AA982" s="193">
        <f>(((D982*'Appendix K'!$C$7*1000)-('Appendix K'!$E$33+'Appendix K'!$F$33+'Appendix K'!$H$33+'Appendix K'!$G$33))/((1+$Y$16)^3))</f>
        <v>2342007.3951984234</v>
      </c>
      <c r="AB982" s="193">
        <f>(((E982*'Appendix K'!$C$8*1000)-('Appendix K'!$E$34+'Appendix K'!$F$34+'Appendix K'!$H$34+'Appendix K'!$G$34))/((1+$Y$16)^4))</f>
        <v>10462804.314093618</v>
      </c>
      <c r="AC982" s="193">
        <f>(((F982*'Appendix K'!$C$9*1000)-('Appendix K'!$E$35+'Appendix K'!$F$35+'Appendix K'!$H$35+'Appendix K'!$G$35))/((1+$Y$16)^AC$34))</f>
        <v>6042341.7647673227</v>
      </c>
      <c r="AD982" s="193">
        <f>(((G982*'Appendix K'!$C$10*1000)-('Appendix K'!$E$36+'Appendix K'!$F$36+'Appendix K'!$H$36+'Appendix K'!$G$36))/((1+$Y$16)^AD$34))</f>
        <v>5886164.3474185932</v>
      </c>
      <c r="AE982" s="193">
        <f>(((H982*'Appendix K'!$C$11*1000)-('Appendix K'!$E$37+'Appendix K'!$F$37+'Appendix K'!$H$37+'Appendix K'!$G$37))/((1+$Y$16)^AE$34))</f>
        <v>2341851.6211554944</v>
      </c>
      <c r="AF982" s="193">
        <f>(((I982*'Appendix K'!$C$12*1000)-('Appendix K'!$E$38+'Appendix K'!$F$38+'Appendix K'!$H$38+'Appendix K'!$G$38))/((1+$Y$16)^AF$34))</f>
        <v>1206754.5608643973</v>
      </c>
      <c r="AG982" s="193">
        <f>(((J982*'Appendix K'!$C$13*1000)-('Appendix K'!$E$39+'Appendix K'!$F$39+'Appendix K'!$H$39+'Appendix K'!$G$39))/((1+$Y$16)^AG$34))</f>
        <v>547772.00165936223</v>
      </c>
      <c r="AH982" s="193">
        <f>(((K982*'Appendix K'!$C$14*1000)-('Appendix K'!$E$40+'Appendix K'!$F$40+'Appendix K'!$H$40+'Appendix K'!$G$40))/((1+$Y$16)^AH$34))</f>
        <v>-228827.82908547559</v>
      </c>
      <c r="AI982" s="193">
        <f>(((L982*'Appendix K'!$C$15*1000)-('Appendix K'!$E$41+'Appendix K'!$F$41+'Appendix K'!$H$41+'Appendix K'!$G$41))/((1+$Y$16)^AI$34))</f>
        <v>272996.06622103514</v>
      </c>
      <c r="AJ982" s="193">
        <f>(((M982*'Appendix K'!$C$16*1000)-('Appendix K'!$E$42+'Appendix K'!$F$42+'Appendix K'!$H$42+'Appendix K'!$G$42))/((1+$Y$16)^AJ$34))</f>
        <v>317834.53965534252</v>
      </c>
      <c r="AK982" s="193">
        <f>(((N982*'Appendix K'!$C$17*1000)-('Appendix K'!$E$43+'Appendix K'!$F$43+'Appendix K'!$H$43))/((1+$Y$16)^AK$34))</f>
        <v>550256.10954855836</v>
      </c>
      <c r="AL982" s="193">
        <f>(((O982*'Appendix K'!$C$18*1000)-('Appendix K'!$E$44+'Appendix K'!$F$44+'Appendix K'!$H$44+'Appendix K'!$G$44))/((1+$Y$16)^AL$34))</f>
        <v>-95037.51958798214</v>
      </c>
      <c r="AM982" s="193">
        <f>(((P982*'Appendix K'!$C$19*1000)-('Appendix K'!$E$45+'Appendix K'!$F$45+'Appendix K'!$H$45+'Appendix K'!$G$45))/((1+$Y$16)^AM$34))</f>
        <v>-132295.18374888462</v>
      </c>
      <c r="AN982" s="193">
        <f>(((Q982*'Appendix K'!$C$20*1000)-('Appendix K'!$E$46+'Appendix K'!$F$46+'Appendix K'!$H$46+'Appendix K'!$G$46))/((1+$Y$16)^AN$34))</f>
        <v>34179.748194252796</v>
      </c>
      <c r="AO982" s="193">
        <f>(((R982*'Appendix K'!$C$21*1000)-('Appendix K'!$E$47+'Appendix K'!$F$47+'Appendix K'!$H$47+'Appendix K'!$G$47))/((1+$Y$16)^AO$34))</f>
        <v>39265.195683786296</v>
      </c>
      <c r="AP982" s="193">
        <f>(((S982*'Appendix K'!$C$22*1000)-('Appendix K'!$E$48+'Appendix K'!$F$48+'Appendix K'!$H$48+'Appendix K'!$G$48))/((1+$Y$16)^AP$34))</f>
        <v>210408.52467717227</v>
      </c>
      <c r="AQ982" s="193">
        <f>(((T982*'Appendix K'!$C$23*1000)-('Appendix K'!$E$49+'Appendix K'!$F$49+'Appendix K'!$H$49+'Appendix K'!$G$49))/((1+$Y$16)^AQ$34))</f>
        <v>-294928.66991924605</v>
      </c>
      <c r="AR982" s="193">
        <f>(((U982*'Appendix K'!$C$24*1000)-('Appendix K'!$E$50+'Appendix K'!$F$50+'Appendix K'!$H$50+'Appendix K'!$G$50))/((1+$Y$16)^AR$34))</f>
        <v>-91828.529003854419</v>
      </c>
      <c r="AS982" s="209">
        <f t="shared" si="44"/>
        <v>37325178.702554174</v>
      </c>
      <c r="AU982" s="199">
        <f t="shared" si="43"/>
        <v>4.7468505566216203E-9</v>
      </c>
    </row>
    <row r="983" spans="1:47" x14ac:dyDescent="0.35">
      <c r="A983">
        <v>949</v>
      </c>
      <c r="B983" s="70">
        <v>56</v>
      </c>
      <c r="C983" s="70">
        <v>27.787141205417271</v>
      </c>
      <c r="D983" s="70">
        <v>45.884115762132794</v>
      </c>
      <c r="E983" s="70">
        <v>58.093422443469045</v>
      </c>
      <c r="F983" s="70">
        <v>47.376380252737533</v>
      </c>
      <c r="G983" s="70">
        <v>36.456869486851815</v>
      </c>
      <c r="H983" s="70">
        <v>46.525952315756911</v>
      </c>
      <c r="I983" s="70">
        <v>33.134664887337735</v>
      </c>
      <c r="J983" s="70">
        <v>30.758538625884341</v>
      </c>
      <c r="K983" s="70">
        <v>39.152262679273001</v>
      </c>
      <c r="L983" s="70">
        <v>59.216844376187183</v>
      </c>
      <c r="M983" s="70">
        <v>64.223702010535831</v>
      </c>
      <c r="N983" s="70">
        <v>87.723847424117821</v>
      </c>
      <c r="O983" s="70">
        <v>94.090954882395565</v>
      </c>
      <c r="P983" s="70">
        <v>139.46456807462022</v>
      </c>
      <c r="Q983" s="70">
        <v>169.55242958038491</v>
      </c>
      <c r="R983" s="70">
        <v>201.44769828889176</v>
      </c>
      <c r="S983" s="70">
        <v>199.25295940887349</v>
      </c>
      <c r="T983" s="70">
        <v>247.22038959178099</v>
      </c>
      <c r="U983" s="70">
        <v>250.29237995900729</v>
      </c>
      <c r="V983" s="70">
        <v>226.78093827849403</v>
      </c>
      <c r="X983" s="193">
        <f>((0-('Appendix K'!$I$30))/(1+$Y$16)^0)</f>
        <v>-33594902.4440751</v>
      </c>
      <c r="Y983" s="193">
        <f>(((B983*'Appendix K'!$C$5*1000)-('Appendix K'!$E$31+'Appendix K'!$F$31+'Appendix K'!$H$31+'Appendix K'!$G$31))/((1+$Y$16)^1))</f>
        <v>34971064.972647354</v>
      </c>
      <c r="Z983" s="193">
        <f>+(((C983*'Appendix K'!$C$6*1000)-('Appendix K'!$E$32+'Appendix K'!$F$32+'Appendix K'!$H$32+'Appendix K'!$G$32))/((1+$Y$16)^2))</f>
        <v>3532259.4455260686</v>
      </c>
      <c r="AA983" s="193">
        <f>(((D983*'Appendix K'!$C$7*1000)-('Appendix K'!$E$33+'Appendix K'!$F$33+'Appendix K'!$H$33+'Appendix K'!$G$33))/((1+$Y$16)^3))</f>
        <v>2879585.325561387</v>
      </c>
      <c r="AB983" s="193">
        <f>(((E983*'Appendix K'!$C$8*1000)-('Appendix K'!$E$34+'Appendix K'!$F$34+'Appendix K'!$H$34+'Appendix K'!$G$34))/((1+$Y$16)^4))</f>
        <v>9440338.5166567899</v>
      </c>
      <c r="AC983" s="193">
        <f>(((F983*'Appendix K'!$C$9*1000)-('Appendix K'!$E$35+'Appendix K'!$F$35+'Appendix K'!$H$35+'Appendix K'!$G$35))/((1+$Y$16)^AC$34))</f>
        <v>9608338.957751425</v>
      </c>
      <c r="AD983" s="193">
        <f>(((G983*'Appendix K'!$C$10*1000)-('Appendix K'!$E$36+'Appendix K'!$F$36+'Appendix K'!$H$36+'Appendix K'!$G$36))/((1+$Y$16)^AD$34))</f>
        <v>3209567.8663389427</v>
      </c>
      <c r="AE983" s="193">
        <f>(((H983*'Appendix K'!$C$11*1000)-('Appendix K'!$E$37+'Appendix K'!$F$37+'Appendix K'!$H$37+'Appendix K'!$G$37))/((1+$Y$16)^AE$34))</f>
        <v>2420447.1979425214</v>
      </c>
      <c r="AF983" s="193">
        <f>(((I983*'Appendix K'!$C$12*1000)-('Appendix K'!$E$38+'Appendix K'!$F$38+'Appendix K'!$H$38+'Appendix K'!$G$38))/((1+$Y$16)^AF$34))</f>
        <v>179123.50498281763</v>
      </c>
      <c r="AG983" s="193">
        <f>(((J983*'Appendix K'!$C$13*1000)-('Appendix K'!$E$39+'Appendix K'!$F$39+'Appendix K'!$H$39+'Appendix K'!$G$39))/((1+$Y$16)^AG$34))</f>
        <v>-399468.75627802563</v>
      </c>
      <c r="AH983" s="193">
        <f>(((K983*'Appendix K'!$C$14*1000)-('Appendix K'!$E$40+'Appendix K'!$F$40+'Appendix K'!$H$40+'Appendix K'!$G$40))/((1+$Y$16)^AH$34))</f>
        <v>-313054.36649679014</v>
      </c>
      <c r="AI983" s="193">
        <f>(((L983*'Appendix K'!$C$15*1000)-('Appendix K'!$E$41+'Appendix K'!$F$41+'Appendix K'!$H$41+'Appendix K'!$G$41))/((1+$Y$16)^AI$34))</f>
        <v>35110.710367054395</v>
      </c>
      <c r="AJ983" s="193">
        <f>(((M983*'Appendix K'!$C$16*1000)-('Appendix K'!$E$42+'Appendix K'!$F$42+'Appendix K'!$H$42+'Appendix K'!$G$42))/((1+$Y$16)^AJ$34))</f>
        <v>-94388.066181371789</v>
      </c>
      <c r="AK983" s="193">
        <f>(((N983*'Appendix K'!$C$17*1000)-('Appendix K'!$E$43+'Appendix K'!$F$43+'Appendix K'!$H$43))/((1+$Y$16)^AK$34))</f>
        <v>343521.58046816313</v>
      </c>
      <c r="AL983" s="193">
        <f>(((O983*'Appendix K'!$C$18*1000)-('Appendix K'!$E$44+'Appendix K'!$F$44+'Appendix K'!$H$44+'Appendix K'!$G$44))/((1+$Y$16)^AL$34))</f>
        <v>-19301.350985646073</v>
      </c>
      <c r="AM983" s="193">
        <f>(((P983*'Appendix K'!$C$19*1000)-('Appendix K'!$E$45+'Appendix K'!$F$45+'Appendix K'!$H$45+'Appendix K'!$G$45))/((1+$Y$16)^AM$34))</f>
        <v>265893.73389555793</v>
      </c>
      <c r="AN983" s="193">
        <f>(((Q983*'Appendix K'!$C$20*1000)-('Appendix K'!$E$46+'Appendix K'!$F$46+'Appendix K'!$H$46+'Appendix K'!$G$46))/((1+$Y$16)^AN$34))</f>
        <v>311209.31595532759</v>
      </c>
      <c r="AO983" s="193">
        <f>(((R983*'Appendix K'!$C$21*1000)-('Appendix K'!$E$47+'Appendix K'!$F$47+'Appendix K'!$H$47+'Appendix K'!$G$47))/((1+$Y$16)^AO$34))</f>
        <v>347579.22745615948</v>
      </c>
      <c r="AP983" s="193">
        <f>(((S983*'Appendix K'!$C$22*1000)-('Appendix K'!$E$48+'Appendix K'!$F$48+'Appendix K'!$H$48+'Appendix K'!$G$48))/((1+$Y$16)^AP$34))</f>
        <v>189912.52075153933</v>
      </c>
      <c r="AQ983" s="193">
        <f>(((T983*'Appendix K'!$C$23*1000)-('Appendix K'!$E$49+'Appendix K'!$F$49+'Appendix K'!$H$49+'Appendix K'!$G$49))/((1+$Y$16)^AQ$34))</f>
        <v>274071.68330756191</v>
      </c>
      <c r="AR983" s="193">
        <f>(((U983*'Appendix K'!$C$24*1000)-('Appendix K'!$E$50+'Appendix K'!$F$50+'Appendix K'!$H$50+'Appendix K'!$G$50))/((1+$Y$16)^AR$34))</f>
        <v>176659.60706649214</v>
      </c>
      <c r="AS983" s="209">
        <f t="shared" si="44"/>
        <v>34589781.72260005</v>
      </c>
      <c r="AU983" s="199">
        <f t="shared" si="43"/>
        <v>4.5430834104946553E-9</v>
      </c>
    </row>
    <row r="984" spans="1:47" x14ac:dyDescent="0.35">
      <c r="A984">
        <v>950</v>
      </c>
      <c r="B984" s="70">
        <v>56</v>
      </c>
      <c r="C984" s="70">
        <v>27.785245796951813</v>
      </c>
      <c r="D984" s="70">
        <v>25.818063677270381</v>
      </c>
      <c r="E984" s="70">
        <v>29.005263452921874</v>
      </c>
      <c r="F984" s="70">
        <v>21.986063772140536</v>
      </c>
      <c r="G984" s="70">
        <v>25.676104979420042</v>
      </c>
      <c r="H984" s="70">
        <v>32.584549806877298</v>
      </c>
      <c r="I984" s="70">
        <v>31.52704352073043</v>
      </c>
      <c r="J984" s="70">
        <v>31.144219807159217</v>
      </c>
      <c r="K984" s="70">
        <v>25.682153588670921</v>
      </c>
      <c r="L984" s="70">
        <v>21.002862511727919</v>
      </c>
      <c r="M984" s="70">
        <v>17.375397475017699</v>
      </c>
      <c r="N984" s="70">
        <v>18.193353811615751</v>
      </c>
      <c r="O984" s="70">
        <v>23.974462235784635</v>
      </c>
      <c r="P984" s="70">
        <v>28.656769543028027</v>
      </c>
      <c r="Q984" s="70">
        <v>33.021780698175988</v>
      </c>
      <c r="R984" s="70">
        <v>28.56020100090349</v>
      </c>
      <c r="S984" s="70">
        <v>30.733201155078692</v>
      </c>
      <c r="T984" s="70">
        <v>34.224458138684312</v>
      </c>
      <c r="U984" s="70">
        <v>40.718485162741466</v>
      </c>
      <c r="V984" s="70">
        <v>25.438255478033341</v>
      </c>
      <c r="X984" s="193">
        <f>((0-('Appendix K'!$I$30))/(1+$Y$16)^0)</f>
        <v>-33594902.4440751</v>
      </c>
      <c r="Y984" s="193">
        <f>(((B984*'Appendix K'!$C$5*1000)-('Appendix K'!$E$31+'Appendix K'!$F$31+'Appendix K'!$H$31+'Appendix K'!$G$31))/((1+$Y$16)^1))</f>
        <v>34971064.972647354</v>
      </c>
      <c r="Z984" s="193">
        <f>+(((C984*'Appendix K'!$C$6*1000)-('Appendix K'!$E$32+'Appendix K'!$F$32+'Appendix K'!$H$32+'Appendix K'!$G$32))/((1+$Y$16)^2))</f>
        <v>3531780.63293029</v>
      </c>
      <c r="AA984" s="193">
        <f>(((D984*'Appendix K'!$C$7*1000)-('Appendix K'!$E$33+'Appendix K'!$F$33+'Appendix K'!$H$33+'Appendix K'!$G$33))/((1+$Y$16)^3))</f>
        <v>323674.50251374533</v>
      </c>
      <c r="AB984" s="193">
        <f>(((E984*'Appendix K'!$C$8*1000)-('Appendix K'!$E$34+'Appendix K'!$F$34+'Appendix K'!$H$34+'Appendix K'!$G$34))/((1+$Y$16)^4))</f>
        <v>3064480.3423952041</v>
      </c>
      <c r="AC984" s="193">
        <f>(((F984*'Appendix K'!$C$9*1000)-('Appendix K'!$E$35+'Appendix K'!$F$35+'Appendix K'!$H$35+'Appendix K'!$G$35))/((1+$Y$16)^AC$34))</f>
        <v>2859632.7071602792</v>
      </c>
      <c r="AD984" s="193">
        <f>(((G984*'Appendix K'!$C$10*1000)-('Appendix K'!$E$36+'Appendix K'!$F$36+'Appendix K'!$H$36+'Appendix K'!$G$36))/((1+$Y$16)^AD$34))</f>
        <v>1516514.0077249836</v>
      </c>
      <c r="AE984" s="193">
        <f>(((H984*'Appendix K'!$C$11*1000)-('Appendix K'!$E$37+'Appendix K'!$F$37+'Appendix K'!$H$37+'Appendix K'!$G$37))/((1+$Y$16)^AE$34))</f>
        <v>1029964.7690518722</v>
      </c>
      <c r="AF984" s="193">
        <f>(((I984*'Appendix K'!$C$12*1000)-('Appendix K'!$E$38+'Appendix K'!$F$38+'Appendix K'!$H$38+'Appendix K'!$G$38))/((1+$Y$16)^AF$34))</f>
        <v>73563.184291566315</v>
      </c>
      <c r="AG984" s="193">
        <f>(((J984*'Appendix K'!$C$13*1000)-('Appendix K'!$E$39+'Appendix K'!$F$39+'Appendix K'!$H$39+'Appendix K'!$G$39))/((1+$Y$16)^AG$34))</f>
        <v>-381720.12000658474</v>
      </c>
      <c r="AH984" s="193">
        <f>(((K984*'Appendix K'!$C$14*1000)-('Appendix K'!$E$40+'Appendix K'!$F$40+'Appendix K'!$H$40+'Appendix K'!$G$40))/((1+$Y$16)^AH$34))</f>
        <v>-767084.95896749792</v>
      </c>
      <c r="AI984" s="193">
        <f>(((L984*'Appendix K'!$C$15*1000)-('Appendix K'!$E$41+'Appendix K'!$F$41+'Appendix K'!$H$41+'Appendix K'!$G$41))/((1+$Y$16)^AI$34))</f>
        <v>-966167.07497827243</v>
      </c>
      <c r="AJ984" s="193">
        <f>(((M984*'Appendix K'!$C$16*1000)-('Appendix K'!$E$42+'Appendix K'!$F$42+'Appendix K'!$H$42+'Appendix K'!$G$42))/((1+$Y$16)^AJ$34))</f>
        <v>-1033315.5538246171</v>
      </c>
      <c r="AK984" s="193">
        <f>(((N984*'Appendix K'!$C$17*1000)-('Appendix K'!$E$43+'Appendix K'!$F$43+'Appendix K'!$H$43))/((1+$Y$16)^AK$34))</f>
        <v>-724737.79391994711</v>
      </c>
      <c r="AL984" s="193">
        <f>(((O984*'Appendix K'!$C$18*1000)-('Appendix K'!$E$44+'Appendix K'!$F$44+'Appendix K'!$H$44+'Appendix K'!$G$44))/((1+$Y$16)^AL$34))</f>
        <v>-850412.77025295736</v>
      </c>
      <c r="AM984" s="193">
        <f>(((P984*'Appendix K'!$C$19*1000)-('Appendix K'!$E$45+'Appendix K'!$F$45+'Appendix K'!$H$45+'Appendix K'!$G$45))/((1+$Y$16)^AM$34))</f>
        <v>-761154.03118594736</v>
      </c>
      <c r="AN984" s="193">
        <f>(((Q984*'Appendix K'!$C$20*1000)-('Appendix K'!$E$46+'Appendix K'!$F$46+'Appendix K'!$H$46+'Appendix K'!$G$46))/((1+$Y$16)^AN$34))</f>
        <v>-676756.07160960289</v>
      </c>
      <c r="AO984" s="193">
        <f>(((R984*'Appendix K'!$C$21*1000)-('Appendix K'!$E$47+'Appendix K'!$F$47+'Appendix K'!$H$47+'Appendix K'!$G$47))/((1+$Y$16)^AO$34))</f>
        <v>-674204.98213350808</v>
      </c>
      <c r="AP984" s="193">
        <f>(((S984*'Appendix K'!$C$22*1000)-('Appendix K'!$E$48+'Appendix K'!$F$48+'Appendix K'!$H$48+'Appendix K'!$G$48))/((1+$Y$16)^AP$34))</f>
        <v>-617249.8248126976</v>
      </c>
      <c r="AQ984" s="193">
        <f>(((T984*'Appendix K'!$C$23*1000)-('Appendix K'!$E$49+'Appendix K'!$F$49+'Appendix K'!$H$49+'Appendix K'!$G$49))/((1+$Y$16)^AQ$34))</f>
        <v>-559539.86404296395</v>
      </c>
      <c r="AR984" s="193">
        <f>(((U984*'Appendix K'!$C$24*1000)-('Appendix K'!$E$50+'Appendix K'!$F$50+'Appendix K'!$H$50+'Appendix K'!$G$50))/((1+$Y$16)^AR$34))</f>
        <v>-498174.20619880228</v>
      </c>
      <c r="AS984" s="209">
        <f t="shared" si="44"/>
        <v>13775772.674640194</v>
      </c>
      <c r="AU984" s="199">
        <f t="shared" si="43"/>
        <v>3.0151723616281506E-9</v>
      </c>
    </row>
    <row r="985" spans="1:47" x14ac:dyDescent="0.35">
      <c r="A985">
        <v>951</v>
      </c>
      <c r="B985" s="70">
        <v>56</v>
      </c>
      <c r="C985" s="70">
        <v>72.169788067806508</v>
      </c>
      <c r="D985" s="70">
        <v>87.510924351896819</v>
      </c>
      <c r="E985" s="70">
        <v>105.30175176483716</v>
      </c>
      <c r="F985" s="70">
        <v>88.536511922216064</v>
      </c>
      <c r="G985" s="70">
        <v>65.028790448385109</v>
      </c>
      <c r="H985" s="70">
        <v>64.338122036664643</v>
      </c>
      <c r="I985" s="70">
        <v>66.495066720997343</v>
      </c>
      <c r="J985" s="70">
        <v>56.365198960389904</v>
      </c>
      <c r="K985" s="70">
        <v>39.417535750315956</v>
      </c>
      <c r="L985" s="70">
        <v>51.098205909839351</v>
      </c>
      <c r="M985" s="70">
        <v>48.48658155928436</v>
      </c>
      <c r="N985" s="70">
        <v>46.730752535465271</v>
      </c>
      <c r="O985" s="70">
        <v>57.411361628513376</v>
      </c>
      <c r="P985" s="70">
        <v>67.009342768290765</v>
      </c>
      <c r="Q985" s="70">
        <v>71.361636427658894</v>
      </c>
      <c r="R985" s="70">
        <v>80.007457183182765</v>
      </c>
      <c r="S985" s="70">
        <v>116.5286737839217</v>
      </c>
      <c r="T985" s="70">
        <v>107.03390932680999</v>
      </c>
      <c r="U985" s="70">
        <v>127.01810632605435</v>
      </c>
      <c r="V985" s="70">
        <v>130.25385849009237</v>
      </c>
      <c r="X985" s="193">
        <f>((0-('Appendix K'!$I$30))/(1+$Y$16)^0)</f>
        <v>-33594902.4440751</v>
      </c>
      <c r="Y985" s="193">
        <f>(((B985*'Appendix K'!$C$5*1000)-('Appendix K'!$E$31+'Appendix K'!$F$31+'Appendix K'!$H$31+'Appendix K'!$G$31))/((1+$Y$16)^1))</f>
        <v>34971064.972647354</v>
      </c>
      <c r="Z985" s="193">
        <f>+(((C985*'Appendix K'!$C$6*1000)-('Appendix K'!$E$32+'Appendix K'!$F$32+'Appendix K'!$H$32+'Appendix K'!$G$32))/((1+$Y$16)^2))</f>
        <v>14744075.124882137</v>
      </c>
      <c r="AA985" s="193">
        <f>(((D985*'Appendix K'!$C$7*1000)-('Appendix K'!$E$33+'Appendix K'!$F$33+'Appendix K'!$H$33+'Appendix K'!$G$33))/((1+$Y$16)^3))</f>
        <v>8181794.7563727936</v>
      </c>
      <c r="AB985" s="193">
        <f>(((E985*'Appendix K'!$C$8*1000)-('Appendix K'!$E$34+'Appendix K'!$F$34+'Appendix K'!$H$34+'Appendix K'!$G$34))/((1+$Y$16)^4))</f>
        <v>19787972.153240394</v>
      </c>
      <c r="AC985" s="193">
        <f>(((F985*'Appendix K'!$C$9*1000)-('Appendix K'!$E$35+'Appendix K'!$F$35+'Appendix K'!$H$35+'Appendix K'!$G$35))/((1+$Y$16)^AC$34))</f>
        <v>20548637.322493706</v>
      </c>
      <c r="AD985" s="193">
        <f>(((G985*'Appendix K'!$C$10*1000)-('Appendix K'!$E$36+'Appendix K'!$F$36+'Appendix K'!$H$36+'Appendix K'!$G$36))/((1+$Y$16)^AD$34))</f>
        <v>7696615.2365500527</v>
      </c>
      <c r="AE985" s="193">
        <f>(((H985*'Appendix K'!$C$11*1000)-('Appendix K'!$E$37+'Appendix K'!$F$37+'Appendix K'!$H$37+'Appendix K'!$G$37))/((1+$Y$16)^AE$34))</f>
        <v>4196990.7703388603</v>
      </c>
      <c r="AF985" s="193">
        <f>(((I985*'Appendix K'!$C$12*1000)-('Appendix K'!$E$38+'Appendix K'!$F$38+'Appendix K'!$H$38+'Appendix K'!$G$38))/((1+$Y$16)^AF$34))</f>
        <v>2369648.4563784986</v>
      </c>
      <c r="AG985" s="193">
        <f>(((J985*'Appendix K'!$C$13*1000)-('Appendix K'!$E$39+'Appendix K'!$F$39+'Appendix K'!$H$39+'Appendix K'!$G$39))/((1+$Y$16)^AG$34))</f>
        <v>778922.41878831096</v>
      </c>
      <c r="AH985" s="193">
        <f>(((K985*'Appendix K'!$C$14*1000)-('Appendix K'!$E$40+'Appendix K'!$F$40+'Appendix K'!$H$40+'Appendix K'!$G$40))/((1+$Y$16)^AH$34))</f>
        <v>-304112.9326299933</v>
      </c>
      <c r="AI985" s="193">
        <f>(((L985*'Appendix K'!$C$15*1000)-('Appendix K'!$E$41+'Appendix K'!$F$41+'Appendix K'!$H$41+'Appendix K'!$G$41))/((1+$Y$16)^AI$34))</f>
        <v>-177612.79937963575</v>
      </c>
      <c r="AJ985" s="193">
        <f>(((M985*'Appendix K'!$C$16*1000)-('Appendix K'!$E$42+'Appendix K'!$F$42+'Appendix K'!$H$42+'Appendix K'!$G$42))/((1+$Y$16)^AJ$34))</f>
        <v>-409789.34088129643</v>
      </c>
      <c r="AK985" s="193">
        <f>(((N985*'Appendix K'!$C$17*1000)-('Appendix K'!$E$43+'Appendix K'!$F$43+'Appendix K'!$H$43))/((1+$Y$16)^AK$34))</f>
        <v>-286292.12607670791</v>
      </c>
      <c r="AL985" s="193">
        <f>(((O985*'Appendix K'!$C$18*1000)-('Appendix K'!$E$44+'Appendix K'!$F$44+'Appendix K'!$H$44+'Appendix K'!$G$44))/((1+$Y$16)^AL$34))</f>
        <v>-454075.36287220911</v>
      </c>
      <c r="AM985" s="193">
        <f>(((P985*'Appendix K'!$C$19*1000)-('Appendix K'!$E$45+'Appendix K'!$F$45+'Appendix K'!$H$45+'Appendix K'!$G$45))/((1+$Y$16)^AM$34))</f>
        <v>-405674.31641749188</v>
      </c>
      <c r="AN985" s="193">
        <f>(((Q985*'Appendix K'!$C$20*1000)-('Appendix K'!$E$46+'Appendix K'!$F$46+'Appendix K'!$H$46+'Appendix K'!$G$46))/((1+$Y$16)^AN$34))</f>
        <v>-399320.55998582428</v>
      </c>
      <c r="AO985" s="193">
        <f>(((R985*'Appendix K'!$C$21*1000)-('Appendix K'!$E$47+'Appendix K'!$F$47+'Appendix K'!$H$47+'Appendix K'!$G$47))/((1+$Y$16)^AO$34))</f>
        <v>-370146.01420130447</v>
      </c>
      <c r="AP985" s="193">
        <f>(((S985*'Appendix K'!$C$22*1000)-('Appendix K'!$E$48+'Appendix K'!$F$48+'Appendix K'!$H$48+'Appendix K'!$G$48))/((1+$Y$16)^AP$34))</f>
        <v>-206313.59013334481</v>
      </c>
      <c r="AQ985" s="193">
        <f>(((T985*'Appendix K'!$C$23*1000)-('Appendix K'!$E$49+'Appendix K'!$F$49+'Appendix K'!$H$49+'Appendix K'!$G$49))/((1+$Y$16)^AQ$34))</f>
        <v>-274582.31179018068</v>
      </c>
      <c r="AR985" s="193">
        <f>(((U985*'Appendix K'!$C$24*1000)-('Appendix K'!$E$50+'Appendix K'!$F$50+'Appendix K'!$H$50+'Appendix K'!$G$50))/((1+$Y$16)^AR$34))</f>
        <v>-220287.00803605479</v>
      </c>
      <c r="AS985" s="209">
        <f t="shared" si="44"/>
        <v>79680818.767617017</v>
      </c>
      <c r="AU985" s="199">
        <f t="shared" si="43"/>
        <v>6.9612729953890798E-9</v>
      </c>
    </row>
    <row r="986" spans="1:47" x14ac:dyDescent="0.35">
      <c r="A986">
        <v>952</v>
      </c>
      <c r="B986" s="70">
        <v>56</v>
      </c>
      <c r="C986" s="70">
        <v>66.827482763919818</v>
      </c>
      <c r="D986" s="70">
        <v>73.139722478621906</v>
      </c>
      <c r="E986" s="70">
        <v>96.861742567736982</v>
      </c>
      <c r="F986" s="70">
        <v>115.61276097473937</v>
      </c>
      <c r="G986" s="70">
        <v>215.5942246176042</v>
      </c>
      <c r="H986" s="70">
        <v>260.93668150457847</v>
      </c>
      <c r="I986" s="70">
        <v>325.68011659673692</v>
      </c>
      <c r="J986" s="70">
        <v>387.37486730184992</v>
      </c>
      <c r="K986" s="70">
        <v>443.87368789853781</v>
      </c>
      <c r="L986" s="70">
        <v>500</v>
      </c>
      <c r="M986" s="70">
        <v>500</v>
      </c>
      <c r="N986" s="70">
        <v>412.61700672730899</v>
      </c>
      <c r="O986" s="70">
        <v>395.58719793473108</v>
      </c>
      <c r="P986" s="70">
        <v>500</v>
      </c>
      <c r="Q986" s="70">
        <v>445.63438450709862</v>
      </c>
      <c r="R986" s="70">
        <v>149.34883873464662</v>
      </c>
      <c r="S986" s="70">
        <v>156.24217266058008</v>
      </c>
      <c r="T986" s="70">
        <v>137.15536460865934</v>
      </c>
      <c r="U986" s="70">
        <v>176.80795731924078</v>
      </c>
      <c r="V986" s="70">
        <v>153.48927818103445</v>
      </c>
      <c r="X986" s="193">
        <f>((0-('Appendix K'!$I$30))/(1+$Y$16)^0)</f>
        <v>-33594902.4440751</v>
      </c>
      <c r="Y986" s="193">
        <f>(((B986*'Appendix K'!$C$5*1000)-('Appendix K'!$E$31+'Appendix K'!$F$31+'Appendix K'!$H$31+'Appendix K'!$G$31))/((1+$Y$16)^1))</f>
        <v>34971064.972647354</v>
      </c>
      <c r="Z986" s="193">
        <f>+(((C986*'Appendix K'!$C$6*1000)-('Appendix K'!$E$32+'Appendix K'!$F$32+'Appendix K'!$H$32+'Appendix K'!$G$32))/((1+$Y$16)^2))</f>
        <v>13394517.435009843</v>
      </c>
      <c r="AA986" s="193">
        <f>(((D986*'Appendix K'!$C$7*1000)-('Appendix K'!$E$33+'Appendix K'!$F$33+'Appendix K'!$H$33+'Appendix K'!$G$33))/((1+$Y$16)^3))</f>
        <v>6351264.7521266825</v>
      </c>
      <c r="AB986" s="193">
        <f>(((E986*'Appendix K'!$C$8*1000)-('Appendix K'!$E$34+'Appendix K'!$F$34+'Appendix K'!$H$34+'Appendix K'!$G$34))/((1+$Y$16)^4))</f>
        <v>17937999.398083851</v>
      </c>
      <c r="AC986" s="193">
        <f>(((F986*'Appendix K'!$C$9*1000)-('Appendix K'!$E$35+'Appendix K'!$F$35+'Appendix K'!$H$35+'Appendix K'!$G$35))/((1+$Y$16)^AC$34))</f>
        <v>27745461.803313654</v>
      </c>
      <c r="AD986" s="193">
        <f>(((G986*'Appendix K'!$C$10*1000)-('Appendix K'!$E$36+'Appendix K'!$F$36+'Appendix K'!$H$36+'Appendix K'!$G$36))/((1+$Y$16)^AD$34))</f>
        <v>31342005.980254292</v>
      </c>
      <c r="AE986" s="193">
        <f>(((H986*'Appendix K'!$C$11*1000)-('Appendix K'!$E$37+'Appendix K'!$F$37+'Appendix K'!$H$37+'Appendix K'!$G$37))/((1+$Y$16)^AE$34))</f>
        <v>23805264.924336907</v>
      </c>
      <c r="AF986" s="193">
        <f>(((I986*'Appendix K'!$C$12*1000)-('Appendix K'!$E$38+'Appendix K'!$F$38+'Appendix K'!$H$38+'Appendix K'!$G$38))/((1+$Y$16)^AF$34))</f>
        <v>19388367.883453798</v>
      </c>
      <c r="AG986" s="193">
        <f>(((J986*'Appendix K'!$C$13*1000)-('Appendix K'!$E$39+'Appendix K'!$F$39+'Appendix K'!$H$39+'Appendix K'!$G$39))/((1+$Y$16)^AG$34))</f>
        <v>16011634.023495238</v>
      </c>
      <c r="AH986" s="193">
        <f>(((K986*'Appendix K'!$C$14*1000)-('Appendix K'!$E$40+'Appendix K'!$F$40+'Appendix K'!$H$40+'Appendix K'!$G$40))/((1+$Y$16)^AH$34))</f>
        <v>13328699.181445612</v>
      </c>
      <c r="AI986" s="193">
        <f>(((L986*'Appendix K'!$C$15*1000)-('Appendix K'!$E$41+'Appendix K'!$F$41+'Appendix K'!$H$41+'Appendix K'!$G$41))/((1+$Y$16)^AI$34))</f>
        <v>11584453.656253781</v>
      </c>
      <c r="AJ986" s="193">
        <f>(((M986*'Appendix K'!$C$16*1000)-('Appendix K'!$E$42+'Appendix K'!$F$42+'Appendix K'!$H$42+'Appendix K'!$G$42))/((1+$Y$16)^AJ$34))</f>
        <v>8639382.5302660316</v>
      </c>
      <c r="AK986" s="193">
        <f>(((N986*'Appendix K'!$C$17*1000)-('Appendix K'!$E$43+'Appendix K'!$F$43+'Appendix K'!$H$43))/((1+$Y$16)^AK$34))</f>
        <v>5335146.7663103351</v>
      </c>
      <c r="AL986" s="193">
        <f>(((O986*'Appendix K'!$C$18*1000)-('Appendix K'!$E$44+'Appendix K'!$F$44+'Appendix K'!$H$44+'Appendix K'!$G$44))/((1+$Y$16)^AL$34))</f>
        <v>3554422.3338241987</v>
      </c>
      <c r="AM986" s="193">
        <f>(((P986*'Appendix K'!$C$19*1000)-('Appendix K'!$E$45+'Appendix K'!$F$45+'Appendix K'!$H$45+'Appendix K'!$G$45))/((1+$Y$16)^AM$34))</f>
        <v>3607599.9540230581</v>
      </c>
      <c r="AN986" s="193">
        <f>(((Q986*'Appendix K'!$C$20*1000)-('Appendix K'!$E$46+'Appendix K'!$F$46+'Appendix K'!$H$46+'Appendix K'!$G$46))/((1+$Y$16)^AN$34))</f>
        <v>2308998.2214645664</v>
      </c>
      <c r="AO986" s="193">
        <f>(((R986*'Appendix K'!$C$21*1000)-('Appendix K'!$E$47+'Appendix K'!$F$47+'Appendix K'!$H$47+'Appendix K'!$G$47))/((1+$Y$16)^AO$34))</f>
        <v>39669.211606470904</v>
      </c>
      <c r="AP986" s="193">
        <f>(((S986*'Appendix K'!$C$22*1000)-('Appendix K'!$E$48+'Appendix K'!$F$48+'Appendix K'!$H$48+'Appendix K'!$G$48))/((1+$Y$16)^AP$34))</f>
        <v>-16097.076437839205</v>
      </c>
      <c r="AQ986" s="193">
        <f>(((T986*'Appendix K'!$C$23*1000)-('Appendix K'!$E$49+'Appendix K'!$F$49+'Appendix K'!$H$49+'Appendix K'!$G$49))/((1+$Y$16)^AQ$34))</f>
        <v>-156694.64710733946</v>
      </c>
      <c r="AR986" s="193">
        <f>(((U986*'Appendix K'!$C$24*1000)-('Appendix K'!$E$50+'Appendix K'!$F$50+'Appendix K'!$H$50+'Appendix K'!$G$50))/((1+$Y$16)^AR$34))</f>
        <v>-59962.292783201206</v>
      </c>
      <c r="AS986" s="209">
        <f t="shared" si="44"/>
        <v>205751050.58384055</v>
      </c>
      <c r="AU986" s="199">
        <f t="shared" si="43"/>
        <v>8.0539944176782457E-10</v>
      </c>
    </row>
    <row r="987" spans="1:47" x14ac:dyDescent="0.35">
      <c r="A987">
        <v>953</v>
      </c>
      <c r="B987" s="70">
        <v>56</v>
      </c>
      <c r="C987" s="70">
        <v>60.59232107502342</v>
      </c>
      <c r="D987" s="70">
        <v>59.750177828903702</v>
      </c>
      <c r="E987" s="70">
        <v>94.961307761165799</v>
      </c>
      <c r="F987" s="70">
        <v>149.54810437841113</v>
      </c>
      <c r="G987" s="70">
        <v>140.71122588235647</v>
      </c>
      <c r="H987" s="70">
        <v>200.64172952996205</v>
      </c>
      <c r="I987" s="70">
        <v>202.23369053031533</v>
      </c>
      <c r="J987" s="70">
        <v>244.96402549357495</v>
      </c>
      <c r="K987" s="70">
        <v>242.03344322359791</v>
      </c>
      <c r="L987" s="70">
        <v>227.3491054235904</v>
      </c>
      <c r="M987" s="70">
        <v>442.9815317283506</v>
      </c>
      <c r="N987" s="70">
        <v>415.47229885804416</v>
      </c>
      <c r="O987" s="70">
        <v>347.82227390302688</v>
      </c>
      <c r="P987" s="70">
        <v>289.46656065868592</v>
      </c>
      <c r="Q987" s="70">
        <v>289.94782914357114</v>
      </c>
      <c r="R987" s="70">
        <v>417.91812201788071</v>
      </c>
      <c r="S987" s="70">
        <v>417.72599070712897</v>
      </c>
      <c r="T987" s="70">
        <v>417.2539344945352</v>
      </c>
      <c r="U987" s="70">
        <v>426.11253830582837</v>
      </c>
      <c r="V987" s="70">
        <v>389.18800691855211</v>
      </c>
      <c r="X987" s="193">
        <f>((0-('Appendix K'!$I$30))/(1+$Y$16)^0)</f>
        <v>-33594902.4440751</v>
      </c>
      <c r="Y987" s="193">
        <f>(((B987*'Appendix K'!$C$5*1000)-('Appendix K'!$E$31+'Appendix K'!$F$31+'Appendix K'!$H$31+'Appendix K'!$G$31))/((1+$Y$16)^1))</f>
        <v>34971064.972647354</v>
      </c>
      <c r="Z987" s="193">
        <f>+(((C987*'Appendix K'!$C$6*1000)-('Appendix K'!$E$32+'Appendix K'!$F$32+'Appendix K'!$H$32+'Appendix K'!$G$32))/((1+$Y$16)^2))</f>
        <v>11819408.951650552</v>
      </c>
      <c r="AA987" s="193">
        <f>(((D987*'Appendix K'!$C$7*1000)-('Appendix K'!$E$33+'Appendix K'!$F$33+'Appendix K'!$H$33+'Appendix K'!$G$33))/((1+$Y$16)^3))</f>
        <v>4645773.21143087</v>
      </c>
      <c r="AB987" s="193">
        <f>(((E987*'Appendix K'!$C$8*1000)-('Appendix K'!$E$34+'Appendix K'!$F$34+'Appendix K'!$H$34+'Appendix K'!$G$34))/((1+$Y$16)^4))</f>
        <v>17521441.485289656</v>
      </c>
      <c r="AC987" s="193">
        <f>(((F987*'Appendix K'!$C$9*1000)-('Appendix K'!$E$35+'Appendix K'!$F$35+'Appendix K'!$H$35+'Appendix K'!$G$35))/((1+$Y$16)^AC$34))</f>
        <v>36765422.791957915</v>
      </c>
      <c r="AD987" s="193">
        <f>(((G987*'Appendix K'!$C$10*1000)-('Appendix K'!$E$36+'Appendix K'!$F$36+'Appendix K'!$H$36+'Appendix K'!$G$36))/((1+$Y$16)^AD$34))</f>
        <v>19582083.957479529</v>
      </c>
      <c r="AE987" s="193">
        <f>(((H987*'Appendix K'!$C$11*1000)-('Appendix K'!$E$37+'Appendix K'!$F$37+'Appendix K'!$H$37+'Appendix K'!$G$37))/((1+$Y$16)^AE$34))</f>
        <v>17791589.383579038</v>
      </c>
      <c r="AF987" s="193">
        <f>(((I987*'Appendix K'!$C$12*1000)-('Appendix K'!$E$38+'Appendix K'!$F$38+'Appendix K'!$H$38+'Appendix K'!$G$38))/((1+$Y$16)^AF$34))</f>
        <v>11282575.938637337</v>
      </c>
      <c r="AG987" s="193">
        <f>(((J987*'Appendix K'!$C$13*1000)-('Appendix K'!$E$39+'Appendix K'!$F$39+'Appendix K'!$H$39+'Appendix K'!$G$39))/((1+$Y$16)^AG$34))</f>
        <v>9458039.0982521418</v>
      </c>
      <c r="AH987" s="193">
        <f>(((K987*'Appendix K'!$C$14*1000)-('Appendix K'!$E$40+'Appendix K'!$F$40+'Appendix K'!$H$40+'Appendix K'!$G$40))/((1+$Y$16)^AH$34))</f>
        <v>6525365.5738408444</v>
      </c>
      <c r="AI987" s="193">
        <f>(((L987*'Appendix K'!$C$15*1000)-('Appendix K'!$E$41+'Appendix K'!$F$41+'Appendix K'!$H$41+'Appendix K'!$G$41))/((1+$Y$16)^AI$34))</f>
        <v>4440490.3586788857</v>
      </c>
      <c r="AJ987" s="193">
        <f>(((M987*'Appendix K'!$C$16*1000)-('Appendix K'!$E$42+'Appendix K'!$F$42+'Appendix K'!$H$42+'Appendix K'!$G$42))/((1+$Y$16)^AJ$34))</f>
        <v>7496625.9738792945</v>
      </c>
      <c r="AK987" s="193">
        <f>(((N987*'Appendix K'!$C$17*1000)-('Appendix K'!$E$43+'Appendix K'!$F$43+'Appendix K'!$H$43))/((1+$Y$16)^AK$34))</f>
        <v>5379015.1818327876</v>
      </c>
      <c r="AL987" s="193">
        <f>(((O987*'Appendix K'!$C$18*1000)-('Appendix K'!$E$44+'Appendix K'!$F$44+'Appendix K'!$H$44+'Appendix K'!$G$44))/((1+$Y$16)^AL$34))</f>
        <v>2988250.6343459613</v>
      </c>
      <c r="AM987" s="193">
        <f>(((P987*'Appendix K'!$C$19*1000)-('Appendix K'!$E$45+'Appendix K'!$F$45+'Appendix K'!$H$45+'Appendix K'!$G$45))/((1+$Y$16)^AM$34))</f>
        <v>1656221.9714637257</v>
      </c>
      <c r="AN987" s="193">
        <f>(((Q987*'Appendix K'!$C$20*1000)-('Appendix K'!$E$46+'Appendix K'!$F$46+'Appendix K'!$H$46+'Appendix K'!$G$46))/((1+$Y$16)^AN$34))</f>
        <v>1182416.5398593051</v>
      </c>
      <c r="AO987" s="193">
        <f>(((R987*'Appendix K'!$C$21*1000)-('Appendix K'!$E$47+'Appendix K'!$F$47+'Appendix K'!$H$47+'Appendix K'!$G$47))/((1+$Y$16)^AO$34))</f>
        <v>1626943.3473556074</v>
      </c>
      <c r="AP987" s="193">
        <f>(((S987*'Appendix K'!$C$22*1000)-('Appendix K'!$E$48+'Appendix K'!$F$48+'Appendix K'!$H$48+'Appendix K'!$G$48))/((1+$Y$16)^AP$34))</f>
        <v>1236337.0243972887</v>
      </c>
      <c r="AQ987" s="193">
        <f>(((T987*'Appendix K'!$C$23*1000)-('Appendix K'!$E$49+'Appendix K'!$F$49+'Appendix K'!$H$49+'Appendix K'!$G$49))/((1+$Y$16)^AQ$34))</f>
        <v>939539.44835307728</v>
      </c>
      <c r="AR987" s="193">
        <f>(((U987*'Appendix K'!$C$24*1000)-('Appendix K'!$E$50+'Appendix K'!$F$50+'Appendix K'!$H$50+'Appendix K'!$G$50))/((1+$Y$16)^AR$34))</f>
        <v>742805.44322340633</v>
      </c>
      <c r="AS987" s="209">
        <f t="shared" si="44"/>
        <v>164456508.84407952</v>
      </c>
      <c r="AU987" s="199">
        <f t="shared" si="43"/>
        <v>2.81094568183388E-9</v>
      </c>
    </row>
    <row r="988" spans="1:47" x14ac:dyDescent="0.35">
      <c r="A988">
        <v>954</v>
      </c>
      <c r="B988" s="70">
        <v>56</v>
      </c>
      <c r="C988" s="70">
        <v>74.646150839416919</v>
      </c>
      <c r="D988" s="70">
        <v>96.271067468964262</v>
      </c>
      <c r="E988" s="70">
        <v>67.221464300976493</v>
      </c>
      <c r="F988" s="70">
        <v>75.300457416482843</v>
      </c>
      <c r="G988" s="70">
        <v>161.88599249485662</v>
      </c>
      <c r="H988" s="70">
        <v>228.77329850158156</v>
      </c>
      <c r="I988" s="70">
        <v>180.90313415304894</v>
      </c>
      <c r="J988" s="70">
        <v>165.55113896416194</v>
      </c>
      <c r="K988" s="70">
        <v>115.33939692041187</v>
      </c>
      <c r="L988" s="70">
        <v>174.195463874685</v>
      </c>
      <c r="M988" s="70">
        <v>40.176597060673572</v>
      </c>
      <c r="N988" s="70">
        <v>47.919876621997489</v>
      </c>
      <c r="O988" s="70">
        <v>66.271658640051868</v>
      </c>
      <c r="P988" s="70">
        <v>61.796982724971592</v>
      </c>
      <c r="Q988" s="70">
        <v>70.381173063827049</v>
      </c>
      <c r="R988" s="70">
        <v>53.755398042543632</v>
      </c>
      <c r="S988" s="70">
        <v>45.079702229457673</v>
      </c>
      <c r="T988" s="70">
        <v>36.333261239389749</v>
      </c>
      <c r="U988" s="70">
        <v>51.738972997821492</v>
      </c>
      <c r="V988" s="70">
        <v>68.275628096295094</v>
      </c>
      <c r="X988" s="193">
        <f>((0-('Appendix K'!$I$30))/(1+$Y$16)^0)</f>
        <v>-33594902.4440751</v>
      </c>
      <c r="Y988" s="193">
        <f>(((B988*'Appendix K'!$C$5*1000)-('Appendix K'!$E$31+'Appendix K'!$F$31+'Appendix K'!$H$31+'Appendix K'!$G$31))/((1+$Y$16)^1))</f>
        <v>34971064.972647354</v>
      </c>
      <c r="Z988" s="193">
        <f>+(((C988*'Appendix K'!$C$6*1000)-('Appendix K'!$E$32+'Appendix K'!$F$32+'Appendix K'!$H$32+'Appendix K'!$G$32))/((1+$Y$16)^2))</f>
        <v>15369646.714530692</v>
      </c>
      <c r="AA988" s="193">
        <f>(((D988*'Appendix K'!$C$7*1000)-('Appendix K'!$E$33+'Appendix K'!$F$33+'Appendix K'!$H$33+'Appendix K'!$G$33))/((1+$Y$16)^3))</f>
        <v>9297616.8677511364</v>
      </c>
      <c r="AB988" s="193">
        <f>(((E988*'Appendix K'!$C$8*1000)-('Appendix K'!$E$34+'Appendix K'!$F$34+'Appendix K'!$H$34+'Appendix K'!$G$34))/((1+$Y$16)^4))</f>
        <v>11441121.732641816</v>
      </c>
      <c r="AC988" s="193">
        <f>(((F988*'Appendix K'!$C$9*1000)-('Appendix K'!$E$35+'Appendix K'!$F$35+'Appendix K'!$H$35+'Appendix K'!$G$35))/((1+$Y$16)^AC$34))</f>
        <v>17030514.819205135</v>
      </c>
      <c r="AD988" s="193">
        <f>(((G988*'Appendix K'!$C$10*1000)-('Appendix K'!$E$36+'Appendix K'!$F$36+'Appendix K'!$H$36+'Appendix K'!$G$36))/((1+$Y$16)^AD$34))</f>
        <v>22907452.978742361</v>
      </c>
      <c r="AE988" s="193">
        <f>(((H988*'Appendix K'!$C$11*1000)-('Appendix K'!$E$37+'Appendix K'!$F$37+'Appendix K'!$H$37+'Appendix K'!$G$37))/((1+$Y$16)^AE$34))</f>
        <v>20597365.36825835</v>
      </c>
      <c r="AF988" s="193">
        <f>(((I988*'Appendix K'!$C$12*1000)-('Appendix K'!$E$38+'Appendix K'!$F$38+'Appendix K'!$H$38+'Appendix K'!$G$38))/((1+$Y$16)^AF$34))</f>
        <v>9881959.8368129823</v>
      </c>
      <c r="AG988" s="193">
        <f>(((J988*'Appendix K'!$C$13*1000)-('Appendix K'!$E$39+'Appendix K'!$F$39+'Appendix K'!$H$39+'Appendix K'!$G$39))/((1+$Y$16)^AG$34))</f>
        <v>5803542.8285178104</v>
      </c>
      <c r="AH988" s="193">
        <f>(((K988*'Appendix K'!$C$14*1000)-('Appendix K'!$E$40+'Appendix K'!$F$40+'Appendix K'!$H$40+'Appendix K'!$G$40))/((1+$Y$16)^AH$34))</f>
        <v>2254949.3122769427</v>
      </c>
      <c r="AI988" s="193">
        <f>(((L988*'Appendix K'!$C$15*1000)-('Appendix K'!$E$41+'Appendix K'!$F$41+'Appendix K'!$H$41+'Appendix K'!$G$41))/((1+$Y$16)^AI$34))</f>
        <v>3047765.5523004695</v>
      </c>
      <c r="AJ988" s="193">
        <f>(((M988*'Appendix K'!$C$16*1000)-('Appendix K'!$E$42+'Appendix K'!$F$42+'Appendix K'!$H$42+'Appendix K'!$G$42))/((1+$Y$16)^AJ$34))</f>
        <v>-576336.94479126227</v>
      </c>
      <c r="AK988" s="193">
        <f>(((N988*'Appendix K'!$C$17*1000)-('Appendix K'!$E$43+'Appendix K'!$F$43+'Appendix K'!$H$43))/((1+$Y$16)^AK$34))</f>
        <v>-268022.54554089054</v>
      </c>
      <c r="AL988" s="193">
        <f>(((O988*'Appendix K'!$C$18*1000)-('Appendix K'!$E$44+'Appendix K'!$F$44+'Appendix K'!$H$44+'Appendix K'!$G$44))/((1+$Y$16)^AL$34))</f>
        <v>-349051.65523321042</v>
      </c>
      <c r="AM988" s="193">
        <f>(((P988*'Appendix K'!$C$19*1000)-('Appendix K'!$E$45+'Appendix K'!$F$45+'Appendix K'!$H$45+'Appendix K'!$G$45))/((1+$Y$16)^AM$34))</f>
        <v>-453986.28366377566</v>
      </c>
      <c r="AN988" s="193">
        <f>(((Q988*'Appendix K'!$C$20*1000)-('Appendix K'!$E$46+'Appendix K'!$F$46+'Appendix K'!$H$46+'Appendix K'!$G$46))/((1+$Y$16)^AN$34))</f>
        <v>-406415.40554007818</v>
      </c>
      <c r="AO988" s="193">
        <f>(((R988*'Appendix K'!$C$21*1000)-('Appendix K'!$E$47+'Appendix K'!$F$47+'Appendix K'!$H$47+'Appendix K'!$G$47))/((1+$Y$16)^AO$34))</f>
        <v>-525298.58405103185</v>
      </c>
      <c r="AP988" s="193">
        <f>(((S988*'Appendix K'!$C$22*1000)-('Appendix K'!$E$48+'Appendix K'!$F$48+'Appendix K'!$H$48+'Appendix K'!$G$48))/((1+$Y$16)^AP$34))</f>
        <v>-548534.11113124376</v>
      </c>
      <c r="AQ988" s="193">
        <f>(((T988*'Appendix K'!$C$23*1000)-('Appendix K'!$E$49+'Appendix K'!$F$49+'Appendix K'!$H$49+'Appendix K'!$G$49))/((1+$Y$16)^AQ$34))</f>
        <v>-551286.54857424216</v>
      </c>
      <c r="AR988" s="193">
        <f>(((U988*'Appendix K'!$C$24*1000)-('Appendix K'!$E$50+'Appendix K'!$F$50+'Appendix K'!$H$50+'Appendix K'!$G$50))/((1+$Y$16)^AR$34))</f>
        <v>-462687.92658835452</v>
      </c>
      <c r="AS988" s="209">
        <f t="shared" si="44"/>
        <v>119008098.53960994</v>
      </c>
      <c r="AU988" s="199">
        <f t="shared" si="43"/>
        <v>6.0324974599443343E-9</v>
      </c>
    </row>
    <row r="989" spans="1:47" x14ac:dyDescent="0.35">
      <c r="A989">
        <v>955</v>
      </c>
      <c r="B989" s="70">
        <v>56</v>
      </c>
      <c r="C989" s="70">
        <v>23.348155576970584</v>
      </c>
      <c r="D989" s="70">
        <v>30.975955354420059</v>
      </c>
      <c r="E989" s="70">
        <v>25.294215062288444</v>
      </c>
      <c r="F989" s="70">
        <v>22.488368085386107</v>
      </c>
      <c r="G989" s="70">
        <v>30.407306253077284</v>
      </c>
      <c r="H989" s="70">
        <v>24.502223625966707</v>
      </c>
      <c r="I989" s="70">
        <v>14.969849217461732</v>
      </c>
      <c r="J989" s="70">
        <v>21.353315798496752</v>
      </c>
      <c r="K989" s="70">
        <v>21.121929604187642</v>
      </c>
      <c r="L989" s="70">
        <v>12.004492642543072</v>
      </c>
      <c r="M989" s="70">
        <v>11.696620002571688</v>
      </c>
      <c r="N989" s="70">
        <v>9.5588736595087269</v>
      </c>
      <c r="O989" s="70">
        <v>9.1830446562846415</v>
      </c>
      <c r="P989" s="70">
        <v>11.492517373823123</v>
      </c>
      <c r="Q989" s="70">
        <v>16.369739348020218</v>
      </c>
      <c r="R989" s="70">
        <v>19.864084454709502</v>
      </c>
      <c r="S989" s="70">
        <v>23.381843831973107</v>
      </c>
      <c r="T989" s="70">
        <v>22.176585514487122</v>
      </c>
      <c r="U989" s="70">
        <v>37.865244984204246</v>
      </c>
      <c r="V989" s="70">
        <v>37.839766548704368</v>
      </c>
      <c r="X989" s="193">
        <f>((0-('Appendix K'!$I$30))/(1+$Y$16)^0)</f>
        <v>-33594902.4440751</v>
      </c>
      <c r="Y989" s="193">
        <f>(((B989*'Appendix K'!$C$5*1000)-('Appendix K'!$E$31+'Appendix K'!$F$31+'Appendix K'!$H$31+'Appendix K'!$G$31))/((1+$Y$16)^1))</f>
        <v>34971064.972647354</v>
      </c>
      <c r="Z989" s="193">
        <f>+(((C989*'Appendix K'!$C$6*1000)-('Appendix K'!$E$32+'Appendix K'!$F$32+'Appendix K'!$H$32+'Appendix K'!$G$32))/((1+$Y$16)^2))</f>
        <v>2410895.7552584186</v>
      </c>
      <c r="AA989" s="193">
        <f>(((D989*'Appendix K'!$C$7*1000)-('Appendix K'!$E$33+'Appendix K'!$F$33+'Appendix K'!$H$33+'Appendix K'!$G$33))/((1+$Y$16)^3))</f>
        <v>980660.29652947001</v>
      </c>
      <c r="AB989" s="193">
        <f>(((E989*'Appendix K'!$C$8*1000)-('Appendix K'!$E$34+'Appendix K'!$F$34+'Appendix K'!$H$34+'Appendix K'!$G$34))/((1+$Y$16)^4))</f>
        <v>2251052.5065466166</v>
      </c>
      <c r="AC989" s="193">
        <f>(((F989*'Appendix K'!$C$9*1000)-('Appendix K'!$E$35+'Appendix K'!$F$35+'Appendix K'!$H$35+'Appendix K'!$G$35))/((1+$Y$16)^AC$34))</f>
        <v>2993144.4048616355</v>
      </c>
      <c r="AD989" s="193">
        <f>(((G989*'Appendix K'!$C$10*1000)-('Appendix K'!$E$36+'Appendix K'!$F$36+'Appendix K'!$H$36+'Appendix K'!$G$36))/((1+$Y$16)^AD$34))</f>
        <v>2259520.5511591546</v>
      </c>
      <c r="AE989" s="193">
        <f>(((H989*'Appendix K'!$C$11*1000)-('Appendix K'!$E$37+'Appendix K'!$F$37+'Appendix K'!$H$37+'Appendix K'!$G$37))/((1+$Y$16)^AE$34))</f>
        <v>223852.72028482138</v>
      </c>
      <c r="AF989" s="193">
        <f>(((I989*'Appendix K'!$C$12*1000)-('Appendix K'!$E$38+'Appendix K'!$F$38+'Appendix K'!$H$38+'Appendix K'!$G$38))/((1+$Y$16)^AF$34))</f>
        <v>-1013622.3786179983</v>
      </c>
      <c r="AG989" s="193">
        <f>(((J989*'Appendix K'!$C$13*1000)-('Appendix K'!$E$39+'Appendix K'!$F$39+'Appendix K'!$H$39+'Appendix K'!$G$39))/((1+$Y$16)^AG$34))</f>
        <v>-832287.07130020566</v>
      </c>
      <c r="AH989" s="193">
        <f>(((K989*'Appendix K'!$C$14*1000)-('Appendix K'!$E$40+'Appendix K'!$F$40+'Appendix K'!$H$40+'Appendix K'!$G$40))/((1+$Y$16)^AH$34))</f>
        <v>-920794.27071454411</v>
      </c>
      <c r="AI989" s="193">
        <f>(((L989*'Appendix K'!$C$15*1000)-('Appendix K'!$E$41+'Appendix K'!$F$41+'Appendix K'!$H$41+'Appendix K'!$G$41))/((1+$Y$16)^AI$34))</f>
        <v>-1201941.1925850825</v>
      </c>
      <c r="AJ989" s="193">
        <f>(((M989*'Appendix K'!$C$16*1000)-('Appendix K'!$E$42+'Appendix K'!$F$42+'Appendix K'!$H$42+'Appendix K'!$G$42))/((1+$Y$16)^AJ$34))</f>
        <v>-1147128.8565247469</v>
      </c>
      <c r="AK989" s="193">
        <f>(((N989*'Appendix K'!$C$17*1000)-('Appendix K'!$E$43+'Appendix K'!$F$43+'Appendix K'!$H$43))/((1+$Y$16)^AK$34))</f>
        <v>-857397.06161998096</v>
      </c>
      <c r="AL989" s="193">
        <f>(((O989*'Appendix K'!$C$18*1000)-('Appendix K'!$E$44+'Appendix K'!$F$44+'Appendix K'!$H$44+'Appendix K'!$G$44))/((1+$Y$16)^AL$34))</f>
        <v>-1025739.7952288407</v>
      </c>
      <c r="AM989" s="193">
        <f>(((P989*'Appendix K'!$C$19*1000)-('Appendix K'!$E$45+'Appendix K'!$F$45+'Appendix K'!$H$45+'Appendix K'!$G$45))/((1+$Y$16)^AM$34))</f>
        <v>-920244.8809572407</v>
      </c>
      <c r="AN989" s="193">
        <f>(((Q989*'Appendix K'!$C$20*1000)-('Appendix K'!$E$46+'Appendix K'!$F$46+'Appendix K'!$H$46+'Appendix K'!$G$46))/((1+$Y$16)^AN$34))</f>
        <v>-797253.85449531558</v>
      </c>
      <c r="AO989" s="193">
        <f>(((R989*'Appendix K'!$C$21*1000)-('Appendix K'!$E$47+'Appendix K'!$F$47+'Appendix K'!$H$47+'Appendix K'!$G$47))/((1+$Y$16)^AO$34))</f>
        <v>-725599.9916688205</v>
      </c>
      <c r="AP989" s="193">
        <f>(((S989*'Appendix K'!$C$22*1000)-('Appendix K'!$E$48+'Appendix K'!$F$48+'Appendix K'!$H$48+'Appendix K'!$G$48))/((1+$Y$16)^AP$34))</f>
        <v>-652460.76317081216</v>
      </c>
      <c r="AQ989" s="193">
        <f>(((T989*'Appendix K'!$C$23*1000)-('Appendix K'!$E$49+'Appendix K'!$F$49+'Appendix K'!$H$49+'Appendix K'!$G$49))/((1+$Y$16)^AQ$34))</f>
        <v>-606692.15315957868</v>
      </c>
      <c r="AR989" s="193">
        <f>(((U989*'Appendix K'!$C$24*1000)-('Appendix K'!$E$50+'Appendix K'!$F$50+'Appendix K'!$H$50+'Appendix K'!$G$50))/((1+$Y$16)^AR$34))</f>
        <v>-507361.71951822512</v>
      </c>
      <c r="AS989" s="209">
        <f t="shared" si="44"/>
        <v>12495288.763212375</v>
      </c>
      <c r="AU989" s="199">
        <f t="shared" si="43"/>
        <v>2.9271950840496744E-9</v>
      </c>
    </row>
    <row r="990" spans="1:47" x14ac:dyDescent="0.35">
      <c r="A990">
        <v>956</v>
      </c>
      <c r="B990" s="70">
        <v>56</v>
      </c>
      <c r="C990" s="70">
        <v>54.335561302178583</v>
      </c>
      <c r="D990" s="70">
        <v>19.96257179012342</v>
      </c>
      <c r="E990" s="70">
        <v>25.571167893076741</v>
      </c>
      <c r="F990" s="70">
        <v>22.637483621680843</v>
      </c>
      <c r="G990" s="70">
        <v>23.276434766856038</v>
      </c>
      <c r="H990" s="70">
        <v>27.594761901761423</v>
      </c>
      <c r="I990" s="70">
        <v>33.246317142195906</v>
      </c>
      <c r="J990" s="70">
        <v>35.497927353965395</v>
      </c>
      <c r="K990" s="70">
        <v>52.808185082197667</v>
      </c>
      <c r="L990" s="70">
        <v>62.303899446909391</v>
      </c>
      <c r="M990" s="70">
        <v>77.533068736975167</v>
      </c>
      <c r="N990" s="70">
        <v>45.016034624343128</v>
      </c>
      <c r="O990" s="70">
        <v>58.385447122691538</v>
      </c>
      <c r="P990" s="70">
        <v>64.387546337195758</v>
      </c>
      <c r="Q990" s="70">
        <v>68.804355202579188</v>
      </c>
      <c r="R990" s="70">
        <v>128.11418540128608</v>
      </c>
      <c r="S990" s="70">
        <v>133.48815260861568</v>
      </c>
      <c r="T990" s="70">
        <v>156.07456149814161</v>
      </c>
      <c r="U990" s="70">
        <v>0</v>
      </c>
      <c r="V990" s="70">
        <v>0</v>
      </c>
      <c r="X990" s="193">
        <f>((0-('Appendix K'!$I$30))/(1+$Y$16)^0)</f>
        <v>-33594902.4440751</v>
      </c>
      <c r="Y990" s="193">
        <f>(((B990*'Appendix K'!$C$5*1000)-('Appendix K'!$E$31+'Appendix K'!$F$31+'Appendix K'!$H$31+'Appendix K'!$G$31))/((1+$Y$16)^1))</f>
        <v>34971064.972647354</v>
      </c>
      <c r="Z990" s="193">
        <f>+(((C990*'Appendix K'!$C$6*1000)-('Appendix K'!$E$32+'Appendix K'!$F$32+'Appendix K'!$H$32+'Appendix K'!$G$32))/((1+$Y$16)^2))</f>
        <v>10238844.422891177</v>
      </c>
      <c r="AA990" s="193">
        <f>(((D990*'Appendix K'!$C$7*1000)-('Appendix K'!$E$33+'Appendix K'!$F$33+'Appendix K'!$H$33+'Appendix K'!$G$33))/((1+$Y$16)^3))</f>
        <v>-422168.02920761995</v>
      </c>
      <c r="AB990" s="193">
        <f>(((E990*'Appendix K'!$C$8*1000)-('Appendix K'!$E$34+'Appendix K'!$F$34+'Appendix K'!$H$34+'Appendix K'!$G$34))/((1+$Y$16)^4))</f>
        <v>2311758.0317962645</v>
      </c>
      <c r="AC990" s="193">
        <f>(((F990*'Appendix K'!$C$9*1000)-('Appendix K'!$E$35+'Appendix K'!$F$35+'Appendix K'!$H$35+'Appendix K'!$G$35))/((1+$Y$16)^AC$34))</f>
        <v>3032779.0802553669</v>
      </c>
      <c r="AD990" s="193">
        <f>(((G990*'Appendix K'!$C$10*1000)-('Appendix K'!$E$36+'Appendix K'!$F$36+'Appendix K'!$H$36+'Appendix K'!$G$36))/((1+$Y$16)^AD$34))</f>
        <v>1139660.3152079294</v>
      </c>
      <c r="AE990" s="193">
        <f>(((H990*'Appendix K'!$C$11*1000)-('Appendix K'!$E$37+'Appendix K'!$F$37+'Appendix K'!$H$37+'Appendix K'!$G$37))/((1+$Y$16)^AE$34))</f>
        <v>532295.15499865229</v>
      </c>
      <c r="AF990" s="193">
        <f>(((I990*'Appendix K'!$C$12*1000)-('Appendix K'!$E$38+'Appendix K'!$F$38+'Appendix K'!$H$38+'Appendix K'!$G$38))/((1+$Y$16)^AF$34))</f>
        <v>186454.86302118644</v>
      </c>
      <c r="AG990" s="193">
        <f>(((J990*'Appendix K'!$C$13*1000)-('Appendix K'!$E$39+'Appendix K'!$F$39+'Appendix K'!$H$39+'Appendix K'!$G$39))/((1+$Y$16)^AG$34))</f>
        <v>-181367.14601634437</v>
      </c>
      <c r="AH990" s="193">
        <f>(((K990*'Appendix K'!$C$14*1000)-('Appendix K'!$E$40+'Appendix K'!$F$40+'Appendix K'!$H$40+'Appendix K'!$G$40))/((1+$Y$16)^AH$34))</f>
        <v>147239.34735736871</v>
      </c>
      <c r="AI990" s="193">
        <f>(((L990*'Appendix K'!$C$15*1000)-('Appendix K'!$E$41+'Appendix K'!$F$41+'Appendix K'!$H$41+'Appendix K'!$G$41))/((1+$Y$16)^AI$34))</f>
        <v>115997.32604126571</v>
      </c>
      <c r="AJ990" s="193">
        <f>(((M990*'Appendix K'!$C$16*1000)-('Appendix K'!$E$42+'Appendix K'!$F$42+'Appendix K'!$H$42+'Appendix K'!$G$42))/((1+$Y$16)^AJ$34))</f>
        <v>172356.49131065048</v>
      </c>
      <c r="AK990" s="193">
        <f>(((N990*'Appendix K'!$C$17*1000)-('Appendix K'!$E$43+'Appendix K'!$F$43+'Appendix K'!$H$43))/((1+$Y$16)^AK$34))</f>
        <v>-312636.87624051323</v>
      </c>
      <c r="AL990" s="193">
        <f>(((O990*'Appendix K'!$C$18*1000)-('Appendix K'!$E$44+'Appendix K'!$F$44+'Appendix K'!$H$44+'Appendix K'!$G$44))/((1+$Y$16)^AL$34))</f>
        <v>-442529.24088298768</v>
      </c>
      <c r="AM990" s="193">
        <f>(((P990*'Appendix K'!$C$19*1000)-('Appendix K'!$E$45+'Appendix K'!$F$45+'Appendix K'!$H$45+'Appendix K'!$G$45))/((1+$Y$16)^AM$34))</f>
        <v>-429975.044351249</v>
      </c>
      <c r="AN990" s="193">
        <f>(((Q990*'Appendix K'!$C$20*1000)-('Appendix K'!$E$46+'Appendix K'!$F$46+'Appendix K'!$H$46+'Appendix K'!$G$46))/((1+$Y$16)^AN$34))</f>
        <v>-417825.60158148914</v>
      </c>
      <c r="AO990" s="193">
        <f>(((R990*'Appendix K'!$C$21*1000)-('Appendix K'!$E$47+'Appendix K'!$F$47+'Appendix K'!$H$47+'Appendix K'!$G$47))/((1+$Y$16)^AO$34))</f>
        <v>-85829.935599044737</v>
      </c>
      <c r="AP990" s="193">
        <f>(((S990*'Appendix K'!$C$22*1000)-('Appendix K'!$E$48+'Appendix K'!$F$48+'Appendix K'!$H$48+'Appendix K'!$G$48))/((1+$Y$16)^AP$34))</f>
        <v>-125082.44638181536</v>
      </c>
      <c r="AQ990" s="193">
        <f>(((T990*'Appendix K'!$C$23*1000)-('Appendix K'!$E$49+'Appendix K'!$F$49+'Appendix K'!$H$49+'Appendix K'!$G$49))/((1+$Y$16)^AQ$34))</f>
        <v>-82649.753920525138</v>
      </c>
      <c r="AR990" s="193">
        <f>(((U990*'Appendix K'!$C$24*1000)-('Appendix K'!$E$50+'Appendix K'!$F$50+'Appendix K'!$H$50+'Appendix K'!$G$50))/((1+$Y$16)^AR$34))</f>
        <v>-629288.86930830672</v>
      </c>
      <c r="AS990" s="209">
        <f t="shared" si="44"/>
        <v>19253547.561452113</v>
      </c>
      <c r="AU990" s="199">
        <f t="shared" si="43"/>
        <v>3.4027646229501019E-9</v>
      </c>
    </row>
    <row r="991" spans="1:47" x14ac:dyDescent="0.35">
      <c r="A991">
        <v>957</v>
      </c>
      <c r="B991" s="70">
        <v>56</v>
      </c>
      <c r="C991" s="70">
        <v>60.292431092143005</v>
      </c>
      <c r="D991" s="70">
        <v>74.057428507684548</v>
      </c>
      <c r="E991" s="70">
        <v>59.88891769637636</v>
      </c>
      <c r="F991" s="70">
        <v>67.451589700415553</v>
      </c>
      <c r="G991" s="70">
        <v>69.559077961060524</v>
      </c>
      <c r="H991" s="70">
        <v>60.185917373680851</v>
      </c>
      <c r="I991" s="70">
        <v>73.448722164361101</v>
      </c>
      <c r="J991" s="70">
        <v>95.440308833797445</v>
      </c>
      <c r="K991" s="70">
        <v>118.54149207340004</v>
      </c>
      <c r="L991" s="70">
        <v>125.1959177240812</v>
      </c>
      <c r="M991" s="70">
        <v>88.547209216308261</v>
      </c>
      <c r="N991" s="70">
        <v>113.48582548390243</v>
      </c>
      <c r="O991" s="70">
        <v>141.09120015107104</v>
      </c>
      <c r="P991" s="70">
        <v>160.70765564452665</v>
      </c>
      <c r="Q991" s="70">
        <v>211.39006711862169</v>
      </c>
      <c r="R991" s="70">
        <v>247.17674537507153</v>
      </c>
      <c r="S991" s="70">
        <v>239.42200991664691</v>
      </c>
      <c r="T991" s="70">
        <v>248.95178510992184</v>
      </c>
      <c r="U991" s="70">
        <v>128.55070266864593</v>
      </c>
      <c r="V991" s="70">
        <v>78.73030198982633</v>
      </c>
      <c r="X991" s="193">
        <f>((0-('Appendix K'!$I$30))/(1+$Y$16)^0)</f>
        <v>-33594902.4440751</v>
      </c>
      <c r="Y991" s="193">
        <f>(((B991*'Appendix K'!$C$5*1000)-('Appendix K'!$E$31+'Appendix K'!$F$31+'Appendix K'!$H$31+'Appendix K'!$G$31))/((1+$Y$16)^1))</f>
        <v>34971064.972647354</v>
      </c>
      <c r="Z991" s="193">
        <f>+(((C991*'Appendix K'!$C$6*1000)-('Appendix K'!$E$32+'Appendix K'!$F$32+'Appendix K'!$H$32+'Appendix K'!$G$32))/((1+$Y$16)^2))</f>
        <v>11743651.61291937</v>
      </c>
      <c r="AA991" s="193">
        <f>(((D991*'Appendix K'!$C$7*1000)-('Appendix K'!$E$33+'Appendix K'!$F$33+'Appendix K'!$H$33+'Appendix K'!$G$33))/((1+$Y$16)^3))</f>
        <v>6468157.4404411307</v>
      </c>
      <c r="AB991" s="193">
        <f>(((E991*'Appendix K'!$C$8*1000)-('Appendix K'!$E$34+'Appendix K'!$F$34+'Appendix K'!$H$34+'Appendix K'!$G$34))/((1+$Y$16)^4))</f>
        <v>9833894.6399170198</v>
      </c>
      <c r="AC991" s="193">
        <f>(((F991*'Appendix K'!$C$9*1000)-('Appendix K'!$E$35+'Appendix K'!$F$35+'Appendix K'!$H$35+'Appendix K'!$G$35))/((1+$Y$16)^AC$34))</f>
        <v>14944298.105208475</v>
      </c>
      <c r="AD991" s="193">
        <f>(((G991*'Appendix K'!$C$10*1000)-('Appendix K'!$E$36+'Appendix K'!$F$36+'Appendix K'!$H$36+'Appendix K'!$G$36))/((1+$Y$16)^AD$34))</f>
        <v>8408069.4890456311</v>
      </c>
      <c r="AE991" s="193">
        <f>(((H991*'Appendix K'!$C$11*1000)-('Appendix K'!$E$37+'Appendix K'!$F$37+'Appendix K'!$H$37+'Appendix K'!$G$37))/((1+$Y$16)^AE$34))</f>
        <v>3782859.7228090689</v>
      </c>
      <c r="AF991" s="193">
        <f>(((I991*'Appendix K'!$C$12*1000)-('Appendix K'!$E$38+'Appendix K'!$F$38+'Appendix K'!$H$38+'Appendix K'!$G$38))/((1+$Y$16)^AF$34))</f>
        <v>2826242.3495829846</v>
      </c>
      <c r="AG991" s="193">
        <f>(((J991*'Appendix K'!$C$13*1000)-('Appendix K'!$E$39+'Appendix K'!$F$39+'Appendix K'!$H$39+'Appendix K'!$G$39))/((1+$Y$16)^AG$34))</f>
        <v>2577117.2648972813</v>
      </c>
      <c r="AH991" s="193">
        <f>(((K991*'Appendix K'!$C$14*1000)-('Appendix K'!$E$40+'Appendix K'!$F$40+'Appendix K'!$H$40+'Appendix K'!$G$40))/((1+$Y$16)^AH$34))</f>
        <v>2362880.818226893</v>
      </c>
      <c r="AI991" s="193">
        <f>(((L991*'Appendix K'!$C$15*1000)-('Appendix K'!$E$41+'Appendix K'!$F$41+'Appendix K'!$H$41+'Appendix K'!$G$41))/((1+$Y$16)^AI$34))</f>
        <v>1763885.8135540411</v>
      </c>
      <c r="AJ991" s="193">
        <f>(((M991*'Appendix K'!$C$16*1000)-('Appendix K'!$E$42+'Appendix K'!$F$42+'Appendix K'!$H$42+'Appendix K'!$G$42))/((1+$Y$16)^AJ$34))</f>
        <v>393100.42967387516</v>
      </c>
      <c r="AK991" s="193">
        <f>(((N991*'Appendix K'!$C$17*1000)-('Appendix K'!$E$43+'Appendix K'!$F$43+'Appendix K'!$H$43))/((1+$Y$16)^AK$34))</f>
        <v>739325.96981306141</v>
      </c>
      <c r="AL991" s="193">
        <f>(((O991*'Appendix K'!$C$18*1000)-('Appendix K'!$E$44+'Appendix K'!$F$44+'Appendix K'!$H$44+'Appendix K'!$G$44))/((1+$Y$16)^AL$34))</f>
        <v>537806.38610605872</v>
      </c>
      <c r="AM991" s="193">
        <f>(((P991*'Appendix K'!$C$19*1000)-('Appendix K'!$E$45+'Appendix K'!$F$45+'Appendix K'!$H$45+'Appendix K'!$G$45))/((1+$Y$16)^AM$34))</f>
        <v>462790.21502078057</v>
      </c>
      <c r="AN991" s="193">
        <f>(((Q991*'Appendix K'!$C$20*1000)-('Appendix K'!$E$46+'Appendix K'!$F$46+'Appendix K'!$H$46+'Appendix K'!$G$46))/((1+$Y$16)^AN$34))</f>
        <v>613955.53538424103</v>
      </c>
      <c r="AO991" s="193">
        <f>(((R991*'Appendix K'!$C$21*1000)-('Appendix K'!$E$47+'Appendix K'!$F$47+'Appendix K'!$H$47+'Appendix K'!$G$47))/((1+$Y$16)^AO$34))</f>
        <v>617842.94788244378</v>
      </c>
      <c r="AP991" s="193">
        <f>(((S991*'Appendix K'!$C$22*1000)-('Appendix K'!$E$48+'Appendix K'!$F$48+'Appendix K'!$H$48+'Appendix K'!$G$48))/((1+$Y$16)^AP$34))</f>
        <v>382310.99890573282</v>
      </c>
      <c r="AQ991" s="193">
        <f>(((T991*'Appendix K'!$C$23*1000)-('Appendix K'!$E$49+'Appendix K'!$F$49+'Appendix K'!$H$49+'Appendix K'!$G$49))/((1+$Y$16)^AQ$34))</f>
        <v>280847.92211694492</v>
      </c>
      <c r="AR991" s="193">
        <f>(((U991*'Appendix K'!$C$24*1000)-('Appendix K'!$E$50+'Appendix K'!$F$50+'Appendix K'!$H$50+'Appendix K'!$G$50))/((1+$Y$16)^AR$34))</f>
        <v>-215352.00487130968</v>
      </c>
      <c r="AS991" s="209">
        <f t="shared" si="44"/>
        <v>70115200.190077305</v>
      </c>
      <c r="AU991" s="199">
        <f t="shared" si="43"/>
        <v>6.7032083567344835E-9</v>
      </c>
    </row>
    <row r="992" spans="1:47" x14ac:dyDescent="0.35">
      <c r="A992">
        <v>958</v>
      </c>
      <c r="B992" s="70">
        <v>56</v>
      </c>
      <c r="C992" s="70">
        <v>60.513533571915133</v>
      </c>
      <c r="D992" s="70">
        <v>56.694754159715863</v>
      </c>
      <c r="E992" s="70">
        <v>26.680281946931505</v>
      </c>
      <c r="F992" s="70">
        <v>28.51667035668121</v>
      </c>
      <c r="G992" s="70">
        <v>43.149508972100676</v>
      </c>
      <c r="H992" s="70">
        <v>51.434913464418536</v>
      </c>
      <c r="I992" s="70">
        <v>65.323542013846776</v>
      </c>
      <c r="J992" s="70">
        <v>68.463415977642086</v>
      </c>
      <c r="K992" s="70">
        <v>61.452345034129245</v>
      </c>
      <c r="L992" s="70">
        <v>66.629486037432898</v>
      </c>
      <c r="M992" s="70">
        <v>54.084005971975571</v>
      </c>
      <c r="N992" s="70">
        <v>64.769622060441506</v>
      </c>
      <c r="O992" s="70">
        <v>92.062197227771833</v>
      </c>
      <c r="P992" s="70">
        <v>91.987874871755977</v>
      </c>
      <c r="Q992" s="70">
        <v>74.427865122693049</v>
      </c>
      <c r="R992" s="70">
        <v>106.54251418113068</v>
      </c>
      <c r="S992" s="70">
        <v>110.29021817076668</v>
      </c>
      <c r="T992" s="70">
        <v>131.09065914005893</v>
      </c>
      <c r="U992" s="70">
        <v>110.32331888732642</v>
      </c>
      <c r="V992" s="70">
        <v>72.606737467612646</v>
      </c>
      <c r="X992" s="193">
        <f>((0-('Appendix K'!$I$30))/(1+$Y$16)^0)</f>
        <v>-33594902.4440751</v>
      </c>
      <c r="Y992" s="193">
        <f>(((B992*'Appendix K'!$C$5*1000)-('Appendix K'!$E$31+'Appendix K'!$F$31+'Appendix K'!$H$31+'Appendix K'!$G$31))/((1+$Y$16)^1))</f>
        <v>34971064.972647354</v>
      </c>
      <c r="Z992" s="193">
        <f>+(((C992*'Appendix K'!$C$6*1000)-('Appendix K'!$E$32+'Appendix K'!$F$32+'Appendix K'!$H$32+'Appendix K'!$G$32))/((1+$Y$16)^2))</f>
        <v>11799505.880852956</v>
      </c>
      <c r="AA992" s="193">
        <f>(((D992*'Appendix K'!$C$7*1000)-('Appendix K'!$E$33+'Appendix K'!$F$33+'Appendix K'!$H$33+'Appendix K'!$G$33))/((1+$Y$16)^3))</f>
        <v>4256589.0115670413</v>
      </c>
      <c r="AB992" s="193">
        <f>(((E992*'Appendix K'!$C$8*1000)-('Appendix K'!$E$34+'Appendix K'!$F$34+'Appendix K'!$H$34+'Appendix K'!$G$34))/((1+$Y$16)^4))</f>
        <v>2554865.6794392923</v>
      </c>
      <c r="AC992" s="193">
        <f>(((F992*'Appendix K'!$C$9*1000)-('Appendix K'!$E$35+'Appendix K'!$F$35+'Appendix K'!$H$35+'Appendix K'!$G$35))/((1+$Y$16)^AC$34))</f>
        <v>4595457.682438612</v>
      </c>
      <c r="AD992" s="193">
        <f>(((G992*'Appendix K'!$C$10*1000)-('Appendix K'!$E$36+'Appendix K'!$F$36+'Appendix K'!$H$36+'Appendix K'!$G$36))/((1+$Y$16)^AD$34))</f>
        <v>4260606.4171765614</v>
      </c>
      <c r="AE992" s="193">
        <f>(((H992*'Appendix K'!$C$11*1000)-('Appendix K'!$E$37+'Appendix K'!$F$37+'Appendix K'!$H$37+'Appendix K'!$G$37))/((1+$Y$16)^AE$34))</f>
        <v>2910055.3429604508</v>
      </c>
      <c r="AF992" s="193">
        <f>(((I992*'Appendix K'!$C$12*1000)-('Appendix K'!$E$38+'Appendix K'!$F$38+'Appendix K'!$H$38+'Appendix K'!$G$38))/((1+$Y$16)^AF$34))</f>
        <v>2292723.3007707931</v>
      </c>
      <c r="AG992" s="193">
        <f>(((J992*'Appendix K'!$C$13*1000)-('Appendix K'!$E$39+'Appendix K'!$F$39+'Appendix K'!$H$39+'Appendix K'!$G$39))/((1+$Y$16)^AG$34))</f>
        <v>1335669.4518231687</v>
      </c>
      <c r="AH992" s="193">
        <f>(((K992*'Appendix K'!$C$14*1000)-('Appendix K'!$E$40+'Appendix K'!$F$40+'Appendix K'!$H$40+'Appendix K'!$G$40))/((1+$Y$16)^AH$34))</f>
        <v>438603.95606163552</v>
      </c>
      <c r="AI992" s="193">
        <f>(((L992*'Appendix K'!$C$15*1000)-('Appendix K'!$E$41+'Appendix K'!$F$41+'Appendix K'!$H$41+'Appendix K'!$G$41))/((1+$Y$16)^AI$34))</f>
        <v>229335.78359956978</v>
      </c>
      <c r="AJ992" s="193">
        <f>(((M992*'Appendix K'!$C$16*1000)-('Appendix K'!$E$42+'Appendix K'!$F$42+'Appendix K'!$H$42+'Appendix K'!$G$42))/((1+$Y$16)^AJ$34))</f>
        <v>-297606.50538302131</v>
      </c>
      <c r="AK992" s="193">
        <f>(((N992*'Appendix K'!$C$17*1000)-('Appendix K'!$E$43+'Appendix K'!$F$43+'Appendix K'!$H$43))/((1+$Y$16)^AK$34))</f>
        <v>-9144.7843533212945</v>
      </c>
      <c r="AL992" s="193">
        <f>(((O992*'Appendix K'!$C$18*1000)-('Appendix K'!$E$44+'Appendix K'!$F$44+'Appendix K'!$H$44+'Appendix K'!$G$44))/((1+$Y$16)^AL$34))</f>
        <v>-43348.812432154475</v>
      </c>
      <c r="AM992" s="193">
        <f>(((P992*'Appendix K'!$C$19*1000)-('Appendix K'!$E$45+'Appendix K'!$F$45+'Appendix K'!$H$45+'Appendix K'!$G$45))/((1+$Y$16)^AM$34))</f>
        <v>-174155.0017858021</v>
      </c>
      <c r="AN992" s="193">
        <f>(((Q992*'Appendix K'!$C$20*1000)-('Appendix K'!$E$46+'Appendix K'!$F$46+'Appendix K'!$H$46+'Appendix K'!$G$46))/((1+$Y$16)^AN$34))</f>
        <v>-377132.66411150183</v>
      </c>
      <c r="AO992" s="193">
        <f>(((R992*'Appendix K'!$C$21*1000)-('Appendix K'!$E$47+'Appendix K'!$F$47+'Appendix K'!$H$47+'Appendix K'!$G$47))/((1+$Y$16)^AO$34))</f>
        <v>-213320.89574926754</v>
      </c>
      <c r="AP992" s="193">
        <f>(((S992*'Appendix K'!$C$22*1000)-('Appendix K'!$E$48+'Appendix K'!$F$48+'Appendix K'!$H$48+'Appendix K'!$G$48))/((1+$Y$16)^AP$34))</f>
        <v>-236194.04164591513</v>
      </c>
      <c r="AQ992" s="193">
        <f>(((T992*'Appendix K'!$C$23*1000)-('Appendix K'!$E$49+'Appendix K'!$F$49+'Appendix K'!$H$49+'Appendix K'!$G$49))/((1+$Y$16)^AQ$34))</f>
        <v>-180430.35170702316</v>
      </c>
      <c r="AR992" s="193">
        <f>(((U992*'Appendix K'!$C$24*1000)-('Appendix K'!$E$50+'Appendix K'!$F$50+'Appendix K'!$H$50+'Appendix K'!$G$50))/((1+$Y$16)^AR$34))</f>
        <v>-274044.69135764678</v>
      </c>
      <c r="AS992" s="209">
        <f t="shared" si="44"/>
        <v>36049575.035262324</v>
      </c>
      <c r="AU992" s="199">
        <f t="shared" si="43"/>
        <v>4.6520590463138076E-9</v>
      </c>
    </row>
    <row r="993" spans="1:47" x14ac:dyDescent="0.35">
      <c r="A993">
        <v>959</v>
      </c>
      <c r="B993" s="70">
        <v>56</v>
      </c>
      <c r="C993" s="70">
        <v>63.076148414703034</v>
      </c>
      <c r="D993" s="70">
        <v>69.496743426263535</v>
      </c>
      <c r="E993" s="70">
        <v>59.905249065317626</v>
      </c>
      <c r="F993" s="70">
        <v>58.300584344766669</v>
      </c>
      <c r="G993" s="70">
        <v>67.867111528418846</v>
      </c>
      <c r="H993" s="70">
        <v>78.457158920347865</v>
      </c>
      <c r="I993" s="70">
        <v>102.19979390622098</v>
      </c>
      <c r="J993" s="70">
        <v>156.97525013644099</v>
      </c>
      <c r="K993" s="70">
        <v>205.5625906312126</v>
      </c>
      <c r="L993" s="70">
        <v>249.41723323104765</v>
      </c>
      <c r="M993" s="70">
        <v>208.25170681603345</v>
      </c>
      <c r="N993" s="70">
        <v>208.9963656879851</v>
      </c>
      <c r="O993" s="70">
        <v>153.14036659767808</v>
      </c>
      <c r="P993" s="70">
        <v>222.56957313332293</v>
      </c>
      <c r="Q993" s="70">
        <v>222.07708566330388</v>
      </c>
      <c r="R993" s="70">
        <v>227.12579170183224</v>
      </c>
      <c r="S993" s="70">
        <v>359.35527813744545</v>
      </c>
      <c r="T993" s="70">
        <v>500</v>
      </c>
      <c r="U993" s="70">
        <v>415.65149726917423</v>
      </c>
      <c r="V993" s="70">
        <v>500</v>
      </c>
      <c r="X993" s="193">
        <f>((0-('Appendix K'!$I$30))/(1+$Y$16)^0)</f>
        <v>-33594902.4440751</v>
      </c>
      <c r="Y993" s="193">
        <f>(((B993*'Appendix K'!$C$5*1000)-('Appendix K'!$E$31+'Appendix K'!$F$31+'Appendix K'!$H$31+'Appendix K'!$G$31))/((1+$Y$16)^1))</f>
        <v>34971064.972647354</v>
      </c>
      <c r="Z993" s="193">
        <f>+(((C993*'Appendix K'!$C$6*1000)-('Appendix K'!$E$32+'Appendix K'!$F$32+'Appendix K'!$H$32+'Appendix K'!$G$32))/((1+$Y$16)^2))</f>
        <v>12446866.218860822</v>
      </c>
      <c r="AA993" s="193">
        <f>(((D993*'Appendix K'!$C$7*1000)-('Appendix K'!$E$33+'Appendix K'!$F$33+'Appendix K'!$H$33+'Appendix K'!$G$33))/((1+$Y$16)^3))</f>
        <v>5887240.7603279762</v>
      </c>
      <c r="AB993" s="193">
        <f>(((E993*'Appendix K'!$C$8*1000)-('Appendix K'!$E$34+'Appendix K'!$F$34+'Appendix K'!$H$34+'Appendix K'!$G$34))/((1+$Y$16)^4))</f>
        <v>9837474.3264896516</v>
      </c>
      <c r="AC993" s="193">
        <f>(((F993*'Appendix K'!$C$9*1000)-('Appendix K'!$E$35+'Appendix K'!$F$35+'Appendix K'!$H$35+'Appendix K'!$G$35))/((1+$Y$16)^AC$34))</f>
        <v>12511975.251334043</v>
      </c>
      <c r="AD993" s="193">
        <f>(((G993*'Appendix K'!$C$10*1000)-('Appendix K'!$E$36+'Appendix K'!$F$36+'Appendix K'!$H$36+'Appendix K'!$G$36))/((1+$Y$16)^AD$34))</f>
        <v>8142356.3946306128</v>
      </c>
      <c r="AE993" s="193">
        <f>(((H993*'Appendix K'!$C$11*1000)-('Appendix K'!$E$37+'Appendix K'!$F$37+'Appendix K'!$H$37+'Appendix K'!$G$37))/((1+$Y$16)^AE$34))</f>
        <v>5605190.0305722738</v>
      </c>
      <c r="AF993" s="193">
        <f>(((I993*'Appendix K'!$C$12*1000)-('Appendix K'!$E$38+'Appendix K'!$F$38+'Appendix K'!$H$38+'Appendix K'!$G$38))/((1+$Y$16)^AF$34))</f>
        <v>4714107.5001270194</v>
      </c>
      <c r="AG993" s="193">
        <f>(((J993*'Appendix K'!$C$13*1000)-('Appendix K'!$E$39+'Appendix K'!$F$39+'Appendix K'!$H$39+'Appendix K'!$G$39))/((1+$Y$16)^AG$34))</f>
        <v>5408889.5788974902</v>
      </c>
      <c r="AH993" s="193">
        <f>(((K993*'Appendix K'!$C$14*1000)-('Appendix K'!$E$40+'Appendix K'!$F$40+'Appendix K'!$H$40+'Appendix K'!$G$40))/((1+$Y$16)^AH$34))</f>
        <v>5296059.805115818</v>
      </c>
      <c r="AI993" s="193">
        <f>(((L993*'Appendix K'!$C$15*1000)-('Appendix K'!$E$41+'Appendix K'!$F$41+'Appendix K'!$H$41+'Appendix K'!$G$41))/((1+$Y$16)^AI$34))</f>
        <v>5018716.5748356218</v>
      </c>
      <c r="AJ993" s="193">
        <f>(((M993*'Appendix K'!$C$16*1000)-('Appendix K'!$E$42+'Appendix K'!$F$42+'Appendix K'!$H$42+'Appendix K'!$G$42))/((1+$Y$16)^AJ$34))</f>
        <v>2792202.0472296448</v>
      </c>
      <c r="AK993" s="193">
        <f>(((N993*'Appendix K'!$C$17*1000)-('Appendix K'!$E$43+'Appendix K'!$F$43+'Appendix K'!$H$43))/((1+$Y$16)^AK$34))</f>
        <v>2206740.1161084087</v>
      </c>
      <c r="AL993" s="193">
        <f>(((O993*'Appendix K'!$C$18*1000)-('Appendix K'!$E$44+'Appendix K'!$F$44+'Appendix K'!$H$44+'Appendix K'!$G$44))/((1+$Y$16)^AL$34))</f>
        <v>680628.7014905361</v>
      </c>
      <c r="AM993" s="193">
        <f>(((P993*'Appendix K'!$C$19*1000)-('Appendix K'!$E$45+'Appendix K'!$F$45+'Appendix K'!$H$45+'Appendix K'!$G$45))/((1+$Y$16)^AM$34))</f>
        <v>1036171.736380131</v>
      </c>
      <c r="AN993" s="193">
        <f>(((Q993*'Appendix K'!$C$20*1000)-('Appendix K'!$E$46+'Appendix K'!$F$46+'Appendix K'!$H$46+'Appendix K'!$G$46))/((1+$Y$16)^AN$34))</f>
        <v>691289.11949047167</v>
      </c>
      <c r="AO993" s="193">
        <f>(((R993*'Appendix K'!$C$21*1000)-('Appendix K'!$E$47+'Appendix K'!$F$47+'Appendix K'!$H$47+'Appendix K'!$G$47))/((1+$Y$16)^AO$34))</f>
        <v>499339.5964434311</v>
      </c>
      <c r="AP993" s="193">
        <f>(((S993*'Appendix K'!$C$22*1000)-('Appendix K'!$E$48+'Appendix K'!$F$48+'Appendix K'!$H$48+'Appendix K'!$G$48))/((1+$Y$16)^AP$34))</f>
        <v>956757.69341435481</v>
      </c>
      <c r="AQ993" s="193">
        <f>(((T993*'Appendix K'!$C$23*1000)-('Appendix K'!$E$49+'Appendix K'!$F$49+'Appendix K'!$H$49+'Appendix K'!$G$49))/((1+$Y$16)^AQ$34))</f>
        <v>1263386.3652054211</v>
      </c>
      <c r="AR993" s="193">
        <f>(((U993*'Appendix K'!$C$24*1000)-('Appendix K'!$E$50+'Appendix K'!$F$50+'Appendix K'!$H$50+'Appendix K'!$G$50))/((1+$Y$16)^AR$34))</f>
        <v>709120.59797895083</v>
      </c>
      <c r="AS993" s="209">
        <f t="shared" si="44"/>
        <v>87080674.943504959</v>
      </c>
      <c r="AU993" s="199">
        <f t="shared" si="43"/>
        <v>7.0293597387072841E-9</v>
      </c>
    </row>
    <row r="994" spans="1:47" x14ac:dyDescent="0.35">
      <c r="A994">
        <v>960</v>
      </c>
      <c r="B994" s="70">
        <v>56</v>
      </c>
      <c r="C994" s="70">
        <v>61.325371336936506</v>
      </c>
      <c r="D994" s="70">
        <v>74.295731840133598</v>
      </c>
      <c r="E994" s="70">
        <v>96.433868593154685</v>
      </c>
      <c r="F994" s="70">
        <v>120.1307172569301</v>
      </c>
      <c r="G994" s="70">
        <v>46.974017421512315</v>
      </c>
      <c r="H994" s="70">
        <v>53.189250548623178</v>
      </c>
      <c r="I994" s="70">
        <v>51.563805619490473</v>
      </c>
      <c r="J994" s="70">
        <v>62.330107559230925</v>
      </c>
      <c r="K994" s="70">
        <v>53.611228837030993</v>
      </c>
      <c r="L994" s="70">
        <v>39.520812636234488</v>
      </c>
      <c r="M994" s="70">
        <v>60.508254288328459</v>
      </c>
      <c r="N994" s="70">
        <v>115.25245386465902</v>
      </c>
      <c r="O994" s="70">
        <v>130.32243784507921</v>
      </c>
      <c r="P994" s="70">
        <v>227.45528092361241</v>
      </c>
      <c r="Q994" s="70">
        <v>336.12710192445593</v>
      </c>
      <c r="R994" s="70">
        <v>424.47718561954599</v>
      </c>
      <c r="S994" s="70">
        <v>500</v>
      </c>
      <c r="T994" s="70">
        <v>500</v>
      </c>
      <c r="U994" s="70">
        <v>500</v>
      </c>
      <c r="V994" s="70">
        <v>500</v>
      </c>
      <c r="X994" s="193">
        <f>((0-('Appendix K'!$I$30))/(1+$Y$16)^0)</f>
        <v>-33594902.4440751</v>
      </c>
      <c r="Y994" s="193">
        <f>(((B994*'Appendix K'!$C$5*1000)-('Appendix K'!$E$31+'Appendix K'!$F$31+'Appendix K'!$H$31+'Appendix K'!$G$31))/((1+$Y$16)^1))</f>
        <v>34971064.972647354</v>
      </c>
      <c r="Z994" s="193">
        <f>+(((C994*'Appendix K'!$C$6*1000)-('Appendix K'!$E$32+'Appendix K'!$F$32+'Appendix K'!$H$32+'Appendix K'!$G$32))/((1+$Y$16)^2))</f>
        <v>12004589.98525939</v>
      </c>
      <c r="AA994" s="193">
        <f>(((D994*'Appendix K'!$C$7*1000)-('Appendix K'!$E$33+'Appendix K'!$F$33+'Appendix K'!$H$33+'Appendix K'!$G$33))/((1+$Y$16)^3))</f>
        <v>6498511.2969944235</v>
      </c>
      <c r="AB994" s="193">
        <f>(((E994*'Appendix K'!$C$8*1000)-('Appendix K'!$E$34+'Appendix K'!$F$34+'Appendix K'!$H$34+'Appendix K'!$G$34))/((1+$Y$16)^4))</f>
        <v>17844213.339664653</v>
      </c>
      <c r="AC994" s="193">
        <f>(((F994*'Appendix K'!$C$9*1000)-('Appendix K'!$E$35+'Appendix K'!$F$35+'Appendix K'!$H$35+'Appendix K'!$G$35))/((1+$Y$16)^AC$34))</f>
        <v>28946327.488655478</v>
      </c>
      <c r="AD994" s="193">
        <f>(((G994*'Appendix K'!$C$10*1000)-('Appendix K'!$E$36+'Appendix K'!$F$36+'Appendix K'!$H$36+'Appendix K'!$G$36))/((1+$Y$16)^AD$34))</f>
        <v>4861222.3366797119</v>
      </c>
      <c r="AE994" s="193">
        <f>(((H994*'Appendix K'!$C$11*1000)-('Appendix K'!$E$37+'Appendix K'!$F$37+'Appendix K'!$H$37+'Appendix K'!$G$37))/((1+$Y$16)^AE$34))</f>
        <v>3085028.7639189311</v>
      </c>
      <c r="AF994" s="193">
        <f>(((I994*'Appendix K'!$C$12*1000)-('Appendix K'!$E$38+'Appendix K'!$F$38+'Appendix K'!$H$38+'Appendix K'!$G$38))/((1+$Y$16)^AF$34))</f>
        <v>1389225.6136999696</v>
      </c>
      <c r="AG994" s="193">
        <f>(((J994*'Appendix K'!$C$13*1000)-('Appendix K'!$E$39+'Appendix K'!$F$39+'Appendix K'!$H$39+'Appendix K'!$G$39))/((1+$Y$16)^AG$34))</f>
        <v>1053421.1453356317</v>
      </c>
      <c r="AH994" s="193">
        <f>(((K994*'Appendix K'!$C$14*1000)-('Appendix K'!$E$40+'Appendix K'!$F$40+'Appendix K'!$H$40+'Appendix K'!$G$40))/((1+$Y$16)^AH$34))</f>
        <v>174307.1631660214</v>
      </c>
      <c r="AI994" s="193">
        <f>(((L994*'Appendix K'!$C$15*1000)-('Appendix K'!$E$41+'Appendix K'!$F$41+'Appendix K'!$H$41+'Appendix K'!$G$41))/((1+$Y$16)^AI$34))</f>
        <v>-480962.15297966497</v>
      </c>
      <c r="AJ994" s="193">
        <f>(((M994*'Appendix K'!$C$16*1000)-('Appendix K'!$E$42+'Appendix K'!$F$42+'Appendix K'!$H$42+'Appendix K'!$G$42))/((1+$Y$16)^AJ$34))</f>
        <v>-168852.57519337119</v>
      </c>
      <c r="AK994" s="193">
        <f>(((N994*'Appendix K'!$C$17*1000)-('Appendix K'!$E$43+'Appendix K'!$F$43+'Appendix K'!$H$43))/((1+$Y$16)^AK$34))</f>
        <v>766468.26710956683</v>
      </c>
      <c r="AL994" s="193">
        <f>(((O994*'Appendix K'!$C$18*1000)-('Appendix K'!$E$44+'Appendix K'!$F$44+'Appendix K'!$H$44+'Appendix K'!$G$44))/((1+$Y$16)^AL$34))</f>
        <v>410161.07776193426</v>
      </c>
      <c r="AM994" s="193">
        <f>(((P994*'Appendix K'!$C$19*1000)-('Appendix K'!$E$45+'Appendix K'!$F$45+'Appendix K'!$H$45+'Appendix K'!$G$45))/((1+$Y$16)^AM$34))</f>
        <v>1081456.0515037403</v>
      </c>
      <c r="AN994" s="193">
        <f>(((Q994*'Appendix K'!$C$20*1000)-('Appendix K'!$E$46+'Appendix K'!$F$46+'Appendix K'!$H$46+'Appendix K'!$G$46))/((1+$Y$16)^AN$34))</f>
        <v>1516579.7735651296</v>
      </c>
      <c r="AO994" s="193">
        <f>(((R994*'Appendix K'!$C$21*1000)-('Appendix K'!$E$47+'Appendix K'!$F$47+'Appendix K'!$H$47+'Appendix K'!$G$47))/((1+$Y$16)^AO$34))</f>
        <v>1665708.1378870602</v>
      </c>
      <c r="AP994" s="193">
        <f>(((S994*'Appendix K'!$C$22*1000)-('Appendix K'!$E$48+'Appendix K'!$F$48+'Appendix K'!$H$48+'Appendix K'!$G$48))/((1+$Y$16)^AP$34))</f>
        <v>1630406.4380253027</v>
      </c>
      <c r="AQ994" s="193">
        <f>(((T994*'Appendix K'!$C$23*1000)-('Appendix K'!$E$49+'Appendix K'!$F$49+'Appendix K'!$H$49+'Appendix K'!$G$49))/((1+$Y$16)^AQ$34))</f>
        <v>1263386.3652054211</v>
      </c>
      <c r="AR994" s="193">
        <f>(((U994*'Appendix K'!$C$24*1000)-('Appendix K'!$E$50+'Appendix K'!$F$50+'Appendix K'!$H$50+'Appendix K'!$G$50))/((1+$Y$16)^AR$34))</f>
        <v>980725.14012097823</v>
      </c>
      <c r="AS994" s="209">
        <f t="shared" si="44"/>
        <v>86547900.913125604</v>
      </c>
      <c r="AU994" s="199">
        <f t="shared" si="43"/>
        <v>7.0284263616685153E-9</v>
      </c>
    </row>
    <row r="995" spans="1:47" x14ac:dyDescent="0.35">
      <c r="A995">
        <v>961</v>
      </c>
      <c r="B995" s="70">
        <v>56</v>
      </c>
      <c r="C995" s="70">
        <v>45.275276906833476</v>
      </c>
      <c r="D995" s="70">
        <v>53.915816183687951</v>
      </c>
      <c r="E995" s="70">
        <v>40.91630416214084</v>
      </c>
      <c r="F995" s="70">
        <v>62.154173432249415</v>
      </c>
      <c r="G995" s="70">
        <v>112.44412352571737</v>
      </c>
      <c r="H995" s="70">
        <v>104.01912297793947</v>
      </c>
      <c r="I995" s="70">
        <v>134.53457355171832</v>
      </c>
      <c r="J995" s="70">
        <v>123.8357419891984</v>
      </c>
      <c r="K995" s="70">
        <v>105.04775814281187</v>
      </c>
      <c r="L995" s="70">
        <v>104.90648253617773</v>
      </c>
      <c r="M995" s="70">
        <v>85.006286106127391</v>
      </c>
      <c r="N995" s="70">
        <v>90.250938769046556</v>
      </c>
      <c r="O995" s="70">
        <v>24.645459784727279</v>
      </c>
      <c r="P995" s="70">
        <v>30.230131465998898</v>
      </c>
      <c r="Q995" s="70">
        <v>32.772367781297902</v>
      </c>
      <c r="R995" s="70">
        <v>41.039331197706133</v>
      </c>
      <c r="S995" s="70">
        <v>38.078440176439202</v>
      </c>
      <c r="T995" s="70">
        <v>31.199110532610284</v>
      </c>
      <c r="U995" s="70">
        <v>21.908125870607407</v>
      </c>
      <c r="V995" s="70">
        <v>25.365521698279082</v>
      </c>
      <c r="X995" s="193">
        <f>((0-('Appendix K'!$I$30))/(1+$Y$16)^0)</f>
        <v>-33594902.4440751</v>
      </c>
      <c r="Y995" s="193">
        <f>(((B995*'Appendix K'!$C$5*1000)-('Appendix K'!$E$31+'Appendix K'!$F$31+'Appendix K'!$H$31+'Appendix K'!$G$31))/((1+$Y$16)^1))</f>
        <v>34971064.972647354</v>
      </c>
      <c r="Z995" s="193">
        <f>+(((C995*'Appendix K'!$C$6*1000)-('Appendix K'!$E$32+'Appendix K'!$F$32+'Appendix K'!$H$32+'Appendix K'!$G$32))/((1+$Y$16)^2))</f>
        <v>7950061.6254587341</v>
      </c>
      <c r="AA995" s="193">
        <f>(((D995*'Appendix K'!$C$7*1000)-('Appendix K'!$E$33+'Appendix K'!$F$33+'Appendix K'!$H$33+'Appendix K'!$G$33))/((1+$Y$16)^3))</f>
        <v>3902622.1415783968</v>
      </c>
      <c r="AB995" s="193">
        <f>(((E995*'Appendix K'!$C$8*1000)-('Appendix K'!$E$34+'Appendix K'!$F$34+'Appendix K'!$H$34+'Appendix K'!$G$34))/((1+$Y$16)^4))</f>
        <v>5675271.4307729742</v>
      </c>
      <c r="AC995" s="193">
        <f>(((F995*'Appendix K'!$C$9*1000)-('Appendix K'!$E$35+'Appendix K'!$F$35+'Appendix K'!$H$35+'Appendix K'!$G$35))/((1+$Y$16)^AC$34))</f>
        <v>13536253.179566201</v>
      </c>
      <c r="AD995" s="193">
        <f>(((G995*'Appendix K'!$C$10*1000)-('Appendix K'!$E$36+'Appendix K'!$F$36+'Appendix K'!$H$36+'Appendix K'!$G$36))/((1+$Y$16)^AD$34))</f>
        <v>15142906.505476698</v>
      </c>
      <c r="AE995" s="193">
        <f>(((H995*'Appendix K'!$C$11*1000)-('Appendix K'!$E$37+'Appendix K'!$F$37+'Appendix K'!$H$37+'Appendix K'!$G$37))/((1+$Y$16)^AE$34))</f>
        <v>8154679.7140798671</v>
      </c>
      <c r="AF995" s="193">
        <f>(((I995*'Appendix K'!$C$12*1000)-('Appendix K'!$E$38+'Appendix K'!$F$38+'Appendix K'!$H$38+'Appendix K'!$G$38))/((1+$Y$16)^AF$34))</f>
        <v>6837287.6094228765</v>
      </c>
      <c r="AG995" s="193">
        <f>(((J995*'Appendix K'!$C$13*1000)-('Appendix K'!$E$39+'Appendix K'!$F$39+'Appendix K'!$H$39+'Appendix K'!$G$39))/((1+$Y$16)^AG$34))</f>
        <v>3883844.7883385634</v>
      </c>
      <c r="AH995" s="193">
        <f>(((K995*'Appendix K'!$C$14*1000)-('Appendix K'!$E$40+'Appendix K'!$F$40+'Appendix K'!$H$40+'Appendix K'!$G$40))/((1+$Y$16)^AH$34))</f>
        <v>1908053.9144550846</v>
      </c>
      <c r="AI995" s="193">
        <f>(((L995*'Appendix K'!$C$15*1000)-('Appendix K'!$E$41+'Appendix K'!$F$41+'Appendix K'!$H$41+'Appendix K'!$G$41))/((1+$Y$16)^AI$34))</f>
        <v>1232264.6702011228</v>
      </c>
      <c r="AJ995" s="193">
        <f>(((M995*'Appendix K'!$C$16*1000)-('Appendix K'!$E$42+'Appendix K'!$F$42+'Appendix K'!$H$42+'Appendix K'!$G$42))/((1+$Y$16)^AJ$34))</f>
        <v>322133.71972048871</v>
      </c>
      <c r="AK995" s="193">
        <f>(((N995*'Appendix K'!$C$17*1000)-('Appendix K'!$E$43+'Appendix K'!$F$43+'Appendix K'!$H$43))/((1+$Y$16)^AK$34))</f>
        <v>382347.5527703329</v>
      </c>
      <c r="AL995" s="193">
        <f>(((O995*'Appendix K'!$C$18*1000)-('Appendix K'!$E$44+'Appendix K'!$F$44+'Appendix K'!$H$44+'Appendix K'!$G$44))/((1+$Y$16)^AL$34))</f>
        <v>-842459.23886288481</v>
      </c>
      <c r="AM995" s="193">
        <f>(((P995*'Appendix K'!$C$19*1000)-('Appendix K'!$E$45+'Appendix K'!$F$45+'Appendix K'!$H$45+'Appendix K'!$G$45))/((1+$Y$16)^AM$34))</f>
        <v>-746570.96150975605</v>
      </c>
      <c r="AN995" s="193">
        <f>(((Q995*'Appendix K'!$C$20*1000)-('Appendix K'!$E$46+'Appendix K'!$F$46+'Appendix K'!$H$46+'Appendix K'!$G$46))/((1+$Y$16)^AN$34))</f>
        <v>-678560.87757152086</v>
      </c>
      <c r="AO995" s="193">
        <f>(((R995*'Appendix K'!$C$21*1000)-('Appendix K'!$E$47+'Appendix K'!$F$47+'Appendix K'!$H$47+'Appendix K'!$G$47))/((1+$Y$16)^AO$34))</f>
        <v>-600451.9439755982</v>
      </c>
      <c r="AP995" s="193">
        <f>(((S995*'Appendix K'!$C$22*1000)-('Appendix K'!$E$48+'Appendix K'!$F$48+'Appendix K'!$H$48+'Appendix K'!$G$48))/((1+$Y$16)^AP$34))</f>
        <v>-582068.19140278967</v>
      </c>
      <c r="AQ995" s="193">
        <f>(((T995*'Appendix K'!$C$23*1000)-('Appendix K'!$E$49+'Appendix K'!$F$49+'Appendix K'!$H$49+'Appendix K'!$G$49))/((1+$Y$16)^AQ$34))</f>
        <v>-571380.30006428738</v>
      </c>
      <c r="AR995" s="193">
        <f>(((U995*'Appendix K'!$C$24*1000)-('Appendix K'!$E$50+'Appendix K'!$F$50+'Appendix K'!$H$50+'Appendix K'!$G$50))/((1+$Y$16)^AR$34))</f>
        <v>-558744.0901642706</v>
      </c>
      <c r="AS995" s="209">
        <f t="shared" si="44"/>
        <v>70303889.380413592</v>
      </c>
      <c r="AU995" s="199">
        <f t="shared" ref="AU995:AU1034" si="45">_xlfn.NORM.DIST(AS995,$Y$17,$Y$19,FALSE)</f>
        <v>6.7100480636276507E-9</v>
      </c>
    </row>
    <row r="996" spans="1:47" x14ac:dyDescent="0.35">
      <c r="A996">
        <v>962</v>
      </c>
      <c r="B996" s="70">
        <v>56</v>
      </c>
      <c r="C996" s="70">
        <v>83.005605753118743</v>
      </c>
      <c r="D996" s="70">
        <v>120.49753749608689</v>
      </c>
      <c r="E996" s="70">
        <v>108.23227899940311</v>
      </c>
      <c r="F996" s="70">
        <v>136.83211192028105</v>
      </c>
      <c r="G996" s="70">
        <v>183.75777696305775</v>
      </c>
      <c r="H996" s="70">
        <v>128.53504122142263</v>
      </c>
      <c r="I996" s="70">
        <v>150.70333473549306</v>
      </c>
      <c r="J996" s="70">
        <v>98.217885319394298</v>
      </c>
      <c r="K996" s="70">
        <v>130.15055531447771</v>
      </c>
      <c r="L996" s="70">
        <v>111.50816761176176</v>
      </c>
      <c r="M996" s="70">
        <v>61.80523654214403</v>
      </c>
      <c r="N996" s="70">
        <v>34.769676984781789</v>
      </c>
      <c r="O996" s="70">
        <v>41.952006016542256</v>
      </c>
      <c r="P996" s="70">
        <v>36.683654279136839</v>
      </c>
      <c r="Q996" s="70">
        <v>32.224836048276138</v>
      </c>
      <c r="R996" s="70">
        <v>34.189046413060353</v>
      </c>
      <c r="S996" s="70">
        <v>39.817998248369818</v>
      </c>
      <c r="T996" s="70">
        <v>41.818120014163057</v>
      </c>
      <c r="U996" s="70">
        <v>58.052586800057441</v>
      </c>
      <c r="V996" s="70">
        <v>90.559619438740384</v>
      </c>
      <c r="X996" s="193">
        <f>((0-('Appendix K'!$I$30))/(1+$Y$16)^0)</f>
        <v>-33594902.4440751</v>
      </c>
      <c r="Y996" s="193">
        <f>(((B996*'Appendix K'!$C$5*1000)-('Appendix K'!$E$31+'Appendix K'!$F$31+'Appendix K'!$H$31+'Appendix K'!$G$31))/((1+$Y$16)^1))</f>
        <v>34971064.972647354</v>
      </c>
      <c r="Z996" s="193">
        <f>+(((C996*'Appendix K'!$C$6*1000)-('Appendix K'!$E$32+'Appendix K'!$F$32+'Appendix K'!$H$32+'Appendix K'!$G$32))/((1+$Y$16)^2))</f>
        <v>17481387.99852645</v>
      </c>
      <c r="AA996" s="193">
        <f>(((D996*'Appendix K'!$C$7*1000)-('Appendix K'!$E$33+'Appendix K'!$F$33+'Appendix K'!$H$33+'Appendix K'!$G$33))/((1+$Y$16)^3))</f>
        <v>12383460.395152036</v>
      </c>
      <c r="AB996" s="193">
        <f>(((E996*'Appendix K'!$C$8*1000)-('Appendix K'!$E$34+'Appendix K'!$F$34+'Appendix K'!$H$34+'Appendix K'!$G$34))/((1+$Y$16)^4))</f>
        <v>20430316.896662466</v>
      </c>
      <c r="AC996" s="193">
        <f>(((F996*'Appendix K'!$C$9*1000)-('Appendix K'!$E$35+'Appendix K'!$F$35+'Appendix K'!$H$35+'Appendix K'!$G$35))/((1+$Y$16)^AC$34))</f>
        <v>33385531.964278311</v>
      </c>
      <c r="AD996" s="193">
        <f>(((G996*'Appendix K'!$C$10*1000)-('Appendix K'!$E$36+'Appendix K'!$F$36+'Appendix K'!$H$36+'Appendix K'!$G$36))/((1+$Y$16)^AD$34))</f>
        <v>26342284.438341897</v>
      </c>
      <c r="AE996" s="193">
        <f>(((H996*'Appendix K'!$C$11*1000)-('Appendix K'!$E$37+'Appendix K'!$F$37+'Appendix K'!$H$37+'Appendix K'!$G$37))/((1+$Y$16)^AE$34))</f>
        <v>10599839.268433956</v>
      </c>
      <c r="AF996" s="193">
        <f>(((I996*'Appendix K'!$C$12*1000)-('Appendix K'!$E$38+'Appendix K'!$F$38+'Appendix K'!$H$38+'Appendix K'!$G$38))/((1+$Y$16)^AF$34))</f>
        <v>7898967.7109641209</v>
      </c>
      <c r="AG996" s="193">
        <f>(((J996*'Appendix K'!$C$13*1000)-('Appendix K'!$E$39+'Appendix K'!$F$39+'Appendix K'!$H$39+'Appendix K'!$G$39))/((1+$Y$16)^AG$34))</f>
        <v>2704938.3698731847</v>
      </c>
      <c r="AH996" s="193">
        <f>(((K996*'Appendix K'!$C$14*1000)-('Appendix K'!$E$40+'Appendix K'!$F$40+'Appendix K'!$H$40+'Appendix K'!$G$40))/((1+$Y$16)^AH$34))</f>
        <v>2754182.0189761748</v>
      </c>
      <c r="AI996" s="193">
        <f>(((L996*'Appendix K'!$C$15*1000)-('Appendix K'!$E$41+'Appendix K'!$F$41+'Appendix K'!$H$41+'Appendix K'!$G$41))/((1+$Y$16)^AI$34))</f>
        <v>1405241.1643930506</v>
      </c>
      <c r="AJ996" s="193">
        <f>(((M996*'Appendix K'!$C$16*1000)-('Appendix K'!$E$42+'Appendix K'!$F$42+'Appendix K'!$H$42+'Appendix K'!$G$42))/((1+$Y$16)^AJ$34))</f>
        <v>-142858.6293896405</v>
      </c>
      <c r="AK996" s="193">
        <f>(((N996*'Appendix K'!$C$17*1000)-('Appendix K'!$E$43+'Appendix K'!$F$43+'Appendix K'!$H$43))/((1+$Y$16)^AK$34))</f>
        <v>-470060.86438010709</v>
      </c>
      <c r="AL996" s="193">
        <f>(((O996*'Appendix K'!$C$18*1000)-('Appendix K'!$E$44+'Appendix K'!$F$44+'Appendix K'!$H$44+'Appendix K'!$G$44))/((1+$Y$16)^AL$34))</f>
        <v>-637319.65388915886</v>
      </c>
      <c r="AM996" s="193">
        <f>(((P996*'Appendix K'!$C$19*1000)-('Appendix K'!$E$45+'Appendix K'!$F$45+'Appendix K'!$H$45+'Appendix K'!$G$45))/((1+$Y$16)^AM$34))</f>
        <v>-686754.98943946802</v>
      </c>
      <c r="AN996" s="193">
        <f>(((Q996*'Appendix K'!$C$20*1000)-('Appendix K'!$E$46+'Appendix K'!$F$46+'Appendix K'!$H$46+'Appendix K'!$G$46))/((1+$Y$16)^AN$34))</f>
        <v>-682522.93594630854</v>
      </c>
      <c r="AO996" s="193">
        <f>(((R996*'Appendix K'!$C$21*1000)-('Appendix K'!$E$47+'Appendix K'!$F$47+'Appendix K'!$H$47+'Appendix K'!$G$47))/((1+$Y$16)^AO$34))</f>
        <v>-640937.8838725934</v>
      </c>
      <c r="AP996" s="193">
        <f>(((S996*'Appendix K'!$C$22*1000)-('Appendix K'!$E$48+'Appendix K'!$F$48+'Appendix K'!$H$48+'Appendix K'!$G$48))/((1+$Y$16)^AP$34))</f>
        <v>-573736.19645967986</v>
      </c>
      <c r="AQ996" s="193">
        <f>(((T996*'Appendix K'!$C$23*1000)-('Appendix K'!$E$49+'Appendix K'!$F$49+'Appendix K'!$H$49+'Appendix K'!$G$49))/((1+$Y$16)^AQ$34))</f>
        <v>-529820.21548963711</v>
      </c>
      <c r="AR996" s="193">
        <f>(((U996*'Appendix K'!$C$24*1000)-('Appendix K'!$E$50+'Appendix K'!$F$50+'Appendix K'!$H$50+'Appendix K'!$G$50))/((1+$Y$16)^AR$34))</f>
        <v>-442357.91324490262</v>
      </c>
      <c r="AS996" s="209">
        <f t="shared" ref="AS996:AS1034" si="46">SUMIF(Y996:AR996,"&gt;0")+X996</f>
        <v>136762312.75417387</v>
      </c>
      <c r="AU996" s="199">
        <f t="shared" si="45"/>
        <v>4.8316171638231122E-9</v>
      </c>
    </row>
    <row r="997" spans="1:47" x14ac:dyDescent="0.35">
      <c r="A997">
        <v>963</v>
      </c>
      <c r="B997" s="70">
        <v>56</v>
      </c>
      <c r="C997" s="70">
        <v>53.703878948946837</v>
      </c>
      <c r="D997" s="70">
        <v>27.679538415508688</v>
      </c>
      <c r="E997" s="70">
        <v>29.95381410887715</v>
      </c>
      <c r="F997" s="70">
        <v>31.995927780055297</v>
      </c>
      <c r="G997" s="70">
        <v>39.457326166558801</v>
      </c>
      <c r="H997" s="70">
        <v>47.119706494825067</v>
      </c>
      <c r="I997" s="70">
        <v>61.475512283108223</v>
      </c>
      <c r="J997" s="70">
        <v>61.04672883060222</v>
      </c>
      <c r="K997" s="70">
        <v>80.425331981571958</v>
      </c>
      <c r="L997" s="70">
        <v>74.904469340025784</v>
      </c>
      <c r="M997" s="70">
        <v>103.91874360071995</v>
      </c>
      <c r="N997" s="70">
        <v>111.31103310002311</v>
      </c>
      <c r="O997" s="70">
        <v>102.33728811318926</v>
      </c>
      <c r="P997" s="70">
        <v>116.74799663895624</v>
      </c>
      <c r="Q997" s="70">
        <v>108.03631298554063</v>
      </c>
      <c r="R997" s="70">
        <v>139.94838981203384</v>
      </c>
      <c r="S997" s="70">
        <v>205.70037536221616</v>
      </c>
      <c r="T997" s="70">
        <v>208.36004108271385</v>
      </c>
      <c r="U997" s="70">
        <v>166.76121878478818</v>
      </c>
      <c r="V997" s="70">
        <v>110.11325839073851</v>
      </c>
      <c r="X997" s="193">
        <f>((0-('Appendix K'!$I$30))/(1+$Y$16)^0)</f>
        <v>-33594902.4440751</v>
      </c>
      <c r="Y997" s="193">
        <f>(((B997*'Appendix K'!$C$5*1000)-('Appendix K'!$E$31+'Appendix K'!$F$31+'Appendix K'!$H$31+'Appendix K'!$G$31))/((1+$Y$16)^1))</f>
        <v>34971064.972647354</v>
      </c>
      <c r="Z997" s="193">
        <f>+(((C997*'Appendix K'!$C$6*1000)-('Appendix K'!$E$32+'Appendix K'!$F$32+'Appendix K'!$H$32+'Appendix K'!$G$32))/((1+$Y$16)^2))</f>
        <v>10079270.656723168</v>
      </c>
      <c r="AA997" s="193">
        <f>(((D997*'Appendix K'!$C$7*1000)-('Appendix K'!$E$33+'Appendix K'!$F$33+'Appendix K'!$H$33+'Appendix K'!$G$33))/((1+$Y$16)^3))</f>
        <v>560779.60969535494</v>
      </c>
      <c r="AB997" s="193">
        <f>(((E997*'Appendix K'!$C$8*1000)-('Appendix K'!$E$34+'Appendix K'!$F$34+'Appendix K'!$H$34+'Appendix K'!$G$34))/((1+$Y$16)^4))</f>
        <v>3272393.9630351034</v>
      </c>
      <c r="AC997" s="193">
        <f>(((F997*'Appendix K'!$C$9*1000)-('Appendix K'!$E$35+'Appendix K'!$F$35+'Appendix K'!$H$35+'Appendix K'!$G$35))/((1+$Y$16)^AC$34))</f>
        <v>5520238.8421568796</v>
      </c>
      <c r="AD997" s="193">
        <f>(((G997*'Appendix K'!$C$10*1000)-('Appendix K'!$E$36+'Appendix K'!$F$36+'Appendix K'!$H$36+'Appendix K'!$G$36))/((1+$Y$16)^AD$34))</f>
        <v>3680771.4396736589</v>
      </c>
      <c r="AE997" s="193">
        <f>(((H997*'Appendix K'!$C$11*1000)-('Appendix K'!$E$37+'Appendix K'!$F$37+'Appendix K'!$H$37+'Appendix K'!$G$37))/((1+$Y$16)^AE$34))</f>
        <v>2479666.8318745326</v>
      </c>
      <c r="AF997" s="193">
        <f>(((I997*'Appendix K'!$C$12*1000)-('Appendix K'!$E$38+'Appendix K'!$F$38+'Appendix K'!$H$38+'Appendix K'!$G$38))/((1+$Y$16)^AF$34))</f>
        <v>2040052.3293321221</v>
      </c>
      <c r="AG997" s="193">
        <f>(((J997*'Appendix K'!$C$13*1000)-('Appendix K'!$E$39+'Appendix K'!$F$39+'Appendix K'!$H$39+'Appendix K'!$G$39))/((1+$Y$16)^AG$34))</f>
        <v>994361.42617162841</v>
      </c>
      <c r="AH997" s="193">
        <f>(((K997*'Appendix K'!$C$14*1000)-('Appendix K'!$E$40+'Appendix K'!$F$40+'Appendix K'!$H$40+'Appendix K'!$G$40))/((1+$Y$16)^AH$34))</f>
        <v>1078117.4482497959</v>
      </c>
      <c r="AI997" s="193">
        <f>(((L997*'Appendix K'!$C$15*1000)-('Appendix K'!$E$41+'Appendix K'!$F$41+'Appendix K'!$H$41+'Appendix K'!$G$41))/((1+$Y$16)^AI$34))</f>
        <v>446155.82042215794</v>
      </c>
      <c r="AJ997" s="193">
        <f>(((M997*'Appendix K'!$C$16*1000)-('Appendix K'!$E$42+'Appendix K'!$F$42+'Appendix K'!$H$42+'Appendix K'!$G$42))/((1+$Y$16)^AJ$34))</f>
        <v>701174.67705320567</v>
      </c>
      <c r="AK997" s="193">
        <f>(((N997*'Appendix K'!$C$17*1000)-('Appendix K'!$E$43+'Appendix K'!$F$43+'Appendix K'!$H$43))/((1+$Y$16)^AK$34))</f>
        <v>705912.68262464413</v>
      </c>
      <c r="AL997" s="193">
        <f>(((O997*'Appendix K'!$C$18*1000)-('Appendix K'!$E$44+'Appendix K'!$F$44+'Appendix K'!$H$44+'Appendix K'!$G$44))/((1+$Y$16)^AL$34))</f>
        <v>78444.863300036654</v>
      </c>
      <c r="AM997" s="193">
        <f>(((P997*'Appendix K'!$C$19*1000)-('Appendix K'!$E$45+'Appendix K'!$F$45+'Appendix K'!$H$45+'Appendix K'!$G$45))/((1+$Y$16)^AM$34))</f>
        <v>55339.926018387625</v>
      </c>
      <c r="AN997" s="193">
        <f>(((Q997*'Appendix K'!$C$20*1000)-('Appendix K'!$E$46+'Appendix K'!$F$46+'Appendix K'!$H$46+'Appendix K'!$G$46))/((1+$Y$16)^AN$34))</f>
        <v>-133934.64600993606</v>
      </c>
      <c r="AO997" s="193">
        <f>(((R997*'Appendix K'!$C$21*1000)-('Appendix K'!$E$47+'Appendix K'!$F$47+'Appendix K'!$H$47+'Appendix K'!$G$47))/((1+$Y$16)^AO$34))</f>
        <v>-15888.480088145972</v>
      </c>
      <c r="AP997" s="193">
        <f>(((S997*'Appendix K'!$C$22*1000)-('Appendix K'!$E$48+'Appendix K'!$F$48+'Appendix K'!$H$48+'Appendix K'!$G$48))/((1+$Y$16)^AP$34))</f>
        <v>220793.83364715151</v>
      </c>
      <c r="AQ997" s="193">
        <f>(((T997*'Appendix K'!$C$23*1000)-('Appendix K'!$E$49+'Appendix K'!$F$49+'Appendix K'!$H$49+'Appendix K'!$G$49))/((1+$Y$16)^AQ$34))</f>
        <v>121982.22774743229</v>
      </c>
      <c r="AR997" s="193">
        <f>(((U997*'Appendix K'!$C$24*1000)-('Appendix K'!$E$50+'Appendix K'!$F$50+'Appendix K'!$H$50+'Appendix K'!$G$50))/((1+$Y$16)^AR$34))</f>
        <v>-92313.072362284627</v>
      </c>
      <c r="AS997" s="209">
        <f t="shared" si="46"/>
        <v>33411619.10629753</v>
      </c>
      <c r="AU997" s="199">
        <f t="shared" si="45"/>
        <v>4.4548463136036401E-9</v>
      </c>
    </row>
    <row r="998" spans="1:47" x14ac:dyDescent="0.35">
      <c r="A998">
        <v>964</v>
      </c>
      <c r="B998" s="70">
        <v>56</v>
      </c>
      <c r="C998" s="70">
        <v>33.160863536377086</v>
      </c>
      <c r="D998" s="70">
        <v>34.603448116581482</v>
      </c>
      <c r="E998" s="70">
        <v>45.945390439009266</v>
      </c>
      <c r="F998" s="70">
        <v>67.791836988470507</v>
      </c>
      <c r="G998" s="70">
        <v>88.496849930036774</v>
      </c>
      <c r="H998" s="70">
        <v>127.64844222928861</v>
      </c>
      <c r="I998" s="70">
        <v>149.86849764236013</v>
      </c>
      <c r="J998" s="70">
        <v>106.851374570454</v>
      </c>
      <c r="K998" s="70">
        <v>172.43338799627793</v>
      </c>
      <c r="L998" s="70">
        <v>246.40762057499876</v>
      </c>
      <c r="M998" s="70">
        <v>312.24120406078998</v>
      </c>
      <c r="N998" s="70">
        <v>304.11320088927016</v>
      </c>
      <c r="O998" s="70">
        <v>254.08483402729752</v>
      </c>
      <c r="P998" s="70">
        <v>329.97710369324636</v>
      </c>
      <c r="Q998" s="70">
        <v>313.72663855205298</v>
      </c>
      <c r="R998" s="70">
        <v>377.60814472271238</v>
      </c>
      <c r="S998" s="70">
        <v>396.28330987851444</v>
      </c>
      <c r="T998" s="70">
        <v>500</v>
      </c>
      <c r="U998" s="70">
        <v>500</v>
      </c>
      <c r="V998" s="70">
        <v>500</v>
      </c>
      <c r="X998" s="193">
        <f>((0-('Appendix K'!$I$30))/(1+$Y$16)^0)</f>
        <v>-33594902.4440751</v>
      </c>
      <c r="Y998" s="193">
        <f>(((B998*'Appendix K'!$C$5*1000)-('Appendix K'!$E$31+'Appendix K'!$F$31+'Appendix K'!$H$31+'Appendix K'!$G$31))/((1+$Y$16)^1))</f>
        <v>34971064.972647354</v>
      </c>
      <c r="Z998" s="193">
        <f>+(((C998*'Appendix K'!$C$6*1000)-('Appendix K'!$E$32+'Appendix K'!$F$32+'Appendix K'!$H$32+'Appendix K'!$G$32))/((1+$Y$16)^2))</f>
        <v>4889753.6137663499</v>
      </c>
      <c r="AA998" s="193">
        <f>(((D998*'Appendix K'!$C$7*1000)-('Appendix K'!$E$33+'Appendix K'!$F$33+'Appendix K'!$H$33+'Appendix K'!$G$33))/((1+$Y$16)^3))</f>
        <v>1442711.7240910335</v>
      </c>
      <c r="AB998" s="193">
        <f>(((E998*'Appendix K'!$C$8*1000)-('Appendix K'!$E$34+'Appendix K'!$F$34+'Appendix K'!$H$34+'Appendix K'!$G$34))/((1+$Y$16)^4))</f>
        <v>6777601.1058087302</v>
      </c>
      <c r="AC998" s="193">
        <f>(((F998*'Appendix K'!$C$9*1000)-('Appendix K'!$E$35+'Appendix K'!$F$35+'Appendix K'!$H$35+'Appendix K'!$G$35))/((1+$Y$16)^AC$34))</f>
        <v>15034735.300089361</v>
      </c>
      <c r="AD998" s="193">
        <f>(((G998*'Appendix K'!$C$10*1000)-('Appendix K'!$E$36+'Appendix K'!$F$36+'Appendix K'!$H$36+'Appendix K'!$G$36))/((1+$Y$16)^AD$34))</f>
        <v>11382132.031968627</v>
      </c>
      <c r="AE998" s="193">
        <f>(((H998*'Appendix K'!$C$11*1000)-('Appendix K'!$E$37+'Appendix K'!$F$37+'Appendix K'!$H$37+'Appendix K'!$G$37))/((1+$Y$16)^AE$34))</f>
        <v>10511411.987229692</v>
      </c>
      <c r="AF998" s="193">
        <f>(((I998*'Appendix K'!$C$12*1000)-('Appendix K'!$E$38+'Appendix K'!$F$38+'Appendix K'!$H$38+'Appendix K'!$G$38))/((1+$Y$16)^AF$34))</f>
        <v>7844150.2812467981</v>
      </c>
      <c r="AG998" s="193">
        <f>(((J998*'Appendix K'!$C$13*1000)-('Appendix K'!$E$39+'Appendix K'!$F$39+'Appendix K'!$H$39+'Appendix K'!$G$39))/((1+$Y$16)^AG$34))</f>
        <v>3102242.3294906598</v>
      </c>
      <c r="AH998" s="193">
        <f>(((K998*'Appendix K'!$C$14*1000)-('Appendix K'!$E$40+'Appendix K'!$F$40+'Appendix K'!$H$40+'Appendix K'!$G$40))/((1+$Y$16)^AH$34))</f>
        <v>4179389.4500913061</v>
      </c>
      <c r="AI998" s="193">
        <f>(((L998*'Appendix K'!$C$15*1000)-('Appendix K'!$E$41+'Appendix K'!$F$41+'Appendix K'!$H$41+'Appendix K'!$G$41))/((1+$Y$16)^AI$34))</f>
        <v>4939859.0952438768</v>
      </c>
      <c r="AJ998" s="193">
        <f>(((M998*'Appendix K'!$C$16*1000)-('Appendix K'!$E$42+'Appendix K'!$F$42+'Appendix K'!$H$42+'Appendix K'!$G$42))/((1+$Y$16)^AJ$34))</f>
        <v>4876345.7181127295</v>
      </c>
      <c r="AK998" s="193">
        <f>(((N998*'Appendix K'!$C$17*1000)-('Appendix K'!$E$43+'Appendix K'!$F$43+'Appendix K'!$H$43))/((1+$Y$16)^AK$34))</f>
        <v>3668105.4191102502</v>
      </c>
      <c r="AL998" s="193">
        <f>(((O998*'Appendix K'!$C$18*1000)-('Appendix K'!$E$44+'Appendix K'!$F$44+'Appendix K'!$H$44+'Appendix K'!$G$44))/((1+$Y$16)^AL$34))</f>
        <v>1877153.1770579687</v>
      </c>
      <c r="AM998" s="193">
        <f>(((P998*'Appendix K'!$C$19*1000)-('Appendix K'!$E$45+'Appendix K'!$F$45+'Appendix K'!$H$45+'Appendix K'!$G$45))/((1+$Y$16)^AM$34))</f>
        <v>2031703.3296103836</v>
      </c>
      <c r="AN998" s="193">
        <f>(((Q998*'Appendix K'!$C$20*1000)-('Appendix K'!$E$46+'Appendix K'!$F$46+'Appendix K'!$H$46+'Appendix K'!$G$46))/((1+$Y$16)^AN$34))</f>
        <v>1354485.1621460964</v>
      </c>
      <c r="AO998" s="193">
        <f>(((R998*'Appendix K'!$C$21*1000)-('Appendix K'!$E$47+'Appendix K'!$F$47+'Appendix K'!$H$47+'Appendix K'!$G$47))/((1+$Y$16)^AO$34))</f>
        <v>1388706.9280932492</v>
      </c>
      <c r="AP998" s="193">
        <f>(((S998*'Appendix K'!$C$22*1000)-('Appendix K'!$E$48+'Appendix K'!$F$48+'Appendix K'!$H$48+'Appendix K'!$G$48))/((1+$Y$16)^AP$34))</f>
        <v>1133632.601294901</v>
      </c>
      <c r="AQ998" s="193">
        <f>(((T998*'Appendix K'!$C$23*1000)-('Appendix K'!$E$49+'Appendix K'!$F$49+'Appendix K'!$H$49+'Appendix K'!$G$49))/((1+$Y$16)^AQ$34))</f>
        <v>1263386.3652054211</v>
      </c>
      <c r="AR998" s="193">
        <f>(((U998*'Appendix K'!$C$24*1000)-('Appendix K'!$E$50+'Appendix K'!$F$50+'Appendix K'!$H$50+'Appendix K'!$G$50))/((1+$Y$16)^AR$34))</f>
        <v>980725.14012097823</v>
      </c>
      <c r="AS998" s="209">
        <f t="shared" si="46"/>
        <v>90054393.288350672</v>
      </c>
      <c r="AU998" s="199">
        <f t="shared" si="45"/>
        <v>7.0231933843274526E-9</v>
      </c>
    </row>
    <row r="999" spans="1:47" x14ac:dyDescent="0.35">
      <c r="A999">
        <v>965</v>
      </c>
      <c r="B999" s="70">
        <v>56</v>
      </c>
      <c r="C999" s="70">
        <v>100.56283290388097</v>
      </c>
      <c r="D999" s="70">
        <v>91.148845721141427</v>
      </c>
      <c r="E999" s="70">
        <v>136.03201687785844</v>
      </c>
      <c r="F999" s="70">
        <v>125.79478278590136</v>
      </c>
      <c r="G999" s="70">
        <v>126.16240489420009</v>
      </c>
      <c r="H999" s="70">
        <v>161.48600525970207</v>
      </c>
      <c r="I999" s="70">
        <v>135.17873718070126</v>
      </c>
      <c r="J999" s="70">
        <v>167.27573675955179</v>
      </c>
      <c r="K999" s="70">
        <v>167.9204812581923</v>
      </c>
      <c r="L999" s="70">
        <v>289.08842619137283</v>
      </c>
      <c r="M999" s="70">
        <v>437.47042440105031</v>
      </c>
      <c r="N999" s="70">
        <v>419.37133189561536</v>
      </c>
      <c r="O999" s="70">
        <v>500</v>
      </c>
      <c r="P999" s="70">
        <v>500</v>
      </c>
      <c r="Q999" s="70">
        <v>280.24774855505109</v>
      </c>
      <c r="R999" s="70">
        <v>277.48993669119665</v>
      </c>
      <c r="S999" s="70">
        <v>396.27605723402547</v>
      </c>
      <c r="T999" s="70">
        <v>185.33594415995745</v>
      </c>
      <c r="U999" s="70">
        <v>174.07399750726952</v>
      </c>
      <c r="V999" s="70">
        <v>177.87077931439086</v>
      </c>
      <c r="X999" s="193">
        <f>((0-('Appendix K'!$I$30))/(1+$Y$16)^0)</f>
        <v>-33594902.4440751</v>
      </c>
      <c r="Y999" s="193">
        <f>(((B999*'Appendix K'!$C$5*1000)-('Appendix K'!$E$31+'Appendix K'!$F$31+'Appendix K'!$H$31+'Appendix K'!$G$31))/((1+$Y$16)^1))</f>
        <v>34971064.972647354</v>
      </c>
      <c r="Z999" s="193">
        <f>+(((C999*'Appendix K'!$C$6*1000)-('Appendix K'!$E$32+'Appendix K'!$F$32+'Appendix K'!$H$32+'Appendix K'!$G$32))/((1+$Y$16)^2))</f>
        <v>21916643.860243551</v>
      </c>
      <c r="AA999" s="193">
        <f>(((D999*'Appendix K'!$C$7*1000)-('Appendix K'!$E$33+'Appendix K'!$F$33+'Appendix K'!$H$33+'Appendix K'!$G$33))/((1+$Y$16)^3))</f>
        <v>8645174.5264304541</v>
      </c>
      <c r="AB999" s="193">
        <f>(((E999*'Appendix K'!$C$8*1000)-('Appendix K'!$E$34+'Appendix K'!$F$34+'Appendix K'!$H$34+'Appendix K'!$G$34))/((1+$Y$16)^4))</f>
        <v>26523764.957513589</v>
      </c>
      <c r="AC999" s="193">
        <f>(((F999*'Appendix K'!$C$9*1000)-('Appendix K'!$E$35+'Appendix K'!$F$35+'Appendix K'!$H$35+'Appendix K'!$G$35))/((1+$Y$16)^AC$34))</f>
        <v>30451827.212077104</v>
      </c>
      <c r="AD999" s="193">
        <f>(((G999*'Appendix K'!$C$10*1000)-('Appendix K'!$E$36+'Appendix K'!$F$36+'Appendix K'!$H$36+'Appendix K'!$G$36))/((1+$Y$16)^AD$34))</f>
        <v>17297279.619595908</v>
      </c>
      <c r="AE999" s="193">
        <f>(((H999*'Appendix K'!$C$11*1000)-('Appendix K'!$E$37+'Appendix K'!$F$37+'Appendix K'!$H$37+'Appendix K'!$G$37))/((1+$Y$16)^AE$34))</f>
        <v>13886290.289488174</v>
      </c>
      <c r="AF999" s="193">
        <f>(((I999*'Appendix K'!$C$12*1000)-('Appendix K'!$E$38+'Appendix K'!$F$38+'Appendix K'!$H$38+'Appendix K'!$G$38))/((1+$Y$16)^AF$34))</f>
        <v>6879584.9567121705</v>
      </c>
      <c r="AG999" s="193">
        <f>(((J999*'Appendix K'!$C$13*1000)-('Appendix K'!$E$39+'Appendix K'!$F$39+'Appendix K'!$H$39+'Appendix K'!$G$39))/((1+$Y$16)^AG$34))</f>
        <v>5882906.9781600703</v>
      </c>
      <c r="AH999" s="193">
        <f>(((K999*'Appendix K'!$C$14*1000)-('Appendix K'!$E$40+'Appendix K'!$F$40+'Appendix K'!$H$40+'Appendix K'!$G$40))/((1+$Y$16)^AH$34))</f>
        <v>4027275.03837599</v>
      </c>
      <c r="AI999" s="193">
        <f>(((L999*'Appendix K'!$C$15*1000)-('Appendix K'!$E$41+'Appendix K'!$F$41+'Appendix K'!$H$41+'Appendix K'!$G$41))/((1+$Y$16)^AI$34))</f>
        <v>6058176.0158907473</v>
      </c>
      <c r="AJ999" s="193">
        <f>(((M999*'Appendix K'!$C$16*1000)-('Appendix K'!$E$42+'Appendix K'!$F$42+'Appendix K'!$H$42+'Appendix K'!$G$42))/((1+$Y$16)^AJ$34))</f>
        <v>7386173.0939243482</v>
      </c>
      <c r="AK999" s="193">
        <f>(((N999*'Appendix K'!$C$17*1000)-('Appendix K'!$E$43+'Appendix K'!$F$43+'Appendix K'!$H$43))/((1+$Y$16)^AK$34))</f>
        <v>5438919.5256254142</v>
      </c>
      <c r="AL999" s="193">
        <f>(((O999*'Appendix K'!$C$18*1000)-('Appendix K'!$E$44+'Appendix K'!$F$44+'Appendix K'!$H$44+'Appendix K'!$G$44))/((1+$Y$16)^AL$34))</f>
        <v>4792058.0003928225</v>
      </c>
      <c r="AM999" s="193">
        <f>(((P999*'Appendix K'!$C$19*1000)-('Appendix K'!$E$45+'Appendix K'!$F$45+'Appendix K'!$H$45+'Appendix K'!$G$45))/((1+$Y$16)^AM$34))</f>
        <v>3607599.9540230581</v>
      </c>
      <c r="AN999" s="193">
        <f>(((Q999*'Appendix K'!$C$20*1000)-('Appendix K'!$E$46+'Appendix K'!$F$46+'Appendix K'!$H$46+'Appendix K'!$G$46))/((1+$Y$16)^AN$34))</f>
        <v>1112224.6528617104</v>
      </c>
      <c r="AO999" s="193">
        <f>(((R999*'Appendix K'!$C$21*1000)-('Appendix K'!$E$47+'Appendix K'!$F$47+'Appendix K'!$H$47+'Appendix K'!$G$47))/((1+$Y$16)^AO$34))</f>
        <v>796997.25756333943</v>
      </c>
      <c r="AP999" s="193">
        <f>(((S999*'Appendix K'!$C$22*1000)-('Appendix K'!$E$48+'Appendix K'!$F$48+'Appendix K'!$H$48+'Appendix K'!$G$48))/((1+$Y$16)^AP$34))</f>
        <v>1133597.8631633138</v>
      </c>
      <c r="AQ999" s="193">
        <f>(((T999*'Appendix K'!$C$23*1000)-('Appendix K'!$E$49+'Appendix K'!$F$49+'Appendix K'!$H$49+'Appendix K'!$G$49))/((1+$Y$16)^AQ$34))</f>
        <v>31871.806711742516</v>
      </c>
      <c r="AR999" s="193">
        <f>(((U999*'Appendix K'!$C$24*1000)-('Appendix K'!$E$50+'Appendix K'!$F$50+'Appendix K'!$H$50+'Appendix K'!$G$50))/((1+$Y$16)^AR$34))</f>
        <v>-68765.719980181995</v>
      </c>
      <c r="AS999" s="209">
        <f t="shared" si="46"/>
        <v>167244528.13732576</v>
      </c>
      <c r="AU999" s="199">
        <f t="shared" si="45"/>
        <v>2.6268819767364843E-9</v>
      </c>
    </row>
    <row r="1000" spans="1:47" x14ac:dyDescent="0.35">
      <c r="A1000">
        <v>966</v>
      </c>
      <c r="B1000" s="70">
        <v>56</v>
      </c>
      <c r="C1000" s="70">
        <v>74.91175800381265</v>
      </c>
      <c r="D1000" s="70">
        <v>81.769199935972821</v>
      </c>
      <c r="E1000" s="70">
        <v>80.073950074047488</v>
      </c>
      <c r="F1000" s="70">
        <v>87.044995298418954</v>
      </c>
      <c r="G1000" s="70">
        <v>75.70058216311628</v>
      </c>
      <c r="H1000" s="70">
        <v>70.320442185649839</v>
      </c>
      <c r="I1000" s="70">
        <v>60.228379593751129</v>
      </c>
      <c r="J1000" s="70">
        <v>70.271801025850976</v>
      </c>
      <c r="K1000" s="70">
        <v>40.661357765190388</v>
      </c>
      <c r="L1000" s="70">
        <v>33.326940735753155</v>
      </c>
      <c r="M1000" s="70">
        <v>18.881368702596379</v>
      </c>
      <c r="N1000" s="70">
        <v>13.862325807228473</v>
      </c>
      <c r="O1000" s="70">
        <v>14.420572762131878</v>
      </c>
      <c r="P1000" s="70">
        <v>11.970235982778512</v>
      </c>
      <c r="Q1000" s="70">
        <v>12.163941556384202</v>
      </c>
      <c r="R1000" s="70">
        <v>6.3297524056768548</v>
      </c>
      <c r="S1000" s="70">
        <v>5.3910885358567278</v>
      </c>
      <c r="T1000" s="70">
        <v>4.5392016958583259</v>
      </c>
      <c r="U1000" s="70">
        <v>4.3210294091450638</v>
      </c>
      <c r="V1000" s="70">
        <v>4.6115849962070419</v>
      </c>
      <c r="X1000" s="193">
        <f>((0-('Appendix K'!$I$30))/(1+$Y$16)^0)</f>
        <v>-33594902.4440751</v>
      </c>
      <c r="Y1000" s="193">
        <f>(((B1000*'Appendix K'!$C$5*1000)-('Appendix K'!$E$31+'Appendix K'!$F$31+'Appendix K'!$H$31+'Appendix K'!$G$31))/((1+$Y$16)^1))</f>
        <v>34971064.972647354</v>
      </c>
      <c r="Z1000" s="193">
        <f>+(((C1000*'Appendix K'!$C$6*1000)-('Appendix K'!$E$32+'Appendix K'!$F$32+'Appendix K'!$H$32+'Appendix K'!$G$32))/((1+$Y$16)^2))</f>
        <v>15436743.626969343</v>
      </c>
      <c r="AA1000" s="193">
        <f>(((D1000*'Appendix K'!$C$7*1000)-('Appendix K'!$E$33+'Appendix K'!$F$33+'Appendix K'!$H$33+'Appendix K'!$G$33))/((1+$Y$16)^3))</f>
        <v>7450443.3417769978</v>
      </c>
      <c r="AB1000" s="193">
        <f>(((E1000*'Appendix K'!$C$8*1000)-('Appendix K'!$E$34+'Appendix K'!$F$34+'Appendix K'!$H$34+'Appendix K'!$G$34))/((1+$Y$16)^4))</f>
        <v>14258268.960915888</v>
      </c>
      <c r="AC1000" s="193">
        <f>(((F1000*'Appendix K'!$C$9*1000)-('Appendix K'!$E$35+'Appendix K'!$F$35+'Appendix K'!$H$35+'Appendix K'!$G$35))/((1+$Y$16)^AC$34))</f>
        <v>20152194.545989819</v>
      </c>
      <c r="AD1000" s="193">
        <f>(((G1000*'Appendix K'!$C$10*1000)-('Appendix K'!$E$36+'Appendix K'!$F$36+'Appendix K'!$H$36+'Appendix K'!$G$36))/((1+$Y$16)^AD$34))</f>
        <v>9372555.5771905389</v>
      </c>
      <c r="AE1000" s="193">
        <f>(((H1000*'Appendix K'!$C$11*1000)-('Appendix K'!$E$37+'Appendix K'!$F$37+'Appendix K'!$H$37+'Appendix K'!$G$37))/((1+$Y$16)^AE$34))</f>
        <v>4793653.1969393604</v>
      </c>
      <c r="AF1000" s="193">
        <f>(((I1000*'Appendix K'!$C$12*1000)-('Appendix K'!$E$38+'Appendix K'!$F$38+'Appendix K'!$H$38+'Appendix K'!$G$38))/((1+$Y$16)^AF$34))</f>
        <v>1958162.5701092116</v>
      </c>
      <c r="AG1000" s="193">
        <f>(((J1000*'Appendix K'!$C$13*1000)-('Appendix K'!$E$39+'Appendix K'!$F$39+'Appendix K'!$H$39+'Appendix K'!$G$39))/((1+$Y$16)^AG$34))</f>
        <v>1418889.4014024471</v>
      </c>
      <c r="AH1000" s="193">
        <f>(((K1000*'Appendix K'!$C$14*1000)-('Appendix K'!$E$40+'Appendix K'!$F$40+'Appendix K'!$H$40+'Appendix K'!$G$40))/((1+$Y$16)^AH$34))</f>
        <v>-262188.01260573347</v>
      </c>
      <c r="AI1000" s="193">
        <f>(((L1000*'Appendix K'!$C$15*1000)-('Appendix K'!$E$41+'Appendix K'!$F$41+'Appendix K'!$H$41+'Appendix K'!$G$41))/((1+$Y$16)^AI$34))</f>
        <v>-643253.17936952529</v>
      </c>
      <c r="AJ1000" s="193">
        <f>(((M1000*'Appendix K'!$C$16*1000)-('Appendix K'!$E$42+'Appendix K'!$F$42+'Appendix K'!$H$42+'Appendix K'!$G$42))/((1+$Y$16)^AJ$34))</f>
        <v>-1003133.0788088682</v>
      </c>
      <c r="AK1000" s="193">
        <f>(((N1000*'Appendix K'!$C$17*1000)-('Appendix K'!$E$43+'Appendix K'!$F$43+'Appendix K'!$H$43))/((1+$Y$16)^AK$34))</f>
        <v>-791279.26408710587</v>
      </c>
      <c r="AL1000" s="193">
        <f>(((O1000*'Appendix K'!$C$18*1000)-('Appendix K'!$E$44+'Appendix K'!$F$44+'Appendix K'!$H$44+'Appendix K'!$G$44))/((1+$Y$16)^AL$34))</f>
        <v>-963657.83343645313</v>
      </c>
      <c r="AM1000" s="193">
        <f>(((P1000*'Appendix K'!$C$19*1000)-('Appendix K'!$E$45+'Appendix K'!$F$45+'Appendix K'!$H$45+'Appendix K'!$G$45))/((1+$Y$16)^AM$34))</f>
        <v>-915817.03529865574</v>
      </c>
      <c r="AN1000" s="193">
        <f>(((Q1000*'Appendix K'!$C$20*1000)-('Appendix K'!$E$46+'Appendix K'!$F$46+'Appendix K'!$H$46+'Appendix K'!$G$46))/((1+$Y$16)^AN$34))</f>
        <v>-827687.91951479902</v>
      </c>
      <c r="AO1000" s="193">
        <f>(((R1000*'Appendix K'!$C$21*1000)-('Appendix K'!$E$47+'Appendix K'!$F$47+'Appendix K'!$H$47+'Appendix K'!$G$47))/((1+$Y$16)^AO$34))</f>
        <v>-805589.38935215271</v>
      </c>
      <c r="AP1000" s="193">
        <f>(((S1000*'Appendix K'!$C$22*1000)-('Appendix K'!$E$48+'Appendix K'!$F$48+'Appendix K'!$H$48+'Appendix K'!$G$48))/((1+$Y$16)^AP$34))</f>
        <v>-738631.43178413785</v>
      </c>
      <c r="AQ1000" s="193">
        <f>(((T1000*'Appendix K'!$C$23*1000)-('Appendix K'!$E$49+'Appendix K'!$F$49+'Appendix K'!$H$49+'Appendix K'!$G$49))/((1+$Y$16)^AQ$34))</f>
        <v>-675720.35813963448</v>
      </c>
      <c r="AR1000" s="193">
        <f>(((U1000*'Appendix K'!$C$24*1000)-('Appendix K'!$E$50+'Appendix K'!$F$50+'Appendix K'!$H$50+'Appendix K'!$G$50))/((1+$Y$16)^AR$34))</f>
        <v>-615375.03354054771</v>
      </c>
      <c r="AS1000" s="209">
        <f t="shared" si="46"/>
        <v>76217073.74986586</v>
      </c>
      <c r="AU1000" s="199">
        <f t="shared" si="45"/>
        <v>6.8892668793602394E-9</v>
      </c>
    </row>
    <row r="1001" spans="1:47" x14ac:dyDescent="0.35">
      <c r="A1001">
        <v>967</v>
      </c>
      <c r="B1001" s="70">
        <v>56</v>
      </c>
      <c r="C1001" s="70">
        <v>26.177983435479057</v>
      </c>
      <c r="D1001" s="70">
        <v>37.997723746999185</v>
      </c>
      <c r="E1001" s="70">
        <v>45.523808070823712</v>
      </c>
      <c r="F1001" s="70">
        <v>51.054171248425803</v>
      </c>
      <c r="G1001" s="70">
        <v>45.283311695511827</v>
      </c>
      <c r="H1001" s="70">
        <v>40.265532759478056</v>
      </c>
      <c r="I1001" s="70">
        <v>50.328321468120905</v>
      </c>
      <c r="J1001" s="70">
        <v>67.534353049807137</v>
      </c>
      <c r="K1001" s="70">
        <v>58.112522958370455</v>
      </c>
      <c r="L1001" s="70">
        <v>57.224631855180725</v>
      </c>
      <c r="M1001" s="70">
        <v>40.68615109303461</v>
      </c>
      <c r="N1001" s="70">
        <v>50.31660193241062</v>
      </c>
      <c r="O1001" s="70">
        <v>57.001244411298686</v>
      </c>
      <c r="P1001" s="70">
        <v>47.054173622315744</v>
      </c>
      <c r="Q1001" s="70">
        <v>63.405417693191154</v>
      </c>
      <c r="R1001" s="70">
        <v>57.593493237339494</v>
      </c>
      <c r="S1001" s="70">
        <v>73.018135681754075</v>
      </c>
      <c r="T1001" s="70">
        <v>63.778181106190686</v>
      </c>
      <c r="U1001" s="70">
        <v>73.270332598903224</v>
      </c>
      <c r="V1001" s="70">
        <v>66.354746657580961</v>
      </c>
      <c r="X1001" s="193">
        <f>((0-('Appendix K'!$I$30))/(1+$Y$16)^0)</f>
        <v>-33594902.4440751</v>
      </c>
      <c r="Y1001" s="193">
        <f>(((B1001*'Appendix K'!$C$5*1000)-('Appendix K'!$E$31+'Appendix K'!$F$31+'Appendix K'!$H$31+'Appendix K'!$G$31))/((1+$Y$16)^1))</f>
        <v>34971064.972647354</v>
      </c>
      <c r="Z1001" s="193">
        <f>+(((C1001*'Appendix K'!$C$6*1000)-('Appendix K'!$E$32+'Appendix K'!$F$32+'Appendix K'!$H$32+'Appendix K'!$G$32))/((1+$Y$16)^2))</f>
        <v>3125758.6712146644</v>
      </c>
      <c r="AA1001" s="193">
        <f>(((D1001*'Appendix K'!$C$7*1000)-('Appendix K'!$E$33+'Appendix K'!$F$33+'Appendix K'!$H$33+'Appendix K'!$G$33))/((1+$Y$16)^3))</f>
        <v>1875057.1492649333</v>
      </c>
      <c r="AB1001" s="193">
        <f>(((E1001*'Appendix K'!$C$8*1000)-('Appendix K'!$E$34+'Appendix K'!$F$34+'Appendix K'!$H$34+'Appendix K'!$G$34))/((1+$Y$16)^4))</f>
        <v>6685194.1099175876</v>
      </c>
      <c r="AC1001" s="193">
        <f>(((F1001*'Appendix K'!$C$9*1000)-('Appendix K'!$E$35+'Appendix K'!$F$35+'Appendix K'!$H$35+'Appendix K'!$G$35))/((1+$Y$16)^AC$34))</f>
        <v>10585890.029237147</v>
      </c>
      <c r="AD1001" s="193">
        <f>(((G1001*'Appendix K'!$C$10*1000)-('Appendix K'!$E$36+'Appendix K'!$F$36+'Appendix K'!$H$36+'Appendix K'!$G$36))/((1+$Y$16)^AD$34))</f>
        <v>4595707.2286173301</v>
      </c>
      <c r="AE1001" s="193">
        <f>(((H1001*'Appendix K'!$C$11*1000)-('Appendix K'!$E$37+'Appendix K'!$F$37+'Appendix K'!$H$37+'Appendix K'!$G$37))/((1+$Y$16)^AE$34))</f>
        <v>1796047.7958777205</v>
      </c>
      <c r="AF1001" s="193">
        <f>(((I1001*'Appendix K'!$C$12*1000)-('Appendix K'!$E$38+'Appendix K'!$F$38+'Appendix K'!$H$38+'Appendix K'!$G$38))/((1+$Y$16)^AF$34))</f>
        <v>1308100.725752777</v>
      </c>
      <c r="AG1001" s="193">
        <f>(((J1001*'Appendix K'!$C$13*1000)-('Appendix K'!$E$39+'Appendix K'!$F$39+'Appendix K'!$H$39+'Appendix K'!$G$39))/((1+$Y$16)^AG$34))</f>
        <v>1292914.9676014709</v>
      </c>
      <c r="AH1001" s="193">
        <f>(((K1001*'Appendix K'!$C$14*1000)-('Appendix K'!$E$40+'Appendix K'!$F$40+'Appendix K'!$H$40+'Appendix K'!$G$40))/((1+$Y$16)^AH$34))</f>
        <v>326030.15390427416</v>
      </c>
      <c r="AI1001" s="193">
        <f>(((L1001*'Appendix K'!$C$15*1000)-('Appendix K'!$E$41+'Appendix K'!$F$41+'Appendix K'!$H$41+'Appendix K'!$G$41))/((1+$Y$16)^AI$34))</f>
        <v>-17088.983138996758</v>
      </c>
      <c r="AJ1001" s="193">
        <f>(((M1001*'Appendix K'!$C$16*1000)-('Appendix K'!$E$42+'Appendix K'!$F$42+'Appendix K'!$H$42+'Appendix K'!$G$42))/((1+$Y$16)^AJ$34))</f>
        <v>-566124.53065660573</v>
      </c>
      <c r="AK1001" s="193">
        <f>(((N1001*'Appendix K'!$C$17*1000)-('Appendix K'!$E$43+'Appendix K'!$F$43+'Appendix K'!$H$43))/((1+$Y$16)^AK$34))</f>
        <v>-231199.50362562784</v>
      </c>
      <c r="AL1001" s="193">
        <f>(((O1001*'Appendix K'!$C$18*1000)-('Appendix K'!$E$44+'Appendix K'!$F$44+'Appendix K'!$H$44+'Appendix K'!$G$44))/((1+$Y$16)^AL$34))</f>
        <v>-458936.60292571801</v>
      </c>
      <c r="AM1001" s="193">
        <f>(((P1001*'Appendix K'!$C$19*1000)-('Appendix K'!$E$45+'Appendix K'!$F$45+'Appendix K'!$H$45+'Appendix K'!$G$45))/((1+$Y$16)^AM$34))</f>
        <v>-590633.42710096773</v>
      </c>
      <c r="AN1001" s="193">
        <f>(((Q1001*'Appendix K'!$C$20*1000)-('Appendix K'!$E$46+'Appendix K'!$F$46+'Appendix K'!$H$46+'Appendix K'!$G$46))/((1+$Y$16)^AN$34))</f>
        <v>-456893.48437975557</v>
      </c>
      <c r="AO1001" s="193">
        <f>(((R1001*'Appendix K'!$C$21*1000)-('Appendix K'!$E$47+'Appendix K'!$F$47+'Appendix K'!$H$47+'Appendix K'!$G$47))/((1+$Y$16)^AO$34))</f>
        <v>-502615.0174168768</v>
      </c>
      <c r="AP1001" s="193">
        <f>(((S1001*'Appendix K'!$C$22*1000)-('Appendix K'!$E$48+'Appendix K'!$F$48+'Appendix K'!$H$48+'Appendix K'!$G$48))/((1+$Y$16)^AP$34))</f>
        <v>-414716.85604840779</v>
      </c>
      <c r="AQ1001" s="193">
        <f>(((T1001*'Appendix K'!$C$23*1000)-('Appendix K'!$E$49+'Appendix K'!$F$49+'Appendix K'!$H$49+'Appendix K'!$G$49))/((1+$Y$16)^AQ$34))</f>
        <v>-443874.15829526109</v>
      </c>
      <c r="AR1001" s="193">
        <f>(((U1001*'Appendix K'!$C$24*1000)-('Appendix K'!$E$50+'Appendix K'!$F$50+'Appendix K'!$H$50+'Appendix K'!$G$50))/((1+$Y$16)^AR$34))</f>
        <v>-393356.34538875188</v>
      </c>
      <c r="AS1001" s="209">
        <f t="shared" si="46"/>
        <v>32966863.359960161</v>
      </c>
      <c r="AU1001" s="199">
        <f t="shared" si="45"/>
        <v>4.4214887655971131E-9</v>
      </c>
    </row>
    <row r="1002" spans="1:47" x14ac:dyDescent="0.35">
      <c r="A1002">
        <v>968</v>
      </c>
      <c r="B1002" s="70">
        <v>56</v>
      </c>
      <c r="C1002" s="70">
        <v>56.294596487908386</v>
      </c>
      <c r="D1002" s="70">
        <v>64.847172963080411</v>
      </c>
      <c r="E1002" s="70">
        <v>66.669866334770006</v>
      </c>
      <c r="F1002" s="70">
        <v>45.839704135899495</v>
      </c>
      <c r="G1002" s="70">
        <v>45.422745549724389</v>
      </c>
      <c r="H1002" s="70">
        <v>36.956621642461656</v>
      </c>
      <c r="I1002" s="70">
        <v>56.464316542146008</v>
      </c>
      <c r="J1002" s="70">
        <v>48.015822638152471</v>
      </c>
      <c r="K1002" s="70">
        <v>32.894088157450298</v>
      </c>
      <c r="L1002" s="70">
        <v>38.329163108731329</v>
      </c>
      <c r="M1002" s="70">
        <v>33.981587135903467</v>
      </c>
      <c r="N1002" s="70">
        <v>36.383749251590473</v>
      </c>
      <c r="O1002" s="70">
        <v>39.625556944600937</v>
      </c>
      <c r="P1002" s="70">
        <v>30.528806572895007</v>
      </c>
      <c r="Q1002" s="70">
        <v>34.51661017644966</v>
      </c>
      <c r="R1002" s="70">
        <v>49.779269442501729</v>
      </c>
      <c r="S1002" s="70">
        <v>60.318003615380519</v>
      </c>
      <c r="T1002" s="70">
        <v>75.139345906218679</v>
      </c>
      <c r="U1002" s="70">
        <v>68.373999773180458</v>
      </c>
      <c r="V1002" s="70">
        <v>114.46170867811328</v>
      </c>
      <c r="X1002" s="193">
        <f>((0-('Appendix K'!$I$30))/(1+$Y$16)^0)</f>
        <v>-33594902.4440751</v>
      </c>
      <c r="Y1002" s="193">
        <f>(((B1002*'Appendix K'!$C$5*1000)-('Appendix K'!$E$31+'Appendix K'!$F$31+'Appendix K'!$H$31+'Appendix K'!$G$31))/((1+$Y$16)^1))</f>
        <v>34971064.972647354</v>
      </c>
      <c r="Z1002" s="193">
        <f>+(((C1002*'Appendix K'!$C$6*1000)-('Appendix K'!$E$32+'Appendix K'!$F$32+'Appendix K'!$H$32+'Appendix K'!$G$32))/((1+$Y$16)^2))</f>
        <v>10733730.216428393</v>
      </c>
      <c r="AA1002" s="193">
        <f>(((D1002*'Appendix K'!$C$7*1000)-('Appendix K'!$E$33+'Appendix K'!$F$33+'Appendix K'!$H$33+'Appendix K'!$G$33))/((1+$Y$16)^3))</f>
        <v>5295002.3160583423</v>
      </c>
      <c r="AB1002" s="193">
        <f>(((E1002*'Appendix K'!$C$8*1000)-('Appendix K'!$E$34+'Appendix K'!$F$34+'Appendix K'!$H$34+'Appendix K'!$G$34))/((1+$Y$16)^4))</f>
        <v>11320216.507842727</v>
      </c>
      <c r="AC1002" s="193">
        <f>(((F1002*'Appendix K'!$C$9*1000)-('Appendix K'!$E$35+'Appendix K'!$F$35+'Appendix K'!$H$35+'Appendix K'!$G$35))/((1+$Y$16)^AC$34))</f>
        <v>9199892.8589103911</v>
      </c>
      <c r="AD1002" s="193">
        <f>(((G1002*'Appendix K'!$C$10*1000)-('Appendix K'!$E$36+'Appendix K'!$F$36+'Appendix K'!$H$36+'Appendix K'!$G$36))/((1+$Y$16)^AD$34))</f>
        <v>4617604.4720580215</v>
      </c>
      <c r="AE1002" s="193">
        <f>(((H1002*'Appendix K'!$C$11*1000)-('Appendix K'!$E$37+'Appendix K'!$F$37+'Appendix K'!$H$37+'Appendix K'!$G$37))/((1+$Y$16)^AE$34))</f>
        <v>1466024.8470358264</v>
      </c>
      <c r="AF1002" s="193">
        <f>(((I1002*'Appendix K'!$C$12*1000)-('Appendix K'!$E$38+'Appendix K'!$F$38+'Appendix K'!$H$38+'Appendix K'!$G$38))/((1+$Y$16)^AF$34))</f>
        <v>1711005.0546128501</v>
      </c>
      <c r="AG1002" s="193">
        <f>(((J1002*'Appendix K'!$C$13*1000)-('Appendix K'!$E$39+'Appendix K'!$F$39+'Appendix K'!$H$39+'Appendix K'!$G$39))/((1+$Y$16)^AG$34))</f>
        <v>394693.03288224019</v>
      </c>
      <c r="AH1002" s="193">
        <f>(((K1002*'Appendix K'!$C$14*1000)-('Appendix K'!$E$40+'Appendix K'!$F$40+'Appendix K'!$H$40+'Appendix K'!$G$40))/((1+$Y$16)^AH$34))</f>
        <v>-523995.69346129568</v>
      </c>
      <c r="AI1002" s="193">
        <f>(((L1002*'Appendix K'!$C$15*1000)-('Appendix K'!$E$41+'Appendix K'!$F$41+'Appendix K'!$H$41+'Appendix K'!$G$41))/((1+$Y$16)^AI$34))</f>
        <v>-512185.59899579122</v>
      </c>
      <c r="AJ1002" s="193">
        <f>(((M1002*'Appendix K'!$C$16*1000)-('Appendix K'!$E$42+'Appendix K'!$F$42+'Appendix K'!$H$42+'Appendix K'!$G$42))/((1+$Y$16)^AJ$34))</f>
        <v>-700496.50963057147</v>
      </c>
      <c r="AK1002" s="193">
        <f>(((N1002*'Appendix K'!$C$17*1000)-('Appendix K'!$E$43+'Appendix K'!$F$43+'Appendix K'!$H$43))/((1+$Y$16)^AK$34))</f>
        <v>-445262.42357559345</v>
      </c>
      <c r="AL1002" s="193">
        <f>(((O1002*'Appendix K'!$C$18*1000)-('Appendix K'!$E$44+'Appendix K'!$F$44+'Appendix K'!$H$44+'Appendix K'!$G$44))/((1+$Y$16)^AL$34))</f>
        <v>-664895.73930146499</v>
      </c>
      <c r="AM1002" s="193">
        <f>(((P1002*'Appendix K'!$C$19*1000)-('Appendix K'!$E$45+'Appendix K'!$F$45+'Appendix K'!$H$45+'Appendix K'!$G$45))/((1+$Y$16)^AM$34))</f>
        <v>-743802.6220509077</v>
      </c>
      <c r="AN1002" s="193">
        <f>(((Q1002*'Appendix K'!$C$20*1000)-('Appendix K'!$E$46+'Appendix K'!$F$46+'Appendix K'!$H$46+'Appendix K'!$G$46))/((1+$Y$16)^AN$34))</f>
        <v>-665939.16128992604</v>
      </c>
      <c r="AO1002" s="193">
        <f>(((R1002*'Appendix K'!$C$21*1000)-('Appendix K'!$E$47+'Appendix K'!$F$47+'Appendix K'!$H$47+'Appendix K'!$G$47))/((1+$Y$16)^AO$34))</f>
        <v>-548797.94336012728</v>
      </c>
      <c r="AP1002" s="193">
        <f>(((S1002*'Appendix K'!$C$22*1000)-('Appendix K'!$E$48+'Appendix K'!$F$48+'Appendix K'!$H$48+'Appendix K'!$G$48))/((1+$Y$16)^AP$34))</f>
        <v>-475546.92424866778</v>
      </c>
      <c r="AQ1002" s="193">
        <f>(((T1002*'Appendix K'!$C$23*1000)-('Appendix K'!$E$49+'Appendix K'!$F$49+'Appendix K'!$H$49+'Appendix K'!$G$49))/((1+$Y$16)^AQ$34))</f>
        <v>-399409.46780073305</v>
      </c>
      <c r="AR1002" s="193">
        <f>(((U1002*'Appendix K'!$C$24*1000)-('Appendix K'!$E$50+'Appendix K'!$F$50+'Appendix K'!$H$50+'Appendix K'!$G$50))/((1+$Y$16)^AR$34))</f>
        <v>-409122.6742772361</v>
      </c>
      <c r="AS1002" s="209">
        <f t="shared" si="46"/>
        <v>46114331.834401049</v>
      </c>
      <c r="AU1002" s="199">
        <f t="shared" si="45"/>
        <v>5.3802412025664544E-9</v>
      </c>
    </row>
    <row r="1003" spans="1:47" x14ac:dyDescent="0.35">
      <c r="A1003">
        <v>969</v>
      </c>
      <c r="B1003" s="70">
        <v>56</v>
      </c>
      <c r="C1003" s="70">
        <v>72.734264001688445</v>
      </c>
      <c r="D1003" s="70">
        <v>46.740951036135549</v>
      </c>
      <c r="E1003" s="70">
        <v>45.784528061598159</v>
      </c>
      <c r="F1003" s="70">
        <v>35.347359027286345</v>
      </c>
      <c r="G1003" s="70">
        <v>29.983907610931432</v>
      </c>
      <c r="H1003" s="70">
        <v>33.092183420640744</v>
      </c>
      <c r="I1003" s="70">
        <v>34.276110280741101</v>
      </c>
      <c r="J1003" s="70">
        <v>52.911241356803366</v>
      </c>
      <c r="K1003" s="70">
        <v>67.969509635204417</v>
      </c>
      <c r="L1003" s="70">
        <v>54.844245565046002</v>
      </c>
      <c r="M1003" s="70">
        <v>55.747871455881075</v>
      </c>
      <c r="N1003" s="70">
        <v>83.364384149516638</v>
      </c>
      <c r="O1003" s="70">
        <v>122.50095779706137</v>
      </c>
      <c r="P1003" s="70">
        <v>80.841132906702342</v>
      </c>
      <c r="Q1003" s="70">
        <v>81.625631660173752</v>
      </c>
      <c r="R1003" s="70">
        <v>72.859884061830627</v>
      </c>
      <c r="S1003" s="70">
        <v>85.278431678981235</v>
      </c>
      <c r="T1003" s="70">
        <v>129.92945341790062</v>
      </c>
      <c r="U1003" s="70">
        <v>146.1175605355923</v>
      </c>
      <c r="V1003" s="70">
        <v>163.99616517439725</v>
      </c>
      <c r="X1003" s="193">
        <f>((0-('Appendix K'!$I$30))/(1+$Y$16)^0)</f>
        <v>-33594902.4440751</v>
      </c>
      <c r="Y1003" s="193">
        <f>(((B1003*'Appendix K'!$C$5*1000)-('Appendix K'!$E$31+'Appendix K'!$F$31+'Appendix K'!$H$31+'Appendix K'!$G$31))/((1+$Y$16)^1))</f>
        <v>34971064.972647354</v>
      </c>
      <c r="Z1003" s="193">
        <f>+(((C1003*'Appendix K'!$C$6*1000)-('Appendix K'!$E$32+'Appendix K'!$F$32+'Appendix K'!$H$32+'Appendix K'!$G$32))/((1+$Y$16)^2))</f>
        <v>14886671.400082653</v>
      </c>
      <c r="AA1003" s="193">
        <f>(((D1003*'Appendix K'!$C$7*1000)-('Appendix K'!$E$33+'Appendix K'!$F$33+'Appendix K'!$H$33+'Appendix K'!$G$33))/((1+$Y$16)^3))</f>
        <v>2988724.6092197178</v>
      </c>
      <c r="AB1003" s="193">
        <f>(((E1003*'Appendix K'!$C$8*1000)-('Appendix K'!$E$34+'Appendix K'!$F$34+'Appendix K'!$H$34+'Appendix K'!$G$34))/((1+$Y$16)^4))</f>
        <v>6742341.5452335486</v>
      </c>
      <c r="AC1003" s="193">
        <f>(((F1003*'Appendix K'!$C$9*1000)-('Appendix K'!$E$35+'Appendix K'!$F$35+'Appendix K'!$H$35+'Appendix K'!$G$35))/((1+$Y$16)^AC$34))</f>
        <v>6411044.0049794428</v>
      </c>
      <c r="AD1003" s="193">
        <f>(((G1003*'Appendix K'!$C$10*1000)-('Appendix K'!$E$36+'Appendix K'!$F$36+'Appendix K'!$H$36+'Appendix K'!$G$36))/((1+$Y$16)^AD$34))</f>
        <v>2193028.3553299261</v>
      </c>
      <c r="AE1003" s="193">
        <f>(((H1003*'Appendix K'!$C$11*1000)-('Appendix K'!$E$37+'Appendix K'!$F$37+'Appendix K'!$H$37+'Appendix K'!$G$37))/((1+$Y$16)^AE$34))</f>
        <v>1080594.9420063333</v>
      </c>
      <c r="AF1003" s="193">
        <f>(((I1003*'Appendix K'!$C$12*1000)-('Appendix K'!$E$38+'Appendix K'!$F$38+'Appendix K'!$H$38+'Appendix K'!$G$38))/((1+$Y$16)^AF$34))</f>
        <v>254073.57984621305</v>
      </c>
      <c r="AG1003" s="193">
        <f>(((J1003*'Appendix K'!$C$13*1000)-('Appendix K'!$E$39+'Appendix K'!$F$39+'Appendix K'!$H$39+'Appendix K'!$G$39))/((1+$Y$16)^AG$34))</f>
        <v>619974.97675757168</v>
      </c>
      <c r="AH1003" s="193">
        <f>(((K1003*'Appendix K'!$C$14*1000)-('Appendix K'!$E$40+'Appendix K'!$F$40+'Appendix K'!$H$40+'Appendix K'!$G$40))/((1+$Y$16)^AH$34))</f>
        <v>658274.93906204298</v>
      </c>
      <c r="AI1003" s="193">
        <f>(((L1003*'Appendix K'!$C$15*1000)-('Appendix K'!$E$41+'Appendix K'!$F$41+'Appendix K'!$H$41+'Appendix K'!$G$41))/((1+$Y$16)^AI$34))</f>
        <v>-79459.555284716436</v>
      </c>
      <c r="AJ1003" s="193">
        <f>(((M1003*'Appendix K'!$C$16*1000)-('Appendix K'!$E$42+'Appendix K'!$F$42+'Appendix K'!$H$42+'Appendix K'!$G$42))/((1+$Y$16)^AJ$34))</f>
        <v>-264259.53468538832</v>
      </c>
      <c r="AK1003" s="193">
        <f>(((N1003*'Appendix K'!$C$17*1000)-('Appendix K'!$E$43+'Appendix K'!$F$43+'Appendix K'!$H$43))/((1+$Y$16)^AK$34))</f>
        <v>276543.23372511577</v>
      </c>
      <c r="AL1003" s="193">
        <f>(((O1003*'Appendix K'!$C$18*1000)-('Appendix K'!$E$44+'Appendix K'!$F$44+'Appendix K'!$H$44+'Appendix K'!$G$44))/((1+$Y$16)^AL$34))</f>
        <v>317450.7732656459</v>
      </c>
      <c r="AM1003" s="193">
        <f>(((P1003*'Appendix K'!$C$19*1000)-('Appendix K'!$E$45+'Appendix K'!$F$45+'Appendix K'!$H$45+'Appendix K'!$G$45))/((1+$Y$16)^AM$34))</f>
        <v>-277471.16341755399</v>
      </c>
      <c r="AN1003" s="193">
        <f>(((Q1003*'Appendix K'!$C$20*1000)-('Appendix K'!$E$46+'Appendix K'!$F$46+'Appendix K'!$H$46+'Appendix K'!$G$46))/((1+$Y$16)^AN$34))</f>
        <v>-325048.06431633711</v>
      </c>
      <c r="AO1003" s="193">
        <f>(((R1003*'Appendix K'!$C$21*1000)-('Appendix K'!$E$47+'Appendix K'!$F$47+'Appendix K'!$H$47+'Appendix K'!$G$47))/((1+$Y$16)^AO$34))</f>
        <v>-412388.96101266169</v>
      </c>
      <c r="AP1003" s="193">
        <f>(((S1003*'Appendix K'!$C$22*1000)-('Appendix K'!$E$48+'Appendix K'!$F$48+'Appendix K'!$H$48+'Appendix K'!$G$48))/((1+$Y$16)^AP$34))</f>
        <v>-355993.47917570884</v>
      </c>
      <c r="AQ1003" s="193">
        <f>(((T1003*'Appendix K'!$C$23*1000)-('Appendix K'!$E$49+'Appendix K'!$F$49+'Appendix K'!$H$49+'Appendix K'!$G$49))/((1+$Y$16)^AQ$34))</f>
        <v>-184975.01362726197</v>
      </c>
      <c r="AR1003" s="193">
        <f>(((U1003*'Appendix K'!$C$24*1000)-('Appendix K'!$E$50+'Appendix K'!$F$50+'Appendix K'!$H$50+'Appendix K'!$G$50))/((1+$Y$16)^AR$34))</f>
        <v>-158786.23033643627</v>
      </c>
      <c r="AS1003" s="209">
        <f t="shared" si="46"/>
        <v>37804884.88808047</v>
      </c>
      <c r="AU1003" s="199">
        <f t="shared" si="45"/>
        <v>4.7823705067918552E-9</v>
      </c>
    </row>
    <row r="1004" spans="1:47" x14ac:dyDescent="0.35">
      <c r="A1004">
        <v>970</v>
      </c>
      <c r="B1004" s="70">
        <v>56</v>
      </c>
      <c r="C1004" s="70">
        <v>67.263626373202754</v>
      </c>
      <c r="D1004" s="70">
        <v>34.111917227939593</v>
      </c>
      <c r="E1004" s="70">
        <v>56.077968421147354</v>
      </c>
      <c r="F1004" s="70">
        <v>72.063477560913611</v>
      </c>
      <c r="G1004" s="70">
        <v>73.866357852544979</v>
      </c>
      <c r="H1004" s="70">
        <v>88.593799465764434</v>
      </c>
      <c r="I1004" s="70">
        <v>45.755752538539085</v>
      </c>
      <c r="J1004" s="70">
        <v>56.462656888471045</v>
      </c>
      <c r="K1004" s="70">
        <v>51.181448234725508</v>
      </c>
      <c r="L1004" s="70">
        <v>84.794633757172193</v>
      </c>
      <c r="M1004" s="70">
        <v>82.74322454667815</v>
      </c>
      <c r="N1004" s="70">
        <v>111.48327332787677</v>
      </c>
      <c r="O1004" s="70">
        <v>115.7597051140156</v>
      </c>
      <c r="P1004" s="70">
        <v>120.24959916334154</v>
      </c>
      <c r="Q1004" s="70">
        <v>132.08719124941885</v>
      </c>
      <c r="R1004" s="70">
        <v>165.86531003158916</v>
      </c>
      <c r="S1004" s="70">
        <v>119.35617851794322</v>
      </c>
      <c r="T1004" s="70">
        <v>132.45903629146355</v>
      </c>
      <c r="U1004" s="70">
        <v>181.41266215314303</v>
      </c>
      <c r="V1004" s="70">
        <v>104.03021617935472</v>
      </c>
      <c r="X1004" s="193">
        <f>((0-('Appendix K'!$I$30))/(1+$Y$16)^0)</f>
        <v>-33594902.4440751</v>
      </c>
      <c r="Y1004" s="193">
        <f>(((B1004*'Appendix K'!$C$5*1000)-('Appendix K'!$E$31+'Appendix K'!$F$31+'Appendix K'!$H$31+'Appendix K'!$G$31))/((1+$Y$16)^1))</f>
        <v>34971064.972647354</v>
      </c>
      <c r="Z1004" s="193">
        <f>+(((C1004*'Appendix K'!$C$6*1000)-('Appendix K'!$E$32+'Appendix K'!$F$32+'Appendix K'!$H$32+'Appendix K'!$G$32))/((1+$Y$16)^2))</f>
        <v>13504694.770132983</v>
      </c>
      <c r="AA1004" s="193">
        <f>(((D1004*'Appendix K'!$C$7*1000)-('Appendix K'!$E$33+'Appendix K'!$F$33+'Appendix K'!$H$33+'Appendix K'!$G$33))/((1+$Y$16)^3))</f>
        <v>1380103.0398900309</v>
      </c>
      <c r="AB1004" s="193">
        <f>(((E1004*'Appendix K'!$C$8*1000)-('Appendix K'!$E$34+'Appendix K'!$F$34+'Appendix K'!$H$34+'Appendix K'!$G$34))/((1+$Y$16)^4))</f>
        <v>8998569.4446696583</v>
      </c>
      <c r="AC1004" s="193">
        <f>(((F1004*'Appendix K'!$C$9*1000)-('Appendix K'!$E$35+'Appendix K'!$F$35+'Appendix K'!$H$35+'Appendix K'!$G$35))/((1+$Y$16)^AC$34))</f>
        <v>16170130.656565348</v>
      </c>
      <c r="AD1004" s="193">
        <f>(((G1004*'Appendix K'!$C$10*1000)-('Appendix K'!$E$36+'Appendix K'!$F$36+'Appendix K'!$H$36+'Appendix K'!$G$36))/((1+$Y$16)^AD$34))</f>
        <v>9084501.7434911299</v>
      </c>
      <c r="AE1004" s="193">
        <f>(((H1004*'Appendix K'!$C$11*1000)-('Appendix K'!$E$37+'Appendix K'!$F$37+'Appendix K'!$H$37+'Appendix K'!$G$37))/((1+$Y$16)^AE$34))</f>
        <v>6616194.5229398757</v>
      </c>
      <c r="AF1004" s="193">
        <f>(((I1004*'Appendix K'!$C$12*1000)-('Appendix K'!$E$38+'Appendix K'!$F$38+'Appendix K'!$H$38+'Appendix K'!$G$38))/((1+$Y$16)^AF$34))</f>
        <v>1007854.7520331363</v>
      </c>
      <c r="AG1004" s="193">
        <f>(((J1004*'Appendix K'!$C$13*1000)-('Appendix K'!$E$39+'Appendix K'!$F$39+'Appendix K'!$H$39+'Appendix K'!$G$39))/((1+$Y$16)^AG$34))</f>
        <v>783407.32860828924</v>
      </c>
      <c r="AH1004" s="193">
        <f>(((K1004*'Appendix K'!$C$14*1000)-('Appendix K'!$E$40+'Appendix K'!$F$40+'Appendix K'!$H$40+'Appendix K'!$G$40))/((1+$Y$16)^AH$34))</f>
        <v>92407.698282825237</v>
      </c>
      <c r="AI1004" s="193">
        <f>(((L1004*'Appendix K'!$C$15*1000)-('Appendix K'!$E$41+'Appendix K'!$F$41+'Appendix K'!$H$41+'Appendix K'!$G$41))/((1+$Y$16)^AI$34))</f>
        <v>705296.62284954276</v>
      </c>
      <c r="AJ1004" s="193">
        <f>(((M1004*'Appendix K'!$C$16*1000)-('Appendix K'!$E$42+'Appendix K'!$F$42+'Appendix K'!$H$42+'Appendix K'!$G$42))/((1+$Y$16)^AJ$34))</f>
        <v>276777.74098309997</v>
      </c>
      <c r="AK1004" s="193">
        <f>(((N1004*'Appendix K'!$C$17*1000)-('Appendix K'!$E$43+'Appendix K'!$F$43+'Appendix K'!$H$43))/((1+$Y$16)^AK$34))</f>
        <v>708558.96382432664</v>
      </c>
      <c r="AL1004" s="193">
        <f>(((O1004*'Appendix K'!$C$18*1000)-('Appendix K'!$E$44+'Appendix K'!$F$44+'Appendix K'!$H$44+'Appendix K'!$G$44))/((1+$Y$16)^AL$34))</f>
        <v>237544.72158557028</v>
      </c>
      <c r="AM1004" s="193">
        <f>(((P1004*'Appendix K'!$C$19*1000)-('Appendix K'!$E$45+'Appendix K'!$F$45+'Appendix K'!$H$45+'Appendix K'!$G$45))/((1+$Y$16)^AM$34))</f>
        <v>87795.340660059737</v>
      </c>
      <c r="AN1004" s="193">
        <f>(((Q1004*'Appendix K'!$C$20*1000)-('Appendix K'!$E$46+'Appendix K'!$F$46+'Appendix K'!$H$46+'Appendix K'!$G$46))/((1+$Y$16)^AN$34))</f>
        <v>40102.725523758549</v>
      </c>
      <c r="AO1004" s="193">
        <f>(((R1004*'Appendix K'!$C$21*1000)-('Appendix K'!$E$47+'Appendix K'!$F$47+'Appendix K'!$H$47+'Appendix K'!$G$47))/((1+$Y$16)^AO$34))</f>
        <v>137283.38171181467</v>
      </c>
      <c r="AP1004" s="193">
        <f>(((S1004*'Appendix K'!$C$22*1000)-('Appendix K'!$E$48+'Appendix K'!$F$48+'Appendix K'!$H$48+'Appendix K'!$G$48))/((1+$Y$16)^AP$34))</f>
        <v>-192770.63602009678</v>
      </c>
      <c r="AQ1004" s="193">
        <f>(((T1004*'Appendix K'!$C$23*1000)-('Appendix K'!$E$49+'Appendix K'!$F$49+'Appendix K'!$H$49+'Appendix K'!$G$49))/((1+$Y$16)^AQ$34))</f>
        <v>-175074.87384996045</v>
      </c>
      <c r="AR1004" s="193">
        <f>(((U1004*'Appendix K'!$C$24*1000)-('Appendix K'!$E$50+'Appendix K'!$F$50+'Appendix K'!$H$50+'Appendix K'!$G$50))/((1+$Y$16)^AR$34))</f>
        <v>-45135.01419946245</v>
      </c>
      <c r="AS1004" s="209">
        <f t="shared" si="46"/>
        <v>61207385.982323684</v>
      </c>
      <c r="AU1004" s="199">
        <f t="shared" si="45"/>
        <v>6.3082670822740514E-9</v>
      </c>
    </row>
    <row r="1005" spans="1:47" x14ac:dyDescent="0.35">
      <c r="A1005">
        <v>971</v>
      </c>
      <c r="B1005" s="70">
        <v>56</v>
      </c>
      <c r="C1005" s="70">
        <v>72.370152531636705</v>
      </c>
      <c r="D1005" s="70">
        <v>58.211371044629558</v>
      </c>
      <c r="E1005" s="70">
        <v>70.650486028610075</v>
      </c>
      <c r="F1005" s="70">
        <v>64.275194981555828</v>
      </c>
      <c r="G1005" s="70">
        <v>57.759059675481744</v>
      </c>
      <c r="H1005" s="70">
        <v>49.739722597985946</v>
      </c>
      <c r="I1005" s="70">
        <v>51.205472597123993</v>
      </c>
      <c r="J1005" s="70">
        <v>46.650278420638713</v>
      </c>
      <c r="K1005" s="70">
        <v>48.583477959047791</v>
      </c>
      <c r="L1005" s="70">
        <v>42.897340749533086</v>
      </c>
      <c r="M1005" s="70">
        <v>37.353318670543992</v>
      </c>
      <c r="N1005" s="70">
        <v>37.997832089634038</v>
      </c>
      <c r="O1005" s="70">
        <v>49.812028808911734</v>
      </c>
      <c r="P1005" s="70">
        <v>33.943878749236987</v>
      </c>
      <c r="Q1005" s="70">
        <v>55.072885722805083</v>
      </c>
      <c r="R1005" s="70">
        <v>51.672047088383287</v>
      </c>
      <c r="S1005" s="70">
        <v>65.740551275541904</v>
      </c>
      <c r="T1005" s="70">
        <v>81.827660865610028</v>
      </c>
      <c r="U1005" s="70">
        <v>89.476469307586967</v>
      </c>
      <c r="V1005" s="70">
        <v>122.81053523094181</v>
      </c>
      <c r="X1005" s="193">
        <f>((0-('Appendix K'!$I$30))/(1+$Y$16)^0)</f>
        <v>-33594902.4440751</v>
      </c>
      <c r="Y1005" s="193">
        <f>(((B1005*'Appendix K'!$C$5*1000)-('Appendix K'!$E$31+'Appendix K'!$F$31+'Appendix K'!$H$31+'Appendix K'!$G$31))/((1+$Y$16)^1))</f>
        <v>34971064.972647354</v>
      </c>
      <c r="Z1005" s="193">
        <f>+(((C1005*'Appendix K'!$C$6*1000)-('Appendix K'!$E$32+'Appendix K'!$F$32+'Appendix K'!$H$32+'Appendix K'!$G$32))/((1+$Y$16)^2))</f>
        <v>14794690.615303935</v>
      </c>
      <c r="AA1005" s="193">
        <f>(((D1005*'Appendix K'!$C$7*1000)-('Appendix K'!$E$33+'Appendix K'!$F$33+'Appendix K'!$H$33+'Appendix K'!$G$33))/((1+$Y$16)^3))</f>
        <v>4449767.8936996125</v>
      </c>
      <c r="AB1005" s="193">
        <f>(((E1005*'Appendix K'!$C$8*1000)-('Appendix K'!$E$34+'Appendix K'!$F$34+'Appendix K'!$H$34+'Appendix K'!$G$34))/((1+$Y$16)^4))</f>
        <v>12192731.90566645</v>
      </c>
      <c r="AC1005" s="193">
        <f>(((F1005*'Appendix K'!$C$9*1000)-('Appendix K'!$E$35+'Appendix K'!$F$35+'Appendix K'!$H$35+'Appendix K'!$G$35))/((1+$Y$16)^AC$34))</f>
        <v>14100017.376770336</v>
      </c>
      <c r="AD1005" s="193">
        <f>(((G1005*'Appendix K'!$C$10*1000)-('Appendix K'!$E$36+'Appendix K'!$F$36+'Appendix K'!$H$36+'Appendix K'!$G$36))/((1+$Y$16)^AD$34))</f>
        <v>6554947.9895135295</v>
      </c>
      <c r="AE1005" s="193">
        <f>(((H1005*'Appendix K'!$C$11*1000)-('Appendix K'!$E$37+'Appendix K'!$F$37+'Appendix K'!$H$37+'Appendix K'!$G$37))/((1+$Y$16)^AE$34))</f>
        <v>2740981.0255172015</v>
      </c>
      <c r="AF1005" s="193">
        <f>(((I1005*'Appendix K'!$C$12*1000)-('Appendix K'!$E$38+'Appendix K'!$F$38+'Appendix K'!$H$38+'Appendix K'!$G$38))/((1+$Y$16)^AF$34))</f>
        <v>1365696.5977631526</v>
      </c>
      <c r="AG1005" s="193">
        <f>(((J1005*'Appendix K'!$C$13*1000)-('Appendix K'!$E$39+'Appendix K'!$F$39+'Appendix K'!$H$39+'Appendix K'!$G$39))/((1+$Y$16)^AG$34))</f>
        <v>331852.145626329</v>
      </c>
      <c r="AH1005" s="193">
        <f>(((K1005*'Appendix K'!$C$14*1000)-('Appendix K'!$E$40+'Appendix K'!$F$40+'Appendix K'!$H$40+'Appendix K'!$G$40))/((1+$Y$16)^AH$34))</f>
        <v>4839.1436739984738</v>
      </c>
      <c r="AI1005" s="193">
        <f>(((L1005*'Appendix K'!$C$15*1000)-('Appendix K'!$E$41+'Appendix K'!$F$41+'Appendix K'!$H$41+'Appendix K'!$G$41))/((1+$Y$16)^AI$34))</f>
        <v>-392490.80227270833</v>
      </c>
      <c r="AJ1005" s="193">
        <f>(((M1005*'Appendix K'!$C$16*1000)-('Appendix K'!$E$42+'Appendix K'!$F$42+'Appendix K'!$H$42+'Appendix K'!$G$42))/((1+$Y$16)^AJ$34))</f>
        <v>-632920.71472795424</v>
      </c>
      <c r="AK1005" s="193">
        <f>(((N1005*'Appendix K'!$C$17*1000)-('Appendix K'!$E$43+'Appendix K'!$F$43+'Appendix K'!$H$43))/((1+$Y$16)^AK$34))</f>
        <v>-420463.82035571116</v>
      </c>
      <c r="AL1005" s="193">
        <f>(((O1005*'Appendix K'!$C$18*1000)-('Appendix K'!$E$44+'Appendix K'!$F$44+'Appendix K'!$H$44+'Appendix K'!$G$44))/((1+$Y$16)^AL$34))</f>
        <v>-544152.49090278603</v>
      </c>
      <c r="AM1005" s="193">
        <f>(((P1005*'Appendix K'!$C$19*1000)-('Appendix K'!$E$45+'Appendix K'!$F$45+'Appendix K'!$H$45+'Appendix K'!$G$45))/((1+$Y$16)^AM$34))</f>
        <v>-712149.23399714124</v>
      </c>
      <c r="AN1005" s="193">
        <f>(((Q1005*'Appendix K'!$C$20*1000)-('Appendix K'!$E$46+'Appendix K'!$F$46+'Appendix K'!$H$46+'Appendix K'!$G$46))/((1+$Y$16)^AN$34))</f>
        <v>-517189.49296770256</v>
      </c>
      <c r="AO1005" s="193">
        <f>(((R1005*'Appendix K'!$C$21*1000)-('Appendix K'!$E$47+'Appendix K'!$F$47+'Appendix K'!$H$47+'Appendix K'!$G$47))/((1+$Y$16)^AO$34))</f>
        <v>-537611.41835881677</v>
      </c>
      <c r="AP1005" s="193">
        <f>(((S1005*'Appendix K'!$C$22*1000)-('Appendix K'!$E$48+'Appendix K'!$F$48+'Appendix K'!$H$48+'Appendix K'!$G$48))/((1+$Y$16)^AP$34))</f>
        <v>-449574.44283958548</v>
      </c>
      <c r="AQ1005" s="193">
        <f>(((T1005*'Appendix K'!$C$23*1000)-('Appendix K'!$E$49+'Appendix K'!$F$49+'Appendix K'!$H$49+'Appendix K'!$G$49))/((1+$Y$16)^AQ$34))</f>
        <v>-373233.11530221766</v>
      </c>
      <c r="AR1005" s="193">
        <f>(((U1005*'Appendix K'!$C$24*1000)-('Appendix K'!$E$50+'Appendix K'!$F$50+'Appendix K'!$H$50+'Appendix K'!$G$50))/((1+$Y$16)^AR$34))</f>
        <v>-341172.13110933785</v>
      </c>
      <c r="AS1005" s="209">
        <f t="shared" si="46"/>
        <v>57911687.222106807</v>
      </c>
      <c r="AU1005" s="199">
        <f t="shared" si="45"/>
        <v>6.1297264360070147E-9</v>
      </c>
    </row>
    <row r="1006" spans="1:47" x14ac:dyDescent="0.35">
      <c r="A1006">
        <v>972</v>
      </c>
      <c r="B1006" s="70">
        <v>56</v>
      </c>
      <c r="C1006" s="70">
        <v>91.142891098596806</v>
      </c>
      <c r="D1006" s="70">
        <v>123.83252299482486</v>
      </c>
      <c r="E1006" s="70">
        <v>192.20536324103654</v>
      </c>
      <c r="F1006" s="70">
        <v>231.95780703997676</v>
      </c>
      <c r="G1006" s="70">
        <v>323.12534258778874</v>
      </c>
      <c r="H1006" s="70">
        <v>487.51842187231529</v>
      </c>
      <c r="I1006" s="70">
        <v>500</v>
      </c>
      <c r="J1006" s="70">
        <v>470.59850886931611</v>
      </c>
      <c r="K1006" s="70">
        <v>500</v>
      </c>
      <c r="L1006" s="70">
        <v>315.74601458806376</v>
      </c>
      <c r="M1006" s="70">
        <v>156.06223825390396</v>
      </c>
      <c r="N1006" s="70">
        <v>146.28564234176181</v>
      </c>
      <c r="O1006" s="70">
        <v>94.40321964890245</v>
      </c>
      <c r="P1006" s="70">
        <v>110.65838210025001</v>
      </c>
      <c r="Q1006" s="70">
        <v>211.12178920093515</v>
      </c>
      <c r="R1006" s="70">
        <v>176.02979027707454</v>
      </c>
      <c r="S1006" s="70">
        <v>218.10252829608442</v>
      </c>
      <c r="T1006" s="70">
        <v>236.63244052283434</v>
      </c>
      <c r="U1006" s="70">
        <v>204.35936634460563</v>
      </c>
      <c r="V1006" s="70">
        <v>229.04308025966665</v>
      </c>
      <c r="X1006" s="193">
        <f>((0-('Appendix K'!$I$30))/(1+$Y$16)^0)</f>
        <v>-33594902.4440751</v>
      </c>
      <c r="Y1006" s="193">
        <f>(((B1006*'Appendix K'!$C$5*1000)-('Appendix K'!$E$31+'Appendix K'!$F$31+'Appendix K'!$H$31+'Appendix K'!$G$31))/((1+$Y$16)^1))</f>
        <v>34971064.972647354</v>
      </c>
      <c r="Z1006" s="193">
        <f>+(((C1006*'Appendix K'!$C$6*1000)-('Appendix K'!$E$32+'Appendix K'!$F$32+'Appendix K'!$H$32+'Appendix K'!$G$32))/((1+$Y$16)^2))</f>
        <v>19537005.449795198</v>
      </c>
      <c r="AA1006" s="193">
        <f>(((D1006*'Appendix K'!$C$7*1000)-('Appendix K'!$E$33+'Appendix K'!$F$33+'Appendix K'!$H$33+'Appendix K'!$G$33))/((1+$Y$16)^3))</f>
        <v>12808253.747371115</v>
      </c>
      <c r="AB1006" s="193">
        <f>(((E1006*'Appendix K'!$C$8*1000)-('Appendix K'!$E$34+'Appendix K'!$F$34+'Appendix K'!$H$34+'Appendix K'!$G$34))/((1+$Y$16)^4))</f>
        <v>38836448.262829885</v>
      </c>
      <c r="AC1006" s="193">
        <f>(((F1006*'Appendix K'!$C$9*1000)-('Appendix K'!$E$35+'Appendix K'!$F$35+'Appendix K'!$H$35+'Appendix K'!$G$35))/((1+$Y$16)^AC$34))</f>
        <v>58669792.352946892</v>
      </c>
      <c r="AD1006" s="193">
        <f>(((G1006*'Appendix K'!$C$10*1000)-('Appendix K'!$E$36+'Appendix K'!$F$36+'Appendix K'!$H$36+'Appendix K'!$G$36))/((1+$Y$16)^AD$34))</f>
        <v>48229117.657259434</v>
      </c>
      <c r="AE1006" s="193">
        <f>(((H1006*'Appendix K'!$C$11*1000)-('Appendix K'!$E$37+'Appendix K'!$F$37+'Appendix K'!$H$37+'Appendix K'!$G$37))/((1+$Y$16)^AE$34))</f>
        <v>46403990.446258634</v>
      </c>
      <c r="AF1006" s="193">
        <f>(((I1006*'Appendix K'!$C$12*1000)-('Appendix K'!$E$38+'Appendix K'!$F$38+'Appendix K'!$H$38+'Appendix K'!$G$38))/((1+$Y$16)^AF$34))</f>
        <v>30834634.508874267</v>
      </c>
      <c r="AG1006" s="193">
        <f>(((J1006*'Appendix K'!$C$13*1000)-('Appendix K'!$E$39+'Appendix K'!$F$39+'Appendix K'!$H$39+'Appendix K'!$G$39))/((1+$Y$16)^AG$34))</f>
        <v>19841497.172335245</v>
      </c>
      <c r="AH1006" s="193">
        <f>(((K1006*'Appendix K'!$C$14*1000)-('Appendix K'!$E$40+'Appendix K'!$F$40+'Appendix K'!$H$40+'Appendix K'!$G$40))/((1+$Y$16)^AH$34))</f>
        <v>15220522.22201786</v>
      </c>
      <c r="AI1006" s="193">
        <f>(((L1006*'Appendix K'!$C$15*1000)-('Appendix K'!$E$41+'Appendix K'!$F$41+'Appendix K'!$H$41+'Appendix K'!$G$41))/((1+$Y$16)^AI$34))</f>
        <v>6756654.6818187907</v>
      </c>
      <c r="AJ1006" s="193">
        <f>(((M1006*'Appendix K'!$C$16*1000)-('Appendix K'!$E$42+'Appendix K'!$F$42+'Appendix K'!$H$42+'Appendix K'!$G$42))/((1+$Y$16)^AJ$34))</f>
        <v>1746227.6606576543</v>
      </c>
      <c r="AK1006" s="193">
        <f>(((N1006*'Appendix K'!$C$17*1000)-('Appendix K'!$E$43+'Appendix K'!$F$43+'Appendix K'!$H$43))/((1+$Y$16)^AK$34))</f>
        <v>1243258.9928100568</v>
      </c>
      <c r="AL1006" s="193">
        <f>(((O1006*'Appendix K'!$C$18*1000)-('Appendix K'!$E$44+'Appendix K'!$F$44+'Appendix K'!$H$44+'Appendix K'!$G$44))/((1+$Y$16)^AL$34))</f>
        <v>-15599.984823668798</v>
      </c>
      <c r="AM1006" s="193">
        <f>(((P1006*'Appendix K'!$C$19*1000)-('Appendix K'!$E$45+'Appendix K'!$F$45+'Appendix K'!$H$45+'Appendix K'!$G$45))/((1+$Y$16)^AM$34))</f>
        <v>-1103.0778592041918</v>
      </c>
      <c r="AN1006" s="193">
        <f>(((Q1006*'Appendix K'!$C$20*1000)-('Appendix K'!$E$46+'Appendix K'!$F$46+'Appendix K'!$H$46+'Appendix K'!$G$46))/((1+$Y$16)^AN$34))</f>
        <v>612014.2181848262</v>
      </c>
      <c r="AO1006" s="193">
        <f>(((R1006*'Appendix K'!$C$21*1000)-('Appendix K'!$E$47+'Appendix K'!$F$47+'Appendix K'!$H$47+'Appendix K'!$G$47))/((1+$Y$16)^AO$34))</f>
        <v>197356.58293481969</v>
      </c>
      <c r="AP1006" s="193">
        <f>(((S1006*'Appendix K'!$C$22*1000)-('Appendix K'!$E$48+'Appendix K'!$F$48+'Appendix K'!$H$48+'Appendix K'!$G$48))/((1+$Y$16)^AP$34))</f>
        <v>280196.66543303232</v>
      </c>
      <c r="AQ1006" s="193">
        <f>(((T1006*'Appendix K'!$C$23*1000)-('Appendix K'!$E$49+'Appendix K'!$F$49+'Appendix K'!$H$49+'Appendix K'!$G$49))/((1+$Y$16)^AQ$34))</f>
        <v>232633.16123618235</v>
      </c>
      <c r="AR1006" s="193">
        <f>(((U1006*'Appendix K'!$C$24*1000)-('Appendix K'!$E$50+'Appendix K'!$F$50+'Appendix K'!$H$50+'Appendix K'!$G$50))/((1+$Y$16)^AR$34))</f>
        <v>28754.016237506585</v>
      </c>
      <c r="AS1006" s="209">
        <f t="shared" si="46"/>
        <v>302854520.32757366</v>
      </c>
      <c r="AU1006" s="199">
        <f t="shared" si="45"/>
        <v>5.289852088440973E-12</v>
      </c>
    </row>
    <row r="1007" spans="1:47" x14ac:dyDescent="0.35">
      <c r="A1007">
        <v>973</v>
      </c>
      <c r="B1007" s="70">
        <v>56</v>
      </c>
      <c r="C1007" s="70">
        <v>63.625547226128049</v>
      </c>
      <c r="D1007" s="70">
        <v>67.708029192663702</v>
      </c>
      <c r="E1007" s="70">
        <v>47.80291627693471</v>
      </c>
      <c r="F1007" s="70">
        <v>53.994896695904096</v>
      </c>
      <c r="G1007" s="70">
        <v>47.185992523293478</v>
      </c>
      <c r="H1007" s="70">
        <v>62.45085519055479</v>
      </c>
      <c r="I1007" s="70">
        <v>62.22890119227187</v>
      </c>
      <c r="J1007" s="70">
        <v>76.150022246475544</v>
      </c>
      <c r="K1007" s="70">
        <v>124.67546860389078</v>
      </c>
      <c r="L1007" s="70">
        <v>125.80906769247997</v>
      </c>
      <c r="M1007" s="70">
        <v>106.16591338997432</v>
      </c>
      <c r="N1007" s="70">
        <v>107.38491828783188</v>
      </c>
      <c r="O1007" s="70">
        <v>154.36903779447698</v>
      </c>
      <c r="P1007" s="70">
        <v>174.04983759875847</v>
      </c>
      <c r="Q1007" s="70">
        <v>160.58954339758139</v>
      </c>
      <c r="R1007" s="70">
        <v>139.07075985048715</v>
      </c>
      <c r="S1007" s="70">
        <v>124.44948004438754</v>
      </c>
      <c r="T1007" s="70">
        <v>208.58119793813864</v>
      </c>
      <c r="U1007" s="70">
        <v>312.82101247923993</v>
      </c>
      <c r="V1007" s="70">
        <v>443.89302356346957</v>
      </c>
      <c r="X1007" s="193">
        <f>((0-('Appendix K'!$I$30))/(1+$Y$16)^0)</f>
        <v>-33594902.4440751</v>
      </c>
      <c r="Y1007" s="193">
        <f>(((B1007*'Appendix K'!$C$5*1000)-('Appendix K'!$E$31+'Appendix K'!$F$31+'Appendix K'!$H$31+'Appendix K'!$G$31))/((1+$Y$16)^1))</f>
        <v>34971064.972647354</v>
      </c>
      <c r="Z1007" s="193">
        <f>+(((C1007*'Appendix K'!$C$6*1000)-('Appendix K'!$E$32+'Appendix K'!$F$32+'Appendix K'!$H$32+'Appendix K'!$G$32))/((1+$Y$16)^2))</f>
        <v>12585653.755062826</v>
      </c>
      <c r="AA1007" s="193">
        <f>(((D1007*'Appendix K'!$C$7*1000)-('Appendix K'!$E$33+'Appendix K'!$F$33+'Appendix K'!$H$33+'Appendix K'!$G$33))/((1+$Y$16)^3))</f>
        <v>5659403.51313743</v>
      </c>
      <c r="AB1007" s="193">
        <f>(((E1007*'Appendix K'!$C$8*1000)-('Appendix K'!$E$34+'Appendix K'!$F$34+'Appendix K'!$H$34+'Appendix K'!$G$34))/((1+$Y$16)^4))</f>
        <v>7184753.7654695855</v>
      </c>
      <c r="AC1007" s="193">
        <f>(((F1007*'Appendix K'!$C$9*1000)-('Appendix K'!$E$35+'Appendix K'!$F$35+'Appendix K'!$H$35+'Appendix K'!$G$35))/((1+$Y$16)^AC$34))</f>
        <v>11367530.235409269</v>
      </c>
      <c r="AD1007" s="193">
        <f>(((G1007*'Appendix K'!$C$10*1000)-('Appendix K'!$E$36+'Appendix K'!$F$36+'Appendix K'!$H$36+'Appendix K'!$G$36))/((1+$Y$16)^AD$34))</f>
        <v>4894511.7442864999</v>
      </c>
      <c r="AE1007" s="193">
        <f>(((H1007*'Appendix K'!$C$11*1000)-('Appendix K'!$E$37+'Appendix K'!$F$37+'Appendix K'!$H$37+'Appendix K'!$G$37))/((1+$Y$16)^AE$34))</f>
        <v>4008759.2501261551</v>
      </c>
      <c r="AF1007" s="193">
        <f>(((I1007*'Appendix K'!$C$12*1000)-('Appendix K'!$E$38+'Appendix K'!$F$38+'Appendix K'!$H$38+'Appendix K'!$G$38))/((1+$Y$16)^AF$34))</f>
        <v>2089521.6736121005</v>
      </c>
      <c r="AG1007" s="193">
        <f>(((J1007*'Appendix K'!$C$13*1000)-('Appendix K'!$E$39+'Appendix K'!$F$39+'Appendix K'!$H$39+'Appendix K'!$G$39))/((1+$Y$16)^AG$34))</f>
        <v>1689398.8673376667</v>
      </c>
      <c r="AH1007" s="193">
        <f>(((K1007*'Appendix K'!$C$14*1000)-('Appendix K'!$E$40+'Appendix K'!$F$40+'Appendix K'!$H$40+'Appendix K'!$G$40))/((1+$Y$16)^AH$34))</f>
        <v>2569635.8622735073</v>
      </c>
      <c r="AI1007" s="193">
        <f>(((L1007*'Appendix K'!$C$15*1000)-('Appendix K'!$E$41+'Appendix K'!$F$41+'Appendix K'!$H$41+'Appendix K'!$G$41))/((1+$Y$16)^AI$34))</f>
        <v>1779951.489322152</v>
      </c>
      <c r="AJ1007" s="193">
        <f>(((M1007*'Appendix K'!$C$16*1000)-('Appendix K'!$E$42+'Appendix K'!$F$42+'Appendix K'!$H$42+'Appendix K'!$G$42))/((1+$Y$16)^AJ$34))</f>
        <v>746212.15504630515</v>
      </c>
      <c r="AK1007" s="193">
        <f>(((N1007*'Appendix K'!$C$17*1000)-('Appendix K'!$E$43+'Appendix K'!$F$43+'Appendix K'!$H$43))/((1+$Y$16)^AK$34))</f>
        <v>645592.25722364907</v>
      </c>
      <c r="AL1007" s="193">
        <f>(((O1007*'Appendix K'!$C$18*1000)-('Appendix K'!$E$44+'Appendix K'!$F$44+'Appendix K'!$H$44+'Appendix K'!$G$44))/((1+$Y$16)^AL$34))</f>
        <v>695192.50272530515</v>
      </c>
      <c r="AM1007" s="193">
        <f>(((P1007*'Appendix K'!$C$19*1000)-('Appendix K'!$E$45+'Appendix K'!$F$45+'Appendix K'!$H$45+'Appendix K'!$G$45))/((1+$Y$16)^AM$34))</f>
        <v>586455.32107825461</v>
      </c>
      <c r="AN1007" s="193">
        <f>(((Q1007*'Appendix K'!$C$20*1000)-('Appendix K'!$E$46+'Appendix K'!$F$46+'Appendix K'!$H$46+'Appendix K'!$G$46))/((1+$Y$16)^AN$34))</f>
        <v>246351.92756824484</v>
      </c>
      <c r="AO1007" s="193">
        <f>(((R1007*'Appendix K'!$C$21*1000)-('Appendix K'!$E$47+'Appendix K'!$F$47+'Appendix K'!$H$47+'Appendix K'!$G$47))/((1+$Y$16)^AO$34))</f>
        <v>-21075.370121480461</v>
      </c>
      <c r="AP1007" s="193">
        <f>(((S1007*'Appendix K'!$C$22*1000)-('Appendix K'!$E$48+'Appendix K'!$F$48+'Appendix K'!$H$48+'Appendix K'!$G$48))/((1+$Y$16)^AP$34))</f>
        <v>-168375.15118585402</v>
      </c>
      <c r="AQ1007" s="193">
        <f>(((T1007*'Appendix K'!$C$23*1000)-('Appendix K'!$E$49+'Appendix K'!$F$49+'Appendix K'!$H$49+'Appendix K'!$G$49))/((1+$Y$16)^AQ$34))</f>
        <v>122847.77906195793</v>
      </c>
      <c r="AR1007" s="193">
        <f>(((U1007*'Appendix K'!$C$24*1000)-('Appendix K'!$E$50+'Appendix K'!$F$50+'Appendix K'!$H$50+'Appendix K'!$G$50))/((1+$Y$16)^AR$34))</f>
        <v>378003.55576255225</v>
      </c>
      <c r="AS1007" s="209">
        <f t="shared" si="46"/>
        <v>58625938.183075733</v>
      </c>
      <c r="AU1007" s="199">
        <f t="shared" si="45"/>
        <v>6.1697520453193443E-9</v>
      </c>
    </row>
    <row r="1008" spans="1:47" x14ac:dyDescent="0.35">
      <c r="A1008">
        <v>974</v>
      </c>
      <c r="B1008" s="70">
        <v>56</v>
      </c>
      <c r="C1008" s="70">
        <v>76.449934220968231</v>
      </c>
      <c r="D1008" s="70">
        <v>90.584809774013905</v>
      </c>
      <c r="E1008" s="70">
        <v>78.108754906912381</v>
      </c>
      <c r="F1008" s="70">
        <v>128.38418014435524</v>
      </c>
      <c r="G1008" s="70">
        <v>134.37704009271513</v>
      </c>
      <c r="H1008" s="70">
        <v>183.6487431409443</v>
      </c>
      <c r="I1008" s="70">
        <v>246.91044384118811</v>
      </c>
      <c r="J1008" s="70">
        <v>231.71351223578978</v>
      </c>
      <c r="K1008" s="70">
        <v>249.08407290539424</v>
      </c>
      <c r="L1008" s="70">
        <v>257.88946951856695</v>
      </c>
      <c r="M1008" s="70">
        <v>256.99995165353016</v>
      </c>
      <c r="N1008" s="70">
        <v>292.99705875840704</v>
      </c>
      <c r="O1008" s="70">
        <v>383.55727402256787</v>
      </c>
      <c r="P1008" s="70">
        <v>296.13454128356864</v>
      </c>
      <c r="Q1008" s="70">
        <v>327.09466594899175</v>
      </c>
      <c r="R1008" s="70">
        <v>415.20631598828231</v>
      </c>
      <c r="S1008" s="70">
        <v>394.34245960629374</v>
      </c>
      <c r="T1008" s="70">
        <v>276.88372316790947</v>
      </c>
      <c r="U1008" s="70">
        <v>250.44918572011841</v>
      </c>
      <c r="V1008" s="70">
        <v>312.80886042609342</v>
      </c>
      <c r="X1008" s="193">
        <f>((0-('Appendix K'!$I$30))/(1+$Y$16)^0)</f>
        <v>-33594902.4440751</v>
      </c>
      <c r="Y1008" s="193">
        <f>(((B1008*'Appendix K'!$C$5*1000)-('Appendix K'!$E$31+'Appendix K'!$F$31+'Appendix K'!$H$31+'Appendix K'!$G$31))/((1+$Y$16)^1))</f>
        <v>34971064.972647354</v>
      </c>
      <c r="Z1008" s="193">
        <f>+(((C1008*'Appendix K'!$C$6*1000)-('Appendix K'!$E$32+'Appendix K'!$F$32+'Appendix K'!$H$32+'Appendix K'!$G$32))/((1+$Y$16)^2))</f>
        <v>15825313.247041553</v>
      </c>
      <c r="AA1008" s="193">
        <f>(((D1008*'Appendix K'!$C$7*1000)-('Appendix K'!$E$33+'Appendix K'!$F$33+'Appendix K'!$H$33+'Appendix K'!$G$33))/((1+$Y$16)^3))</f>
        <v>8573330.5196595006</v>
      </c>
      <c r="AB1008" s="193">
        <f>(((E1008*'Appendix K'!$C$8*1000)-('Appendix K'!$E$34+'Appendix K'!$F$34+'Appendix K'!$H$34+'Appendix K'!$G$34))/((1+$Y$16)^4))</f>
        <v>13827516.16991012</v>
      </c>
      <c r="AC1008" s="193">
        <f>(((F1008*'Appendix K'!$C$9*1000)-('Appendix K'!$E$35+'Appendix K'!$F$35+'Appendix K'!$H$35+'Appendix K'!$G$35))/((1+$Y$16)^AC$34))</f>
        <v>31140084.963870633</v>
      </c>
      <c r="AD1008" s="193">
        <f>(((G1008*'Appendix K'!$C$10*1000)-('Appendix K'!$E$36+'Appendix K'!$F$36+'Appendix K'!$H$36+'Appendix K'!$G$36))/((1+$Y$16)^AD$34))</f>
        <v>18587338.39143575</v>
      </c>
      <c r="AE1008" s="193">
        <f>(((H1008*'Appendix K'!$C$11*1000)-('Appendix K'!$E$37+'Appendix K'!$F$37+'Appendix K'!$H$37+'Appendix K'!$G$37))/((1+$Y$16)^AE$34))</f>
        <v>16096749.214287776</v>
      </c>
      <c r="AF1008" s="193">
        <f>(((I1008*'Appendix K'!$C$12*1000)-('Appendix K'!$E$38+'Appendix K'!$F$38+'Appendix K'!$H$38+'Appendix K'!$G$38))/((1+$Y$16)^AF$34))</f>
        <v>14216159.993253639</v>
      </c>
      <c r="AG1008" s="193">
        <f>(((J1008*'Appendix K'!$C$13*1000)-('Appendix K'!$E$39+'Appendix K'!$F$39+'Appendix K'!$H$39+'Appendix K'!$G$39))/((1+$Y$16)^AG$34))</f>
        <v>8848264.6222329903</v>
      </c>
      <c r="AH1008" s="193">
        <f>(((K1008*'Appendix K'!$C$14*1000)-('Appendix K'!$E$40+'Appendix K'!$F$40+'Appendix K'!$H$40+'Appendix K'!$G$40))/((1+$Y$16)^AH$34))</f>
        <v>6763017.8118580533</v>
      </c>
      <c r="AI1008" s="193">
        <f>(((L1008*'Appendix K'!$C$15*1000)-('Appendix K'!$E$41+'Appendix K'!$F$41+'Appendix K'!$H$41+'Appendix K'!$G$41))/((1+$Y$16)^AI$34))</f>
        <v>5240705.0087281726</v>
      </c>
      <c r="AJ1008" s="193">
        <f>(((M1008*'Appendix K'!$C$16*1000)-('Appendix K'!$E$42+'Appendix K'!$F$42+'Appendix K'!$H$42+'Appendix K'!$G$42))/((1+$Y$16)^AJ$34))</f>
        <v>3769207.8856711867</v>
      </c>
      <c r="AK1008" s="193">
        <f>(((N1008*'Appendix K'!$C$17*1000)-('Appendix K'!$E$43+'Appendix K'!$F$43+'Appendix K'!$H$43))/((1+$Y$16)^AK$34))</f>
        <v>3497318.1512317155</v>
      </c>
      <c r="AL1008" s="193">
        <f>(((O1008*'Appendix K'!$C$18*1000)-('Appendix K'!$E$44+'Appendix K'!$F$44+'Appendix K'!$H$44+'Appendix K'!$G$44))/((1+$Y$16)^AL$34))</f>
        <v>3411828.1058626398</v>
      </c>
      <c r="AM1008" s="193">
        <f>(((P1008*'Appendix K'!$C$19*1000)-('Appendix K'!$E$45+'Appendix K'!$F$45+'Appendix K'!$H$45+'Appendix K'!$G$45))/((1+$Y$16)^AM$34))</f>
        <v>1718025.6954718342</v>
      </c>
      <c r="AN1008" s="193">
        <f>(((Q1008*'Appendix K'!$C$20*1000)-('Appendix K'!$E$46+'Appendix K'!$F$46+'Appendix K'!$H$46+'Appendix K'!$G$46))/((1+$Y$16)^AN$34))</f>
        <v>1451219.1077936385</v>
      </c>
      <c r="AO1008" s="193">
        <f>(((R1008*'Appendix K'!$C$21*1000)-('Appendix K'!$E$47+'Appendix K'!$F$47+'Appendix K'!$H$47+'Appendix K'!$G$47))/((1+$Y$16)^AO$34))</f>
        <v>1610916.2741202416</v>
      </c>
      <c r="AP1008" s="193">
        <f>(((S1008*'Appendix K'!$C$22*1000)-('Appendix K'!$E$48+'Appendix K'!$F$48+'Appendix K'!$H$48+'Appendix K'!$G$48))/((1+$Y$16)^AP$34))</f>
        <v>1124336.4732067315</v>
      </c>
      <c r="AQ1008" s="193">
        <f>(((T1008*'Appendix K'!$C$23*1000)-('Appendix K'!$E$49+'Appendix K'!$F$49+'Appendix K'!$H$49+'Appendix K'!$G$49))/((1+$Y$16)^AQ$34))</f>
        <v>390166.37691637623</v>
      </c>
      <c r="AR1008" s="193">
        <f>(((U1008*'Appendix K'!$C$24*1000)-('Appendix K'!$E$50+'Appendix K'!$F$50+'Appendix K'!$H$50+'Appendix K'!$G$50))/((1+$Y$16)^AR$34))</f>
        <v>177164.52601078834</v>
      </c>
      <c r="AS1008" s="209">
        <f t="shared" si="46"/>
        <v>157644825.0671356</v>
      </c>
      <c r="AU1008" s="199">
        <f t="shared" si="45"/>
        <v>3.2832410866149669E-9</v>
      </c>
    </row>
    <row r="1009" spans="1:47" x14ac:dyDescent="0.35">
      <c r="A1009">
        <v>975</v>
      </c>
      <c r="B1009" s="70">
        <v>56</v>
      </c>
      <c r="C1009" s="70">
        <v>36.849017730208473</v>
      </c>
      <c r="D1009" s="70">
        <v>37.730394296430077</v>
      </c>
      <c r="E1009" s="70">
        <v>42.985030721704192</v>
      </c>
      <c r="F1009" s="70">
        <v>38.101100141429654</v>
      </c>
      <c r="G1009" s="70">
        <v>54.519799418604947</v>
      </c>
      <c r="H1009" s="70">
        <v>47.094376014555998</v>
      </c>
      <c r="I1009" s="70">
        <v>53.108521842771246</v>
      </c>
      <c r="J1009" s="70">
        <v>63.700724692806439</v>
      </c>
      <c r="K1009" s="70">
        <v>51.714314922265416</v>
      </c>
      <c r="L1009" s="70">
        <v>65.196488497890456</v>
      </c>
      <c r="M1009" s="70">
        <v>59.142370033022623</v>
      </c>
      <c r="N1009" s="70">
        <v>69.83075007425839</v>
      </c>
      <c r="O1009" s="70">
        <v>67.363078132710811</v>
      </c>
      <c r="P1009" s="70">
        <v>43.281523810549814</v>
      </c>
      <c r="Q1009" s="70">
        <v>42.742632703615627</v>
      </c>
      <c r="R1009" s="70">
        <v>34.279512862429669</v>
      </c>
      <c r="S1009" s="70">
        <v>49.788531024995535</v>
      </c>
      <c r="T1009" s="70">
        <v>44.477616951057136</v>
      </c>
      <c r="U1009" s="70">
        <v>45.972618948267275</v>
      </c>
      <c r="V1009" s="70">
        <v>32.02772868647304</v>
      </c>
      <c r="X1009" s="193">
        <f>((0-('Appendix K'!$I$30))/(1+$Y$16)^0)</f>
        <v>-33594902.4440751</v>
      </c>
      <c r="Y1009" s="193">
        <f>(((B1009*'Appendix K'!$C$5*1000)-('Appendix K'!$E$31+'Appendix K'!$F$31+'Appendix K'!$H$31+'Appendix K'!$G$31))/((1+$Y$16)^1))</f>
        <v>34971064.972647354</v>
      </c>
      <c r="Z1009" s="193">
        <f>+(((C1009*'Appendix K'!$C$6*1000)-('Appendix K'!$E$32+'Appendix K'!$F$32+'Appendix K'!$H$32+'Appendix K'!$G$32))/((1+$Y$16)^2))</f>
        <v>5821444.4420869816</v>
      </c>
      <c r="AA1009" s="193">
        <f>(((D1009*'Appendix K'!$C$7*1000)-('Appendix K'!$E$33+'Appendix K'!$F$33+'Appendix K'!$H$33+'Appendix K'!$G$33))/((1+$Y$16)^3))</f>
        <v>1841006.0946210353</v>
      </c>
      <c r="AB1009" s="193">
        <f>(((E1009*'Appendix K'!$C$8*1000)-('Appendix K'!$E$34+'Appendix K'!$F$34+'Appendix K'!$H$34+'Appendix K'!$G$34))/((1+$Y$16)^4))</f>
        <v>6128717.3552603349</v>
      </c>
      <c r="AC1009" s="193">
        <f>(((F1009*'Appendix K'!$C$9*1000)-('Appendix K'!$E$35+'Appendix K'!$F$35+'Appendix K'!$H$35+'Appendix K'!$G$35))/((1+$Y$16)^AC$34))</f>
        <v>7142984.068969219</v>
      </c>
      <c r="AD1009" s="193">
        <f>(((G1009*'Appendix K'!$C$10*1000)-('Appendix K'!$E$36+'Appendix K'!$F$36+'Appendix K'!$H$36+'Appendix K'!$G$36))/((1+$Y$16)^AD$34))</f>
        <v>6046241.7587838341</v>
      </c>
      <c r="AE1009" s="193">
        <f>(((H1009*'Appendix K'!$C$11*1000)-('Appendix K'!$E$37+'Appendix K'!$F$37+'Appendix K'!$H$37+'Appendix K'!$G$37))/((1+$Y$16)^AE$34))</f>
        <v>2477140.4298352064</v>
      </c>
      <c r="AF1009" s="193">
        <f>(((I1009*'Appendix K'!$C$12*1000)-('Appendix K'!$E$38+'Appendix K'!$F$38+'Appendix K'!$H$38+'Appendix K'!$G$38))/((1+$Y$16)^AF$34))</f>
        <v>1490655.4300071625</v>
      </c>
      <c r="AG1009" s="193">
        <f>(((J1009*'Appendix K'!$C$13*1000)-('Appendix K'!$E$39+'Appendix K'!$F$39+'Appendix K'!$H$39+'Appendix K'!$G$39))/((1+$Y$16)^AG$34))</f>
        <v>1116495.4827736802</v>
      </c>
      <c r="AH1009" s="193">
        <f>(((K1009*'Appendix K'!$C$14*1000)-('Appendix K'!$E$40+'Appendix K'!$F$40+'Appendix K'!$H$40+'Appendix K'!$G$40))/((1+$Y$16)^AH$34))</f>
        <v>110368.78354385257</v>
      </c>
      <c r="AI1009" s="193">
        <f>(((L1009*'Appendix K'!$C$15*1000)-('Appendix K'!$E$41+'Appendix K'!$F$41+'Appendix K'!$H$41+'Appendix K'!$G$41))/((1+$Y$16)^AI$34))</f>
        <v>191788.56834501887</v>
      </c>
      <c r="AJ1009" s="193">
        <f>(((M1009*'Appendix K'!$C$16*1000)-('Appendix K'!$E$42+'Appendix K'!$F$42+'Appendix K'!$H$42+'Appendix K'!$G$42))/((1+$Y$16)^AJ$34))</f>
        <v>-196227.44574548429</v>
      </c>
      <c r="AK1009" s="193">
        <f>(((N1009*'Appendix K'!$C$17*1000)-('Appendix K'!$E$43+'Appendix K'!$F$43+'Appendix K'!$H$43))/((1+$Y$16)^AK$34))</f>
        <v>68613.867496174833</v>
      </c>
      <c r="AL1009" s="193">
        <f>(((O1009*'Appendix K'!$C$18*1000)-('Appendix K'!$E$44+'Appendix K'!$F$44+'Appendix K'!$H$44+'Appendix K'!$G$44))/((1+$Y$16)^AL$34))</f>
        <v>-336114.73883421777</v>
      </c>
      <c r="AM1009" s="193">
        <f>(((P1009*'Appendix K'!$C$19*1000)-('Appendix K'!$E$45+'Appendix K'!$F$45+'Appendix K'!$H$45+'Appendix K'!$G$45))/((1+$Y$16)^AM$34))</f>
        <v>-625601.10635239386</v>
      </c>
      <c r="AN1009" s="193">
        <f>(((Q1009*'Appendix K'!$C$20*1000)-('Appendix K'!$E$46+'Appendix K'!$F$46+'Appendix K'!$H$46+'Appendix K'!$G$46))/((1+$Y$16)^AN$34))</f>
        <v>-606413.87813404715</v>
      </c>
      <c r="AO1009" s="193">
        <f>(((R1009*'Appendix K'!$C$21*1000)-('Appendix K'!$E$47+'Appendix K'!$F$47+'Appendix K'!$H$47+'Appendix K'!$G$47))/((1+$Y$16)^AO$34))</f>
        <v>-640403.21716208383</v>
      </c>
      <c r="AP1009" s="193">
        <f>(((S1009*'Appendix K'!$C$22*1000)-('Appendix K'!$E$48+'Appendix K'!$F$48+'Appendix K'!$H$48+'Appendix K'!$G$48))/((1+$Y$16)^AP$34))</f>
        <v>-525980.14277257398</v>
      </c>
      <c r="AQ1009" s="193">
        <f>(((T1009*'Appendix K'!$C$23*1000)-('Appendix K'!$E$49+'Appendix K'!$F$49+'Appendix K'!$H$49+'Appendix K'!$G$49))/((1+$Y$16)^AQ$34))</f>
        <v>-519411.62532731064</v>
      </c>
      <c r="AR1009" s="193">
        <f>(((U1009*'Appendix K'!$C$24*1000)-('Appendix K'!$E$50+'Appendix K'!$F$50+'Appendix K'!$H$50+'Appendix K'!$G$50))/((1+$Y$16)^AR$34))</f>
        <v>-481255.7481945777</v>
      </c>
      <c r="AS1009" s="209">
        <f t="shared" si="46"/>
        <v>33811618.810294755</v>
      </c>
      <c r="AU1009" s="199">
        <f t="shared" si="45"/>
        <v>4.4848266960563224E-9</v>
      </c>
    </row>
    <row r="1010" spans="1:47" x14ac:dyDescent="0.35">
      <c r="A1010">
        <v>976</v>
      </c>
      <c r="B1010" s="70">
        <v>56</v>
      </c>
      <c r="C1010" s="70">
        <v>81.921499467205663</v>
      </c>
      <c r="D1010" s="70">
        <v>53.84957203220636</v>
      </c>
      <c r="E1010" s="70">
        <v>77.707468835310436</v>
      </c>
      <c r="F1010" s="70">
        <v>63.688464100664788</v>
      </c>
      <c r="G1010" s="70">
        <v>84.859400481377477</v>
      </c>
      <c r="H1010" s="70">
        <v>114.61666052603893</v>
      </c>
      <c r="I1010" s="70">
        <v>179.86860308834963</v>
      </c>
      <c r="J1010" s="70">
        <v>269.49312481033974</v>
      </c>
      <c r="K1010" s="70">
        <v>242.79269537435226</v>
      </c>
      <c r="L1010" s="70">
        <v>112.61486211610753</v>
      </c>
      <c r="M1010" s="70">
        <v>154.12157322011467</v>
      </c>
      <c r="N1010" s="70">
        <v>153.49100565443911</v>
      </c>
      <c r="O1010" s="70">
        <v>131.65764717081146</v>
      </c>
      <c r="P1010" s="70">
        <v>184.06346047038326</v>
      </c>
      <c r="Q1010" s="70">
        <v>152.76203052960045</v>
      </c>
      <c r="R1010" s="70">
        <v>181.79012658712674</v>
      </c>
      <c r="S1010" s="70">
        <v>233.60387082231597</v>
      </c>
      <c r="T1010" s="70">
        <v>224.63465135707142</v>
      </c>
      <c r="U1010" s="70">
        <v>259.65828817017911</v>
      </c>
      <c r="V1010" s="70">
        <v>277.55257178005894</v>
      </c>
      <c r="X1010" s="193">
        <f>((0-('Appendix K'!$I$30))/(1+$Y$16)^0)</f>
        <v>-33594902.4440751</v>
      </c>
      <c r="Y1010" s="193">
        <f>(((B1010*'Appendix K'!$C$5*1000)-('Appendix K'!$E$31+'Appendix K'!$F$31+'Appendix K'!$H$31+'Appendix K'!$G$31))/((1+$Y$16)^1))</f>
        <v>34971064.972647354</v>
      </c>
      <c r="Z1010" s="193">
        <f>+(((C1010*'Appendix K'!$C$6*1000)-('Appendix K'!$E$32+'Appendix K'!$F$32+'Appendix K'!$H$32+'Appendix K'!$G$32))/((1+$Y$16)^2))</f>
        <v>17207524.209100477</v>
      </c>
      <c r="AA1010" s="193">
        <f>(((D1010*'Appendix K'!$C$7*1000)-('Appendix K'!$E$33+'Appendix K'!$F$33+'Appendix K'!$H$33+'Appendix K'!$G$33))/((1+$Y$16)^3))</f>
        <v>3894184.301238934</v>
      </c>
      <c r="AB1010" s="193">
        <f>(((E1010*'Appendix K'!$C$8*1000)-('Appendix K'!$E$34+'Appendix K'!$F$34+'Appendix K'!$H$34+'Appendix K'!$G$34))/((1+$Y$16)^4))</f>
        <v>13739557.93643539</v>
      </c>
      <c r="AC1010" s="193">
        <f>(((F1010*'Appendix K'!$C$9*1000)-('Appendix K'!$E$35+'Appendix K'!$F$35+'Appendix K'!$H$35+'Appendix K'!$G$35))/((1+$Y$16)^AC$34))</f>
        <v>13944065.229962314</v>
      </c>
      <c r="AD1010" s="193">
        <f>(((G1010*'Appendix K'!$C$10*1000)-('Appendix K'!$E$36+'Appendix K'!$F$36+'Appendix K'!$H$36+'Appendix K'!$G$36))/((1+$Y$16)^AD$34))</f>
        <v>10810892.597110318</v>
      </c>
      <c r="AE1010" s="193">
        <f>(((H1010*'Appendix K'!$C$11*1000)-('Appendix K'!$E$37+'Appendix K'!$F$37+'Appendix K'!$H$37+'Appendix K'!$G$37))/((1+$Y$16)^AE$34))</f>
        <v>9211652.9806329012</v>
      </c>
      <c r="AF1010" s="193">
        <f>(((I1010*'Appendix K'!$C$12*1000)-('Appendix K'!$E$38+'Appendix K'!$F$38+'Appendix K'!$H$38+'Appendix K'!$G$38))/((1+$Y$16)^AF$34))</f>
        <v>9814030.0162575468</v>
      </c>
      <c r="AG1010" s="193">
        <f>(((J1010*'Appendix K'!$C$13*1000)-('Appendix K'!$E$39+'Appendix K'!$F$39+'Appendix K'!$H$39+'Appendix K'!$G$39))/((1+$Y$16)^AG$34))</f>
        <v>10586842.065511849</v>
      </c>
      <c r="AH1010" s="193">
        <f>(((K1010*'Appendix K'!$C$14*1000)-('Appendix K'!$E$40+'Appendix K'!$F$40+'Appendix K'!$H$40+'Appendix K'!$G$40))/((1+$Y$16)^AH$34))</f>
        <v>6550957.3267749129</v>
      </c>
      <c r="AI1010" s="193">
        <f>(((L1010*'Appendix K'!$C$15*1000)-('Appendix K'!$E$41+'Appendix K'!$F$41+'Appendix K'!$H$41+'Appendix K'!$G$41))/((1+$Y$16)^AI$34))</f>
        <v>1434238.6299357808</v>
      </c>
      <c r="AJ1010" s="193">
        <f>(((M1010*'Appendix K'!$C$16*1000)-('Appendix K'!$E$42+'Appendix K'!$F$42+'Appendix K'!$H$42+'Appendix K'!$G$42))/((1+$Y$16)^AJ$34))</f>
        <v>1707333.110201695</v>
      </c>
      <c r="AK1010" s="193">
        <f>(((N1010*'Appendix K'!$C$17*1000)-('Appendix K'!$E$43+'Appendix K'!$F$43+'Appendix K'!$H$43))/((1+$Y$16)^AK$34))</f>
        <v>1353961.4559269834</v>
      </c>
      <c r="AL1010" s="193">
        <f>(((O1010*'Appendix K'!$C$18*1000)-('Appendix K'!$E$44+'Appendix K'!$F$44+'Appendix K'!$H$44+'Appendix K'!$G$44))/((1+$Y$16)^AL$34))</f>
        <v>425987.70678802131</v>
      </c>
      <c r="AM1010" s="193">
        <f>(((P1010*'Appendix K'!$C$19*1000)-('Appendix K'!$E$45+'Appendix K'!$F$45+'Appendix K'!$H$45+'Appendix K'!$G$45))/((1+$Y$16)^AM$34))</f>
        <v>679268.90574431128</v>
      </c>
      <c r="AN1010" s="193">
        <f>(((Q1010*'Appendix K'!$C$20*1000)-('Appendix K'!$E$46+'Appendix K'!$F$46+'Appendix K'!$H$46+'Appendix K'!$G$46))/((1+$Y$16)^AN$34))</f>
        <v>189710.34673934133</v>
      </c>
      <c r="AO1010" s="193">
        <f>(((R1010*'Appendix K'!$C$21*1000)-('Appendix K'!$E$47+'Appendix K'!$F$47+'Appendix K'!$H$47+'Appendix K'!$G$47))/((1+$Y$16)^AO$34))</f>
        <v>231400.80692941535</v>
      </c>
      <c r="AP1010" s="193">
        <f>(((S1010*'Appendix K'!$C$22*1000)-('Appendix K'!$E$48+'Appendix K'!$F$48+'Appendix K'!$H$48+'Appendix K'!$G$48))/((1+$Y$16)^AP$34))</f>
        <v>354443.7455530038</v>
      </c>
      <c r="AQ1010" s="193">
        <f>(((T1010*'Appendix K'!$C$23*1000)-('Appendix K'!$E$49+'Appendix K'!$F$49+'Appendix K'!$H$49+'Appendix K'!$G$49))/((1+$Y$16)^AQ$34))</f>
        <v>185676.88595418533</v>
      </c>
      <c r="AR1010" s="193">
        <f>(((U1010*'Appendix K'!$C$24*1000)-('Appendix K'!$E$50+'Appendix K'!$F$50+'Appendix K'!$H$50+'Appendix K'!$G$50))/((1+$Y$16)^AR$34))</f>
        <v>206818.09392852284</v>
      </c>
      <c r="AS1010" s="209">
        <f t="shared" si="46"/>
        <v>103904708.87929815</v>
      </c>
      <c r="AU1010" s="199">
        <f t="shared" si="45"/>
        <v>6.7460378006150056E-9</v>
      </c>
    </row>
    <row r="1011" spans="1:47" x14ac:dyDescent="0.35">
      <c r="A1011">
        <v>977</v>
      </c>
      <c r="B1011" s="70">
        <v>56</v>
      </c>
      <c r="C1011" s="70">
        <v>61.692013317108952</v>
      </c>
      <c r="D1011" s="70">
        <v>44.93532571065473</v>
      </c>
      <c r="E1011" s="70">
        <v>69.994572092808966</v>
      </c>
      <c r="F1011" s="70">
        <v>61.484136074048536</v>
      </c>
      <c r="G1011" s="70">
        <v>43.149986790303942</v>
      </c>
      <c r="H1011" s="70">
        <v>58.404331780512585</v>
      </c>
      <c r="I1011" s="70">
        <v>65.182894178057964</v>
      </c>
      <c r="J1011" s="70">
        <v>58.132423604620378</v>
      </c>
      <c r="K1011" s="70">
        <v>56.092981372429932</v>
      </c>
      <c r="L1011" s="70">
        <v>51.524436518209306</v>
      </c>
      <c r="M1011" s="70">
        <v>57.710587955599415</v>
      </c>
      <c r="N1011" s="70">
        <v>41.376917289692521</v>
      </c>
      <c r="O1011" s="70">
        <v>36.041771401028981</v>
      </c>
      <c r="P1011" s="70">
        <v>43.522166175979223</v>
      </c>
      <c r="Q1011" s="70">
        <v>63.608356790795852</v>
      </c>
      <c r="R1011" s="70">
        <v>64.116744999638058</v>
      </c>
      <c r="S1011" s="70">
        <v>81.747906779517848</v>
      </c>
      <c r="T1011" s="70">
        <v>99.594436562915675</v>
      </c>
      <c r="U1011" s="70">
        <v>78.51202604126162</v>
      </c>
      <c r="V1011" s="70">
        <v>69.894457710142532</v>
      </c>
      <c r="X1011" s="193">
        <f>((0-('Appendix K'!$I$30))/(1+$Y$16)^0)</f>
        <v>-33594902.4440751</v>
      </c>
      <c r="Y1011" s="193">
        <f>(((B1011*'Appendix K'!$C$5*1000)-('Appendix K'!$E$31+'Appendix K'!$F$31+'Appendix K'!$H$31+'Appendix K'!$G$31))/((1+$Y$16)^1))</f>
        <v>34971064.972647354</v>
      </c>
      <c r="Z1011" s="193">
        <f>+(((C1011*'Appendix K'!$C$6*1000)-('Appendix K'!$E$32+'Appendix K'!$F$32+'Appendix K'!$H$32+'Appendix K'!$G$32))/((1+$Y$16)^2))</f>
        <v>12097210.020174231</v>
      </c>
      <c r="AA1011" s="193">
        <f>(((D1011*'Appendix K'!$C$7*1000)-('Appendix K'!$E$33+'Appendix K'!$F$33+'Appendix K'!$H$33+'Appendix K'!$G$33))/((1+$Y$16)^3))</f>
        <v>2758733.3138593882</v>
      </c>
      <c r="AB1011" s="193">
        <f>(((E1011*'Appendix K'!$C$8*1000)-('Appendix K'!$E$34+'Appendix K'!$F$34+'Appendix K'!$H$34+'Appendix K'!$G$34))/((1+$Y$16)^4))</f>
        <v>12048961.575253012</v>
      </c>
      <c r="AC1011" s="193">
        <f>(((F1011*'Appendix K'!$C$9*1000)-('Appendix K'!$E$35+'Appendix K'!$F$35+'Appendix K'!$H$35+'Appendix K'!$G$35))/((1+$Y$16)^AC$34))</f>
        <v>13358158.301903866</v>
      </c>
      <c r="AD1011" s="193">
        <f>(((G1011*'Appendix K'!$C$10*1000)-('Appendix K'!$E$36+'Appendix K'!$F$36+'Appendix K'!$H$36+'Appendix K'!$G$36))/((1+$Y$16)^AD$34))</f>
        <v>4260681.4556353092</v>
      </c>
      <c r="AE1011" s="193">
        <f>(((H1011*'Appendix K'!$C$11*1000)-('Appendix K'!$E$37+'Appendix K'!$F$37+'Appendix K'!$H$37+'Appendix K'!$G$37))/((1+$Y$16)^AE$34))</f>
        <v>3605168.6001772271</v>
      </c>
      <c r="AF1011" s="193">
        <f>(((I1011*'Appendix K'!$C$12*1000)-('Appendix K'!$E$38+'Appendix K'!$F$38+'Appendix K'!$H$38+'Appendix K'!$G$38))/((1+$Y$16)^AF$34))</f>
        <v>2283488.0225151121</v>
      </c>
      <c r="AG1011" s="193">
        <f>(((J1011*'Appendix K'!$C$13*1000)-('Appendix K'!$E$39+'Appendix K'!$F$39+'Appendix K'!$H$39+'Appendix K'!$G$39))/((1+$Y$16)^AG$34))</f>
        <v>860248.21051269071</v>
      </c>
      <c r="AH1011" s="193">
        <f>(((K1011*'Appendix K'!$C$14*1000)-('Appendix K'!$E$40+'Appendix K'!$F$40+'Appendix K'!$H$40+'Appendix K'!$G$40))/((1+$Y$16)^AH$34))</f>
        <v>257958.42140260217</v>
      </c>
      <c r="AI1011" s="193">
        <f>(((L1011*'Appendix K'!$C$15*1000)-('Appendix K'!$E$41+'Appendix K'!$F$41+'Appendix K'!$H$41+'Appendix K'!$G$41))/((1+$Y$16)^AI$34))</f>
        <v>-166444.76038519692</v>
      </c>
      <c r="AJ1011" s="193">
        <f>(((M1011*'Appendix K'!$C$16*1000)-('Appendix K'!$E$42+'Appendix K'!$F$42+'Appendix K'!$H$42+'Appendix K'!$G$42))/((1+$Y$16)^AJ$34))</f>
        <v>-224923.03168260987</v>
      </c>
      <c r="AK1011" s="193">
        <f>(((N1011*'Appendix K'!$C$17*1000)-('Appendix K'!$E$43+'Appendix K'!$F$43+'Appendix K'!$H$43))/((1+$Y$16)^AK$34))</f>
        <v>-368547.9018245425</v>
      </c>
      <c r="AL1011" s="193">
        <f>(((O1011*'Appendix K'!$C$18*1000)-('Appendix K'!$E$44+'Appendix K'!$F$44+'Appendix K'!$H$44+'Appendix K'!$G$44))/((1+$Y$16)^AL$34))</f>
        <v>-707375.40388593869</v>
      </c>
      <c r="AM1011" s="193">
        <f>(((P1011*'Appendix K'!$C$19*1000)-('Appendix K'!$E$45+'Appendix K'!$F$45+'Appendix K'!$H$45+'Appendix K'!$G$45))/((1+$Y$16)^AM$34))</f>
        <v>-623370.6568093705</v>
      </c>
      <c r="AN1011" s="193">
        <f>(((Q1011*'Appendix K'!$C$20*1000)-('Appendix K'!$E$46+'Appendix K'!$F$46+'Appendix K'!$H$46+'Appendix K'!$G$46))/((1+$Y$16)^AN$34))</f>
        <v>-455424.97305384744</v>
      </c>
      <c r="AO1011" s="193">
        <f>(((R1011*'Appendix K'!$C$21*1000)-('Appendix K'!$E$47+'Appendix K'!$F$47+'Appendix K'!$H$47+'Appendix K'!$G$47))/((1+$Y$16)^AO$34))</f>
        <v>-464061.87881257513</v>
      </c>
      <c r="AP1011" s="193">
        <f>(((S1011*'Appendix K'!$C$22*1000)-('Appendix K'!$E$48+'Appendix K'!$F$48+'Appendix K'!$H$48+'Appendix K'!$G$48))/((1+$Y$16)^AP$34))</f>
        <v>-372903.70257296821</v>
      </c>
      <c r="AQ1011" s="193">
        <f>(((T1011*'Appendix K'!$C$23*1000)-('Appendix K'!$E$49+'Appendix K'!$F$49+'Appendix K'!$H$49+'Appendix K'!$G$49))/((1+$Y$16)^AQ$34))</f>
        <v>-303698.50363419112</v>
      </c>
      <c r="AR1011" s="193">
        <f>(((U1011*'Appendix K'!$C$24*1000)-('Appendix K'!$E$50+'Appendix K'!$F$50+'Appendix K'!$H$50+'Appendix K'!$G$50))/((1+$Y$16)^AR$34))</f>
        <v>-376477.94563809066</v>
      </c>
      <c r="AS1011" s="209">
        <f t="shared" si="46"/>
        <v>52906770.450005718</v>
      </c>
      <c r="AU1011" s="199">
        <f t="shared" si="45"/>
        <v>5.8304818793252613E-9</v>
      </c>
    </row>
    <row r="1012" spans="1:47" x14ac:dyDescent="0.35">
      <c r="A1012">
        <v>978</v>
      </c>
      <c r="B1012" s="70">
        <v>56</v>
      </c>
      <c r="C1012" s="70">
        <v>57.318704316339129</v>
      </c>
      <c r="D1012" s="70">
        <v>38.605342845949764</v>
      </c>
      <c r="E1012" s="70">
        <v>44.164892816953063</v>
      </c>
      <c r="F1012" s="70">
        <v>69.507417254432895</v>
      </c>
      <c r="G1012" s="70">
        <v>58.242280403137904</v>
      </c>
      <c r="H1012" s="70">
        <v>60.064849772595807</v>
      </c>
      <c r="I1012" s="70">
        <v>78.21002400561855</v>
      </c>
      <c r="J1012" s="70">
        <v>113.94862247408597</v>
      </c>
      <c r="K1012" s="70">
        <v>98.608507952919723</v>
      </c>
      <c r="L1012" s="70">
        <v>68.141692211501265</v>
      </c>
      <c r="M1012" s="70">
        <v>70.811799667213137</v>
      </c>
      <c r="N1012" s="70">
        <v>77.991113021235009</v>
      </c>
      <c r="O1012" s="70">
        <v>21.134893978346255</v>
      </c>
      <c r="P1012" s="70">
        <v>31.538745527067228</v>
      </c>
      <c r="Q1012" s="70">
        <v>29.294558398623025</v>
      </c>
      <c r="R1012" s="70">
        <v>26.009137303784328</v>
      </c>
      <c r="S1012" s="70">
        <v>37.455886408242577</v>
      </c>
      <c r="T1012" s="70">
        <v>64.657422032936651</v>
      </c>
      <c r="U1012" s="70">
        <v>32.462838388028146</v>
      </c>
      <c r="V1012" s="70">
        <v>14.893816105783703</v>
      </c>
      <c r="X1012" s="193">
        <f>((0-('Appendix K'!$I$30))/(1+$Y$16)^0)</f>
        <v>-33594902.4440751</v>
      </c>
      <c r="Y1012" s="193">
        <f>(((B1012*'Appendix K'!$C$5*1000)-('Appendix K'!$E$31+'Appendix K'!$F$31+'Appendix K'!$H$31+'Appendix K'!$G$31))/((1+$Y$16)^1))</f>
        <v>34971064.972647354</v>
      </c>
      <c r="Z1012" s="193">
        <f>+(((C1012*'Appendix K'!$C$6*1000)-('Appendix K'!$E$32+'Appendix K'!$F$32+'Appendix K'!$H$32+'Appendix K'!$G$32))/((1+$Y$16)^2))</f>
        <v>10992437.369333267</v>
      </c>
      <c r="AA1012" s="193">
        <f>(((D1012*'Appendix K'!$C$7*1000)-('Appendix K'!$E$33+'Appendix K'!$F$33+'Appendix K'!$H$33+'Appendix K'!$G$33))/((1+$Y$16)^3))</f>
        <v>1952452.5544363281</v>
      </c>
      <c r="AB1012" s="193">
        <f>(((E1012*'Appendix K'!$C$8*1000)-('Appendix K'!$E$34+'Appendix K'!$F$34+'Appendix K'!$H$34+'Appendix K'!$G$34))/((1+$Y$16)^4))</f>
        <v>6387332.3259409685</v>
      </c>
      <c r="AC1012" s="193">
        <f>(((F1012*'Appendix K'!$C$9*1000)-('Appendix K'!$E$35+'Appendix K'!$F$35+'Appendix K'!$H$35+'Appendix K'!$G$35))/((1+$Y$16)^AC$34))</f>
        <v>15490733.840837717</v>
      </c>
      <c r="AD1012" s="193">
        <f>(((G1012*'Appendix K'!$C$10*1000)-('Appendix K'!$E$36+'Appendix K'!$F$36+'Appendix K'!$H$36+'Appendix K'!$G$36))/((1+$Y$16)^AD$34))</f>
        <v>6630834.8820392434</v>
      </c>
      <c r="AE1012" s="193">
        <f>(((H1012*'Appendix K'!$C$11*1000)-('Appendix K'!$E$37+'Appendix K'!$F$37+'Appendix K'!$H$37+'Appendix K'!$G$37))/((1+$Y$16)^AE$34))</f>
        <v>3770784.7273479244</v>
      </c>
      <c r="AF1012" s="193">
        <f>(((I1012*'Appendix K'!$C$12*1000)-('Appendix K'!$E$38+'Appendix K'!$F$38+'Appendix K'!$H$38+'Appendix K'!$G$38))/((1+$Y$16)^AF$34))</f>
        <v>3138880.9843453905</v>
      </c>
      <c r="AG1012" s="193">
        <f>(((J1012*'Appendix K'!$C$13*1000)-('Appendix K'!$E$39+'Appendix K'!$F$39+'Appendix K'!$H$39+'Appendix K'!$G$39))/((1+$Y$16)^AG$34))</f>
        <v>3428850.1021422222</v>
      </c>
      <c r="AH1012" s="193">
        <f>(((K1012*'Appendix K'!$C$14*1000)-('Appendix K'!$E$40+'Appendix K'!$F$40+'Appendix K'!$H$40+'Appendix K'!$G$40))/((1+$Y$16)^AH$34))</f>
        <v>1691009.1556399073</v>
      </c>
      <c r="AI1012" s="193">
        <f>(((L1012*'Appendix K'!$C$15*1000)-('Appendix K'!$E$41+'Appendix K'!$F$41+'Appendix K'!$H$41+'Appendix K'!$G$41))/((1+$Y$16)^AI$34))</f>
        <v>268958.41319957259</v>
      </c>
      <c r="AJ1012" s="193">
        <f>(((M1012*'Appendix K'!$C$16*1000)-('Appendix K'!$E$42+'Appendix K'!$F$42+'Appendix K'!$H$42+'Appendix K'!$G$42))/((1+$Y$16)^AJ$34))</f>
        <v>37649.710691484863</v>
      </c>
      <c r="AK1012" s="193">
        <f>(((N1012*'Appendix K'!$C$17*1000)-('Appendix K'!$E$43+'Appendix K'!$F$43+'Appendix K'!$H$43))/((1+$Y$16)^AK$34))</f>
        <v>193988.84707131932</v>
      </c>
      <c r="AL1012" s="193">
        <f>(((O1012*'Appendix K'!$C$18*1000)-('Appendix K'!$E$44+'Appendix K'!$F$44+'Appendix K'!$H$44+'Appendix K'!$G$44))/((1+$Y$16)^AL$34))</f>
        <v>-884071.00835737132</v>
      </c>
      <c r="AM1012" s="193">
        <f>(((P1012*'Appendix K'!$C$19*1000)-('Appendix K'!$E$45+'Appendix K'!$F$45+'Appendix K'!$H$45+'Appendix K'!$G$45))/((1+$Y$16)^AM$34))</f>
        <v>-734441.7687581171</v>
      </c>
      <c r="AN1012" s="193">
        <f>(((Q1012*'Appendix K'!$C$20*1000)-('Appendix K'!$E$46+'Appendix K'!$F$46+'Appendix K'!$H$46+'Appendix K'!$G$46))/((1+$Y$16)^AN$34))</f>
        <v>-703727.06056971126</v>
      </c>
      <c r="AO1012" s="193">
        <f>(((R1012*'Appendix K'!$C$21*1000)-('Appendix K'!$E$47+'Appendix K'!$F$47+'Appendix K'!$H$47+'Appendix K'!$G$47))/((1+$Y$16)^AO$34))</f>
        <v>-689282.05042510224</v>
      </c>
      <c r="AP1012" s="193">
        <f>(((S1012*'Appendix K'!$C$22*1000)-('Appendix K'!$E$48+'Appendix K'!$F$48+'Appendix K'!$H$48+'Appendix K'!$G$48))/((1+$Y$16)^AP$34))</f>
        <v>-585050.04922755982</v>
      </c>
      <c r="AQ1012" s="193">
        <f>(((T1012*'Appendix K'!$C$23*1000)-('Appendix K'!$E$49+'Appendix K'!$F$49+'Appendix K'!$H$49+'Appendix K'!$G$49))/((1+$Y$16)^AQ$34))</f>
        <v>-440433.03439942742</v>
      </c>
      <c r="AR1012" s="193">
        <f>(((U1012*'Appendix K'!$C$24*1000)-('Appendix K'!$E$50+'Appendix K'!$F$50+'Appendix K'!$H$50+'Appendix K'!$G$50))/((1+$Y$16)^AR$34))</f>
        <v>-524757.62012717861</v>
      </c>
      <c r="AS1012" s="209">
        <f t="shared" si="46"/>
        <v>55360075.441597603</v>
      </c>
      <c r="AU1012" s="199">
        <f t="shared" si="45"/>
        <v>5.9811039705382502E-9</v>
      </c>
    </row>
    <row r="1013" spans="1:47" x14ac:dyDescent="0.35">
      <c r="A1013">
        <v>979</v>
      </c>
      <c r="B1013" s="70">
        <v>56</v>
      </c>
      <c r="C1013" s="70">
        <v>65.610401379945657</v>
      </c>
      <c r="D1013" s="70">
        <v>50.775736760836622</v>
      </c>
      <c r="E1013" s="70">
        <v>55.250717957599548</v>
      </c>
      <c r="F1013" s="70">
        <v>87.545247824236512</v>
      </c>
      <c r="G1013" s="70">
        <v>75.471584741506405</v>
      </c>
      <c r="H1013" s="70">
        <v>105.43859592922865</v>
      </c>
      <c r="I1013" s="70">
        <v>126.28274017984396</v>
      </c>
      <c r="J1013" s="70">
        <v>210.73759702122598</v>
      </c>
      <c r="K1013" s="70">
        <v>193.0166184731498</v>
      </c>
      <c r="L1013" s="70">
        <v>124.00672469156524</v>
      </c>
      <c r="M1013" s="70">
        <v>120.69735903859193</v>
      </c>
      <c r="N1013" s="70">
        <v>88.098382713591192</v>
      </c>
      <c r="O1013" s="70">
        <v>46.886005880898438</v>
      </c>
      <c r="P1013" s="70">
        <v>38.694046542852519</v>
      </c>
      <c r="Q1013" s="70">
        <v>51.11059801489457</v>
      </c>
      <c r="R1013" s="70">
        <v>40.416970410757372</v>
      </c>
      <c r="S1013" s="70">
        <v>36.921131285442279</v>
      </c>
      <c r="T1013" s="70">
        <v>52.001799101287226</v>
      </c>
      <c r="U1013" s="70">
        <v>77.849106449502685</v>
      </c>
      <c r="V1013" s="70">
        <v>58.852778321390325</v>
      </c>
      <c r="X1013" s="193">
        <f>((0-('Appendix K'!$I$30))/(1+$Y$16)^0)</f>
        <v>-33594902.4440751</v>
      </c>
      <c r="Y1013" s="193">
        <f>(((B1013*'Appendix K'!$C$5*1000)-('Appendix K'!$E$31+'Appendix K'!$F$31+'Appendix K'!$H$31+'Appendix K'!$G$31))/((1+$Y$16)^1))</f>
        <v>34971064.972647354</v>
      </c>
      <c r="Z1013" s="193">
        <f>+(((C1013*'Appendix K'!$C$6*1000)-('Appendix K'!$E$32+'Appendix K'!$F$32+'Appendix K'!$H$32+'Appendix K'!$G$32))/((1+$Y$16)^2))</f>
        <v>13087061.861524036</v>
      </c>
      <c r="AA1013" s="193">
        <f>(((D1013*'Appendix K'!$C$7*1000)-('Appendix K'!$E$33+'Appendix K'!$F$33+'Appendix K'!$H$33+'Appendix K'!$G$33))/((1+$Y$16)^3))</f>
        <v>3502654.9258972686</v>
      </c>
      <c r="AB1013" s="193">
        <f>(((E1013*'Appendix K'!$C$8*1000)-('Appendix K'!$E$34+'Appendix K'!$F$34+'Appendix K'!$H$34+'Appendix K'!$G$34))/((1+$Y$16)^4))</f>
        <v>8817243.7158090938</v>
      </c>
      <c r="AC1013" s="193">
        <f>(((F1013*'Appendix K'!$C$9*1000)-('Appendix K'!$E$35+'Appendix K'!$F$35+'Appendix K'!$H$35+'Appendix K'!$G$35))/((1+$Y$16)^AC$34))</f>
        <v>20285160.8818147</v>
      </c>
      <c r="AD1013" s="193">
        <f>(((G1013*'Appendix K'!$C$10*1000)-('Appendix K'!$E$36+'Appendix K'!$F$36+'Appendix K'!$H$36+'Appendix K'!$G$36))/((1+$Y$16)^AD$34))</f>
        <v>9336592.9172138758</v>
      </c>
      <c r="AE1013" s="193">
        <f>(((H1013*'Appendix K'!$C$11*1000)-('Appendix K'!$E$37+'Appendix K'!$F$37+'Appendix K'!$H$37+'Appendix K'!$G$37))/((1+$Y$16)^AE$34))</f>
        <v>8296254.5804389743</v>
      </c>
      <c r="AF1013" s="193">
        <f>(((I1013*'Appendix K'!$C$12*1000)-('Appendix K'!$E$38+'Appendix K'!$F$38+'Appendix K'!$H$38+'Appendix K'!$G$38))/((1+$Y$16)^AF$34))</f>
        <v>6295452.2027038718</v>
      </c>
      <c r="AG1013" s="193">
        <f>(((J1013*'Appendix K'!$C$13*1000)-('Appendix K'!$E$39+'Appendix K'!$F$39+'Appendix K'!$H$39+'Appendix K'!$G$39))/((1+$Y$16)^AG$34))</f>
        <v>7882975.3945521014</v>
      </c>
      <c r="AH1013" s="193">
        <f>(((K1013*'Appendix K'!$C$14*1000)-('Appendix K'!$E$40+'Appendix K'!$F$40+'Appendix K'!$H$40+'Appendix K'!$G$40))/((1+$Y$16)^AH$34))</f>
        <v>4873178.6588880951</v>
      </c>
      <c r="AI1013" s="193">
        <f>(((L1013*'Appendix K'!$C$15*1000)-('Appendix K'!$E$41+'Appendix K'!$F$41+'Appendix K'!$H$41+'Appendix K'!$G$41))/((1+$Y$16)^AI$34))</f>
        <v>1732726.732300248</v>
      </c>
      <c r="AJ1013" s="193">
        <f>(((M1013*'Appendix K'!$C$16*1000)-('Appendix K'!$E$42+'Appendix K'!$F$42+'Appendix K'!$H$42+'Appendix K'!$G$42))/((1+$Y$16)^AJ$34))</f>
        <v>1037449.4557331782</v>
      </c>
      <c r="AK1013" s="193">
        <f>(((N1013*'Appendix K'!$C$17*1000)-('Appendix K'!$E$43+'Appendix K'!$F$43+'Appendix K'!$H$43))/((1+$Y$16)^AK$34))</f>
        <v>349275.90225176624</v>
      </c>
      <c r="AL1013" s="193">
        <f>(((O1013*'Appendix K'!$C$18*1000)-('Appendix K'!$E$44+'Appendix K'!$F$44+'Appendix K'!$H$44+'Appendix K'!$G$44))/((1+$Y$16)^AL$34))</f>
        <v>-578835.50165699504</v>
      </c>
      <c r="AM1013" s="193">
        <f>(((P1013*'Appendix K'!$C$19*1000)-('Appendix K'!$E$45+'Appendix K'!$F$45+'Appendix K'!$H$45+'Appendix K'!$G$45))/((1+$Y$16)^AM$34))</f>
        <v>-668121.20274982753</v>
      </c>
      <c r="AN1013" s="193">
        <f>(((Q1013*'Appendix K'!$C$20*1000)-('Appendix K'!$E$46+'Appendix K'!$F$46+'Appendix K'!$H$46+'Appendix K'!$G$46))/((1+$Y$16)^AN$34))</f>
        <v>-545861.46620623069</v>
      </c>
      <c r="AO1013" s="193">
        <f>(((R1013*'Appendix K'!$C$21*1000)-('Appendix K'!$E$47+'Appendix K'!$F$47+'Appendix K'!$H$47+'Appendix K'!$G$47))/((1+$Y$16)^AO$34))</f>
        <v>-604130.16498491005</v>
      </c>
      <c r="AP1013" s="193">
        <f>(((S1013*'Appendix K'!$C$22*1000)-('Appendix K'!$E$48+'Appendix K'!$F$48+'Appendix K'!$H$48+'Appendix K'!$G$48))/((1+$Y$16)^AP$34))</f>
        <v>-587611.37618230144</v>
      </c>
      <c r="AQ1013" s="193">
        <f>(((T1013*'Appendix K'!$C$23*1000)-('Appendix K'!$E$49+'Appendix K'!$F$49+'Appendix K'!$H$49+'Appendix K'!$G$49))/((1+$Y$16)^AQ$34))</f>
        <v>-489963.90263134119</v>
      </c>
      <c r="AR1013" s="193">
        <f>(((U1013*'Appendix K'!$C$24*1000)-('Appendix K'!$E$50+'Appendix K'!$F$50+'Appendix K'!$H$50+'Appendix K'!$G$50))/((1+$Y$16)^AR$34))</f>
        <v>-378612.56529780466</v>
      </c>
      <c r="AS1013" s="209">
        <f t="shared" si="46"/>
        <v>86872189.75769946</v>
      </c>
      <c r="AU1013" s="199">
        <f t="shared" si="45"/>
        <v>7.0290682520752248E-9</v>
      </c>
    </row>
    <row r="1014" spans="1:47" x14ac:dyDescent="0.35">
      <c r="A1014">
        <v>980</v>
      </c>
      <c r="B1014" s="70">
        <v>56</v>
      </c>
      <c r="C1014" s="70">
        <v>76.84807665506537</v>
      </c>
      <c r="D1014" s="70">
        <v>80.652621401120427</v>
      </c>
      <c r="E1014" s="70">
        <v>93.285695743056081</v>
      </c>
      <c r="F1014" s="70">
        <v>104.8483401436044</v>
      </c>
      <c r="G1014" s="70">
        <v>158.55749865107634</v>
      </c>
      <c r="H1014" s="70">
        <v>138.7897660896042</v>
      </c>
      <c r="I1014" s="70">
        <v>138.05970289613126</v>
      </c>
      <c r="J1014" s="70">
        <v>188.12704156910507</v>
      </c>
      <c r="K1014" s="70">
        <v>253.69731650769342</v>
      </c>
      <c r="L1014" s="70">
        <v>276.20314351248157</v>
      </c>
      <c r="M1014" s="70">
        <v>314.49285951507949</v>
      </c>
      <c r="N1014" s="70">
        <v>148.96978754278794</v>
      </c>
      <c r="O1014" s="70">
        <v>180.22068033511727</v>
      </c>
      <c r="P1014" s="70">
        <v>309.65088386769401</v>
      </c>
      <c r="Q1014" s="70">
        <v>246.81428575430255</v>
      </c>
      <c r="R1014" s="70">
        <v>315.78594184106259</v>
      </c>
      <c r="S1014" s="70">
        <v>400.97255931885587</v>
      </c>
      <c r="T1014" s="70">
        <v>328.95421543638741</v>
      </c>
      <c r="U1014" s="70">
        <v>359.40052377186908</v>
      </c>
      <c r="V1014" s="70">
        <v>455.08621945207119</v>
      </c>
      <c r="X1014" s="193">
        <f>((0-('Appendix K'!$I$30))/(1+$Y$16)^0)</f>
        <v>-33594902.4440751</v>
      </c>
      <c r="Y1014" s="193">
        <f>(((B1014*'Appendix K'!$C$5*1000)-('Appendix K'!$E$31+'Appendix K'!$F$31+'Appendix K'!$H$31+'Appendix K'!$G$31))/((1+$Y$16)^1))</f>
        <v>34971064.972647354</v>
      </c>
      <c r="Z1014" s="193">
        <f>+(((C1014*'Appendix K'!$C$6*1000)-('Appendix K'!$E$32+'Appendix K'!$F$32+'Appendix K'!$H$32+'Appendix K'!$G$32))/((1+$Y$16)^2))</f>
        <v>15925890.835373942</v>
      </c>
      <c r="AA1014" s="193">
        <f>(((D1014*'Appendix K'!$C$7*1000)-('Appendix K'!$E$33+'Appendix K'!$F$33+'Appendix K'!$H$33+'Appendix K'!$G$33))/((1+$Y$16)^3))</f>
        <v>7308219.2934219735</v>
      </c>
      <c r="AB1014" s="193">
        <f>(((E1014*'Appendix K'!$C$8*1000)-('Appendix K'!$E$34+'Appendix K'!$F$34+'Appendix K'!$H$34+'Appendix K'!$G$34))/((1+$Y$16)^4))</f>
        <v>17154162.66967167</v>
      </c>
      <c r="AC1014" s="193">
        <f>(((F1014*'Appendix K'!$C$9*1000)-('Appendix K'!$E$35+'Appendix K'!$F$35+'Appendix K'!$H$35+'Appendix K'!$G$35))/((1+$Y$16)^AC$34))</f>
        <v>24884295.649571955</v>
      </c>
      <c r="AD1014" s="193">
        <f>(((G1014*'Appendix K'!$C$10*1000)-('Appendix K'!$E$36+'Appendix K'!$F$36+'Appendix K'!$H$36+'Appendix K'!$G$36))/((1+$Y$16)^AD$34))</f>
        <v>22384733.152917366</v>
      </c>
      <c r="AE1014" s="193">
        <f>(((H1014*'Appendix K'!$C$11*1000)-('Appendix K'!$E$37+'Appendix K'!$F$37+'Appendix K'!$H$37+'Appendix K'!$G$37))/((1+$Y$16)^AE$34))</f>
        <v>11622621.211156903</v>
      </c>
      <c r="AF1014" s="193">
        <f>(((I1014*'Appendix K'!$C$12*1000)-('Appendix K'!$E$38+'Appendix K'!$F$38+'Appendix K'!$H$38+'Appendix K'!$G$38))/((1+$Y$16)^AF$34))</f>
        <v>7068756.1578035634</v>
      </c>
      <c r="AG1014" s="193">
        <f>(((J1014*'Appendix K'!$C$13*1000)-('Appendix K'!$E$39+'Appendix K'!$F$39+'Appendix K'!$H$39+'Appendix K'!$G$39))/((1+$Y$16)^AG$34))</f>
        <v>6842461.7680162834</v>
      </c>
      <c r="AH1014" s="193">
        <f>(((K1014*'Appendix K'!$C$14*1000)-('Appendix K'!$E$40+'Appendix K'!$F$40+'Appendix K'!$H$40+'Appendix K'!$G$40))/((1+$Y$16)^AH$34))</f>
        <v>6918514.2307716133</v>
      </c>
      <c r="AI1014" s="193">
        <f>(((L1014*'Appendix K'!$C$15*1000)-('Appendix K'!$E$41+'Appendix K'!$F$41+'Appendix K'!$H$41+'Appendix K'!$G$41))/((1+$Y$16)^AI$34))</f>
        <v>5720557.5141070336</v>
      </c>
      <c r="AJ1014" s="193">
        <f>(((M1014*'Appendix K'!$C$16*1000)-('Appendix K'!$E$42+'Appendix K'!$F$42+'Appendix K'!$H$42+'Appendix K'!$G$42))/((1+$Y$16)^AJ$34))</f>
        <v>4921473.0972077707</v>
      </c>
      <c r="AK1014" s="193">
        <f>(((N1014*'Appendix K'!$C$17*1000)-('Appendix K'!$E$43+'Appendix K'!$F$43+'Appendix K'!$H$43))/((1+$Y$16)^AK$34))</f>
        <v>1284497.9244534164</v>
      </c>
      <c r="AL1014" s="193">
        <f>(((O1014*'Appendix K'!$C$18*1000)-('Appendix K'!$E$44+'Appendix K'!$F$44+'Appendix K'!$H$44+'Appendix K'!$G$44))/((1+$Y$16)^AL$34))</f>
        <v>1001619.628660294</v>
      </c>
      <c r="AM1014" s="193">
        <f>(((P1014*'Appendix K'!$C$19*1000)-('Appendix K'!$E$45+'Appendix K'!$F$45+'Appendix K'!$H$45+'Appendix K'!$G$45))/((1+$Y$16)^AM$34))</f>
        <v>1843305.0496965644</v>
      </c>
      <c r="AN1014" s="193">
        <f>(((Q1014*'Appendix K'!$C$20*1000)-('Appendix K'!$E$46+'Appendix K'!$F$46+'Appendix K'!$H$46+'Appendix K'!$G$46))/((1+$Y$16)^AN$34))</f>
        <v>870292.86462215846</v>
      </c>
      <c r="AO1014" s="193">
        <f>(((R1014*'Appendix K'!$C$21*1000)-('Appendix K'!$E$47+'Appendix K'!$F$47+'Appendix K'!$H$47+'Appendix K'!$G$47))/((1+$Y$16)^AO$34))</f>
        <v>1023330.8789432372</v>
      </c>
      <c r="AP1014" s="193">
        <f>(((S1014*'Appendix K'!$C$22*1000)-('Appendix K'!$E$48+'Appendix K'!$F$48+'Appendix K'!$H$48+'Appendix K'!$G$48))/((1+$Y$16)^AP$34))</f>
        <v>1156092.7900372883</v>
      </c>
      <c r="AQ1014" s="193">
        <f>(((T1014*'Appendix K'!$C$23*1000)-('Appendix K'!$E$49+'Appendix K'!$F$49+'Appendix K'!$H$49+'Appendix K'!$G$49))/((1+$Y$16)^AQ$34))</f>
        <v>593956.95326730504</v>
      </c>
      <c r="AR1014" s="193">
        <f>(((U1014*'Appendix K'!$C$24*1000)-('Appendix K'!$E$50+'Appendix K'!$F$50+'Appendix K'!$H$50+'Appendix K'!$G$50))/((1+$Y$16)^AR$34))</f>
        <v>527990.88722955738</v>
      </c>
      <c r="AS1014" s="209">
        <f t="shared" si="46"/>
        <v>140428935.08550212</v>
      </c>
      <c r="AU1014" s="199">
        <f t="shared" si="45"/>
        <v>4.5591870393245614E-9</v>
      </c>
    </row>
    <row r="1015" spans="1:47" x14ac:dyDescent="0.35">
      <c r="A1015">
        <v>981</v>
      </c>
      <c r="B1015" s="70">
        <v>56</v>
      </c>
      <c r="C1015" s="70">
        <v>75.579295634524428</v>
      </c>
      <c r="D1015" s="70">
        <v>81.346390619502984</v>
      </c>
      <c r="E1015" s="70">
        <v>79.91845905566646</v>
      </c>
      <c r="F1015" s="70">
        <v>82.688523745282836</v>
      </c>
      <c r="G1015" s="70">
        <v>90.924366030639732</v>
      </c>
      <c r="H1015" s="70">
        <v>85.110627883693127</v>
      </c>
      <c r="I1015" s="70">
        <v>94.387247500906682</v>
      </c>
      <c r="J1015" s="70">
        <v>99.687389573448471</v>
      </c>
      <c r="K1015" s="70">
        <v>150.6728819418019</v>
      </c>
      <c r="L1015" s="70">
        <v>264.79313375845101</v>
      </c>
      <c r="M1015" s="70">
        <v>293.17503132131395</v>
      </c>
      <c r="N1015" s="70">
        <v>363.99678509535141</v>
      </c>
      <c r="O1015" s="70">
        <v>212.19206320616615</v>
      </c>
      <c r="P1015" s="70">
        <v>154.83547206176763</v>
      </c>
      <c r="Q1015" s="70">
        <v>183.49816731078954</v>
      </c>
      <c r="R1015" s="70">
        <v>197.84011232787208</v>
      </c>
      <c r="S1015" s="70">
        <v>233.14775305311247</v>
      </c>
      <c r="T1015" s="70">
        <v>245.79932155709415</v>
      </c>
      <c r="U1015" s="70">
        <v>205.6998670392714</v>
      </c>
      <c r="V1015" s="70">
        <v>195.89037912433707</v>
      </c>
      <c r="X1015" s="193">
        <f>((0-('Appendix K'!$I$30))/(1+$Y$16)^0)</f>
        <v>-33594902.4440751</v>
      </c>
      <c r="Y1015" s="193">
        <f>(((B1015*'Appendix K'!$C$5*1000)-('Appendix K'!$E$31+'Appendix K'!$F$31+'Appendix K'!$H$31+'Appendix K'!$G$31))/((1+$Y$16)^1))</f>
        <v>34971064.972647354</v>
      </c>
      <c r="Z1015" s="193">
        <f>+(((C1015*'Appendix K'!$C$6*1000)-('Appendix K'!$E$32+'Appendix K'!$F$32+'Appendix K'!$H$32+'Appendix K'!$G$32))/((1+$Y$16)^2))</f>
        <v>15605375.049466068</v>
      </c>
      <c r="AA1015" s="193">
        <f>(((D1015*'Appendix K'!$C$7*1000)-('Appendix K'!$E$33+'Appendix K'!$F$33+'Appendix K'!$H$33+'Appendix K'!$G$33))/((1+$Y$16)^3))</f>
        <v>7396588.0590596823</v>
      </c>
      <c r="AB1015" s="193">
        <f>(((E1015*'Appendix K'!$C$8*1000)-('Appendix K'!$E$34+'Appendix K'!$F$34+'Appendix K'!$H$34+'Appendix K'!$G$34))/((1+$Y$16)^4))</f>
        <v>14224186.753070036</v>
      </c>
      <c r="AC1015" s="193">
        <f>(((F1015*'Appendix K'!$C$9*1000)-('Appendix K'!$E$35+'Appendix K'!$F$35+'Appendix K'!$H$35+'Appendix K'!$G$35))/((1+$Y$16)^AC$34))</f>
        <v>18994251.24805418</v>
      </c>
      <c r="AD1015" s="193">
        <f>(((G1015*'Appendix K'!$C$10*1000)-('Appendix K'!$E$36+'Appendix K'!$F$36+'Appendix K'!$H$36+'Appendix K'!$G$36))/((1+$Y$16)^AD$34))</f>
        <v>11763358.752776798</v>
      </c>
      <c r="AE1015" s="193">
        <f>(((H1015*'Appendix K'!$C$11*1000)-('Appendix K'!$E$37+'Appendix K'!$F$37+'Appendix K'!$H$37+'Appendix K'!$G$37))/((1+$Y$16)^AE$34))</f>
        <v>6268791.2485134611</v>
      </c>
      <c r="AF1015" s="193">
        <f>(((I1015*'Appendix K'!$C$12*1000)-('Appendix K'!$E$38+'Appendix K'!$F$38+'Appendix K'!$H$38+'Appendix K'!$G$38))/((1+$Y$16)^AF$34))</f>
        <v>4201116.7417989671</v>
      </c>
      <c r="AG1015" s="193">
        <f>(((J1015*'Appendix K'!$C$13*1000)-('Appendix K'!$E$39+'Appendix K'!$F$39+'Appendix K'!$H$39+'Appendix K'!$G$39))/((1+$Y$16)^AG$34))</f>
        <v>2772563.3870397699</v>
      </c>
      <c r="AH1015" s="193">
        <f>(((K1015*'Appendix K'!$C$14*1000)-('Appendix K'!$E$40+'Appendix K'!$F$40+'Appendix K'!$H$40+'Appendix K'!$G$40))/((1+$Y$16)^AH$34))</f>
        <v>3445918.3705386338</v>
      </c>
      <c r="AI1015" s="193">
        <f>(((L1015*'Appendix K'!$C$15*1000)-('Appendix K'!$E$41+'Appendix K'!$F$41+'Appendix K'!$H$41+'Appendix K'!$G$41))/((1+$Y$16)^AI$34))</f>
        <v>5421593.9217285663</v>
      </c>
      <c r="AJ1015" s="193">
        <f>(((M1015*'Appendix K'!$C$16*1000)-('Appendix K'!$E$42+'Appendix K'!$F$42+'Appendix K'!$H$42+'Appendix K'!$G$42))/((1+$Y$16)^AJ$34))</f>
        <v>4494224.0202895747</v>
      </c>
      <c r="AK1015" s="193">
        <f>(((N1015*'Appendix K'!$C$17*1000)-('Appendix K'!$E$43+'Appendix K'!$F$43+'Appendix K'!$H$43))/((1+$Y$16)^AK$34))</f>
        <v>4588150.6665468896</v>
      </c>
      <c r="AL1015" s="193">
        <f>(((O1015*'Appendix K'!$C$18*1000)-('Appendix K'!$E$44+'Appendix K'!$F$44+'Appendix K'!$H$44+'Appendix K'!$G$44))/((1+$Y$16)^AL$34))</f>
        <v>1380585.8374782188</v>
      </c>
      <c r="AM1015" s="193">
        <f>(((P1015*'Appendix K'!$C$19*1000)-('Appendix K'!$E$45+'Appendix K'!$F$45+'Appendix K'!$H$45+'Appendix K'!$G$45))/((1+$Y$16)^AM$34))</f>
        <v>408362.5203572007</v>
      </c>
      <c r="AN1015" s="193">
        <f>(((Q1015*'Appendix K'!$C$20*1000)-('Appendix K'!$E$46+'Appendix K'!$F$46+'Appendix K'!$H$46+'Appendix K'!$G$46))/((1+$Y$16)^AN$34))</f>
        <v>412123.69887593389</v>
      </c>
      <c r="AO1015" s="193">
        <f>(((R1015*'Appendix K'!$C$21*1000)-('Appendix K'!$E$47+'Appendix K'!$F$47+'Appendix K'!$H$47+'Appendix K'!$G$47))/((1+$Y$16)^AO$34))</f>
        <v>326257.99586029077</v>
      </c>
      <c r="AP1015" s="193">
        <f>(((S1015*'Appendix K'!$C$22*1000)-('Appendix K'!$E$48+'Appendix K'!$F$48+'Appendix K'!$H$48+'Appendix K'!$G$48))/((1+$Y$16)^AP$34))</f>
        <v>352259.06945176382</v>
      </c>
      <c r="AQ1015" s="193">
        <f>(((T1015*'Appendix K'!$C$23*1000)-('Appendix K'!$E$49+'Appendix K'!$F$49+'Appendix K'!$H$49+'Appendix K'!$G$49))/((1+$Y$16)^AQ$34))</f>
        <v>268509.98682254466</v>
      </c>
      <c r="AR1015" s="193">
        <f>(((U1015*'Appendix K'!$C$24*1000)-('Appendix K'!$E$50+'Appendix K'!$F$50+'Appendix K'!$H$50+'Appendix K'!$G$50))/((1+$Y$16)^AR$34))</f>
        <v>33070.466033629724</v>
      </c>
      <c r="AS1015" s="209">
        <f t="shared" si="46"/>
        <v>103733450.32233441</v>
      </c>
      <c r="AU1015" s="199">
        <f t="shared" si="45"/>
        <v>6.7518522454683447E-9</v>
      </c>
    </row>
    <row r="1016" spans="1:47" x14ac:dyDescent="0.35">
      <c r="A1016">
        <v>982</v>
      </c>
      <c r="B1016" s="70">
        <v>56</v>
      </c>
      <c r="C1016" s="70">
        <v>58.733080275366596</v>
      </c>
      <c r="D1016" s="70">
        <v>88.637904406480459</v>
      </c>
      <c r="E1016" s="70">
        <v>123.26431132467377</v>
      </c>
      <c r="F1016" s="70">
        <v>168.95455756903269</v>
      </c>
      <c r="G1016" s="70">
        <v>152.27755124845706</v>
      </c>
      <c r="H1016" s="70">
        <v>200.43569450690131</v>
      </c>
      <c r="I1016" s="70">
        <v>148.8087101580843</v>
      </c>
      <c r="J1016" s="70">
        <v>149.87400877263013</v>
      </c>
      <c r="K1016" s="70">
        <v>153.55023835769163</v>
      </c>
      <c r="L1016" s="70">
        <v>139.27346142821946</v>
      </c>
      <c r="M1016" s="70">
        <v>222.8316192296322</v>
      </c>
      <c r="N1016" s="70">
        <v>311.48460258426729</v>
      </c>
      <c r="O1016" s="70">
        <v>253.75657329872837</v>
      </c>
      <c r="P1016" s="70">
        <v>254.88361184890385</v>
      </c>
      <c r="Q1016" s="70">
        <v>226.27055287702831</v>
      </c>
      <c r="R1016" s="70">
        <v>317.35500818754235</v>
      </c>
      <c r="S1016" s="70">
        <v>413.04300176541778</v>
      </c>
      <c r="T1016" s="70">
        <v>500</v>
      </c>
      <c r="U1016" s="70">
        <v>377.95135295289799</v>
      </c>
      <c r="V1016" s="70">
        <v>430.30773291609279</v>
      </c>
      <c r="X1016" s="193">
        <f>((0-('Appendix K'!$I$30))/(1+$Y$16)^0)</f>
        <v>-33594902.4440751</v>
      </c>
      <c r="Y1016" s="193">
        <f>(((B1016*'Appendix K'!$C$5*1000)-('Appendix K'!$E$31+'Appendix K'!$F$31+'Appendix K'!$H$31+'Appendix K'!$G$31))/((1+$Y$16)^1))</f>
        <v>34971064.972647354</v>
      </c>
      <c r="Z1016" s="193">
        <f>+(((C1016*'Appendix K'!$C$6*1000)-('Appendix K'!$E$32+'Appendix K'!$F$32+'Appendix K'!$H$32+'Appendix K'!$G$32))/((1+$Y$16)^2))</f>
        <v>11349732.926831137</v>
      </c>
      <c r="AA1016" s="193">
        <f>(((D1016*'Appendix K'!$C$7*1000)-('Appendix K'!$E$33+'Appendix K'!$F$33+'Appendix K'!$H$33+'Appendix K'!$G$33))/((1+$Y$16)^3))</f>
        <v>8325343.6969759194</v>
      </c>
      <c r="AB1016" s="193">
        <f>(((E1016*'Appendix K'!$C$8*1000)-('Appendix K'!$E$34+'Appendix K'!$F$34+'Appendix K'!$H$34+'Appendix K'!$G$34))/((1+$Y$16)^4))</f>
        <v>23725200.777350388</v>
      </c>
      <c r="AC1016" s="193">
        <f>(((F1016*'Appendix K'!$C$9*1000)-('Appendix K'!$E$35+'Appendix K'!$F$35+'Appendix K'!$H$35+'Appendix K'!$G$35))/((1+$Y$16)^AC$34))</f>
        <v>41923627.576425135</v>
      </c>
      <c r="AD1016" s="193">
        <f>(((G1016*'Appendix K'!$C$10*1000)-('Appendix K'!$E$36+'Appendix K'!$F$36+'Appendix K'!$H$36+'Appendix K'!$G$36))/((1+$Y$16)^AD$34))</f>
        <v>21398505.397495393</v>
      </c>
      <c r="AE1016" s="193">
        <f>(((H1016*'Appendix K'!$C$11*1000)-('Appendix K'!$E$37+'Appendix K'!$F$37+'Appendix K'!$H$37+'Appendix K'!$G$37))/((1+$Y$16)^AE$34))</f>
        <v>17771039.938921694</v>
      </c>
      <c r="AF1016" s="193">
        <f>(((I1016*'Appendix K'!$C$12*1000)-('Appendix K'!$E$38+'Appendix K'!$F$38+'Appendix K'!$H$38+'Appendix K'!$G$38))/((1+$Y$16)^AF$34))</f>
        <v>7774562.06288365</v>
      </c>
      <c r="AG1016" s="193">
        <f>(((J1016*'Appendix K'!$C$13*1000)-('Appendix K'!$E$39+'Appendix K'!$F$39+'Appendix K'!$H$39+'Appendix K'!$G$39))/((1+$Y$16)^AG$34))</f>
        <v>5082098.0314712683</v>
      </c>
      <c r="AH1016" s="193">
        <f>(((K1016*'Appendix K'!$C$14*1000)-('Appendix K'!$E$40+'Appendix K'!$F$40+'Appendix K'!$H$40+'Appendix K'!$G$40))/((1+$Y$16)^AH$34))</f>
        <v>3542904.0615578154</v>
      </c>
      <c r="AI1016" s="193">
        <f>(((L1016*'Appendix K'!$C$15*1000)-('Appendix K'!$E$41+'Appendix K'!$F$41+'Appendix K'!$H$41+'Appendix K'!$G$41))/((1+$Y$16)^AI$34))</f>
        <v>2132743.7837382765</v>
      </c>
      <c r="AJ1016" s="193">
        <f>(((M1016*'Appendix K'!$C$16*1000)-('Appendix K'!$E$42+'Appendix K'!$F$42+'Appendix K'!$H$42+'Appendix K'!$G$42))/((1+$Y$16)^AJ$34))</f>
        <v>3084410.7123731212</v>
      </c>
      <c r="AK1016" s="193">
        <f>(((N1016*'Appendix K'!$C$17*1000)-('Appendix K'!$E$43+'Appendix K'!$F$43+'Appendix K'!$H$43))/((1+$Y$16)^AK$34))</f>
        <v>3781358.8789079995</v>
      </c>
      <c r="AL1016" s="193">
        <f>(((O1016*'Appendix K'!$C$18*1000)-('Appendix K'!$E$44+'Appendix K'!$F$44+'Appendix K'!$H$44+'Appendix K'!$G$44))/((1+$Y$16)^AL$34))</f>
        <v>1873262.2060508209</v>
      </c>
      <c r="AM1016" s="193">
        <f>(((P1016*'Appendix K'!$C$19*1000)-('Appendix K'!$E$45+'Appendix K'!$F$45+'Appendix K'!$H$45+'Appendix K'!$G$45))/((1+$Y$16)^AM$34))</f>
        <v>1335681.8943599632</v>
      </c>
      <c r="AN1016" s="193">
        <f>(((Q1016*'Appendix K'!$C$20*1000)-('Appendix K'!$E$46+'Appendix K'!$F$46+'Appendix K'!$H$46+'Appendix K'!$G$46))/((1+$Y$16)^AN$34))</f>
        <v>721633.95777379686</v>
      </c>
      <c r="AO1016" s="193">
        <f>(((R1016*'Appendix K'!$C$21*1000)-('Appendix K'!$E$47+'Appendix K'!$F$47+'Appendix K'!$H$47+'Appendix K'!$G$47))/((1+$Y$16)^AO$34))</f>
        <v>1032604.2344014456</v>
      </c>
      <c r="AP1016" s="193">
        <f>(((S1016*'Appendix K'!$C$22*1000)-('Appendix K'!$E$48+'Appendix K'!$F$48+'Appendix K'!$H$48+'Appendix K'!$G$48))/((1+$Y$16)^AP$34))</f>
        <v>1213906.8216862783</v>
      </c>
      <c r="AQ1016" s="193">
        <f>(((T1016*'Appendix K'!$C$23*1000)-('Appendix K'!$E$49+'Appendix K'!$F$49+'Appendix K'!$H$49+'Appendix K'!$G$49))/((1+$Y$16)^AQ$34))</f>
        <v>1263386.3652054211</v>
      </c>
      <c r="AR1016" s="193">
        <f>(((U1016*'Appendix K'!$C$24*1000)-('Appendix K'!$E$50+'Appendix K'!$F$50+'Appendix K'!$H$50+'Appendix K'!$G$50))/((1+$Y$16)^AR$34))</f>
        <v>587725.07696552959</v>
      </c>
      <c r="AS1016" s="209">
        <f t="shared" si="46"/>
        <v>159295890.92994732</v>
      </c>
      <c r="AU1016" s="199">
        <f t="shared" si="45"/>
        <v>3.1661256412225499E-9</v>
      </c>
    </row>
    <row r="1017" spans="1:47" x14ac:dyDescent="0.35">
      <c r="A1017">
        <v>983</v>
      </c>
      <c r="B1017" s="70">
        <v>56</v>
      </c>
      <c r="C1017" s="70">
        <v>41.177018204467963</v>
      </c>
      <c r="D1017" s="70">
        <v>53.177383449406761</v>
      </c>
      <c r="E1017" s="70">
        <v>39.652262871040129</v>
      </c>
      <c r="F1017" s="70">
        <v>64.954028023705177</v>
      </c>
      <c r="G1017" s="70">
        <v>70.234842664301155</v>
      </c>
      <c r="H1017" s="70">
        <v>103.63378420254278</v>
      </c>
      <c r="I1017" s="70">
        <v>64.004957588588439</v>
      </c>
      <c r="J1017" s="70">
        <v>67.604035488004584</v>
      </c>
      <c r="K1017" s="70">
        <v>64.344841015464922</v>
      </c>
      <c r="L1017" s="70">
        <v>75.317974212425725</v>
      </c>
      <c r="M1017" s="70">
        <v>83.875625400179473</v>
      </c>
      <c r="N1017" s="70">
        <v>95.333797252486789</v>
      </c>
      <c r="O1017" s="70">
        <v>100.35214837196506</v>
      </c>
      <c r="P1017" s="70">
        <v>30.329366403377293</v>
      </c>
      <c r="Q1017" s="70">
        <v>23.695598780848421</v>
      </c>
      <c r="R1017" s="70">
        <v>27.023153659760382</v>
      </c>
      <c r="S1017" s="70">
        <v>33.333216671396208</v>
      </c>
      <c r="T1017" s="70">
        <v>48.734320205275893</v>
      </c>
      <c r="U1017" s="70">
        <v>89.339506268998008</v>
      </c>
      <c r="V1017" s="70">
        <v>106.96146952068031</v>
      </c>
      <c r="X1017" s="193">
        <f>((0-('Appendix K'!$I$30))/(1+$Y$16)^0)</f>
        <v>-33594902.4440751</v>
      </c>
      <c r="Y1017" s="193">
        <f>(((B1017*'Appendix K'!$C$5*1000)-('Appendix K'!$E$31+'Appendix K'!$F$31+'Appendix K'!$H$31+'Appendix K'!$G$31))/((1+$Y$16)^1))</f>
        <v>34971064.972647354</v>
      </c>
      <c r="Z1017" s="193">
        <f>+(((C1017*'Appendix K'!$C$6*1000)-('Appendix K'!$E$32+'Appendix K'!$F$32+'Appendix K'!$H$32+'Appendix K'!$G$32))/((1+$Y$16)^2))</f>
        <v>6914771.3842140837</v>
      </c>
      <c r="AA1017" s="193">
        <f>(((D1017*'Appendix K'!$C$7*1000)-('Appendix K'!$E$33+'Appendix K'!$F$33+'Appendix K'!$H$33+'Appendix K'!$G$33))/((1+$Y$16)^3))</f>
        <v>3808564.3663040185</v>
      </c>
      <c r="AB1017" s="193">
        <f>(((E1017*'Appendix K'!$C$8*1000)-('Appendix K'!$E$34+'Appendix K'!$F$34+'Appendix K'!$H$34+'Appendix K'!$G$34))/((1+$Y$16)^4))</f>
        <v>5398205.150947988</v>
      </c>
      <c r="AC1017" s="193">
        <f>(((F1017*'Appendix K'!$C$9*1000)-('Appendix K'!$E$35+'Appendix K'!$F$35+'Appendix K'!$H$35+'Appendix K'!$G$35))/((1+$Y$16)^AC$34))</f>
        <v>14280450.13341447</v>
      </c>
      <c r="AD1017" s="193">
        <f>(((G1017*'Appendix K'!$C$10*1000)-('Appendix K'!$E$36+'Appendix K'!$F$36+'Appendix K'!$H$36+'Appendix K'!$G$36))/((1+$Y$16)^AD$34))</f>
        <v>8514194.2483377922</v>
      </c>
      <c r="AE1017" s="193">
        <f>(((H1017*'Appendix K'!$C$11*1000)-('Appendix K'!$E$37+'Appendix K'!$F$37+'Appendix K'!$H$37+'Appendix K'!$G$37))/((1+$Y$16)^AE$34))</f>
        <v>8116246.9383230461</v>
      </c>
      <c r="AF1017" s="193">
        <f>(((I1017*'Appendix K'!$C$12*1000)-('Appendix K'!$E$38+'Appendix K'!$F$38+'Appendix K'!$H$38+'Appendix K'!$G$38))/((1+$Y$16)^AF$34))</f>
        <v>2206141.8471524548</v>
      </c>
      <c r="AG1017" s="193">
        <f>(((J1017*'Appendix K'!$C$13*1000)-('Appendix K'!$E$39+'Appendix K'!$F$39+'Appendix K'!$H$39+'Appendix K'!$G$39))/((1+$Y$16)^AG$34))</f>
        <v>1296121.6790256205</v>
      </c>
      <c r="AH1017" s="193">
        <f>(((K1017*'Appendix K'!$C$14*1000)-('Appendix K'!$E$40+'Appendix K'!$F$40+'Appendix K'!$H$40+'Appendix K'!$G$40))/((1+$Y$16)^AH$34))</f>
        <v>536099.94924859761</v>
      </c>
      <c r="AI1017" s="193">
        <f>(((L1017*'Appendix K'!$C$15*1000)-('Appendix K'!$E$41+'Appendix K'!$F$41+'Appendix K'!$H$41+'Appendix K'!$G$41))/((1+$Y$16)^AI$34))</f>
        <v>456990.42133693938</v>
      </c>
      <c r="AJ1017" s="193">
        <f>(((M1017*'Appendix K'!$C$16*1000)-('Appendix K'!$E$42+'Appendix K'!$F$42+'Appendix K'!$H$42+'Appendix K'!$G$42))/((1+$Y$16)^AJ$34))</f>
        <v>299473.16825468809</v>
      </c>
      <c r="AK1017" s="193">
        <f>(((N1017*'Appendix K'!$C$17*1000)-('Appendix K'!$E$43+'Appendix K'!$F$43+'Appendix K'!$H$43))/((1+$Y$16)^AK$34))</f>
        <v>460440.06932693662</v>
      </c>
      <c r="AL1017" s="193">
        <f>(((O1017*'Appendix K'!$C$18*1000)-('Appendix K'!$E$44+'Appendix K'!$F$44+'Appendix K'!$H$44+'Appendix K'!$G$44))/((1+$Y$16)^AL$34))</f>
        <v>54914.417815716595</v>
      </c>
      <c r="AM1017" s="193">
        <f>(((P1017*'Appendix K'!$C$19*1000)-('Appendix K'!$E$45+'Appendix K'!$F$45+'Appendix K'!$H$45+'Appendix K'!$G$45))/((1+$Y$16)^AM$34))</f>
        <v>-745651.17949077289</v>
      </c>
      <c r="AN1017" s="193">
        <f>(((Q1017*'Appendix K'!$C$20*1000)-('Appendix K'!$E$46+'Appendix K'!$F$46+'Appendix K'!$H$46+'Appendix K'!$G$46))/((1+$Y$16)^AN$34))</f>
        <v>-744242.34672723489</v>
      </c>
      <c r="AO1017" s="193">
        <f>(((R1017*'Appendix K'!$C$21*1000)-('Appendix K'!$E$47+'Appendix K'!$F$47+'Appendix K'!$H$47+'Appendix K'!$G$47))/((1+$Y$16)^AO$34))</f>
        <v>-683289.10173271585</v>
      </c>
      <c r="AP1017" s="193">
        <f>(((S1017*'Appendix K'!$C$22*1000)-('Appendix K'!$E$48+'Appendix K'!$F$48+'Appendix K'!$H$48+'Appendix K'!$G$48))/((1+$Y$16)^AP$34))</f>
        <v>-604796.48020551109</v>
      </c>
      <c r="AQ1017" s="193">
        <f>(((T1017*'Appendix K'!$C$23*1000)-('Appendix K'!$E$49+'Appendix K'!$F$49+'Appendix K'!$H$49+'Appendix K'!$G$49))/((1+$Y$16)^AQ$34))</f>
        <v>-502751.97853427927</v>
      </c>
      <c r="AR1017" s="193">
        <f>(((U1017*'Appendix K'!$C$24*1000)-('Appendix K'!$E$50+'Appendix K'!$F$50+'Appendix K'!$H$50+'Appendix K'!$G$50))/((1+$Y$16)^AR$34))</f>
        <v>-341613.15593114233</v>
      </c>
      <c r="AS1017" s="209">
        <f t="shared" si="46"/>
        <v>53718776.302274607</v>
      </c>
      <c r="AU1017" s="199">
        <f t="shared" si="45"/>
        <v>5.8811274262936389E-9</v>
      </c>
    </row>
    <row r="1018" spans="1:47" x14ac:dyDescent="0.35">
      <c r="A1018">
        <v>984</v>
      </c>
      <c r="B1018" s="70">
        <v>56</v>
      </c>
      <c r="C1018" s="70">
        <v>61.847127751475412</v>
      </c>
      <c r="D1018" s="70">
        <v>70.436375000969733</v>
      </c>
      <c r="E1018" s="70">
        <v>98.406437863411441</v>
      </c>
      <c r="F1018" s="70">
        <v>117.78147617239368</v>
      </c>
      <c r="G1018" s="70">
        <v>154.80261711990013</v>
      </c>
      <c r="H1018" s="70">
        <v>203.46359397690097</v>
      </c>
      <c r="I1018" s="70">
        <v>243.53489790934512</v>
      </c>
      <c r="J1018" s="70">
        <v>403.04599817567032</v>
      </c>
      <c r="K1018" s="70">
        <v>500</v>
      </c>
      <c r="L1018" s="70">
        <v>178.53641697401895</v>
      </c>
      <c r="M1018" s="70">
        <v>210.32004606246187</v>
      </c>
      <c r="N1018" s="70">
        <v>241.43248478662321</v>
      </c>
      <c r="O1018" s="70">
        <v>285.33284382713487</v>
      </c>
      <c r="P1018" s="70">
        <v>340.80788630900634</v>
      </c>
      <c r="Q1018" s="70">
        <v>419.43747836661089</v>
      </c>
      <c r="R1018" s="70">
        <v>457.99418546498276</v>
      </c>
      <c r="S1018" s="70">
        <v>500</v>
      </c>
      <c r="T1018" s="70">
        <v>385.30434771378964</v>
      </c>
      <c r="U1018" s="70">
        <v>432.25826311923424</v>
      </c>
      <c r="V1018" s="70">
        <v>400.32806335797034</v>
      </c>
      <c r="X1018" s="193">
        <f>((0-('Appendix K'!$I$30))/(1+$Y$16)^0)</f>
        <v>-33594902.4440751</v>
      </c>
      <c r="Y1018" s="193">
        <f>(((B1018*'Appendix K'!$C$5*1000)-('Appendix K'!$E$31+'Appendix K'!$F$31+'Appendix K'!$H$31+'Appendix K'!$G$31))/((1+$Y$16)^1))</f>
        <v>34971064.972647354</v>
      </c>
      <c r="Z1018" s="193">
        <f>+(((C1018*'Appendix K'!$C$6*1000)-('Appendix K'!$E$32+'Appendix K'!$F$32+'Appendix K'!$H$32+'Appendix K'!$G$32))/((1+$Y$16)^2))</f>
        <v>12136394.579236614</v>
      </c>
      <c r="AA1018" s="193">
        <f>(((D1018*'Appendix K'!$C$7*1000)-('Appendix K'!$E$33+'Appendix K'!$F$33+'Appendix K'!$H$33+'Appendix K'!$G$33))/((1+$Y$16)^3))</f>
        <v>6006926.2122201603</v>
      </c>
      <c r="AB1018" s="193">
        <f>(((E1018*'Appendix K'!$C$8*1000)-('Appendix K'!$E$34+'Appendix K'!$F$34+'Appendix K'!$H$34+'Appendix K'!$G$34))/((1+$Y$16)^4))</f>
        <v>18276582.466571271</v>
      </c>
      <c r="AC1018" s="193">
        <f>(((F1018*'Appendix K'!$C$9*1000)-('Appendix K'!$E$35+'Appendix K'!$F$35+'Appendix K'!$H$35+'Appendix K'!$G$35))/((1+$Y$16)^AC$34))</f>
        <v>28321902.89735619</v>
      </c>
      <c r="AD1018" s="193">
        <f>(((G1018*'Appendix K'!$C$10*1000)-('Appendix K'!$E$36+'Appendix K'!$F$36+'Appendix K'!$H$36+'Appendix K'!$G$36))/((1+$Y$16)^AD$34))</f>
        <v>21795051.71978581</v>
      </c>
      <c r="AE1018" s="193">
        <f>(((H1018*'Appendix K'!$C$11*1000)-('Appendix K'!$E$37+'Appendix K'!$F$37+'Appendix K'!$H$37+'Appendix K'!$G$37))/((1+$Y$16)^AE$34))</f>
        <v>18073035.452414699</v>
      </c>
      <c r="AF1018" s="193">
        <f>(((I1018*'Appendix K'!$C$12*1000)-('Appendix K'!$E$38+'Appendix K'!$F$38+'Appendix K'!$H$38+'Appendix K'!$G$38))/((1+$Y$16)^AF$34))</f>
        <v>13994513.454787077</v>
      </c>
      <c r="AG1018" s="193">
        <f>(((J1018*'Appendix K'!$C$13*1000)-('Appendix K'!$E$39+'Appendix K'!$F$39+'Appendix K'!$H$39+'Appendix K'!$G$39))/((1+$Y$16)^AG$34))</f>
        <v>16732802.7383446</v>
      </c>
      <c r="AH1018" s="193">
        <f>(((K1018*'Appendix K'!$C$14*1000)-('Appendix K'!$E$40+'Appendix K'!$F$40+'Appendix K'!$H$40+'Appendix K'!$G$40))/((1+$Y$16)^AH$34))</f>
        <v>15220522.22201786</v>
      </c>
      <c r="AI1018" s="193">
        <f>(((L1018*'Appendix K'!$C$15*1000)-('Appendix K'!$E$41+'Appendix K'!$F$41+'Appendix K'!$H$41+'Appendix K'!$G$41))/((1+$Y$16)^AI$34))</f>
        <v>3161506.6411251193</v>
      </c>
      <c r="AJ1018" s="193">
        <f>(((M1018*'Appendix K'!$C$16*1000)-('Appendix K'!$E$42+'Appendix K'!$F$42+'Appendix K'!$H$42+'Appendix K'!$G$42))/((1+$Y$16)^AJ$34))</f>
        <v>2833655.4272718327</v>
      </c>
      <c r="AK1018" s="193">
        <f>(((N1018*'Appendix K'!$C$17*1000)-('Appendix K'!$E$43+'Appendix K'!$F$43+'Appendix K'!$H$43))/((1+$Y$16)^AK$34))</f>
        <v>2705085.3240253422</v>
      </c>
      <c r="AL1018" s="193">
        <f>(((O1018*'Appendix K'!$C$18*1000)-('Appendix K'!$E$44+'Appendix K'!$F$44+'Appendix K'!$H$44+'Appendix K'!$G$44))/((1+$Y$16)^AL$34))</f>
        <v>2247545.0320087587</v>
      </c>
      <c r="AM1018" s="193">
        <f>(((P1018*'Appendix K'!$C$19*1000)-('Appendix K'!$E$45+'Appendix K'!$F$45+'Appendix K'!$H$45+'Appendix K'!$G$45))/((1+$Y$16)^AM$34))</f>
        <v>2132090.9487762717</v>
      </c>
      <c r="AN1018" s="193">
        <f>(((Q1018*'Appendix K'!$C$20*1000)-('Appendix K'!$E$46+'Appendix K'!$F$46+'Appendix K'!$H$46+'Appendix K'!$G$46))/((1+$Y$16)^AN$34))</f>
        <v>2119431.7267618398</v>
      </c>
      <c r="AO1018" s="193">
        <f>(((R1018*'Appendix K'!$C$21*1000)-('Appendix K'!$E$47+'Appendix K'!$F$47+'Appendix K'!$H$47+'Appendix K'!$G$47))/((1+$Y$16)^AO$34))</f>
        <v>1863797.3099330831</v>
      </c>
      <c r="AP1018" s="193">
        <f>(((S1018*'Appendix K'!$C$22*1000)-('Appendix K'!$E$48+'Appendix K'!$F$48+'Appendix K'!$H$48+'Appendix K'!$G$48))/((1+$Y$16)^AP$34))</f>
        <v>1630406.4380253027</v>
      </c>
      <c r="AQ1018" s="193">
        <f>(((T1018*'Appendix K'!$C$23*1000)-('Appendix K'!$E$49+'Appendix K'!$F$49+'Appendix K'!$H$49+'Appendix K'!$G$49))/((1+$Y$16)^AQ$34))</f>
        <v>814496.94499722263</v>
      </c>
      <c r="AR1018" s="193">
        <f>(((U1018*'Appendix K'!$C$24*1000)-('Appendix K'!$E$50+'Appendix K'!$F$50+'Appendix K'!$H$50+'Appendix K'!$G$50))/((1+$Y$16)^AR$34))</f>
        <v>762594.84931876778</v>
      </c>
      <c r="AS1018" s="209">
        <f t="shared" si="46"/>
        <v>172204504.91355008</v>
      </c>
      <c r="AU1018" s="199">
        <f t="shared" si="45"/>
        <v>2.3148604389693924E-9</v>
      </c>
    </row>
    <row r="1019" spans="1:47" x14ac:dyDescent="0.35">
      <c r="A1019">
        <v>985</v>
      </c>
      <c r="B1019" s="70">
        <v>56</v>
      </c>
      <c r="C1019" s="70">
        <v>67.744969661836365</v>
      </c>
      <c r="D1019" s="70">
        <v>86.487040373982069</v>
      </c>
      <c r="E1019" s="70">
        <v>41.56258464640419</v>
      </c>
      <c r="F1019" s="70">
        <v>53.597161116688319</v>
      </c>
      <c r="G1019" s="70">
        <v>57.037404108908376</v>
      </c>
      <c r="H1019" s="70">
        <v>47.313011253960596</v>
      </c>
      <c r="I1019" s="70">
        <v>95.350822044160722</v>
      </c>
      <c r="J1019" s="70">
        <v>123.75267414497975</v>
      </c>
      <c r="K1019" s="70">
        <v>163.52838033655692</v>
      </c>
      <c r="L1019" s="70">
        <v>147.37441449715496</v>
      </c>
      <c r="M1019" s="70">
        <v>222.24160057451633</v>
      </c>
      <c r="N1019" s="70">
        <v>372.00483970416349</v>
      </c>
      <c r="O1019" s="70">
        <v>500</v>
      </c>
      <c r="P1019" s="70">
        <v>500</v>
      </c>
      <c r="Q1019" s="70">
        <v>500</v>
      </c>
      <c r="R1019" s="70">
        <v>500</v>
      </c>
      <c r="S1019" s="70">
        <v>467.98233623428791</v>
      </c>
      <c r="T1019" s="70">
        <v>333.9303364559089</v>
      </c>
      <c r="U1019" s="70">
        <v>472.61053028771005</v>
      </c>
      <c r="V1019" s="70">
        <v>500</v>
      </c>
      <c r="X1019" s="193">
        <f>((0-('Appendix K'!$I$30))/(1+$Y$16)^0)</f>
        <v>-33594902.4440751</v>
      </c>
      <c r="Y1019" s="193">
        <f>(((B1019*'Appendix K'!$C$5*1000)-('Appendix K'!$E$31+'Appendix K'!$F$31+'Appendix K'!$H$31+'Appendix K'!$G$31))/((1+$Y$16)^1))</f>
        <v>34971064.972647354</v>
      </c>
      <c r="Z1019" s="193">
        <f>+(((C1019*'Appendix K'!$C$6*1000)-('Appendix K'!$E$32+'Appendix K'!$F$32+'Appendix K'!$H$32+'Appendix K'!$G$32))/((1+$Y$16)^2))</f>
        <v>13626290.317315824</v>
      </c>
      <c r="AA1019" s="193">
        <f>(((D1019*'Appendix K'!$C$7*1000)-('Appendix K'!$E$33+'Appendix K'!$F$33+'Appendix K'!$H$33+'Appendix K'!$G$33))/((1+$Y$16)^3))</f>
        <v>8051377.6653760253</v>
      </c>
      <c r="AB1019" s="193">
        <f>(((E1019*'Appendix K'!$C$8*1000)-('Appendix K'!$E$34+'Appendix K'!$F$34+'Appendix K'!$H$34+'Appendix K'!$G$34))/((1+$Y$16)^4))</f>
        <v>5816930.1967950976</v>
      </c>
      <c r="AC1019" s="193">
        <f>(((F1019*'Appendix K'!$C$9*1000)-('Appendix K'!$E$35+'Appendix K'!$F$35+'Appendix K'!$H$35+'Appendix K'!$G$35))/((1+$Y$16)^AC$34))</f>
        <v>11261812.743010651</v>
      </c>
      <c r="AD1019" s="193">
        <f>(((G1019*'Appendix K'!$C$10*1000)-('Appendix K'!$E$36+'Appendix K'!$F$36+'Appendix K'!$H$36+'Appendix K'!$G$36))/((1+$Y$16)^AD$34))</f>
        <v>6441616.3477051007</v>
      </c>
      <c r="AE1019" s="193">
        <f>(((H1019*'Appendix K'!$C$11*1000)-('Appendix K'!$E$37+'Appendix K'!$F$37+'Appendix K'!$H$37+'Appendix K'!$G$37))/((1+$Y$16)^AE$34))</f>
        <v>2498946.590193518</v>
      </c>
      <c r="AF1019" s="193">
        <f>(((I1019*'Appendix K'!$C$12*1000)-('Appendix K'!$E$38+'Appendix K'!$F$38+'Appendix K'!$H$38+'Appendix K'!$G$38))/((1+$Y$16)^AF$34))</f>
        <v>4264387.3849420603</v>
      </c>
      <c r="AG1019" s="193">
        <f>(((J1019*'Appendix K'!$C$13*1000)-('Appendix K'!$E$39+'Appendix K'!$F$39+'Appendix K'!$H$39+'Appendix K'!$G$39))/((1+$Y$16)^AG$34))</f>
        <v>3880022.0948174116</v>
      </c>
      <c r="AH1019" s="193">
        <f>(((K1019*'Appendix K'!$C$14*1000)-('Appendix K'!$E$40+'Appendix K'!$F$40+'Appendix K'!$H$40+'Appendix K'!$G$40))/((1+$Y$16)^AH$34))</f>
        <v>3879232.5711451531</v>
      </c>
      <c r="AI1019" s="193">
        <f>(((L1019*'Appendix K'!$C$15*1000)-('Appendix K'!$E$41+'Appendix K'!$F$41+'Appendix K'!$H$41+'Appendix K'!$G$41))/((1+$Y$16)^AI$34))</f>
        <v>2345003.9030009075</v>
      </c>
      <c r="AJ1019" s="193">
        <f>(((M1019*'Appendix K'!$C$16*1000)-('Appendix K'!$E$42+'Appendix K'!$F$42+'Appendix K'!$H$42+'Appendix K'!$G$42))/((1+$Y$16)^AJ$34))</f>
        <v>3072585.6369727813</v>
      </c>
      <c r="AK1019" s="193">
        <f>(((N1019*'Appendix K'!$C$17*1000)-('Appendix K'!$E$43+'Appendix K'!$F$43+'Appendix K'!$H$43))/((1+$Y$16)^AK$34))</f>
        <v>4711185.5964317713</v>
      </c>
      <c r="AL1019" s="193">
        <f>(((O1019*'Appendix K'!$C$18*1000)-('Appendix K'!$E$44+'Appendix K'!$F$44+'Appendix K'!$H$44+'Appendix K'!$G$44))/((1+$Y$16)^AL$34))</f>
        <v>4792058.0003928225</v>
      </c>
      <c r="AM1019" s="193">
        <f>(((P1019*'Appendix K'!$C$19*1000)-('Appendix K'!$E$45+'Appendix K'!$F$45+'Appendix K'!$H$45+'Appendix K'!$G$45))/((1+$Y$16)^AM$34))</f>
        <v>3607599.9540230581</v>
      </c>
      <c r="AN1019" s="193">
        <f>(((Q1019*'Appendix K'!$C$20*1000)-('Appendix K'!$E$46+'Appendix K'!$F$46+'Appendix K'!$H$46+'Appendix K'!$G$46))/((1+$Y$16)^AN$34))</f>
        <v>2702399.606577659</v>
      </c>
      <c r="AO1019" s="193">
        <f>(((R1019*'Appendix K'!$C$21*1000)-('Appendix K'!$E$47+'Appendix K'!$F$47+'Appendix K'!$H$47+'Appendix K'!$G$47))/((1+$Y$16)^AO$34))</f>
        <v>2112056.3146391152</v>
      </c>
      <c r="AP1019" s="193">
        <f>(((S1019*'Appendix K'!$C$22*1000)-('Appendix K'!$E$48+'Appendix K'!$F$48+'Appendix K'!$H$48+'Appendix K'!$G$48))/((1+$Y$16)^AP$34))</f>
        <v>1477050.8146111129</v>
      </c>
      <c r="AQ1019" s="193">
        <f>(((T1019*'Appendix K'!$C$23*1000)-('Appendix K'!$E$49+'Appendix K'!$F$49+'Appendix K'!$H$49+'Appendix K'!$G$49))/((1+$Y$16)^AQ$34))</f>
        <v>613432.21701805992</v>
      </c>
      <c r="AR1019" s="193">
        <f>(((U1019*'Appendix K'!$C$24*1000)-('Appendix K'!$E$50+'Appendix K'!$F$50+'Appendix K'!$H$50+'Appendix K'!$G$50))/((1+$Y$16)^AR$34))</f>
        <v>892530.28022572654</v>
      </c>
      <c r="AS1019" s="209">
        <f t="shared" si="46"/>
        <v>87422680.76376611</v>
      </c>
      <c r="AU1019" s="199">
        <f t="shared" si="45"/>
        <v>7.0296324615691592E-9</v>
      </c>
    </row>
    <row r="1020" spans="1:47" x14ac:dyDescent="0.35">
      <c r="A1020">
        <v>986</v>
      </c>
      <c r="B1020" s="70">
        <v>56</v>
      </c>
      <c r="C1020" s="70">
        <v>79.64129858109365</v>
      </c>
      <c r="D1020" s="70">
        <v>56.874896935886866</v>
      </c>
      <c r="E1020" s="70">
        <v>60.199024488614256</v>
      </c>
      <c r="F1020" s="70">
        <v>90.937702974748078</v>
      </c>
      <c r="G1020" s="70">
        <v>101.38405792400376</v>
      </c>
      <c r="H1020" s="70">
        <v>184.16175996204458</v>
      </c>
      <c r="I1020" s="70">
        <v>367.28197231488468</v>
      </c>
      <c r="J1020" s="70">
        <v>300.46708785573719</v>
      </c>
      <c r="K1020" s="70">
        <v>213.7644315263106</v>
      </c>
      <c r="L1020" s="70">
        <v>216.71767642704702</v>
      </c>
      <c r="M1020" s="70">
        <v>286.66857264144835</v>
      </c>
      <c r="N1020" s="70">
        <v>465.37383090424964</v>
      </c>
      <c r="O1020" s="70">
        <v>500</v>
      </c>
      <c r="P1020" s="70">
        <v>421.79215603180324</v>
      </c>
      <c r="Q1020" s="70">
        <v>326.43851533942791</v>
      </c>
      <c r="R1020" s="70">
        <v>379.84310677154781</v>
      </c>
      <c r="S1020" s="70">
        <v>357.08175423768114</v>
      </c>
      <c r="T1020" s="70">
        <v>500</v>
      </c>
      <c r="U1020" s="70">
        <v>500</v>
      </c>
      <c r="V1020" s="70">
        <v>500</v>
      </c>
      <c r="X1020" s="193">
        <f>((0-('Appendix K'!$I$30))/(1+$Y$16)^0)</f>
        <v>-33594902.4440751</v>
      </c>
      <c r="Y1020" s="193">
        <f>(((B1020*'Appendix K'!$C$5*1000)-('Appendix K'!$E$31+'Appendix K'!$F$31+'Appendix K'!$H$31+'Appendix K'!$G$31))/((1+$Y$16)^1))</f>
        <v>34971064.972647354</v>
      </c>
      <c r="Z1020" s="193">
        <f>+(((C1020*'Appendix K'!$C$6*1000)-('Appendix K'!$E$32+'Appendix K'!$F$32+'Appendix K'!$H$32+'Appendix K'!$G$32))/((1+$Y$16)^2))</f>
        <v>16631506.466709888</v>
      </c>
      <c r="AA1020" s="193">
        <f>(((D1020*'Appendix K'!$C$7*1000)-('Appendix K'!$E$33+'Appendix K'!$F$33+'Appendix K'!$H$33+'Appendix K'!$G$33))/((1+$Y$16)^3))</f>
        <v>4279534.6746881204</v>
      </c>
      <c r="AB1020" s="193">
        <f>(((E1020*'Appendix K'!$C$8*1000)-('Appendix K'!$E$34+'Appendix K'!$F$34+'Appendix K'!$H$34+'Appendix K'!$G$34))/((1+$Y$16)^4))</f>
        <v>9901867.210021114</v>
      </c>
      <c r="AC1020" s="193">
        <f>(((F1020*'Appendix K'!$C$9*1000)-('Appendix K'!$E$35+'Appendix K'!$F$35+'Appendix K'!$H$35+'Appendix K'!$G$35))/((1+$Y$16)^AC$34))</f>
        <v>21186870.133710135</v>
      </c>
      <c r="AD1020" s="193">
        <f>(((G1020*'Appendix K'!$C$10*1000)-('Appendix K'!$E$36+'Appendix K'!$F$36+'Appendix K'!$H$36+'Appendix K'!$G$36))/((1+$Y$16)^AD$34))</f>
        <v>13405990.099353885</v>
      </c>
      <c r="AE1020" s="193">
        <f>(((H1020*'Appendix K'!$C$11*1000)-('Appendix K'!$E$37+'Appendix K'!$F$37+'Appendix K'!$H$37+'Appendix K'!$G$37))/((1+$Y$16)^AE$34))</f>
        <v>16147916.29557755</v>
      </c>
      <c r="AF1020" s="193">
        <f>(((I1020*'Appendix K'!$C$12*1000)-('Appendix K'!$E$38+'Appendix K'!$F$38+'Appendix K'!$H$38+'Appendix K'!$G$38))/((1+$Y$16)^AF$34))</f>
        <v>22120046.699235287</v>
      </c>
      <c r="AG1020" s="193">
        <f>(((J1020*'Appendix K'!$C$13*1000)-('Appendix K'!$E$39+'Appendix K'!$F$39+'Appendix K'!$H$39+'Appendix K'!$G$39))/((1+$Y$16)^AG$34))</f>
        <v>12012230.782069445</v>
      </c>
      <c r="AH1020" s="193">
        <f>(((K1020*'Appendix K'!$C$14*1000)-('Appendix K'!$E$40+'Appendix K'!$F$40+'Appendix K'!$H$40+'Appendix K'!$G$40))/((1+$Y$16)^AH$34))</f>
        <v>5572515.3746961672</v>
      </c>
      <c r="AI1020" s="193">
        <f>(((L1020*'Appendix K'!$C$15*1000)-('Appendix K'!$E$41+'Appendix K'!$F$41+'Appendix K'!$H$41+'Appendix K'!$G$41))/((1+$Y$16)^AI$34))</f>
        <v>4161927.0380997392</v>
      </c>
      <c r="AJ1020" s="193">
        <f>(((M1020*'Appendix K'!$C$16*1000)-('Appendix K'!$E$42+'Appendix K'!$F$42+'Appendix K'!$H$42+'Appendix K'!$G$42))/((1+$Y$16)^AJ$34))</f>
        <v>4363822.4409301942</v>
      </c>
      <c r="AK1020" s="193">
        <f>(((N1020*'Appendix K'!$C$17*1000)-('Appendix K'!$E$43+'Appendix K'!$F$43+'Appendix K'!$H$43))/((1+$Y$16)^AK$34))</f>
        <v>6145697.2034185315</v>
      </c>
      <c r="AL1020" s="193">
        <f>(((O1020*'Appendix K'!$C$18*1000)-('Appendix K'!$E$44+'Appendix K'!$F$44+'Appendix K'!$H$44+'Appendix K'!$G$44))/((1+$Y$16)^AL$34))</f>
        <v>4792058.0003928225</v>
      </c>
      <c r="AM1020" s="193">
        <f>(((P1020*'Appendix K'!$C$19*1000)-('Appendix K'!$E$45+'Appendix K'!$F$45+'Appendix K'!$H$45+'Appendix K'!$G$45))/((1+$Y$16)^AM$34))</f>
        <v>2882712.4242299376</v>
      </c>
      <c r="AN1020" s="193">
        <f>(((Q1020*'Appendix K'!$C$20*1000)-('Appendix K'!$E$46+'Appendix K'!$F$46+'Appendix K'!$H$46+'Appendix K'!$G$46))/((1+$Y$16)^AN$34))</f>
        <v>1446471.0596697482</v>
      </c>
      <c r="AO1020" s="193">
        <f>(((R1020*'Appendix K'!$C$21*1000)-('Appendix K'!$E$47+'Appendix K'!$F$47+'Appendix K'!$H$47+'Appendix K'!$G$47))/((1+$Y$16)^AO$34))</f>
        <v>1401915.8007205641</v>
      </c>
      <c r="AP1020" s="193">
        <f>(((S1020*'Appendix K'!$C$22*1000)-('Appendix K'!$E$48+'Appendix K'!$F$48+'Appendix K'!$H$48+'Appendix K'!$G$48))/((1+$Y$16)^AP$34))</f>
        <v>945868.15201787127</v>
      </c>
      <c r="AQ1020" s="193">
        <f>(((T1020*'Appendix K'!$C$23*1000)-('Appendix K'!$E$49+'Appendix K'!$F$49+'Appendix K'!$H$49+'Appendix K'!$G$49))/((1+$Y$16)^AQ$34))</f>
        <v>1263386.3652054211</v>
      </c>
      <c r="AR1020" s="193">
        <f>(((U1020*'Appendix K'!$C$24*1000)-('Appendix K'!$E$50+'Appendix K'!$F$50+'Appendix K'!$H$50+'Appendix K'!$G$50))/((1+$Y$16)^AR$34))</f>
        <v>980725.14012097823</v>
      </c>
      <c r="AS1020" s="209">
        <f t="shared" si="46"/>
        <v>151019223.88943964</v>
      </c>
      <c r="AU1020" s="199">
        <f t="shared" si="45"/>
        <v>3.7662387699835607E-9</v>
      </c>
    </row>
    <row r="1021" spans="1:47" x14ac:dyDescent="0.35">
      <c r="A1021">
        <v>987</v>
      </c>
      <c r="B1021" s="70">
        <v>56</v>
      </c>
      <c r="C1021" s="70">
        <v>38.374162139646586</v>
      </c>
      <c r="D1021" s="70">
        <v>52.561294157625397</v>
      </c>
      <c r="E1021" s="70">
        <v>48.495206218752969</v>
      </c>
      <c r="F1021" s="70">
        <v>58.184969869441396</v>
      </c>
      <c r="G1021" s="70">
        <v>55.323123254935076</v>
      </c>
      <c r="H1021" s="70">
        <v>49.39047907103194</v>
      </c>
      <c r="I1021" s="70">
        <v>57.840122888945501</v>
      </c>
      <c r="J1021" s="70">
        <v>73.018550350768507</v>
      </c>
      <c r="K1021" s="70">
        <v>87.071356411775028</v>
      </c>
      <c r="L1021" s="70">
        <v>98.73628491821573</v>
      </c>
      <c r="M1021" s="70">
        <v>90.189624853293807</v>
      </c>
      <c r="N1021" s="70">
        <v>65.121952805568</v>
      </c>
      <c r="O1021" s="70">
        <v>65.659346212162291</v>
      </c>
      <c r="P1021" s="70">
        <v>76.745554013798369</v>
      </c>
      <c r="Q1021" s="70">
        <v>69.704193676818008</v>
      </c>
      <c r="R1021" s="70">
        <v>94.092708776452852</v>
      </c>
      <c r="S1021" s="70">
        <v>87.313877616695791</v>
      </c>
      <c r="T1021" s="70">
        <v>125.6856124632364</v>
      </c>
      <c r="U1021" s="70">
        <v>161.17346412492722</v>
      </c>
      <c r="V1021" s="70">
        <v>86.267779985006413</v>
      </c>
      <c r="X1021" s="193">
        <f>((0-('Appendix K'!$I$30))/(1+$Y$16)^0)</f>
        <v>-33594902.4440751</v>
      </c>
      <c r="Y1021" s="193">
        <f>(((B1021*'Appendix K'!$C$5*1000)-('Appendix K'!$E$31+'Appendix K'!$F$31+'Appendix K'!$H$31+'Appendix K'!$G$31))/((1+$Y$16)^1))</f>
        <v>34971064.972647354</v>
      </c>
      <c r="Z1021" s="193">
        <f>+(((C1021*'Appendix K'!$C$6*1000)-('Appendix K'!$E$32+'Appendix K'!$F$32+'Appendix K'!$H$32+'Appendix K'!$G$32))/((1+$Y$16)^2))</f>
        <v>6206722.0046451325</v>
      </c>
      <c r="AA1021" s="193">
        <f>(((D1021*'Appendix K'!$C$7*1000)-('Appendix K'!$E$33+'Appendix K'!$F$33+'Appendix K'!$H$33+'Appendix K'!$G$33))/((1+$Y$16)^3))</f>
        <v>3730090.0714019504</v>
      </c>
      <c r="AB1021" s="193">
        <f>(((E1021*'Appendix K'!$C$8*1000)-('Appendix K'!$E$34+'Appendix K'!$F$34+'Appendix K'!$H$34+'Appendix K'!$G$34))/((1+$Y$16)^4))</f>
        <v>7336497.3834116971</v>
      </c>
      <c r="AC1021" s="193">
        <f>(((F1021*'Appendix K'!$C$9*1000)-('Appendix K'!$E$35+'Appendix K'!$F$35+'Appendix K'!$H$35+'Appendix K'!$G$35))/((1+$Y$16)^AC$34))</f>
        <v>12481245.10533989</v>
      </c>
      <c r="AD1021" s="193">
        <f>(((G1021*'Appendix K'!$C$10*1000)-('Appendix K'!$E$36+'Appendix K'!$F$36+'Appendix K'!$H$36+'Appendix K'!$G$36))/((1+$Y$16)^AD$34))</f>
        <v>6172398.9083883651</v>
      </c>
      <c r="AE1021" s="193">
        <f>(((H1021*'Appendix K'!$C$11*1000)-('Appendix K'!$E$37+'Appendix K'!$F$37+'Appendix K'!$H$37+'Appendix K'!$G$37))/((1+$Y$16)^AE$34))</f>
        <v>2706148.3042523186</v>
      </c>
      <c r="AF1021" s="193">
        <f>(((I1021*'Appendix K'!$C$12*1000)-('Appendix K'!$E$38+'Appendix K'!$F$38+'Appendix K'!$H$38+'Appendix K'!$G$38))/((1+$Y$16)^AF$34))</f>
        <v>1801343.8384794181</v>
      </c>
      <c r="AG1021" s="193">
        <f>(((J1021*'Appendix K'!$C$13*1000)-('Appendix K'!$E$39+'Appendix K'!$F$39+'Appendix K'!$H$39+'Appendix K'!$G$39))/((1+$Y$16)^AG$34))</f>
        <v>1545291.8733499758</v>
      </c>
      <c r="AH1021" s="193">
        <f>(((K1021*'Appendix K'!$C$14*1000)-('Appendix K'!$E$40+'Appendix K'!$F$40+'Appendix K'!$H$40+'Appendix K'!$G$40))/((1+$Y$16)^AH$34))</f>
        <v>1302131.8485284965</v>
      </c>
      <c r="AI1021" s="193">
        <f>(((L1021*'Appendix K'!$C$15*1000)-('Appendix K'!$E$41+'Appendix K'!$F$41+'Appendix K'!$H$41+'Appendix K'!$G$41))/((1+$Y$16)^AI$34))</f>
        <v>1070593.9542843942</v>
      </c>
      <c r="AJ1021" s="193">
        <f>(((M1021*'Appendix K'!$C$16*1000)-('Appendix K'!$E$42+'Appendix K'!$F$42+'Appendix K'!$H$42+'Appendix K'!$G$42))/((1+$Y$16)^AJ$34))</f>
        <v>426017.50539284089</v>
      </c>
      <c r="AK1021" s="193">
        <f>(((N1021*'Appendix K'!$C$17*1000)-('Appendix K'!$E$43+'Appendix K'!$F$43+'Appendix K'!$H$43))/((1+$Y$16)^AK$34))</f>
        <v>-3731.6109122680273</v>
      </c>
      <c r="AL1021" s="193">
        <f>(((O1021*'Appendix K'!$C$18*1000)-('Appendix K'!$E$44+'Appendix K'!$F$44+'Appendix K'!$H$44+'Appendix K'!$G$44))/((1+$Y$16)^AL$34))</f>
        <v>-356309.57461521926</v>
      </c>
      <c r="AM1021" s="193">
        <f>(((P1021*'Appendix K'!$C$19*1000)-('Appendix K'!$E$45+'Appendix K'!$F$45+'Appendix K'!$H$45+'Appendix K'!$G$45))/((1+$Y$16)^AM$34))</f>
        <v>-315431.98570997361</v>
      </c>
      <c r="AN1021" s="193">
        <f>(((Q1021*'Appendix K'!$C$20*1000)-('Appendix K'!$E$46+'Appendix K'!$F$46+'Appendix K'!$H$46+'Appendix K'!$G$46))/((1+$Y$16)^AN$34))</f>
        <v>-411314.17521513411</v>
      </c>
      <c r="AO1021" s="193">
        <f>(((R1021*'Appendix K'!$C$21*1000)-('Appendix K'!$E$47+'Appendix K'!$F$47+'Appendix K'!$H$47+'Appendix K'!$G$47))/((1+$Y$16)^AO$34))</f>
        <v>-286900.62114591553</v>
      </c>
      <c r="AP1021" s="193">
        <f>(((S1021*'Appendix K'!$C$22*1000)-('Appendix K'!$E$48+'Appendix K'!$F$48+'Appendix K'!$H$48+'Appendix K'!$G$48))/((1+$Y$16)^AP$34))</f>
        <v>-346244.2643988838</v>
      </c>
      <c r="AQ1021" s="193">
        <f>(((T1021*'Appendix K'!$C$23*1000)-('Appendix K'!$E$49+'Appendix K'!$F$49+'Appendix K'!$H$49+'Appendix K'!$G$49))/((1+$Y$16)^AQ$34))</f>
        <v>-201584.32067267</v>
      </c>
      <c r="AR1021" s="193">
        <f>(((U1021*'Appendix K'!$C$24*1000)-('Appendix K'!$E$50+'Appendix K'!$F$50+'Appendix K'!$H$50+'Appendix K'!$G$50))/((1+$Y$16)^AR$34))</f>
        <v>-110305.79892954451</v>
      </c>
      <c r="AS1021" s="209">
        <f t="shared" si="46"/>
        <v>46154643.326046728</v>
      </c>
      <c r="AU1021" s="199">
        <f t="shared" si="45"/>
        <v>5.3830354119578535E-9</v>
      </c>
    </row>
    <row r="1022" spans="1:47" x14ac:dyDescent="0.35">
      <c r="A1022">
        <v>988</v>
      </c>
      <c r="B1022" s="70">
        <v>56</v>
      </c>
      <c r="C1022" s="70">
        <v>71.054827286938618</v>
      </c>
      <c r="D1022" s="70">
        <v>116.42573243518817</v>
      </c>
      <c r="E1022" s="70">
        <v>152.69101812551907</v>
      </c>
      <c r="F1022" s="70">
        <v>145.81705242898897</v>
      </c>
      <c r="G1022" s="70">
        <v>169.0070649183595</v>
      </c>
      <c r="H1022" s="70">
        <v>219.76136945029512</v>
      </c>
      <c r="I1022" s="70">
        <v>218.83511238719615</v>
      </c>
      <c r="J1022" s="70">
        <v>182.0542369418514</v>
      </c>
      <c r="K1022" s="70">
        <v>320.18007485638236</v>
      </c>
      <c r="L1022" s="70">
        <v>205.41327313580484</v>
      </c>
      <c r="M1022" s="70">
        <v>320.98290116073969</v>
      </c>
      <c r="N1022" s="70">
        <v>443.94583288184265</v>
      </c>
      <c r="O1022" s="70">
        <v>378.80888816444622</v>
      </c>
      <c r="P1022" s="70">
        <v>430.70325868135416</v>
      </c>
      <c r="Q1022" s="70">
        <v>500</v>
      </c>
      <c r="R1022" s="70">
        <v>500</v>
      </c>
      <c r="S1022" s="70">
        <v>295.06359791059504</v>
      </c>
      <c r="T1022" s="70">
        <v>184.78493359970255</v>
      </c>
      <c r="U1022" s="70">
        <v>200.20219243735411</v>
      </c>
      <c r="V1022" s="70">
        <v>282.11473972589141</v>
      </c>
      <c r="X1022" s="193">
        <f>((0-('Appendix K'!$I$30))/(1+$Y$16)^0)</f>
        <v>-33594902.4440751</v>
      </c>
      <c r="Y1022" s="193">
        <f>(((B1022*'Appendix K'!$C$5*1000)-('Appendix K'!$E$31+'Appendix K'!$F$31+'Appendix K'!$H$31+'Appendix K'!$G$31))/((1+$Y$16)^1))</f>
        <v>34971064.972647354</v>
      </c>
      <c r="Z1022" s="193">
        <f>+(((C1022*'Appendix K'!$C$6*1000)-('Appendix K'!$E$32+'Appendix K'!$F$32+'Appendix K'!$H$32+'Appendix K'!$G$32))/((1+$Y$16)^2))</f>
        <v>14462416.962322323</v>
      </c>
      <c r="AA1022" s="193">
        <f>(((D1022*'Appendix K'!$C$7*1000)-('Appendix K'!$E$33+'Appendix K'!$F$33+'Appendix K'!$H$33+'Appendix K'!$G$33))/((1+$Y$16)^3))</f>
        <v>11864814.745251516</v>
      </c>
      <c r="AB1022" s="193">
        <f>(((E1022*'Appendix K'!$C$8*1000)-('Appendix K'!$E$34+'Appendix K'!$F$34+'Appendix K'!$H$34+'Appendix K'!$G$34))/((1+$Y$16)^4))</f>
        <v>30175265.532522406</v>
      </c>
      <c r="AC1022" s="193">
        <f>(((F1022*'Appendix K'!$C$9*1000)-('Appendix K'!$E$35+'Appendix K'!$F$35+'Appendix K'!$H$35+'Appendix K'!$G$35))/((1+$Y$16)^AC$34))</f>
        <v>35773715.042604432</v>
      </c>
      <c r="AD1022" s="193">
        <f>(((G1022*'Appendix K'!$C$10*1000)-('Appendix K'!$E$36+'Appendix K'!$F$36+'Appendix K'!$H$36+'Appendix K'!$G$36))/((1+$Y$16)^AD$34))</f>
        <v>24025774.331163134</v>
      </c>
      <c r="AE1022" s="193">
        <f>(((H1022*'Appendix K'!$C$11*1000)-('Appendix K'!$E$37+'Appendix K'!$F$37+'Appendix K'!$H$37+'Appendix K'!$G$37))/((1+$Y$16)^AE$34))</f>
        <v>19698536.933440425</v>
      </c>
      <c r="AF1022" s="193">
        <f>(((I1022*'Appendix K'!$C$12*1000)-('Appendix K'!$E$38+'Appendix K'!$F$38+'Appendix K'!$H$38+'Appendix K'!$G$38))/((1+$Y$16)^AF$34))</f>
        <v>12372665.59005907</v>
      </c>
      <c r="AG1022" s="193">
        <f>(((J1022*'Appendix K'!$C$13*1000)-('Appendix K'!$E$39+'Appendix K'!$F$39+'Appendix K'!$H$39+'Appendix K'!$G$39))/((1+$Y$16)^AG$34))</f>
        <v>6562997.7814137535</v>
      </c>
      <c r="AH1022" s="193">
        <f>(((K1022*'Appendix K'!$C$14*1000)-('Appendix K'!$E$40+'Appendix K'!$F$40+'Appendix K'!$H$40+'Appendix K'!$G$40))/((1+$Y$16)^AH$34))</f>
        <v>9159417.1038746946</v>
      </c>
      <c r="AI1022" s="193">
        <f>(((L1022*'Appendix K'!$C$15*1000)-('Appendix K'!$E$41+'Appendix K'!$F$41+'Appendix K'!$H$41+'Appendix K'!$G$41))/((1+$Y$16)^AI$34))</f>
        <v>3865730.5325313834</v>
      </c>
      <c r="AJ1022" s="193">
        <f>(((M1022*'Appendix K'!$C$16*1000)-('Appendix K'!$E$42+'Appendix K'!$F$42+'Appendix K'!$H$42+'Appendix K'!$G$42))/((1+$Y$16)^AJ$34))</f>
        <v>5051545.6485514333</v>
      </c>
      <c r="AK1022" s="193">
        <f>(((N1022*'Appendix K'!$C$17*1000)-('Appendix K'!$E$43+'Appendix K'!$F$43+'Appendix K'!$H$43))/((1+$Y$16)^AK$34))</f>
        <v>5816479.6389729623</v>
      </c>
      <c r="AL1022" s="193">
        <f>(((O1022*'Appendix K'!$C$18*1000)-('Appendix K'!$E$44+'Appendix K'!$F$44+'Appendix K'!$H$44+'Appendix K'!$G$44))/((1+$Y$16)^AL$34))</f>
        <v>3355544.0910636908</v>
      </c>
      <c r="AM1022" s="193">
        <f>(((P1022*'Appendix K'!$C$19*1000)-('Appendix K'!$E$45+'Appendix K'!$F$45+'Appendix K'!$H$45+'Appendix K'!$G$45))/((1+$Y$16)^AM$34))</f>
        <v>2965307.0446620351</v>
      </c>
      <c r="AN1022" s="193">
        <f>(((Q1022*'Appendix K'!$C$20*1000)-('Appendix K'!$E$46+'Appendix K'!$F$46+'Appendix K'!$H$46+'Appendix K'!$G$46))/((1+$Y$16)^AN$34))</f>
        <v>2702399.606577659</v>
      </c>
      <c r="AO1022" s="193">
        <f>(((R1022*'Appendix K'!$C$21*1000)-('Appendix K'!$E$47+'Appendix K'!$F$47+'Appendix K'!$H$47+'Appendix K'!$G$47))/((1+$Y$16)^AO$34))</f>
        <v>2112056.3146391152</v>
      </c>
      <c r="AP1022" s="193">
        <f>(((S1022*'Appendix K'!$C$22*1000)-('Appendix K'!$E$48+'Appendix K'!$F$48+'Appendix K'!$H$48+'Appendix K'!$G$48))/((1+$Y$16)^AP$34))</f>
        <v>648818.58912239922</v>
      </c>
      <c r="AQ1022" s="193">
        <f>(((T1022*'Appendix K'!$C$23*1000)-('Appendix K'!$E$49+'Appendix K'!$F$49+'Appendix K'!$H$49+'Appendix K'!$G$49))/((1+$Y$16)^AQ$34))</f>
        <v>29715.292441225967</v>
      </c>
      <c r="AR1022" s="193">
        <f>(((U1022*'Appendix K'!$C$24*1000)-('Appendix K'!$E$50+'Appendix K'!$F$50+'Appendix K'!$H$50+'Appendix K'!$G$50))/((1+$Y$16)^AR$34))</f>
        <v>15367.799776888964</v>
      </c>
      <c r="AS1022" s="209">
        <f t="shared" si="46"/>
        <v>192034731.10956275</v>
      </c>
      <c r="AU1022" s="199">
        <f t="shared" si="45"/>
        <v>1.2936727954789972E-9</v>
      </c>
    </row>
    <row r="1023" spans="1:47" x14ac:dyDescent="0.35">
      <c r="A1023">
        <v>989</v>
      </c>
      <c r="B1023" s="70">
        <v>56</v>
      </c>
      <c r="C1023" s="70">
        <v>68.337706927820989</v>
      </c>
      <c r="D1023" s="70">
        <v>86.774863454044905</v>
      </c>
      <c r="E1023" s="70">
        <v>97.891715661187462</v>
      </c>
      <c r="F1023" s="70">
        <v>103.69673193694911</v>
      </c>
      <c r="G1023" s="70">
        <v>106.62239082923969</v>
      </c>
      <c r="H1023" s="70">
        <v>141.62676879954591</v>
      </c>
      <c r="I1023" s="70">
        <v>167.16081678035999</v>
      </c>
      <c r="J1023" s="70">
        <v>258.37276479095965</v>
      </c>
      <c r="K1023" s="70">
        <v>342.88697843410284</v>
      </c>
      <c r="L1023" s="70">
        <v>477.77384244154382</v>
      </c>
      <c r="M1023" s="70">
        <v>500</v>
      </c>
      <c r="N1023" s="70">
        <v>424.35662226705665</v>
      </c>
      <c r="O1023" s="70">
        <v>500</v>
      </c>
      <c r="P1023" s="70">
        <v>500</v>
      </c>
      <c r="Q1023" s="70">
        <v>500</v>
      </c>
      <c r="R1023" s="70">
        <v>500</v>
      </c>
      <c r="S1023" s="70">
        <v>500</v>
      </c>
      <c r="T1023" s="70">
        <v>500</v>
      </c>
      <c r="U1023" s="70">
        <v>500</v>
      </c>
      <c r="V1023" s="70">
        <v>287.84828069949452</v>
      </c>
      <c r="X1023" s="193">
        <f>((0-('Appendix K'!$I$30))/(1+$Y$16)^0)</f>
        <v>-33594902.4440751</v>
      </c>
      <c r="Y1023" s="193">
        <f>(((B1023*'Appendix K'!$C$5*1000)-('Appendix K'!$E$31+'Appendix K'!$F$31+'Appendix K'!$H$31+'Appendix K'!$G$31))/((1+$Y$16)^1))</f>
        <v>34971064.972647354</v>
      </c>
      <c r="Z1023" s="193">
        <f>+(((C1023*'Appendix K'!$C$6*1000)-('Appendix K'!$E$32+'Appendix K'!$F$32+'Appendix K'!$H$32+'Appendix K'!$G$32))/((1+$Y$16)^2))</f>
        <v>13776025.888362549</v>
      </c>
      <c r="AA1023" s="193">
        <f>(((D1023*'Appendix K'!$C$7*1000)-('Appendix K'!$E$33+'Appendix K'!$F$33+'Appendix K'!$H$33+'Appendix K'!$G$33))/((1+$Y$16)^3))</f>
        <v>8088039.0934608504</v>
      </c>
      <c r="AB1023" s="193">
        <f>(((E1023*'Appendix K'!$C$8*1000)-('Appendix K'!$E$34+'Appendix K'!$F$34+'Appendix K'!$H$34+'Appendix K'!$G$34))/((1+$Y$16)^4))</f>
        <v>18163760.071672022</v>
      </c>
      <c r="AC1023" s="193">
        <f>(((F1023*'Appendix K'!$C$9*1000)-('Appendix K'!$E$35+'Appendix K'!$F$35+'Appendix K'!$H$35+'Appendix K'!$G$35))/((1+$Y$16)^AC$34))</f>
        <v>24578199.996592369</v>
      </c>
      <c r="AD1023" s="193">
        <f>(((G1023*'Appendix K'!$C$10*1000)-('Appendix K'!$E$36+'Appendix K'!$F$36+'Appendix K'!$H$36+'Appendix K'!$G$36))/((1+$Y$16)^AD$34))</f>
        <v>14228638.598150093</v>
      </c>
      <c r="AE1023" s="193">
        <f>(((H1023*'Appendix K'!$C$11*1000)-('Appendix K'!$E$37+'Appendix K'!$F$37+'Appendix K'!$H$37+'Appendix K'!$G$37))/((1+$Y$16)^AE$34))</f>
        <v>11905577.134449165</v>
      </c>
      <c r="AF1023" s="193">
        <f>(((I1023*'Appendix K'!$C$12*1000)-('Appendix K'!$E$38+'Appendix K'!$F$38+'Appendix K'!$H$38+'Appendix K'!$G$38))/((1+$Y$16)^AF$34))</f>
        <v>8979605.9249814861</v>
      </c>
      <c r="AG1023" s="193">
        <f>(((J1023*'Appendix K'!$C$13*1000)-('Appendix K'!$E$39+'Appendix K'!$F$39+'Appendix K'!$H$39+'Appendix K'!$G$39))/((1+$Y$16)^AG$34))</f>
        <v>10075094.967717143</v>
      </c>
      <c r="AH1023" s="193">
        <f>(((K1023*'Appendix K'!$C$14*1000)-('Appendix K'!$E$40+'Appendix K'!$F$40+'Appendix K'!$H$40+'Appendix K'!$G$40))/((1+$Y$16)^AH$34))</f>
        <v>9924787.9568665661</v>
      </c>
      <c r="AI1023" s="193">
        <f>(((L1023*'Appendix K'!$C$15*1000)-('Appendix K'!$E$41+'Appendix K'!$F$41+'Appendix K'!$H$41+'Appendix K'!$G$41))/((1+$Y$16)^AI$34))</f>
        <v>11002086.765103789</v>
      </c>
      <c r="AJ1023" s="193">
        <f>(((M1023*'Appendix K'!$C$16*1000)-('Appendix K'!$E$42+'Appendix K'!$F$42+'Appendix K'!$H$42+'Appendix K'!$G$42))/((1+$Y$16)^AJ$34))</f>
        <v>8639382.5302660316</v>
      </c>
      <c r="AK1023" s="193">
        <f>(((N1023*'Appendix K'!$C$17*1000)-('Appendix K'!$E$43+'Appendix K'!$F$43+'Appendix K'!$H$43))/((1+$Y$16)^AK$34))</f>
        <v>5515513.0157136451</v>
      </c>
      <c r="AL1023" s="193">
        <f>(((O1023*'Appendix K'!$C$18*1000)-('Appendix K'!$E$44+'Appendix K'!$F$44+'Appendix K'!$H$44+'Appendix K'!$G$44))/((1+$Y$16)^AL$34))</f>
        <v>4792058.0003928225</v>
      </c>
      <c r="AM1023" s="193">
        <f>(((P1023*'Appendix K'!$C$19*1000)-('Appendix K'!$E$45+'Appendix K'!$F$45+'Appendix K'!$H$45+'Appendix K'!$G$45))/((1+$Y$16)^AM$34))</f>
        <v>3607599.9540230581</v>
      </c>
      <c r="AN1023" s="193">
        <f>(((Q1023*'Appendix K'!$C$20*1000)-('Appendix K'!$E$46+'Appendix K'!$F$46+'Appendix K'!$H$46+'Appendix K'!$G$46))/((1+$Y$16)^AN$34))</f>
        <v>2702399.606577659</v>
      </c>
      <c r="AO1023" s="193">
        <f>(((R1023*'Appendix K'!$C$21*1000)-('Appendix K'!$E$47+'Appendix K'!$F$47+'Appendix K'!$H$47+'Appendix K'!$G$47))/((1+$Y$16)^AO$34))</f>
        <v>2112056.3146391152</v>
      </c>
      <c r="AP1023" s="193">
        <f>(((S1023*'Appendix K'!$C$22*1000)-('Appendix K'!$E$48+'Appendix K'!$F$48+'Appendix K'!$H$48+'Appendix K'!$G$48))/((1+$Y$16)^AP$34))</f>
        <v>1630406.4380253027</v>
      </c>
      <c r="AQ1023" s="193">
        <f>(((T1023*'Appendix K'!$C$23*1000)-('Appendix K'!$E$49+'Appendix K'!$F$49+'Appendix K'!$H$49+'Appendix K'!$G$49))/((1+$Y$16)^AQ$34))</f>
        <v>1263386.3652054211</v>
      </c>
      <c r="AR1023" s="193">
        <f>(((U1023*'Appendix K'!$C$24*1000)-('Appendix K'!$E$50+'Appendix K'!$F$50+'Appendix K'!$H$50+'Appendix K'!$G$50))/((1+$Y$16)^AR$34))</f>
        <v>980725.14012097823</v>
      </c>
      <c r="AS1023" s="209">
        <f t="shared" si="46"/>
        <v>163341506.29089227</v>
      </c>
      <c r="AU1023" s="199">
        <f t="shared" si="45"/>
        <v>2.8861681636609399E-9</v>
      </c>
    </row>
    <row r="1024" spans="1:47" x14ac:dyDescent="0.35">
      <c r="A1024">
        <v>990</v>
      </c>
      <c r="B1024" s="70">
        <v>56</v>
      </c>
      <c r="C1024" s="70">
        <v>65.934341036532516</v>
      </c>
      <c r="D1024" s="70">
        <v>63.011236827114899</v>
      </c>
      <c r="E1024" s="70">
        <v>89.875116729290028</v>
      </c>
      <c r="F1024" s="70">
        <v>116.89732439425541</v>
      </c>
      <c r="G1024" s="70">
        <v>155.94067399858378</v>
      </c>
      <c r="H1024" s="70">
        <v>168.7296762980296</v>
      </c>
      <c r="I1024" s="70">
        <v>203.17114353325618</v>
      </c>
      <c r="J1024" s="70">
        <v>275.78372039605262</v>
      </c>
      <c r="K1024" s="70">
        <v>399.74885837607565</v>
      </c>
      <c r="L1024" s="70">
        <v>452.84811482778883</v>
      </c>
      <c r="M1024" s="70">
        <v>500</v>
      </c>
      <c r="N1024" s="70">
        <v>500</v>
      </c>
      <c r="O1024" s="70">
        <v>459.86241000239283</v>
      </c>
      <c r="P1024" s="70">
        <v>500</v>
      </c>
      <c r="Q1024" s="70">
        <v>500</v>
      </c>
      <c r="R1024" s="70">
        <v>500</v>
      </c>
      <c r="S1024" s="70">
        <v>341.47398911179937</v>
      </c>
      <c r="T1024" s="70">
        <v>412.9270967825156</v>
      </c>
      <c r="U1024" s="70">
        <v>259.3447655511053</v>
      </c>
      <c r="V1024" s="70">
        <v>252.69031803115237</v>
      </c>
      <c r="X1024" s="193">
        <f>((0-('Appendix K'!$I$30))/(1+$Y$16)^0)</f>
        <v>-33594902.4440751</v>
      </c>
      <c r="Y1024" s="193">
        <f>(((B1024*'Appendix K'!$C$5*1000)-('Appendix K'!$E$31+'Appendix K'!$F$31+'Appendix K'!$H$31+'Appendix K'!$G$31))/((1+$Y$16)^1))</f>
        <v>34971064.972647354</v>
      </c>
      <c r="Z1024" s="193">
        <f>+(((C1024*'Appendix K'!$C$6*1000)-('Appendix K'!$E$32+'Appendix K'!$F$32+'Appendix K'!$H$32+'Appendix K'!$G$32))/((1+$Y$16)^2))</f>
        <v>13168894.559158023</v>
      </c>
      <c r="AA1024" s="193">
        <f>(((D1024*'Appendix K'!$C$7*1000)-('Appendix K'!$E$33+'Appendix K'!$F$33+'Appendix K'!$H$33+'Appendix K'!$G$33))/((1+$Y$16)^3))</f>
        <v>5061150.1850814428</v>
      </c>
      <c r="AB1024" s="193">
        <f>(((E1024*'Appendix K'!$C$8*1000)-('Appendix K'!$E$34+'Appendix K'!$F$34+'Appendix K'!$H$34+'Appendix K'!$G$34))/((1+$Y$16)^4))</f>
        <v>16406594.970700003</v>
      </c>
      <c r="AC1024" s="193">
        <f>(((F1024*'Appendix K'!$C$9*1000)-('Appendix K'!$E$35+'Appendix K'!$F$35+'Appendix K'!$H$35+'Appendix K'!$G$35))/((1+$Y$16)^AC$34))</f>
        <v>28086896.74309447</v>
      </c>
      <c r="AD1024" s="193">
        <f>(((G1024*'Appendix K'!$C$10*1000)-('Appendix K'!$E$36+'Appendix K'!$F$36+'Appendix K'!$H$36+'Appendix K'!$G$36))/((1+$Y$16)^AD$34))</f>
        <v>21973776.669064615</v>
      </c>
      <c r="AE1024" s="193">
        <f>(((H1024*'Appendix K'!$C$11*1000)-('Appendix K'!$E$37+'Appendix K'!$F$37+'Appendix K'!$H$37+'Appendix K'!$G$37))/((1+$Y$16)^AE$34))</f>
        <v>14608756.862922469</v>
      </c>
      <c r="AF1024" s="193">
        <f>(((I1024*'Appendix K'!$C$12*1000)-('Appendix K'!$E$38+'Appendix K'!$F$38+'Appendix K'!$H$38+'Appendix K'!$G$38))/((1+$Y$16)^AF$34))</f>
        <v>11344131.378045468</v>
      </c>
      <c r="AG1024" s="193">
        <f>(((J1024*'Appendix K'!$C$13*1000)-('Appendix K'!$E$39+'Appendix K'!$F$39+'Appendix K'!$H$39+'Appendix K'!$G$39))/((1+$Y$16)^AG$34))</f>
        <v>10876328.559544278</v>
      </c>
      <c r="AH1024" s="193">
        <f>(((K1024*'Appendix K'!$C$14*1000)-('Appendix K'!$E$40+'Appendix K'!$F$40+'Appendix K'!$H$40+'Appendix K'!$G$40))/((1+$Y$16)^AH$34))</f>
        <v>11841404.434535956</v>
      </c>
      <c r="AI1024" s="193">
        <f>(((L1024*'Appendix K'!$C$15*1000)-('Appendix K'!$E$41+'Appendix K'!$F$41+'Appendix K'!$H$41+'Appendix K'!$G$41))/((1+$Y$16)^AI$34))</f>
        <v>10348986.090284212</v>
      </c>
      <c r="AJ1024" s="193">
        <f>(((M1024*'Appendix K'!$C$16*1000)-('Appendix K'!$E$42+'Appendix K'!$F$42+'Appendix K'!$H$42+'Appendix K'!$G$42))/((1+$Y$16)^AJ$34))</f>
        <v>8639382.5302660316</v>
      </c>
      <c r="AK1024" s="193">
        <f>(((N1024*'Appendix K'!$C$17*1000)-('Appendix K'!$E$43+'Appendix K'!$F$43+'Appendix K'!$H$43))/((1+$Y$16)^AK$34))</f>
        <v>6677690.1149291173</v>
      </c>
      <c r="AL1024" s="193">
        <f>(((O1024*'Appendix K'!$C$18*1000)-('Appendix K'!$E$44+'Appendix K'!$F$44+'Appendix K'!$H$44+'Appendix K'!$G$44))/((1+$Y$16)^AL$34))</f>
        <v>4316295.335579996</v>
      </c>
      <c r="AM1024" s="193">
        <f>(((P1024*'Appendix K'!$C$19*1000)-('Appendix K'!$E$45+'Appendix K'!$F$45+'Appendix K'!$H$45+'Appendix K'!$G$45))/((1+$Y$16)^AM$34))</f>
        <v>3607599.9540230581</v>
      </c>
      <c r="AN1024" s="193">
        <f>(((Q1024*'Appendix K'!$C$20*1000)-('Appendix K'!$E$46+'Appendix K'!$F$46+'Appendix K'!$H$46+'Appendix K'!$G$46))/((1+$Y$16)^AN$34))</f>
        <v>2702399.606577659</v>
      </c>
      <c r="AO1024" s="193">
        <f>(((R1024*'Appendix K'!$C$21*1000)-('Appendix K'!$E$47+'Appendix K'!$F$47+'Appendix K'!$H$47+'Appendix K'!$G$47))/((1+$Y$16)^AO$34))</f>
        <v>2112056.3146391152</v>
      </c>
      <c r="AP1024" s="193">
        <f>(((S1024*'Appendix K'!$C$22*1000)-('Appendix K'!$E$48+'Appendix K'!$F$48+'Appendix K'!$H$48+'Appendix K'!$G$48))/((1+$Y$16)^AP$34))</f>
        <v>871111.33751396276</v>
      </c>
      <c r="AQ1024" s="193">
        <f>(((T1024*'Appendix K'!$C$23*1000)-('Appendix K'!$E$49+'Appendix K'!$F$49+'Appendix K'!$H$49+'Appendix K'!$G$49))/((1+$Y$16)^AQ$34))</f>
        <v>922605.31324709521</v>
      </c>
      <c r="AR1024" s="193">
        <f>(((U1024*'Appendix K'!$C$24*1000)-('Appendix K'!$E$50+'Appendix K'!$F$50+'Appendix K'!$H$50+'Appendix K'!$G$50))/((1+$Y$16)^AR$34))</f>
        <v>205808.54231055925</v>
      </c>
      <c r="AS1024" s="209">
        <f t="shared" si="46"/>
        <v>175148032.03008977</v>
      </c>
      <c r="AU1024" s="199">
        <f t="shared" si="45"/>
        <v>2.139765665096553E-9</v>
      </c>
    </row>
    <row r="1025" spans="1:47" x14ac:dyDescent="0.35">
      <c r="A1025">
        <v>991</v>
      </c>
      <c r="B1025" s="70">
        <v>56</v>
      </c>
      <c r="C1025" s="70">
        <v>52.35182444890058</v>
      </c>
      <c r="D1025" s="70">
        <v>45.941692352162349</v>
      </c>
      <c r="E1025" s="70">
        <v>61.118874033296279</v>
      </c>
      <c r="F1025" s="70">
        <v>59.038692930065331</v>
      </c>
      <c r="G1025" s="70">
        <v>67.432314277456797</v>
      </c>
      <c r="H1025" s="70">
        <v>75.838103445594527</v>
      </c>
      <c r="I1025" s="70">
        <v>106.54083786050973</v>
      </c>
      <c r="J1025" s="70">
        <v>148.71558089311407</v>
      </c>
      <c r="K1025" s="70">
        <v>173.3055712521498</v>
      </c>
      <c r="L1025" s="70">
        <v>219.39564070767079</v>
      </c>
      <c r="M1025" s="70">
        <v>238.24489958653513</v>
      </c>
      <c r="N1025" s="70">
        <v>261.26561021301336</v>
      </c>
      <c r="O1025" s="70">
        <v>198.48277313892638</v>
      </c>
      <c r="P1025" s="70">
        <v>177.57922501384095</v>
      </c>
      <c r="Q1025" s="70">
        <v>164.07289637045216</v>
      </c>
      <c r="R1025" s="70">
        <v>167.10832947817713</v>
      </c>
      <c r="S1025" s="70">
        <v>136.55641565159772</v>
      </c>
      <c r="T1025" s="70">
        <v>114.56603540013421</v>
      </c>
      <c r="U1025" s="70">
        <v>121.05101480543311</v>
      </c>
      <c r="V1025" s="70">
        <v>142.06614900818056</v>
      </c>
      <c r="X1025" s="193">
        <f>((0-('Appendix K'!$I$30))/(1+$Y$16)^0)</f>
        <v>-33594902.4440751</v>
      </c>
      <c r="Y1025" s="193">
        <f>(((B1025*'Appendix K'!$C$5*1000)-('Appendix K'!$E$31+'Appendix K'!$F$31+'Appendix K'!$H$31+'Appendix K'!$G$31))/((1+$Y$16)^1))</f>
        <v>34971064.972647354</v>
      </c>
      <c r="Z1025" s="193">
        <f>+(((C1025*'Appendix K'!$C$6*1000)-('Appendix K'!$E$32+'Appendix K'!$F$32+'Appendix K'!$H$32+'Appendix K'!$G$32))/((1+$Y$16)^2))</f>
        <v>9737718.5656555966</v>
      </c>
      <c r="AA1025" s="193">
        <f>(((D1025*'Appendix K'!$C$7*1000)-('Appendix K'!$E$33+'Appendix K'!$F$33+'Appendix K'!$H$33+'Appendix K'!$G$33))/((1+$Y$16)^3))</f>
        <v>2886919.1363672367</v>
      </c>
      <c r="AB1025" s="193">
        <f>(((E1025*'Appendix K'!$C$8*1000)-('Appendix K'!$E$34+'Appendix K'!$F$34+'Appendix K'!$H$34+'Appendix K'!$G$34))/((1+$Y$16)^4))</f>
        <v>10103489.809803301</v>
      </c>
      <c r="AC1025" s="193">
        <f>(((F1025*'Appendix K'!$C$9*1000)-('Appendix K'!$E$35+'Appendix K'!$F$35+'Appendix K'!$H$35+'Appendix K'!$G$35))/((1+$Y$16)^AC$34))</f>
        <v>12708163.35426796</v>
      </c>
      <c r="AD1025" s="193">
        <f>(((G1025*'Appendix K'!$C$10*1000)-('Appendix K'!$E$36+'Appendix K'!$F$36+'Appendix K'!$H$36+'Appendix K'!$G$36))/((1+$Y$16)^AD$34))</f>
        <v>8074074.1162311016</v>
      </c>
      <c r="AE1025" s="193">
        <f>(((H1025*'Appendix K'!$C$11*1000)-('Appendix K'!$E$37+'Appendix K'!$F$37+'Appendix K'!$H$37+'Appendix K'!$G$37))/((1+$Y$16)^AE$34))</f>
        <v>5343971.6477291668</v>
      </c>
      <c r="AF1025" s="193">
        <f>(((I1025*'Appendix K'!$C$12*1000)-('Appendix K'!$E$38+'Appendix K'!$F$38+'Appendix K'!$H$38+'Appendix K'!$G$38))/((1+$Y$16)^AF$34))</f>
        <v>4999150.9820487639</v>
      </c>
      <c r="AG1025" s="193">
        <f>(((J1025*'Appendix K'!$C$13*1000)-('Appendix K'!$E$39+'Appendix K'!$F$39+'Appendix K'!$H$39+'Appendix K'!$G$39))/((1+$Y$16)^AG$34))</f>
        <v>5028788.4170061182</v>
      </c>
      <c r="AH1025" s="193">
        <f>(((K1025*'Appendix K'!$C$14*1000)-('Appendix K'!$E$40+'Appendix K'!$F$40+'Appendix K'!$H$40+'Appendix K'!$G$40))/((1+$Y$16)^AH$34))</f>
        <v>4208787.7183416216</v>
      </c>
      <c r="AI1025" s="193">
        <f>(((L1025*'Appendix K'!$C$15*1000)-('Appendix K'!$E$41+'Appendix K'!$F$41+'Appendix K'!$H$41+'Appendix K'!$G$41))/((1+$Y$16)^AI$34))</f>
        <v>4232094.7100698426</v>
      </c>
      <c r="AJ1025" s="193">
        <f>(((M1025*'Appendix K'!$C$16*1000)-('Appendix K'!$E$42+'Appendix K'!$F$42+'Appendix K'!$H$42+'Appendix K'!$G$42))/((1+$Y$16)^AJ$34))</f>
        <v>3393321.6269799871</v>
      </c>
      <c r="AK1025" s="193">
        <f>(((N1025*'Appendix K'!$C$17*1000)-('Appendix K'!$E$43+'Appendix K'!$F$43+'Appendix K'!$H$43))/((1+$Y$16)^AK$34))</f>
        <v>3009799.4294397603</v>
      </c>
      <c r="AL1025" s="193">
        <f>(((O1025*'Appendix K'!$C$18*1000)-('Appendix K'!$E$44+'Appendix K'!$F$44+'Appendix K'!$H$44+'Appendix K'!$G$44))/((1+$Y$16)^AL$34))</f>
        <v>1218085.588323477</v>
      </c>
      <c r="AM1025" s="193">
        <f>(((P1025*'Appendix K'!$C$19*1000)-('Appendix K'!$E$45+'Appendix K'!$F$45+'Appendix K'!$H$45+'Appendix K'!$G$45))/((1+$Y$16)^AM$34))</f>
        <v>619168.2664196766</v>
      </c>
      <c r="AN1025" s="193">
        <f>(((Q1025*'Appendix K'!$C$20*1000)-('Appendix K'!$E$46+'Appendix K'!$F$46+'Appendix K'!$H$46+'Appendix K'!$G$46))/((1+$Y$16)^AN$34))</f>
        <v>271558.22518744686</v>
      </c>
      <c r="AO1025" s="193">
        <f>(((R1025*'Appendix K'!$C$21*1000)-('Appendix K'!$E$47+'Appendix K'!$F$47+'Appendix K'!$H$47+'Appendix K'!$G$47))/((1+$Y$16)^AO$34))</f>
        <v>144629.76396998801</v>
      </c>
      <c r="AP1025" s="193">
        <f>(((S1025*'Appendix K'!$C$22*1000)-('Appendix K'!$E$48+'Appendix K'!$F$48+'Appendix K'!$H$48+'Appendix K'!$G$48))/((1+$Y$16)^AP$34))</f>
        <v>-110386.32753946779</v>
      </c>
      <c r="AQ1025" s="193">
        <f>(((T1025*'Appendix K'!$C$23*1000)-('Appendix K'!$E$49+'Appendix K'!$F$49+'Appendix K'!$H$49+'Appendix K'!$G$49))/((1+$Y$16)^AQ$34))</f>
        <v>-245103.49861291735</v>
      </c>
      <c r="AR1025" s="193">
        <f>(((U1025*'Appendix K'!$C$24*1000)-('Appendix K'!$E$50+'Appendix K'!$F$50+'Appendix K'!$H$50+'Appendix K'!$G$50))/((1+$Y$16)^AR$34))</f>
        <v>-239501.20992354848</v>
      </c>
      <c r="AS1025" s="209">
        <f t="shared" si="46"/>
        <v>77355883.886413306</v>
      </c>
      <c r="AU1025" s="199">
        <f t="shared" si="45"/>
        <v>6.9157005216654842E-9</v>
      </c>
    </row>
    <row r="1026" spans="1:47" x14ac:dyDescent="0.35">
      <c r="A1026">
        <v>992</v>
      </c>
      <c r="B1026" s="70">
        <v>56</v>
      </c>
      <c r="C1026" s="70">
        <v>63.717696857574282</v>
      </c>
      <c r="D1026" s="70">
        <v>80.095985188987143</v>
      </c>
      <c r="E1026" s="70">
        <v>69.601547825299122</v>
      </c>
      <c r="F1026" s="70">
        <v>101.03957068663578</v>
      </c>
      <c r="G1026" s="70">
        <v>133.13217088543507</v>
      </c>
      <c r="H1026" s="70">
        <v>170.91233686248557</v>
      </c>
      <c r="I1026" s="70">
        <v>126.20406646742781</v>
      </c>
      <c r="J1026" s="70">
        <v>157.02475790951519</v>
      </c>
      <c r="K1026" s="70">
        <v>126.50831544703743</v>
      </c>
      <c r="L1026" s="70">
        <v>91.886875589903667</v>
      </c>
      <c r="M1026" s="70">
        <v>64.808786079046499</v>
      </c>
      <c r="N1026" s="70">
        <v>40.23826824819767</v>
      </c>
      <c r="O1026" s="70">
        <v>43.533753878061802</v>
      </c>
      <c r="P1026" s="70">
        <v>48.797758018744808</v>
      </c>
      <c r="Q1026" s="70">
        <v>45.007459323710286</v>
      </c>
      <c r="R1026" s="70">
        <v>34.129156059989441</v>
      </c>
      <c r="S1026" s="70">
        <v>30.396807057767766</v>
      </c>
      <c r="T1026" s="70">
        <v>27.98527857382205</v>
      </c>
      <c r="U1026" s="70">
        <v>32.929149893354612</v>
      </c>
      <c r="V1026" s="70">
        <v>34.361441376280773</v>
      </c>
      <c r="X1026" s="193">
        <f>((0-('Appendix K'!$I$30))/(1+$Y$16)^0)</f>
        <v>-33594902.4440751</v>
      </c>
      <c r="Y1026" s="193">
        <f>(((B1026*'Appendix K'!$C$5*1000)-('Appendix K'!$E$31+'Appendix K'!$F$31+'Appendix K'!$H$31+'Appendix K'!$G$31))/((1+$Y$16)^1))</f>
        <v>34971064.972647354</v>
      </c>
      <c r="Z1026" s="193">
        <f>+(((C1026*'Appendix K'!$C$6*1000)-('Appendix K'!$E$32+'Appendix K'!$F$32+'Appendix K'!$H$32+'Appendix K'!$G$32))/((1+$Y$16)^2))</f>
        <v>12608932.328012725</v>
      </c>
      <c r="AA1026" s="193">
        <f>(((D1026*'Appendix K'!$C$7*1000)-('Appendix K'!$E$33+'Appendix K'!$F$33+'Appendix K'!$H$33+'Appendix K'!$G$33))/((1+$Y$16)^3))</f>
        <v>7237317.8269513976</v>
      </c>
      <c r="AB1026" s="193">
        <f>(((E1026*'Appendix K'!$C$8*1000)-('Appendix K'!$E$34+'Appendix K'!$F$34+'Appendix K'!$H$34+'Appendix K'!$G$34))/((1+$Y$16)^4))</f>
        <v>11962814.253605733</v>
      </c>
      <c r="AC1026" s="193">
        <f>(((F1026*'Appendix K'!$C$9*1000)-('Appendix K'!$E$35+'Appendix K'!$F$35+'Appendix K'!$H$35+'Appendix K'!$G$35))/((1+$Y$16)^AC$34))</f>
        <v>23871930.708751004</v>
      </c>
      <c r="AD1026" s="193">
        <f>(((G1026*'Appendix K'!$C$10*1000)-('Appendix K'!$E$36+'Appendix K'!$F$36+'Appendix K'!$H$36+'Appendix K'!$G$36))/((1+$Y$16)^AD$34))</f>
        <v>18391839.212003499</v>
      </c>
      <c r="AE1026" s="193">
        <f>(((H1026*'Appendix K'!$C$11*1000)-('Appendix K'!$E$37+'Appendix K'!$F$37+'Appendix K'!$H$37+'Appendix K'!$G$37))/((1+$Y$16)^AE$34))</f>
        <v>14826450.252176207</v>
      </c>
      <c r="AF1026" s="193">
        <f>(((I1026*'Appendix K'!$C$12*1000)-('Appendix K'!$E$38+'Appendix K'!$F$38+'Appendix K'!$H$38+'Appendix K'!$G$38))/((1+$Y$16)^AF$34))</f>
        <v>6290286.2958024573</v>
      </c>
      <c r="AG1026" s="193">
        <f>(((J1026*'Appendix K'!$C$13*1000)-('Appendix K'!$E$39+'Appendix K'!$F$39+'Appendix K'!$H$39+'Appendix K'!$G$39))/((1+$Y$16)^AG$34))</f>
        <v>5411167.873767877</v>
      </c>
      <c r="AH1026" s="193">
        <f>(((K1026*'Appendix K'!$C$14*1000)-('Appendix K'!$E$40+'Appendix K'!$F$40+'Appendix K'!$H$40+'Appendix K'!$G$40))/((1+$Y$16)^AH$34))</f>
        <v>2631414.763431964</v>
      </c>
      <c r="AI1026" s="193">
        <f>(((L1026*'Appendix K'!$C$15*1000)-('Appendix K'!$E$41+'Appendix K'!$F$41+'Appendix K'!$H$41+'Appendix K'!$G$41))/((1+$Y$16)^AI$34))</f>
        <v>891126.62142436777</v>
      </c>
      <c r="AJ1026" s="193">
        <f>(((M1026*'Appendix K'!$C$16*1000)-('Appendix K'!$E$42+'Appendix K'!$F$42+'Appendix K'!$H$42+'Appendix K'!$G$42))/((1+$Y$16)^AJ$34))</f>
        <v>-82661.889109364376</v>
      </c>
      <c r="AK1026" s="193">
        <f>(((N1026*'Appendix K'!$C$17*1000)-('Appendix K'!$E$43+'Appendix K'!$F$43+'Appendix K'!$H$43))/((1+$Y$16)^AK$34))</f>
        <v>-386041.98894398432</v>
      </c>
      <c r="AL1026" s="193">
        <f>(((O1026*'Appendix K'!$C$18*1000)-('Appendix K'!$E$44+'Appendix K'!$F$44+'Appendix K'!$H$44+'Appendix K'!$G$44))/((1+$Y$16)^AL$34))</f>
        <v>-618570.73105389648</v>
      </c>
      <c r="AM1026" s="193">
        <f>(((P1026*'Appendix K'!$C$19*1000)-('Appendix K'!$E$45+'Appendix K'!$F$45+'Appendix K'!$H$45+'Appendix K'!$G$45))/((1+$Y$16)^AM$34))</f>
        <v>-574472.61097327515</v>
      </c>
      <c r="AN1026" s="193">
        <f>(((Q1026*'Appendix K'!$C$20*1000)-('Appendix K'!$E$46+'Appendix K'!$F$46+'Appendix K'!$H$46+'Appendix K'!$G$46))/((1+$Y$16)^AN$34))</f>
        <v>-590025.10149079212</v>
      </c>
      <c r="AO1026" s="193">
        <f>(((R1026*'Appendix K'!$C$21*1000)-('Appendix K'!$E$47+'Appendix K'!$F$47+'Appendix K'!$H$47+'Appendix K'!$G$47))/((1+$Y$16)^AO$34))</f>
        <v>-641291.84247593116</v>
      </c>
      <c r="AP1026" s="193">
        <f>(((S1026*'Appendix K'!$C$22*1000)-('Appendix K'!$E$48+'Appendix K'!$F$48+'Appendix K'!$H$48+'Appendix K'!$G$48))/((1+$Y$16)^AP$34))</f>
        <v>-618861.05812701641</v>
      </c>
      <c r="AQ1026" s="193">
        <f>(((T1026*'Appendix K'!$C$23*1000)-('Appendix K'!$E$49+'Appendix K'!$F$49+'Appendix K'!$H$49+'Appendix K'!$G$49))/((1+$Y$16)^AQ$34))</f>
        <v>-583958.41558890243</v>
      </c>
      <c r="AR1026" s="193">
        <f>(((U1026*'Appendix K'!$C$24*1000)-('Appendix K'!$E$50+'Appendix K'!$F$50+'Appendix K'!$H$50+'Appendix K'!$G$50))/((1+$Y$16)^AR$34))</f>
        <v>-523256.0840145112</v>
      </c>
      <c r="AS1026" s="209">
        <f t="shared" si="46"/>
        <v>105499442.66449949</v>
      </c>
      <c r="AU1026" s="199">
        <f t="shared" si="45"/>
        <v>6.6892091210062227E-9</v>
      </c>
    </row>
    <row r="1027" spans="1:47" x14ac:dyDescent="0.35">
      <c r="A1027">
        <v>993</v>
      </c>
      <c r="B1027" s="70">
        <v>56</v>
      </c>
      <c r="C1027" s="70">
        <v>72.430982640729567</v>
      </c>
      <c r="D1027" s="70">
        <v>88.216590875852603</v>
      </c>
      <c r="E1027" s="70">
        <v>132.71976970080459</v>
      </c>
      <c r="F1027" s="70">
        <v>99.324357447218659</v>
      </c>
      <c r="G1027" s="70">
        <v>139.76033637850031</v>
      </c>
      <c r="H1027" s="70">
        <v>134.81673498857788</v>
      </c>
      <c r="I1027" s="70">
        <v>151.01217666153002</v>
      </c>
      <c r="J1027" s="70">
        <v>200.7814233722294</v>
      </c>
      <c r="K1027" s="70">
        <v>228.23745103057641</v>
      </c>
      <c r="L1027" s="70">
        <v>211.11954117481991</v>
      </c>
      <c r="M1027" s="70">
        <v>156.60209962991229</v>
      </c>
      <c r="N1027" s="70">
        <v>144.14538817335267</v>
      </c>
      <c r="O1027" s="70">
        <v>280.27744652577928</v>
      </c>
      <c r="P1027" s="70">
        <v>255.48902896565568</v>
      </c>
      <c r="Q1027" s="70">
        <v>262.17293540747266</v>
      </c>
      <c r="R1027" s="70">
        <v>201.81427048255807</v>
      </c>
      <c r="S1027" s="70">
        <v>78.622324331455587</v>
      </c>
      <c r="T1027" s="70">
        <v>59.056438926835824</v>
      </c>
      <c r="U1027" s="70">
        <v>68.357723239584999</v>
      </c>
      <c r="V1027" s="70">
        <v>73.431714292520397</v>
      </c>
      <c r="X1027" s="193">
        <f>((0-('Appendix K'!$I$30))/(1+$Y$16)^0)</f>
        <v>-33594902.4440751</v>
      </c>
      <c r="Y1027" s="193">
        <f>(((B1027*'Appendix K'!$C$5*1000)-('Appendix K'!$E$31+'Appendix K'!$F$31+'Appendix K'!$H$31+'Appendix K'!$G$31))/((1+$Y$16)^1))</f>
        <v>34971064.972647354</v>
      </c>
      <c r="Z1027" s="193">
        <f>+(((C1027*'Appendix K'!$C$6*1000)-('Appendix K'!$E$32+'Appendix K'!$F$32+'Appendix K'!$H$32+'Appendix K'!$G$32))/((1+$Y$16)^2))</f>
        <v>14810057.341245692</v>
      </c>
      <c r="AA1027" s="193">
        <f>(((D1027*'Appendix K'!$C$7*1000)-('Appendix K'!$E$33+'Appendix K'!$F$33+'Appendix K'!$H$33+'Appendix K'!$G$33))/((1+$Y$16)^3))</f>
        <v>8271678.9397893026</v>
      </c>
      <c r="AB1027" s="193">
        <f>(((E1027*'Appendix K'!$C$8*1000)-('Appendix K'!$E$34+'Appendix K'!$F$34+'Appendix K'!$H$34+'Appendix K'!$G$34))/((1+$Y$16)^4))</f>
        <v>25797750.697007913</v>
      </c>
      <c r="AC1027" s="193">
        <f>(((F1027*'Appendix K'!$C$9*1000)-('Appendix K'!$E$35+'Appendix K'!$F$35+'Appendix K'!$H$35+'Appendix K'!$G$35))/((1+$Y$16)^AC$34))</f>
        <v>23416029.723082047</v>
      </c>
      <c r="AD1027" s="193">
        <f>(((G1027*'Appendix K'!$C$10*1000)-('Appendix K'!$E$36+'Appendix K'!$F$36+'Appendix K'!$H$36+'Appendix K'!$G$36))/((1+$Y$16)^AD$34))</f>
        <v>19432752.512338568</v>
      </c>
      <c r="AE1027" s="193">
        <f>(((H1027*'Appendix K'!$C$11*1000)-('Appendix K'!$E$37+'Appendix K'!$F$37+'Appendix K'!$H$37+'Appendix K'!$G$37))/((1+$Y$16)^AE$34))</f>
        <v>11226360.509846935</v>
      </c>
      <c r="AF1027" s="193">
        <f>(((I1027*'Appendix K'!$C$12*1000)-('Appendix K'!$E$38+'Appendix K'!$F$38+'Appendix K'!$H$38+'Appendix K'!$G$38))/((1+$Y$16)^AF$34))</f>
        <v>7919247.0213991208</v>
      </c>
      <c r="AG1027" s="193">
        <f>(((J1027*'Appendix K'!$C$13*1000)-('Appendix K'!$E$39+'Appendix K'!$F$39+'Appendix K'!$H$39+'Appendix K'!$G$39))/((1+$Y$16)^AG$34))</f>
        <v>7424802.9108254332</v>
      </c>
      <c r="AH1027" s="193">
        <f>(((K1027*'Appendix K'!$C$14*1000)-('Appendix K'!$E$40+'Appendix K'!$F$40+'Appendix K'!$H$40+'Appendix K'!$G$40))/((1+$Y$16)^AH$34))</f>
        <v>6060350.5938590569</v>
      </c>
      <c r="AI1027" s="193">
        <f>(((L1027*'Appendix K'!$C$15*1000)-('Appendix K'!$E$41+'Appendix K'!$F$41+'Appendix K'!$H$41+'Appendix K'!$G$41))/((1+$Y$16)^AI$34))</f>
        <v>4015245.4259271352</v>
      </c>
      <c r="AJ1027" s="193">
        <f>(((M1027*'Appendix K'!$C$16*1000)-('Appendix K'!$E$42+'Appendix K'!$F$42+'Appendix K'!$H$42+'Appendix K'!$G$42))/((1+$Y$16)^AJ$34))</f>
        <v>1757047.4905421452</v>
      </c>
      <c r="AK1027" s="193">
        <f>(((N1027*'Appendix K'!$C$17*1000)-('Appendix K'!$E$43+'Appendix K'!$F$43+'Appendix K'!$H$43))/((1+$Y$16)^AK$34))</f>
        <v>1210376.3472226653</v>
      </c>
      <c r="AL1027" s="193">
        <f>(((O1027*'Appendix K'!$C$18*1000)-('Appendix K'!$E$44+'Appendix K'!$F$44+'Appendix K'!$H$44+'Appendix K'!$G$44))/((1+$Y$16)^AL$34))</f>
        <v>2187621.9202343868</v>
      </c>
      <c r="AM1027" s="193">
        <f>(((P1027*'Appendix K'!$C$19*1000)-('Appendix K'!$E$45+'Appendix K'!$F$45+'Appendix K'!$H$45+'Appendix K'!$G$45))/((1+$Y$16)^AM$34))</f>
        <v>1341293.3432375863</v>
      </c>
      <c r="AN1027" s="193">
        <f>(((Q1027*'Appendix K'!$C$20*1000)-('Appendix K'!$E$46+'Appendix K'!$F$46+'Appendix K'!$H$46+'Appendix K'!$G$46))/((1+$Y$16)^AN$34))</f>
        <v>981431.38466361328</v>
      </c>
      <c r="AO1027" s="193">
        <f>(((R1027*'Appendix K'!$C$21*1000)-('Appendix K'!$E$47+'Appendix K'!$F$47+'Appendix K'!$H$47+'Appendix K'!$G$47))/((1+$Y$16)^AO$34))</f>
        <v>349745.70961963799</v>
      </c>
      <c r="AP1027" s="193">
        <f>(((S1027*'Appendix K'!$C$22*1000)-('Appendix K'!$E$48+'Appendix K'!$F$48+'Appendix K'!$H$48+'Appendix K'!$G$48))/((1+$Y$16)^AP$34))</f>
        <v>-387874.36527848244</v>
      </c>
      <c r="AQ1027" s="193">
        <f>(((T1027*'Appendix K'!$C$23*1000)-('Appendix K'!$E$49+'Appendix K'!$F$49+'Appendix K'!$H$49+'Appendix K'!$G$49))/((1+$Y$16)^AQ$34))</f>
        <v>-462353.84838825715</v>
      </c>
      <c r="AR1027" s="193">
        <f>(((U1027*'Appendix K'!$C$24*1000)-('Appendix K'!$E$50+'Appendix K'!$F$50+'Appendix K'!$H$50+'Appendix K'!$G$50))/((1+$Y$16)^AR$34))</f>
        <v>-409175.08517146338</v>
      </c>
      <c r="AS1027" s="209">
        <f t="shared" si="46"/>
        <v>137577954.39941344</v>
      </c>
      <c r="AU1027" s="199">
        <f t="shared" si="45"/>
        <v>4.771362488533413E-9</v>
      </c>
    </row>
    <row r="1028" spans="1:47" x14ac:dyDescent="0.35">
      <c r="A1028">
        <v>994</v>
      </c>
      <c r="B1028" s="70">
        <v>56</v>
      </c>
      <c r="C1028" s="70">
        <v>55.950234665054623</v>
      </c>
      <c r="D1028" s="70">
        <v>83.830103653602535</v>
      </c>
      <c r="E1028" s="70">
        <v>127.98691796967233</v>
      </c>
      <c r="F1028" s="70">
        <v>115.24102904984166</v>
      </c>
      <c r="G1028" s="70">
        <v>116.36848329599151</v>
      </c>
      <c r="H1028" s="70">
        <v>152.1346805249369</v>
      </c>
      <c r="I1028" s="70">
        <v>99.764739340889264</v>
      </c>
      <c r="J1028" s="70">
        <v>90.452227150066832</v>
      </c>
      <c r="K1028" s="70">
        <v>93.836439596002506</v>
      </c>
      <c r="L1028" s="70">
        <v>165.69845777733832</v>
      </c>
      <c r="M1028" s="70">
        <v>172.09123078868248</v>
      </c>
      <c r="N1028" s="70">
        <v>201.33793685731126</v>
      </c>
      <c r="O1028" s="70">
        <v>224.91837160089739</v>
      </c>
      <c r="P1028" s="70">
        <v>232.92131355823676</v>
      </c>
      <c r="Q1028" s="70">
        <v>154.74037739304632</v>
      </c>
      <c r="R1028" s="70">
        <v>202.70279972394766</v>
      </c>
      <c r="S1028" s="70">
        <v>181.48362875341488</v>
      </c>
      <c r="T1028" s="70">
        <v>193.00315127007852</v>
      </c>
      <c r="U1028" s="70">
        <v>171.9253952034141</v>
      </c>
      <c r="V1028" s="70">
        <v>195.56048436413454</v>
      </c>
      <c r="X1028" s="193">
        <f>((0-('Appendix K'!$I$30))/(1+$Y$16)^0)</f>
        <v>-33594902.4440751</v>
      </c>
      <c r="Y1028" s="193">
        <f>(((B1028*'Appendix K'!$C$5*1000)-('Appendix K'!$E$31+'Appendix K'!$F$31+'Appendix K'!$H$31+'Appendix K'!$G$31))/((1+$Y$16)^1))</f>
        <v>34971064.972647354</v>
      </c>
      <c r="Z1028" s="193">
        <f>+(((C1028*'Appendix K'!$C$6*1000)-('Appendix K'!$E$32+'Appendix K'!$F$32+'Appendix K'!$H$32+'Appendix K'!$G$32))/((1+$Y$16)^2))</f>
        <v>10646738.530312547</v>
      </c>
      <c r="AA1028" s="193">
        <f>(((D1028*'Appendix K'!$C$7*1000)-('Appendix K'!$E$33+'Appendix K'!$F$33+'Appendix K'!$H$33+'Appendix K'!$G$33))/((1+$Y$16)^3))</f>
        <v>7712950.6897531664</v>
      </c>
      <c r="AB1028" s="193">
        <f>(((E1028*'Appendix K'!$C$8*1000)-('Appendix K'!$E$34+'Appendix K'!$F$34+'Appendix K'!$H$34+'Appendix K'!$G$34))/((1+$Y$16)^4))</f>
        <v>24760352.922631267</v>
      </c>
      <c r="AC1028" s="193">
        <f>(((F1028*'Appendix K'!$C$9*1000)-('Appendix K'!$E$35+'Appendix K'!$F$35+'Appendix K'!$H$35+'Appendix K'!$G$35))/((1+$Y$16)^AC$34))</f>
        <v>27646656.04139971</v>
      </c>
      <c r="AD1028" s="193">
        <f>(((G1028*'Appendix K'!$C$10*1000)-('Appendix K'!$E$36+'Appendix K'!$F$36+'Appendix K'!$H$36+'Appendix K'!$G$36))/((1+$Y$16)^AD$34))</f>
        <v>15759203.470972218</v>
      </c>
      <c r="AE1028" s="193">
        <f>(((H1028*'Appendix K'!$C$11*1000)-('Appendix K'!$E$37+'Appendix K'!$F$37+'Appendix K'!$H$37+'Appendix K'!$G$37))/((1+$Y$16)^AE$34))</f>
        <v>12953611.333962739</v>
      </c>
      <c r="AF1028" s="193">
        <f>(((I1028*'Appendix K'!$C$12*1000)-('Appendix K'!$E$38+'Appendix K'!$F$38+'Appendix K'!$H$38+'Appendix K'!$G$38))/((1+$Y$16)^AF$34))</f>
        <v>4554215.9073948488</v>
      </c>
      <c r="AG1028" s="193">
        <f>(((J1028*'Appendix K'!$C$13*1000)-('Appendix K'!$E$39+'Appendix K'!$F$39+'Appendix K'!$H$39+'Appendix K'!$G$39))/((1+$Y$16)^AG$34))</f>
        <v>2347571.0702809705</v>
      </c>
      <c r="AH1028" s="193">
        <f>(((K1028*'Appendix K'!$C$14*1000)-('Appendix K'!$E$40+'Appendix K'!$F$40+'Appendix K'!$H$40+'Appendix K'!$G$40))/((1+$Y$16)^AH$34))</f>
        <v>1530159.3058852754</v>
      </c>
      <c r="AI1028" s="193">
        <f>(((L1028*'Appendix K'!$C$15*1000)-('Appendix K'!$E$41+'Appendix K'!$F$41+'Appendix K'!$H$41+'Appendix K'!$G$41))/((1+$Y$16)^AI$34))</f>
        <v>2825128.1030706698</v>
      </c>
      <c r="AJ1028" s="193">
        <f>(((M1028*'Appendix K'!$C$16*1000)-('Appendix K'!$E$42+'Appendix K'!$F$42+'Appendix K'!$H$42+'Appendix K'!$G$42))/((1+$Y$16)^AJ$34))</f>
        <v>2067478.5968302048</v>
      </c>
      <c r="AK1028" s="193">
        <f>(((N1028*'Appendix K'!$C$17*1000)-('Appendix K'!$E$43+'Appendix K'!$F$43+'Appendix K'!$H$43))/((1+$Y$16)^AK$34))</f>
        <v>2089076.800829133</v>
      </c>
      <c r="AL1028" s="193">
        <f>(((O1028*'Appendix K'!$C$18*1000)-('Appendix K'!$E$44+'Appendix K'!$F$44+'Appendix K'!$H$44+'Appendix K'!$G$44))/((1+$Y$16)^AL$34))</f>
        <v>1531434.5156242696</v>
      </c>
      <c r="AM1028" s="193">
        <f>(((P1028*'Appendix K'!$C$19*1000)-('Appendix K'!$E$45+'Appendix K'!$F$45+'Appendix K'!$H$45+'Appendix K'!$G$45))/((1+$Y$16)^AM$34))</f>
        <v>1132119.2419618827</v>
      </c>
      <c r="AN1028" s="193">
        <f>(((Q1028*'Appendix K'!$C$20*1000)-('Appendix K'!$E$46+'Appendix K'!$F$46+'Appendix K'!$H$46+'Appendix K'!$G$46))/((1+$Y$16)^AN$34))</f>
        <v>204026.09372863779</v>
      </c>
      <c r="AO1028" s="193">
        <f>(((R1028*'Appendix K'!$C$21*1000)-('Appendix K'!$E$47+'Appendix K'!$F$47+'Appendix K'!$H$47+'Appendix K'!$G$47))/((1+$Y$16)^AO$34))</f>
        <v>354997.01560099685</v>
      </c>
      <c r="AP1028" s="193">
        <f>(((S1028*'Appendix K'!$C$22*1000)-('Appendix K'!$E$48+'Appendix K'!$F$48+'Appendix K'!$H$48+'Appendix K'!$G$48))/((1+$Y$16)^AP$34))</f>
        <v>104802.41402229779</v>
      </c>
      <c r="AQ1028" s="193">
        <f>(((T1028*'Appendix K'!$C$23*1000)-('Appendix K'!$E$49+'Appendix K'!$F$49+'Appendix K'!$H$49+'Appendix K'!$G$49))/((1+$Y$16)^AQ$34))</f>
        <v>61879.292485396603</v>
      </c>
      <c r="AR1028" s="193">
        <f>(((U1028*'Appendix K'!$C$24*1000)-('Appendix K'!$E$50+'Appendix K'!$F$50+'Appendix K'!$H$50+'Appendix K'!$G$50))/((1+$Y$16)^AR$34))</f>
        <v>-75684.279599980509</v>
      </c>
      <c r="AS1028" s="209">
        <f t="shared" si="46"/>
        <v>119658563.8753185</v>
      </c>
      <c r="AU1028" s="199">
        <f t="shared" si="45"/>
        <v>5.9939794528489406E-9</v>
      </c>
    </row>
    <row r="1029" spans="1:47" x14ac:dyDescent="0.35">
      <c r="A1029">
        <v>995</v>
      </c>
      <c r="B1029" s="70">
        <v>56</v>
      </c>
      <c r="C1029" s="70">
        <v>18.712013980305549</v>
      </c>
      <c r="D1029" s="70">
        <v>18.391603012163607</v>
      </c>
      <c r="E1029" s="70">
        <v>22.28202085166518</v>
      </c>
      <c r="F1029" s="70">
        <v>21.735059722815262</v>
      </c>
      <c r="G1029" s="70">
        <v>20.05059498876069</v>
      </c>
      <c r="H1029" s="70">
        <v>26.938179830970245</v>
      </c>
      <c r="I1029" s="70">
        <v>20.339844463078101</v>
      </c>
      <c r="J1029" s="70">
        <v>24.435810909373402</v>
      </c>
      <c r="K1029" s="70">
        <v>24.813401711159646</v>
      </c>
      <c r="L1029" s="70">
        <v>26.767321485577643</v>
      </c>
      <c r="M1029" s="70">
        <v>40.679746122834018</v>
      </c>
      <c r="N1029" s="70">
        <v>55.480527866708222</v>
      </c>
      <c r="O1029" s="70">
        <v>84.080112923673781</v>
      </c>
      <c r="P1029" s="70">
        <v>109.98784870815967</v>
      </c>
      <c r="Q1029" s="70">
        <v>229.6821931694999</v>
      </c>
      <c r="R1029" s="70">
        <v>309.95399226668349</v>
      </c>
      <c r="S1029" s="70">
        <v>347.61604290398458</v>
      </c>
      <c r="T1029" s="70">
        <v>500</v>
      </c>
      <c r="U1029" s="70">
        <v>500</v>
      </c>
      <c r="V1029" s="70">
        <v>500</v>
      </c>
      <c r="X1029" s="193">
        <f>((0-('Appendix K'!$I$30))/(1+$Y$16)^0)</f>
        <v>-33594902.4440751</v>
      </c>
      <c r="Y1029" s="193">
        <f>(((B1029*'Appendix K'!$C$5*1000)-('Appendix K'!$E$31+'Appendix K'!$F$31+'Appendix K'!$H$31+'Appendix K'!$G$31))/((1+$Y$16)^1))</f>
        <v>34971064.972647354</v>
      </c>
      <c r="Z1029" s="193">
        <f>+(((C1029*'Appendix K'!$C$6*1000)-('Appendix K'!$E$32+'Appendix K'!$F$32+'Appendix K'!$H$32+'Appendix K'!$G$32))/((1+$Y$16)^2))</f>
        <v>1239727.0954358235</v>
      </c>
      <c r="AA1029" s="193">
        <f>(((D1029*'Appendix K'!$C$7*1000)-('Appendix K'!$E$33+'Appendix K'!$F$33+'Appendix K'!$H$33+'Appendix K'!$G$33))/((1+$Y$16)^3))</f>
        <v>-622269.97677938384</v>
      </c>
      <c r="AB1029" s="193">
        <f>(((E1029*'Appendix K'!$C$8*1000)-('Appendix K'!$E$34+'Appendix K'!$F$34+'Appendix K'!$H$34+'Appendix K'!$G$34))/((1+$Y$16)^4))</f>
        <v>1590807.1095619898</v>
      </c>
      <c r="AC1029" s="193">
        <f>(((F1029*'Appendix K'!$C$9*1000)-('Appendix K'!$E$35+'Appendix K'!$F$35+'Appendix K'!$H$35+'Appendix K'!$G$35))/((1+$Y$16)^AC$34))</f>
        <v>2792916.2249967074</v>
      </c>
      <c r="AD1029" s="193">
        <f>(((G1029*'Appendix K'!$C$10*1000)-('Appendix K'!$E$36+'Appendix K'!$F$36+'Appendix K'!$H$36+'Appendix K'!$G$36))/((1+$Y$16)^AD$34))</f>
        <v>633061.68949731265</v>
      </c>
      <c r="AE1029" s="193">
        <f>(((H1029*'Appendix K'!$C$11*1000)-('Appendix K'!$E$37+'Appendix K'!$F$37+'Appendix K'!$H$37+'Appendix K'!$G$37))/((1+$Y$16)^AE$34))</f>
        <v>466809.21612139273</v>
      </c>
      <c r="AF1029" s="193">
        <f>(((I1029*'Appendix K'!$C$12*1000)-('Appendix K'!$E$38+'Appendix K'!$F$38+'Appendix K'!$H$38+'Appendix K'!$G$38))/((1+$Y$16)^AF$34))</f>
        <v>-661015.4576027299</v>
      </c>
      <c r="AG1029" s="193">
        <f>(((J1029*'Appendix K'!$C$13*1000)-('Appendix K'!$E$39+'Appendix K'!$F$39+'Appendix K'!$H$39+'Appendix K'!$G$39))/((1+$Y$16)^AG$34))</f>
        <v>-690433.93667071837</v>
      </c>
      <c r="AH1029" s="193">
        <f>(((K1029*'Appendix K'!$C$14*1000)-('Appendix K'!$E$40+'Appendix K'!$F$40+'Appendix K'!$H$40+'Appendix K'!$G$40))/((1+$Y$16)^AH$34))</f>
        <v>-796367.56737129192</v>
      </c>
      <c r="AI1029" s="193">
        <f>(((L1029*'Appendix K'!$C$15*1000)-('Appendix K'!$E$41+'Appendix K'!$F$41+'Appendix K'!$H$41+'Appendix K'!$G$41))/((1+$Y$16)^AI$34))</f>
        <v>-815127.47027227073</v>
      </c>
      <c r="AJ1029" s="193">
        <f>(((M1029*'Appendix K'!$C$16*1000)-('Appendix K'!$E$42+'Appendix K'!$F$42+'Appendix K'!$H$42+'Appendix K'!$G$42))/((1+$Y$16)^AJ$34))</f>
        <v>-566252.89821736363</v>
      </c>
      <c r="AK1029" s="193">
        <f>(((N1029*'Appendix K'!$C$17*1000)-('Appendix K'!$E$43+'Appendix K'!$F$43+'Appendix K'!$H$43))/((1+$Y$16)^AK$34))</f>
        <v>-151861.47506649478</v>
      </c>
      <c r="AL1029" s="193">
        <f>(((O1029*'Appendix K'!$C$18*1000)-('Appendix K'!$E$44+'Appendix K'!$F$44+'Appendix K'!$H$44+'Appendix K'!$G$44))/((1+$Y$16)^AL$34))</f>
        <v>-137962.80643390538</v>
      </c>
      <c r="AM1029" s="193">
        <f>(((P1029*'Appendix K'!$C$19*1000)-('Appendix K'!$E$45+'Appendix K'!$F$45+'Appendix K'!$H$45+'Appendix K'!$G$45))/((1+$Y$16)^AM$34))</f>
        <v>-7318.0720282521634</v>
      </c>
      <c r="AN1029" s="193">
        <f>(((Q1029*'Appendix K'!$C$20*1000)-('Appendix K'!$E$46+'Appendix K'!$F$46+'Appendix K'!$H$46+'Appendix K'!$G$46))/((1+$Y$16)^AN$34))</f>
        <v>746321.32688380359</v>
      </c>
      <c r="AO1029" s="193">
        <f>(((R1029*'Appendix K'!$C$21*1000)-('Appendix K'!$E$47+'Appendix K'!$F$47+'Appendix K'!$H$47+'Appendix K'!$G$47))/((1+$Y$16)^AO$34))</f>
        <v>988863.41264463321</v>
      </c>
      <c r="AP1029" s="193">
        <f>(((S1029*'Appendix K'!$C$22*1000)-('Appendix K'!$E$48+'Appendix K'!$F$48+'Appendix K'!$H$48+'Appendix K'!$G$48))/((1+$Y$16)^AP$34))</f>
        <v>900530.05136006034</v>
      </c>
      <c r="AQ1029" s="193">
        <f>(((T1029*'Appendix K'!$C$23*1000)-('Appendix K'!$E$49+'Appendix K'!$F$49+'Appendix K'!$H$49+'Appendix K'!$G$49))/((1+$Y$16)^AQ$34))</f>
        <v>1263386.3652054211</v>
      </c>
      <c r="AR1029" s="193">
        <f>(((U1029*'Appendix K'!$C$24*1000)-('Appendix K'!$E$50+'Appendix K'!$F$50+'Appendix K'!$H$50+'Appendix K'!$G$50))/((1+$Y$16)^AR$34))</f>
        <v>980725.14012097823</v>
      </c>
      <c r="AS1029" s="209">
        <f t="shared" si="46"/>
        <v>12979310.160400368</v>
      </c>
      <c r="AU1029" s="199">
        <f t="shared" si="45"/>
        <v>2.9603216654652215E-9</v>
      </c>
    </row>
    <row r="1030" spans="1:47" x14ac:dyDescent="0.35">
      <c r="A1030">
        <v>996</v>
      </c>
      <c r="B1030" s="70">
        <v>56</v>
      </c>
      <c r="C1030" s="70">
        <v>65.408142133306839</v>
      </c>
      <c r="D1030" s="70">
        <v>97.993102685894939</v>
      </c>
      <c r="E1030" s="70">
        <v>90.175874736050204</v>
      </c>
      <c r="F1030" s="70">
        <v>98.100828445567672</v>
      </c>
      <c r="G1030" s="70">
        <v>84.577667159795453</v>
      </c>
      <c r="H1030" s="70">
        <v>63.607832930127763</v>
      </c>
      <c r="I1030" s="70">
        <v>80.463090899055615</v>
      </c>
      <c r="J1030" s="70">
        <v>122.88970412998</v>
      </c>
      <c r="K1030" s="70">
        <v>110.33310296464293</v>
      </c>
      <c r="L1030" s="70">
        <v>110.48245024245657</v>
      </c>
      <c r="M1030" s="70">
        <v>141.89933958133156</v>
      </c>
      <c r="N1030" s="70">
        <v>207.52904138429369</v>
      </c>
      <c r="O1030" s="70">
        <v>198.90105401100004</v>
      </c>
      <c r="P1030" s="70">
        <v>245.81954795825601</v>
      </c>
      <c r="Q1030" s="70">
        <v>234.47305055003341</v>
      </c>
      <c r="R1030" s="70">
        <v>179.50947211912063</v>
      </c>
      <c r="S1030" s="70">
        <v>249.81978933046969</v>
      </c>
      <c r="T1030" s="70">
        <v>393.34148218717746</v>
      </c>
      <c r="U1030" s="70">
        <v>334.97869696319725</v>
      </c>
      <c r="V1030" s="70">
        <v>306.54670356536457</v>
      </c>
      <c r="X1030" s="193">
        <f>((0-('Appendix K'!$I$30))/(1+$Y$16)^0)</f>
        <v>-33594902.4440751</v>
      </c>
      <c r="Y1030" s="193">
        <f>(((B1030*'Appendix K'!$C$5*1000)-('Appendix K'!$E$31+'Appendix K'!$F$31+'Appendix K'!$H$31+'Appendix K'!$G$31))/((1+$Y$16)^1))</f>
        <v>34971064.972647354</v>
      </c>
      <c r="Z1030" s="193">
        <f>+(((C1030*'Appendix K'!$C$6*1000)-('Appendix K'!$E$32+'Appendix K'!$F$32+'Appendix K'!$H$32+'Appendix K'!$G$32))/((1+$Y$16)^2))</f>
        <v>13035967.716558078</v>
      </c>
      <c r="AA1030" s="193">
        <f>(((D1030*'Appendix K'!$C$7*1000)-('Appendix K'!$E$33+'Appendix K'!$F$33+'Appendix K'!$H$33+'Appendix K'!$G$33))/((1+$Y$16)^3))</f>
        <v>9516960.883704463</v>
      </c>
      <c r="AB1030" s="193">
        <f>(((E1030*'Appendix K'!$C$8*1000)-('Appendix K'!$E$34+'Appendix K'!$F$34+'Appendix K'!$H$34+'Appendix K'!$G$34))/((1+$Y$16)^4))</f>
        <v>16472518.372607278</v>
      </c>
      <c r="AC1030" s="193">
        <f>(((F1030*'Appendix K'!$C$9*1000)-('Appendix K'!$E$35+'Appendix K'!$F$35+'Appendix K'!$H$35+'Appendix K'!$G$35))/((1+$Y$16)^AC$34))</f>
        <v>23090817.635728519</v>
      </c>
      <c r="AD1030" s="193">
        <f>(((G1030*'Appendix K'!$C$10*1000)-('Appendix K'!$E$36+'Appendix K'!$F$36+'Appendix K'!$H$36+'Appendix K'!$G$36))/((1+$Y$16)^AD$34))</f>
        <v>10766648.083015259</v>
      </c>
      <c r="AE1030" s="193">
        <f>(((H1030*'Appendix K'!$C$11*1000)-('Appendix K'!$E$37+'Appendix K'!$F$37+'Appendix K'!$H$37+'Appendix K'!$G$37))/((1+$Y$16)^AE$34))</f>
        <v>4124153.4664877588</v>
      </c>
      <c r="AF1030" s="193">
        <f>(((I1030*'Appendix K'!$C$12*1000)-('Appendix K'!$E$38+'Appendix K'!$F$38+'Appendix K'!$H$38+'Appendix K'!$G$38))/((1+$Y$16)^AF$34))</f>
        <v>3286822.8248497755</v>
      </c>
      <c r="AG1030" s="193">
        <f>(((J1030*'Appendix K'!$C$13*1000)-('Appendix K'!$E$39+'Appendix K'!$F$39+'Appendix K'!$H$39+'Appendix K'!$G$39))/((1+$Y$16)^AG$34))</f>
        <v>3840309.1358942892</v>
      </c>
      <c r="AH1030" s="193">
        <f>(((K1030*'Appendix K'!$C$14*1000)-('Appendix K'!$E$40+'Appendix K'!$F$40+'Appendix K'!$H$40+'Appendix K'!$G$40))/((1+$Y$16)^AH$34))</f>
        <v>2086204.5311076387</v>
      </c>
      <c r="AI1030" s="193">
        <f>(((L1030*'Appendix K'!$C$15*1000)-('Appendix K'!$E$41+'Appendix K'!$F$41+'Appendix K'!$H$41+'Appendix K'!$G$41))/((1+$Y$16)^AI$34))</f>
        <v>1378365.4512163682</v>
      </c>
      <c r="AJ1030" s="193">
        <f>(((M1030*'Appendix K'!$C$16*1000)-('Appendix K'!$E$42+'Appendix K'!$F$42+'Appendix K'!$H$42+'Appendix K'!$G$42))/((1+$Y$16)^AJ$34))</f>
        <v>1462376.7294398043</v>
      </c>
      <c r="AK1030" s="193">
        <f>(((N1030*'Appendix K'!$C$17*1000)-('Appendix K'!$E$43+'Appendix K'!$F$43+'Appendix K'!$H$43))/((1+$Y$16)^AK$34))</f>
        <v>2184196.2959620771</v>
      </c>
      <c r="AL1030" s="193">
        <f>(((O1030*'Appendix K'!$C$18*1000)-('Appendix K'!$E$44+'Appendix K'!$F$44+'Appendix K'!$H$44+'Appendix K'!$G$44))/((1+$Y$16)^AL$34))</f>
        <v>1223043.5945802019</v>
      </c>
      <c r="AM1030" s="193">
        <f>(((P1030*'Appendix K'!$C$19*1000)-('Appendix K'!$E$45+'Appendix K'!$F$45+'Appendix K'!$H$45+'Appendix K'!$G$45))/((1+$Y$16)^AM$34))</f>
        <v>1251669.5172095255</v>
      </c>
      <c r="AN1030" s="193">
        <f>(((Q1030*'Appendix K'!$C$20*1000)-('Appendix K'!$E$46+'Appendix K'!$F$46+'Appendix K'!$H$46+'Appendix K'!$G$46))/((1+$Y$16)^AN$34))</f>
        <v>780989.00998264144</v>
      </c>
      <c r="AO1030" s="193">
        <f>(((R1030*'Appendix K'!$C$21*1000)-('Appendix K'!$E$47+'Appendix K'!$F$47+'Appendix K'!$H$47+'Appendix K'!$G$47))/((1+$Y$16)^AO$34))</f>
        <v>217921.88705670205</v>
      </c>
      <c r="AP1030" s="193">
        <f>(((S1030*'Appendix K'!$C$22*1000)-('Appendix K'!$E$48+'Appendix K'!$F$48+'Appendix K'!$H$48+'Appendix K'!$G$48))/((1+$Y$16)^AP$34))</f>
        <v>432113.44407469116</v>
      </c>
      <c r="AQ1030" s="193">
        <f>(((T1030*'Appendix K'!$C$23*1000)-('Appendix K'!$E$49+'Appendix K'!$F$49+'Appendix K'!$H$49+'Appendix K'!$G$49))/((1+$Y$16)^AQ$34))</f>
        <v>845952.23176686885</v>
      </c>
      <c r="AR1030" s="193">
        <f>(((U1030*'Appendix K'!$C$24*1000)-('Appendix K'!$E$50+'Appendix K'!$F$50+'Appendix K'!$H$50+'Appendix K'!$G$50))/((1+$Y$16)^AR$34))</f>
        <v>449351.92063392268</v>
      </c>
      <c r="AS1030" s="209">
        <f t="shared" si="46"/>
        <v>97822545.260448128</v>
      </c>
      <c r="AU1030" s="199">
        <f t="shared" si="45"/>
        <v>6.9169231195869697E-9</v>
      </c>
    </row>
    <row r="1031" spans="1:47" x14ac:dyDescent="0.35">
      <c r="A1031">
        <v>997</v>
      </c>
      <c r="B1031" s="70">
        <v>56</v>
      </c>
      <c r="C1031" s="70">
        <v>67.252064667136494</v>
      </c>
      <c r="D1031" s="70">
        <v>94.758593333501452</v>
      </c>
      <c r="E1031" s="70">
        <v>121.32537017543396</v>
      </c>
      <c r="F1031" s="70">
        <v>115.06124998322875</v>
      </c>
      <c r="G1031" s="70">
        <v>100.74108959815395</v>
      </c>
      <c r="H1031" s="70">
        <v>77.243931427611386</v>
      </c>
      <c r="I1031" s="70">
        <v>50.219515282214694</v>
      </c>
      <c r="J1031" s="70">
        <v>73.554148803269612</v>
      </c>
      <c r="K1031" s="70">
        <v>68.321817655040206</v>
      </c>
      <c r="L1031" s="70">
        <v>57.653129989350603</v>
      </c>
      <c r="M1031" s="70">
        <v>54.86229286095255</v>
      </c>
      <c r="N1031" s="70">
        <v>43.980454743299582</v>
      </c>
      <c r="O1031" s="70">
        <v>59.383205404600901</v>
      </c>
      <c r="P1031" s="70">
        <v>37.72198658296039</v>
      </c>
      <c r="Q1031" s="70">
        <v>73.889281342675645</v>
      </c>
      <c r="R1031" s="70">
        <v>29.113256845672012</v>
      </c>
      <c r="S1031" s="70">
        <v>41.800168014981359</v>
      </c>
      <c r="T1031" s="70">
        <v>38.837474122914472</v>
      </c>
      <c r="U1031" s="70">
        <v>34.449467620203222</v>
      </c>
      <c r="V1031" s="70">
        <v>34.610860062812087</v>
      </c>
      <c r="X1031" s="193">
        <f>((0-('Appendix K'!$I$30))/(1+$Y$16)^0)</f>
        <v>-33594902.4440751</v>
      </c>
      <c r="Y1031" s="193">
        <f>(((B1031*'Appendix K'!$C$5*1000)-('Appendix K'!$E$31+'Appendix K'!$F$31+'Appendix K'!$H$31+'Appendix K'!$G$31))/((1+$Y$16)^1))</f>
        <v>34971064.972647354</v>
      </c>
      <c r="Z1031" s="193">
        <f>+(((C1031*'Appendix K'!$C$6*1000)-('Appendix K'!$E$32+'Appendix K'!$F$32+'Appendix K'!$H$32+'Appendix K'!$G$32))/((1+$Y$16)^2))</f>
        <v>13501774.085439352</v>
      </c>
      <c r="AA1031" s="193">
        <f>(((D1031*'Appendix K'!$C$7*1000)-('Appendix K'!$E$33+'Appendix K'!$F$33+'Appendix K'!$H$33+'Appendix K'!$G$33))/((1+$Y$16)^3))</f>
        <v>9104965.6678010821</v>
      </c>
      <c r="AB1031" s="193">
        <f>(((E1031*'Appendix K'!$C$8*1000)-('Appendix K'!$E$34+'Appendix K'!$F$34+'Appendix K'!$H$34+'Appendix K'!$G$34))/((1+$Y$16)^4))</f>
        <v>23300202.626734868</v>
      </c>
      <c r="AC1031" s="193">
        <f>(((F1031*'Appendix K'!$C$9*1000)-('Appendix K'!$E$35+'Appendix K'!$F$35+'Appendix K'!$H$35+'Appendix K'!$G$35))/((1+$Y$16)^AC$34))</f>
        <v>27598871.047797788</v>
      </c>
      <c r="AD1031" s="193">
        <f>(((G1031*'Appendix K'!$C$10*1000)-('Appendix K'!$E$36+'Appendix K'!$F$36+'Appendix K'!$H$36+'Appendix K'!$G$36))/((1+$Y$16)^AD$34))</f>
        <v>13305015.812762599</v>
      </c>
      <c r="AE1031" s="193">
        <f>(((H1031*'Appendix K'!$C$11*1000)-('Appendix K'!$E$37+'Appendix K'!$F$37+'Appendix K'!$H$37+'Appendix K'!$G$37))/((1+$Y$16)^AE$34))</f>
        <v>5484185.5972075062</v>
      </c>
      <c r="AF1031" s="193">
        <f>(((I1031*'Appendix K'!$C$12*1000)-('Appendix K'!$E$38+'Appendix K'!$F$38+'Appendix K'!$H$38+'Appendix K'!$G$38))/((1+$Y$16)^AF$34))</f>
        <v>1300956.2475093144</v>
      </c>
      <c r="AG1031" s="193">
        <f>(((J1031*'Appendix K'!$C$13*1000)-('Appendix K'!$E$39+'Appendix K'!$F$39+'Appendix K'!$H$39+'Appendix K'!$G$39))/((1+$Y$16)^AG$34))</f>
        <v>1569939.5424158245</v>
      </c>
      <c r="AH1031" s="193">
        <f>(((K1031*'Appendix K'!$C$14*1000)-('Appendix K'!$E$40+'Appendix K'!$F$40+'Appendix K'!$H$40+'Appendix K'!$G$40))/((1+$Y$16)^AH$34))</f>
        <v>670150.0187590461</v>
      </c>
      <c r="AI1031" s="193">
        <f>(((L1031*'Appendix K'!$C$15*1000)-('Appendix K'!$E$41+'Appendix K'!$F$41+'Appendix K'!$H$41+'Appendix K'!$G$41))/((1+$Y$16)^AI$34))</f>
        <v>-5861.530728306142</v>
      </c>
      <c r="AJ1031" s="193">
        <f>(((M1031*'Appendix K'!$C$16*1000)-('Appendix K'!$E$42+'Appendix K'!$F$42+'Appendix K'!$H$42+'Appendix K'!$G$42))/((1+$Y$16)^AJ$34))</f>
        <v>-282008.18308346375</v>
      </c>
      <c r="AK1031" s="193">
        <f>(((N1031*'Appendix K'!$C$17*1000)-('Appendix K'!$E$43+'Appendix K'!$F$43+'Appendix K'!$H$43))/((1+$Y$16)^AK$34))</f>
        <v>-328547.4193472226</v>
      </c>
      <c r="AL1031" s="193">
        <f>(((O1031*'Appendix K'!$C$18*1000)-('Appendix K'!$E$44+'Appendix K'!$F$44+'Appendix K'!$H$44+'Appendix K'!$G$44))/((1+$Y$16)^AL$34))</f>
        <v>-430702.51837502036</v>
      </c>
      <c r="AM1031" s="193">
        <f>(((P1031*'Appendix K'!$C$19*1000)-('Appendix K'!$E$45+'Appendix K'!$F$45+'Appendix K'!$H$45+'Appendix K'!$G$45))/((1+$Y$16)^AM$34))</f>
        <v>-677130.96580407512</v>
      </c>
      <c r="AN1031" s="193">
        <f>(((Q1031*'Appendix K'!$C$20*1000)-('Appendix K'!$E$46+'Appendix K'!$F$46+'Appendix K'!$H$46+'Appendix K'!$G$46))/((1+$Y$16)^AN$34))</f>
        <v>-381029.97315762052</v>
      </c>
      <c r="AO1031" s="193">
        <f>(((R1031*'Appendix K'!$C$21*1000)-('Appendix K'!$E$47+'Appendix K'!$F$47+'Appendix K'!$H$47+'Appendix K'!$G$47))/((1+$Y$16)^AO$34))</f>
        <v>-670936.36098929413</v>
      </c>
      <c r="AP1031" s="193">
        <f>(((S1031*'Appendix K'!$C$22*1000)-('Appendix K'!$E$48+'Appendix K'!$F$48+'Appendix K'!$H$48+'Appendix K'!$G$48))/((1+$Y$16)^AP$34))</f>
        <v>-564242.15959003789</v>
      </c>
      <c r="AQ1031" s="193">
        <f>(((T1031*'Appendix K'!$C$23*1000)-('Appendix K'!$E$49+'Appendix K'!$F$49+'Appendix K'!$H$49+'Appendix K'!$G$49))/((1+$Y$16)^AQ$34))</f>
        <v>-541485.70044306619</v>
      </c>
      <c r="AR1031" s="193">
        <f>(((U1031*'Appendix K'!$C$24*1000)-('Appendix K'!$E$50+'Appendix K'!$F$50+'Appendix K'!$H$50+'Appendix K'!$G$50))/((1+$Y$16)^AR$34))</f>
        <v>-518360.61833649134</v>
      </c>
      <c r="AS1031" s="209">
        <f t="shared" si="46"/>
        <v>97212223.174999624</v>
      </c>
      <c r="AU1031" s="199">
        <f t="shared" si="45"/>
        <v>6.9299122581894909E-9</v>
      </c>
    </row>
    <row r="1032" spans="1:47" x14ac:dyDescent="0.35">
      <c r="A1032">
        <v>998</v>
      </c>
      <c r="B1032" s="70">
        <v>56</v>
      </c>
      <c r="C1032" s="70">
        <v>46.894343520386826</v>
      </c>
      <c r="D1032" s="70">
        <v>32.789518597431311</v>
      </c>
      <c r="E1032" s="70">
        <v>20.47039459921541</v>
      </c>
      <c r="F1032" s="70">
        <v>20.681583547988986</v>
      </c>
      <c r="G1032" s="70">
        <v>22.597706419628373</v>
      </c>
      <c r="H1032" s="70">
        <v>30.594750451108467</v>
      </c>
      <c r="I1032" s="70">
        <v>41.641207074159382</v>
      </c>
      <c r="J1032" s="70">
        <v>46.743393146701308</v>
      </c>
      <c r="K1032" s="70">
        <v>65.256371311498626</v>
      </c>
      <c r="L1032" s="70">
        <v>67.377530028232954</v>
      </c>
      <c r="M1032" s="70">
        <v>90.459589393618472</v>
      </c>
      <c r="N1032" s="70">
        <v>112.63473054529727</v>
      </c>
      <c r="O1032" s="70">
        <v>127.09392841817044</v>
      </c>
      <c r="P1032" s="70">
        <v>164.28720613246759</v>
      </c>
      <c r="Q1032" s="70">
        <v>243.60260698400111</v>
      </c>
      <c r="R1032" s="70">
        <v>351.8688740966428</v>
      </c>
      <c r="S1032" s="70">
        <v>344.08882512637604</v>
      </c>
      <c r="T1032" s="70">
        <v>364.16847087740086</v>
      </c>
      <c r="U1032" s="70">
        <v>217.87904859500995</v>
      </c>
      <c r="V1032" s="70">
        <v>225.42346382253351</v>
      </c>
      <c r="X1032" s="193">
        <f>((0-('Appendix K'!$I$30))/(1+$Y$16)^0)</f>
        <v>-33594902.4440751</v>
      </c>
      <c r="Y1032" s="193">
        <f>(((B1032*'Appendix K'!$C$5*1000)-('Appendix K'!$E$31+'Appendix K'!$F$31+'Appendix K'!$H$31+'Appendix K'!$G$31))/((1+$Y$16)^1))</f>
        <v>34971064.972647354</v>
      </c>
      <c r="Z1032" s="193">
        <f>+(((C1032*'Appendix K'!$C$6*1000)-('Appendix K'!$E$32+'Appendix K'!$F$32+'Appendix K'!$H$32+'Appendix K'!$G$32))/((1+$Y$16)^2))</f>
        <v>8359065.5431395061</v>
      </c>
      <c r="AA1032" s="193">
        <f>(((D1032*'Appendix K'!$C$7*1000)-('Appendix K'!$E$33+'Appendix K'!$F$33+'Appendix K'!$H$33+'Appendix K'!$G$33))/((1+$Y$16)^3))</f>
        <v>1211662.6831220307</v>
      </c>
      <c r="AB1032" s="193">
        <f>(((E1032*'Appendix K'!$C$8*1000)-('Appendix K'!$E$34+'Appendix K'!$F$34+'Appendix K'!$H$34+'Appendix K'!$G$34))/((1+$Y$16)^4))</f>
        <v>1193715.2188671404</v>
      </c>
      <c r="AC1032" s="193">
        <f>(((F1032*'Appendix K'!$C$9*1000)-('Appendix K'!$E$35+'Appendix K'!$F$35+'Appendix K'!$H$35+'Appendix K'!$G$35))/((1+$Y$16)^AC$34))</f>
        <v>2512903.9119823333</v>
      </c>
      <c r="AD1032" s="193">
        <f>(((G1032*'Appendix K'!$C$10*1000)-('Appendix K'!$E$36+'Appendix K'!$F$36+'Appendix K'!$H$36+'Appendix K'!$G$36))/((1+$Y$16)^AD$34))</f>
        <v>1033070.1335531572</v>
      </c>
      <c r="AE1032" s="193">
        <f>(((H1032*'Appendix K'!$C$11*1000)-('Appendix K'!$E$37+'Appendix K'!$F$37+'Appendix K'!$H$37+'Appendix K'!$G$37))/((1+$Y$16)^AE$34))</f>
        <v>831506.89944712759</v>
      </c>
      <c r="AF1032" s="193">
        <f>(((I1032*'Appendix K'!$C$12*1000)-('Appendix K'!$E$38+'Appendix K'!$F$38+'Appendix K'!$H$38+'Appendix K'!$G$38))/((1+$Y$16)^AF$34))</f>
        <v>737683.71067949734</v>
      </c>
      <c r="AG1032" s="193">
        <f>(((J1032*'Appendix K'!$C$13*1000)-('Appendix K'!$E$39+'Appendix K'!$F$39+'Appendix K'!$H$39+'Appendix K'!$G$39))/((1+$Y$16)^AG$34))</f>
        <v>336137.18592551304</v>
      </c>
      <c r="AH1032" s="193">
        <f>(((K1032*'Appendix K'!$C$14*1000)-('Appendix K'!$E$40+'Appendix K'!$F$40+'Appendix K'!$H$40+'Appendix K'!$G$40))/((1+$Y$16)^AH$34))</f>
        <v>566824.46956090396</v>
      </c>
      <c r="AI1032" s="193">
        <f>(((L1032*'Appendix K'!$C$15*1000)-('Appendix K'!$E$41+'Appendix K'!$F$41+'Appendix K'!$H$41+'Appendix K'!$G$41))/((1+$Y$16)^AI$34))</f>
        <v>248935.93500765343</v>
      </c>
      <c r="AJ1032" s="193">
        <f>(((M1032*'Appendix K'!$C$16*1000)-('Appendix K'!$E$42+'Appendix K'!$F$42+'Appendix K'!$H$42+'Appendix K'!$G$42))/((1+$Y$16)^AJ$34))</f>
        <v>431428.09879879089</v>
      </c>
      <c r="AK1032" s="193">
        <f>(((N1032*'Appendix K'!$C$17*1000)-('Appendix K'!$E$43+'Appendix K'!$F$43+'Appendix K'!$H$43))/((1+$Y$16)^AK$34))</f>
        <v>726249.83444537374</v>
      </c>
      <c r="AL1032" s="193">
        <f>(((O1032*'Appendix K'!$C$18*1000)-('Appendix K'!$E$44+'Appendix K'!$F$44+'Appendix K'!$H$44+'Appendix K'!$G$44))/((1+$Y$16)^AL$34))</f>
        <v>371892.60552902182</v>
      </c>
      <c r="AM1032" s="193">
        <f>(((P1032*'Appendix K'!$C$19*1000)-('Appendix K'!$E$45+'Appendix K'!$F$45+'Appendix K'!$H$45+'Appendix K'!$G$45))/((1+$Y$16)^AM$34))</f>
        <v>495968.10843040369</v>
      </c>
      <c r="AN1032" s="193">
        <f>(((Q1032*'Appendix K'!$C$20*1000)-('Appendix K'!$E$46+'Appendix K'!$F$46+'Appendix K'!$H$46+'Appendix K'!$G$46))/((1+$Y$16)^AN$34))</f>
        <v>847052.46045640623</v>
      </c>
      <c r="AO1032" s="193">
        <f>(((R1032*'Appendix K'!$C$21*1000)-('Appendix K'!$E$47+'Appendix K'!$F$47+'Appendix K'!$H$47+'Appendix K'!$G$47))/((1+$Y$16)^AO$34))</f>
        <v>1236584.9950175239</v>
      </c>
      <c r="AP1032" s="193">
        <f>(((S1032*'Appendix K'!$C$22*1000)-('Appendix K'!$E$48+'Appendix K'!$F$48+'Appendix K'!$H$48+'Appendix K'!$G$48))/((1+$Y$16)^AP$34))</f>
        <v>883635.6681483147</v>
      </c>
      <c r="AQ1032" s="193">
        <f>(((T1032*'Appendix K'!$C$23*1000)-('Appendix K'!$E$49+'Appendix K'!$F$49+'Appendix K'!$H$49+'Appendix K'!$G$49))/((1+$Y$16)^AQ$34))</f>
        <v>731776.53398283664</v>
      </c>
      <c r="AR1032" s="193">
        <f>(((U1032*'Appendix K'!$C$24*1000)-('Appendix K'!$E$50+'Appendix K'!$F$50+'Appendix K'!$H$50+'Appendix K'!$G$50))/((1+$Y$16)^AR$34))</f>
        <v>72287.771889873358</v>
      </c>
      <c r="AS1032" s="209">
        <f t="shared" si="46"/>
        <v>24204544.296555653</v>
      </c>
      <c r="AU1032" s="199">
        <f t="shared" si="45"/>
        <v>3.7654754846990524E-9</v>
      </c>
    </row>
    <row r="1033" spans="1:47" x14ac:dyDescent="0.35">
      <c r="A1033">
        <v>999</v>
      </c>
      <c r="B1033" s="70">
        <v>56</v>
      </c>
      <c r="C1033" s="70">
        <v>83.158595180866726</v>
      </c>
      <c r="D1033" s="70">
        <v>110.41465422370756</v>
      </c>
      <c r="E1033" s="70">
        <v>133.43838524296984</v>
      </c>
      <c r="F1033" s="70">
        <v>126.14649317198064</v>
      </c>
      <c r="G1033" s="70">
        <v>94.465721658316937</v>
      </c>
      <c r="H1033" s="70">
        <v>113.96128995689617</v>
      </c>
      <c r="I1033" s="70">
        <v>117.14167764719456</v>
      </c>
      <c r="J1033" s="70">
        <v>157.79218367204373</v>
      </c>
      <c r="K1033" s="70">
        <v>137.04058027013292</v>
      </c>
      <c r="L1033" s="70">
        <v>153.84922589886659</v>
      </c>
      <c r="M1033" s="70">
        <v>151.42174416811713</v>
      </c>
      <c r="N1033" s="70">
        <v>151.1016903663384</v>
      </c>
      <c r="O1033" s="70">
        <v>172.38882968007152</v>
      </c>
      <c r="P1033" s="70">
        <v>154.15263723038379</v>
      </c>
      <c r="Q1033" s="70">
        <v>173.14742145040208</v>
      </c>
      <c r="R1033" s="70">
        <v>195.49625095834122</v>
      </c>
      <c r="S1033" s="70">
        <v>234.08050912247455</v>
      </c>
      <c r="T1033" s="70">
        <v>228.66452679161574</v>
      </c>
      <c r="U1033" s="70">
        <v>232.10072155825196</v>
      </c>
      <c r="V1033" s="70">
        <v>273.94959384632853</v>
      </c>
      <c r="X1033" s="193">
        <f>((0-('Appendix K'!$I$30))/(1+$Y$16)^0)</f>
        <v>-33594902.4440751</v>
      </c>
      <c r="Y1033" s="193">
        <f>(((B1033*'Appendix K'!$C$5*1000)-('Appendix K'!$E$31+'Appendix K'!$F$31+'Appendix K'!$H$31+'Appendix K'!$G$31))/((1+$Y$16)^1))</f>
        <v>34971064.972647354</v>
      </c>
      <c r="Z1033" s="193">
        <f>+(((C1033*'Appendix K'!$C$6*1000)-('Appendix K'!$E$32+'Appendix K'!$F$32+'Appendix K'!$H$32+'Appendix K'!$G$32))/((1+$Y$16)^2))</f>
        <v>17520035.744572759</v>
      </c>
      <c r="AA1033" s="193">
        <f>(((D1033*'Appendix K'!$C$7*1000)-('Appendix K'!$E$33+'Appendix K'!$F$33+'Appendix K'!$H$33+'Appendix K'!$G$33))/((1+$Y$16)^3))</f>
        <v>11099154.425327428</v>
      </c>
      <c r="AB1033" s="193">
        <f>(((E1033*'Appendix K'!$C$8*1000)-('Appendix K'!$E$34+'Appendix K'!$F$34+'Appendix K'!$H$34+'Appendix K'!$G$34))/((1+$Y$16)^4))</f>
        <v>25955264.645558409</v>
      </c>
      <c r="AC1033" s="193">
        <f>(((F1033*'Appendix K'!$C$9*1000)-('Appendix K'!$E$35+'Appendix K'!$F$35+'Appendix K'!$H$35+'Appendix K'!$G$35))/((1+$Y$16)^AC$34))</f>
        <v>30545311.280412562</v>
      </c>
      <c r="AD1033" s="193">
        <f>(((G1033*'Appendix K'!$C$10*1000)-('Appendix K'!$E$36+'Appendix K'!$F$36+'Appendix K'!$H$36+'Appendix K'!$G$36))/((1+$Y$16)^AD$34))</f>
        <v>12319507.234271778</v>
      </c>
      <c r="AE1033" s="193">
        <f>(((H1033*'Appendix K'!$C$11*1000)-('Appendix K'!$E$37+'Appendix K'!$F$37+'Appendix K'!$H$37+'Appendix K'!$G$37))/((1+$Y$16)^AE$34))</f>
        <v>9146287.8740573879</v>
      </c>
      <c r="AF1033" s="193">
        <f>(((I1033*'Appendix K'!$C$12*1000)-('Appendix K'!$E$38+'Appendix K'!$F$38+'Appendix K'!$H$38+'Appendix K'!$G$38))/((1+$Y$16)^AF$34))</f>
        <v>5695227.8510944918</v>
      </c>
      <c r="AG1033" s="193">
        <f>(((J1033*'Appendix K'!$C$13*1000)-('Appendix K'!$E$39+'Appendix K'!$F$39+'Appendix K'!$H$39+'Appendix K'!$G$39))/((1+$Y$16)^AG$34))</f>
        <v>5446483.9881798588</v>
      </c>
      <c r="AH1033" s="193">
        <f>(((K1033*'Appendix K'!$C$14*1000)-('Appendix K'!$E$40+'Appendix K'!$F$40+'Appendix K'!$H$40+'Appendix K'!$G$40))/((1+$Y$16)^AH$34))</f>
        <v>2986420.8294945438</v>
      </c>
      <c r="AI1033" s="193">
        <f>(((L1033*'Appendix K'!$C$15*1000)-('Appendix K'!$E$41+'Appendix K'!$F$41+'Appendix K'!$H$41+'Appendix K'!$G$41))/((1+$Y$16)^AI$34))</f>
        <v>2514656.0696824454</v>
      </c>
      <c r="AJ1033" s="193">
        <f>(((M1033*'Appendix K'!$C$16*1000)-('Appendix K'!$E$42+'Appendix K'!$F$42+'Appendix K'!$H$42+'Appendix K'!$G$42))/((1+$Y$16)^AJ$34))</f>
        <v>1653223.4954783614</v>
      </c>
      <c r="AK1033" s="193">
        <f>(((N1033*'Appendix K'!$C$17*1000)-('Appendix K'!$E$43+'Appendix K'!$F$43+'Appendix K'!$H$43))/((1+$Y$16)^AK$34))</f>
        <v>1317252.2608347244</v>
      </c>
      <c r="AL1033" s="193">
        <f>(((O1033*'Appendix K'!$C$18*1000)-('Appendix K'!$E$44+'Appendix K'!$F$44+'Appendix K'!$H$44+'Appendix K'!$G$44))/((1+$Y$16)^AL$34))</f>
        <v>908786.39830733056</v>
      </c>
      <c r="AM1033" s="193">
        <f>(((P1033*'Appendix K'!$C$19*1000)-('Appendix K'!$E$45+'Appendix K'!$F$45+'Appendix K'!$H$45+'Appendix K'!$G$45))/((1+$Y$16)^AM$34))</f>
        <v>402033.5074466822</v>
      </c>
      <c r="AN1033" s="193">
        <f>(((Q1033*'Appendix K'!$C$20*1000)-('Appendix K'!$E$46+'Appendix K'!$F$46+'Appendix K'!$H$46+'Appendix K'!$G$46))/((1+$Y$16)^AN$34))</f>
        <v>337223.45684774005</v>
      </c>
      <c r="AO1033" s="193">
        <f>(((R1033*'Appendix K'!$C$21*1000)-('Appendix K'!$E$47+'Appendix K'!$F$47+'Appendix K'!$H$47+'Appendix K'!$G$47))/((1+$Y$16)^AO$34))</f>
        <v>312405.51621646504</v>
      </c>
      <c r="AP1033" s="193">
        <f>(((S1033*'Appendix K'!$C$22*1000)-('Appendix K'!$E$48+'Appendix K'!$F$48+'Appendix K'!$H$48+'Appendix K'!$G$48))/((1+$Y$16)^AP$34))</f>
        <v>356726.70923826104</v>
      </c>
      <c r="AQ1033" s="193">
        <f>(((T1033*'Appendix K'!$C$23*1000)-('Appendix K'!$E$49+'Appendix K'!$F$49+'Appendix K'!$H$49+'Appendix K'!$G$49))/((1+$Y$16)^AQ$34))</f>
        <v>201448.786730422</v>
      </c>
      <c r="AR1033" s="193">
        <f>(((U1033*'Appendix K'!$C$24*1000)-('Appendix K'!$E$50+'Appendix K'!$F$50+'Appendix K'!$H$50+'Appendix K'!$G$50))/((1+$Y$16)^AR$34))</f>
        <v>118081.95730655595</v>
      </c>
      <c r="AS1033" s="209">
        <f t="shared" si="46"/>
        <v>130211694.55963042</v>
      </c>
      <c r="AU1033" s="199">
        <f t="shared" si="45"/>
        <v>5.304082383373025E-9</v>
      </c>
    </row>
    <row r="1034" spans="1:47" x14ac:dyDescent="0.35">
      <c r="A1034">
        <v>1000</v>
      </c>
      <c r="B1034" s="70">
        <v>56</v>
      </c>
      <c r="C1034" s="70">
        <v>65.683221676670385</v>
      </c>
      <c r="D1034" s="70">
        <v>88.738842058937024</v>
      </c>
      <c r="E1034" s="70">
        <v>110.21328587162907</v>
      </c>
      <c r="F1034" s="70">
        <v>117.06833399952362</v>
      </c>
      <c r="G1034" s="70">
        <v>157.6216436391986</v>
      </c>
      <c r="H1034" s="70">
        <v>154.23219270331325</v>
      </c>
      <c r="I1034" s="70">
        <v>170.93604106048753</v>
      </c>
      <c r="J1034" s="70">
        <v>180.7030868356174</v>
      </c>
      <c r="K1034" s="70">
        <v>185.72568986745992</v>
      </c>
      <c r="L1034" s="70">
        <v>144.0300596899676</v>
      </c>
      <c r="M1034" s="70">
        <v>155.36196056143444</v>
      </c>
      <c r="N1034" s="70">
        <v>161.64594247077144</v>
      </c>
      <c r="O1034" s="70">
        <v>175.12836090911446</v>
      </c>
      <c r="P1034" s="70">
        <v>254.01163100978152</v>
      </c>
      <c r="Q1034" s="70">
        <v>326.03030743748525</v>
      </c>
      <c r="R1034" s="70">
        <v>326.33338493123313</v>
      </c>
      <c r="S1034" s="70">
        <v>497.17543944071883</v>
      </c>
      <c r="T1034" s="70">
        <v>500</v>
      </c>
      <c r="U1034" s="70">
        <v>500</v>
      </c>
      <c r="V1034" s="70">
        <v>500</v>
      </c>
      <c r="X1034" s="193">
        <f>((0-('Appendix K'!$I$30))/(1+$Y$16)^0)</f>
        <v>-33594902.4440751</v>
      </c>
      <c r="Y1034" s="193">
        <f>(((B1034*'Appendix K'!$C$5*1000)-('Appendix K'!$E$31+'Appendix K'!$F$31+'Appendix K'!$H$31+'Appendix K'!$G$31))/((1+$Y$16)^1))</f>
        <v>34971064.972647354</v>
      </c>
      <c r="Z1034" s="193">
        <f>+(((C1034*'Appendix K'!$C$6*1000)-('Appendix K'!$E$32+'Appendix K'!$F$32+'Appendix K'!$H$32+'Appendix K'!$G$32))/((1+$Y$16)^2))</f>
        <v>13105457.513931271</v>
      </c>
      <c r="AA1034" s="193">
        <f>(((D1034*'Appendix K'!$C$7*1000)-('Appendix K'!$E$33+'Appendix K'!$F$33+'Appendix K'!$H$33+'Appendix K'!$G$33))/((1+$Y$16)^3))</f>
        <v>8338200.6175737372</v>
      </c>
      <c r="AB1034" s="193">
        <f>(((E1034*'Appendix K'!$C$8*1000)-('Appendix K'!$E$34+'Appendix K'!$F$34+'Appendix K'!$H$34+'Appendix K'!$G$34))/((1+$Y$16)^4))</f>
        <v>20864535.468681924</v>
      </c>
      <c r="AC1034" s="193">
        <f>(((F1034*'Appendix K'!$C$9*1000)-('Appendix K'!$E$35+'Appendix K'!$F$35+'Appendix K'!$H$35+'Appendix K'!$G$35))/((1+$Y$16)^AC$34))</f>
        <v>28132350.827641491</v>
      </c>
      <c r="AD1034" s="193">
        <f>(((G1034*'Appendix K'!$C$10*1000)-('Appendix K'!$E$36+'Appendix K'!$F$36+'Appendix K'!$H$36+'Appendix K'!$G$36))/((1+$Y$16)^AD$34))</f>
        <v>22237762.783805732</v>
      </c>
      <c r="AE1034" s="193">
        <f>(((H1034*'Appendix K'!$C$11*1000)-('Appendix K'!$E$37+'Appendix K'!$F$37+'Appendix K'!$H$37+'Appendix K'!$G$37))/((1+$Y$16)^AE$34))</f>
        <v>13162812.225089645</v>
      </c>
      <c r="AF1034" s="193">
        <f>(((I1034*'Appendix K'!$C$12*1000)-('Appendix K'!$E$38+'Appendix K'!$F$38+'Appendix K'!$H$38+'Appendix K'!$G$38))/((1+$Y$16)^AF$34))</f>
        <v>9227496.3138313629</v>
      </c>
      <c r="AG1034" s="193">
        <f>(((J1034*'Appendix K'!$C$13*1000)-('Appendix K'!$E$39+'Appendix K'!$F$39+'Appendix K'!$H$39+'Appendix K'!$G$39))/((1+$Y$16)^AG$34))</f>
        <v>6500819.2957941126</v>
      </c>
      <c r="AH1034" s="193">
        <f>(((K1034*'Appendix K'!$C$14*1000)-('Appendix K'!$E$40+'Appendix K'!$F$40+'Appendix K'!$H$40+'Appendix K'!$G$40))/((1+$Y$16)^AH$34))</f>
        <v>4627426.7787631918</v>
      </c>
      <c r="AI1034" s="193">
        <f>(((L1034*'Appendix K'!$C$15*1000)-('Appendix K'!$E$41+'Appendix K'!$F$41+'Appendix K'!$H$41+'Appendix K'!$G$41))/((1+$Y$16)^AI$34))</f>
        <v>2257375.5530784428</v>
      </c>
      <c r="AJ1034" s="193">
        <f>(((M1034*'Appendix K'!$C$16*1000)-('Appendix K'!$E$42+'Appendix K'!$F$42+'Appendix K'!$H$42+'Appendix K'!$G$42))/((1+$Y$16)^AJ$34))</f>
        <v>1732192.7882975561</v>
      </c>
      <c r="AK1034" s="193">
        <f>(((N1034*'Appendix K'!$C$17*1000)-('Appendix K'!$E$43+'Appendix K'!$F$43+'Appendix K'!$H$43))/((1+$Y$16)^AK$34))</f>
        <v>1479253.0689872901</v>
      </c>
      <c r="AL1034" s="193">
        <f>(((O1034*'Appendix K'!$C$18*1000)-('Appendix K'!$E$44+'Appendix K'!$F$44+'Appendix K'!$H$44+'Appendix K'!$G$44))/((1+$Y$16)^AL$34))</f>
        <v>941258.86807806499</v>
      </c>
      <c r="AM1034" s="193">
        <f>(((P1034*'Appendix K'!$C$19*1000)-('Appendix K'!$E$45+'Appendix K'!$F$45+'Appendix K'!$H$45+'Appendix K'!$G$45))/((1+$Y$16)^AM$34))</f>
        <v>1327599.7378341369</v>
      </c>
      <c r="AN1034" s="193">
        <f>(((Q1034*'Appendix K'!$C$20*1000)-('Appendix K'!$E$46+'Appendix K'!$F$46+'Appendix K'!$H$46+'Appendix K'!$G$46))/((1+$Y$16)^AN$34))</f>
        <v>1443517.1787547176</v>
      </c>
      <c r="AO1034" s="193">
        <f>(((R1034*'Appendix K'!$C$21*1000)-('Appendix K'!$E$47+'Appendix K'!$F$47+'Appendix K'!$H$47+'Appendix K'!$G$47))/((1+$Y$16)^AO$34))</f>
        <v>1085667.4328880822</v>
      </c>
      <c r="AP1034" s="193">
        <f>(((S1034*'Appendix K'!$C$22*1000)-('Appendix K'!$E$48+'Appendix K'!$F$48+'Appendix K'!$H$48+'Appendix K'!$G$48))/((1+$Y$16)^AP$34))</f>
        <v>1616877.5856827539</v>
      </c>
      <c r="AQ1034" s="193">
        <f>(((T1034*'Appendix K'!$C$23*1000)-('Appendix K'!$E$49+'Appendix K'!$F$49+'Appendix K'!$H$49+'Appendix K'!$G$49))/((1+$Y$16)^AQ$34))</f>
        <v>1263386.3652054211</v>
      </c>
      <c r="AR1034" s="193">
        <f>(((U1034*'Appendix K'!$C$24*1000)-('Appendix K'!$E$50+'Appendix K'!$F$50+'Appendix K'!$H$50+'Appendix K'!$G$50))/((1+$Y$16)^AR$34))</f>
        <v>980725.14012097823</v>
      </c>
      <c r="AS1034" s="209">
        <f t="shared" si="46"/>
        <v>141700878.07261211</v>
      </c>
      <c r="AU1034" s="199">
        <f t="shared" si="45"/>
        <v>4.4639600175086607E-9</v>
      </c>
    </row>
  </sheetData>
  <mergeCells count="2">
    <mergeCell ref="A1:N1"/>
    <mergeCell ref="F25:Q25"/>
  </mergeCells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"/>
  <sheetViews>
    <sheetView view="pageBreakPreview" zoomScale="110" zoomScaleNormal="80" zoomScaleSheetLayoutView="110" workbookViewId="0">
      <selection activeCell="M4" sqref="M4"/>
    </sheetView>
  </sheetViews>
  <sheetFormatPr defaultRowHeight="14.5" x14ac:dyDescent="0.35"/>
  <sheetData>
    <row r="1" spans="1:14" ht="18" x14ac:dyDescent="0.4">
      <c r="A1" s="286" t="s">
        <v>400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</row>
  </sheetData>
  <mergeCells count="1">
    <mergeCell ref="A1:N1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07"/>
  <sheetViews>
    <sheetView view="pageBreakPreview" topLeftCell="A67" zoomScale="70" zoomScaleNormal="100" zoomScaleSheetLayoutView="70" workbookViewId="0">
      <selection activeCell="C111" sqref="C111"/>
    </sheetView>
  </sheetViews>
  <sheetFormatPr defaultRowHeight="14.5" x14ac:dyDescent="0.35"/>
  <cols>
    <col min="1" max="1" width="14.54296875" bestFit="1" customWidth="1"/>
    <col min="2" max="2" width="12.1796875" bestFit="1" customWidth="1"/>
    <col min="3" max="3" width="14.36328125" customWidth="1"/>
    <col min="4" max="4" width="14.81640625" bestFit="1" customWidth="1"/>
    <col min="5" max="5" width="12.1796875" bestFit="1" customWidth="1"/>
    <col min="6" max="6" width="10.1796875" bestFit="1" customWidth="1"/>
    <col min="7" max="7" width="9.26953125" bestFit="1" customWidth="1"/>
  </cols>
  <sheetData>
    <row r="1" spans="1:7" ht="18" x14ac:dyDescent="0.4">
      <c r="A1" s="287" t="s">
        <v>447</v>
      </c>
      <c r="B1" s="287"/>
      <c r="C1" s="287"/>
      <c r="D1" s="287"/>
      <c r="E1" s="287"/>
      <c r="F1" s="287"/>
      <c r="G1" s="287"/>
    </row>
    <row r="2" spans="1:7" x14ac:dyDescent="0.35">
      <c r="B2" t="s">
        <v>448</v>
      </c>
      <c r="C2" t="s">
        <v>449</v>
      </c>
    </row>
    <row r="3" spans="1:7" x14ac:dyDescent="0.35">
      <c r="A3" t="s">
        <v>450</v>
      </c>
      <c r="B3" s="212">
        <v>30932906.678150136</v>
      </c>
      <c r="C3" s="212">
        <v>19470343.736549292</v>
      </c>
    </row>
    <row r="4" spans="1:7" x14ac:dyDescent="0.35">
      <c r="A4" t="s">
        <v>451</v>
      </c>
      <c r="B4" s="212">
        <f>'Appendix K'!I53</f>
        <v>33594902.4440751</v>
      </c>
      <c r="C4" s="212">
        <f>E4</f>
        <v>31785475.010973658</v>
      </c>
      <c r="D4" s="260">
        <f>'Appendix K'!AF53-'Appendix K'!AE30</f>
        <v>38067879.114909999</v>
      </c>
      <c r="E4" s="261">
        <f>'Appendix K'!AF53-'Appendix K'!AE30-'Appendix K'!AF51-'Appendix K'!AF50-'Appendix K'!AF49-'Appendix K'!AF48-'Appendix K'!AF47-'Appendix K'!AF46-'Appendix K'!AF45-'Appendix K'!AF44</f>
        <v>31785475.010973658</v>
      </c>
    </row>
    <row r="5" spans="1:7" x14ac:dyDescent="0.35">
      <c r="B5" s="212"/>
      <c r="C5" s="212"/>
    </row>
    <row r="7" spans="1:7" x14ac:dyDescent="0.35">
      <c r="A7" t="s">
        <v>452</v>
      </c>
      <c r="B7" t="s">
        <v>453</v>
      </c>
      <c r="C7" t="s">
        <v>454</v>
      </c>
    </row>
    <row r="8" spans="1:7" x14ac:dyDescent="0.35">
      <c r="A8">
        <v>0</v>
      </c>
      <c r="B8" s="106">
        <v>0</v>
      </c>
      <c r="C8" s="106">
        <v>0</v>
      </c>
      <c r="D8" s="106"/>
    </row>
    <row r="9" spans="1:7" x14ac:dyDescent="0.35">
      <c r="A9">
        <v>1</v>
      </c>
      <c r="B9" s="106">
        <v>0.14353124110546203</v>
      </c>
      <c r="C9" s="106">
        <v>0.14304015954157315</v>
      </c>
      <c r="D9" s="106"/>
    </row>
    <row r="10" spans="1:7" x14ac:dyDescent="0.35">
      <c r="A10">
        <v>2</v>
      </c>
      <c r="B10" s="106">
        <v>0.20057447027212874</v>
      </c>
      <c r="C10" s="106">
        <v>0.2000833887082398</v>
      </c>
      <c r="D10" s="106"/>
    </row>
    <row r="11" spans="1:7" x14ac:dyDescent="0.35">
      <c r="A11">
        <v>3</v>
      </c>
      <c r="B11" s="106">
        <v>0.23185636681286953</v>
      </c>
      <c r="C11" s="106">
        <v>0.23146052418972127</v>
      </c>
      <c r="D11" s="106"/>
    </row>
    <row r="12" spans="1:7" x14ac:dyDescent="0.35">
      <c r="A12">
        <v>4</v>
      </c>
      <c r="B12" s="106">
        <v>0.25371042931286969</v>
      </c>
      <c r="C12" s="106">
        <v>0.28942253807861018</v>
      </c>
      <c r="D12" s="106"/>
    </row>
    <row r="13" spans="1:7" x14ac:dyDescent="0.35">
      <c r="A13">
        <v>5</v>
      </c>
      <c r="B13" s="106">
        <v>0.27100196403509197</v>
      </c>
      <c r="C13" s="106">
        <v>0.36872614918972113</v>
      </c>
      <c r="D13" s="106"/>
    </row>
    <row r="14" spans="1:7" x14ac:dyDescent="0.35">
      <c r="A14">
        <v>6</v>
      </c>
      <c r="B14" s="106">
        <v>0.28511112375731412</v>
      </c>
      <c r="C14" s="106">
        <v>0.42023441307861004</v>
      </c>
      <c r="D14" s="106"/>
    </row>
    <row r="15" spans="1:7" x14ac:dyDescent="0.35">
      <c r="A15">
        <v>7</v>
      </c>
      <c r="B15" s="106">
        <v>0.2970502626462031</v>
      </c>
      <c r="C15" s="106">
        <v>0.4562049964119434</v>
      </c>
      <c r="D15" s="106"/>
    </row>
    <row r="16" spans="1:7" x14ac:dyDescent="0.35">
      <c r="A16">
        <v>8</v>
      </c>
      <c r="B16" s="106">
        <v>0.30741593625731423</v>
      </c>
      <c r="C16" s="106">
        <v>0.48223028807861018</v>
      </c>
      <c r="D16" s="106"/>
    </row>
    <row r="17" spans="1:7" x14ac:dyDescent="0.35">
      <c r="A17">
        <v>9</v>
      </c>
      <c r="B17" s="106">
        <v>0.3165841376462033</v>
      </c>
      <c r="C17" s="106">
        <v>0.50227198946749962</v>
      </c>
      <c r="D17" s="106"/>
    </row>
    <row r="18" spans="1:7" x14ac:dyDescent="0.35">
      <c r="A18">
        <v>10</v>
      </c>
      <c r="B18" s="106">
        <v>0.32468051264620329</v>
      </c>
      <c r="C18" s="106">
        <v>0.51840779502305523</v>
      </c>
      <c r="D18" s="106"/>
    </row>
    <row r="19" spans="1:7" x14ac:dyDescent="0.35">
      <c r="A19">
        <v>11</v>
      </c>
      <c r="B19" s="106">
        <v>0.33215282514620359</v>
      </c>
      <c r="C19" s="106">
        <v>0.53220273252305528</v>
      </c>
      <c r="D19" s="106"/>
    </row>
    <row r="20" spans="1:7" x14ac:dyDescent="0.35">
      <c r="A20">
        <v>12</v>
      </c>
      <c r="B20" s="106">
        <v>0.33899249875731474</v>
      </c>
      <c r="C20" s="106">
        <v>0.54381001030083298</v>
      </c>
      <c r="D20" s="106"/>
    </row>
    <row r="21" spans="1:7" x14ac:dyDescent="0.35">
      <c r="A21">
        <v>13</v>
      </c>
      <c r="B21" s="106">
        <v>0.34530079042398149</v>
      </c>
      <c r="C21" s="106">
        <v>0.5535970936341662</v>
      </c>
      <c r="D21" s="106"/>
    </row>
    <row r="22" spans="1:7" x14ac:dyDescent="0.35">
      <c r="A22">
        <v>14</v>
      </c>
      <c r="B22" s="106">
        <v>0.35115610292398158</v>
      </c>
      <c r="C22" s="106">
        <v>0.56190151724527748</v>
      </c>
    </row>
    <row r="23" spans="1:7" x14ac:dyDescent="0.35">
      <c r="A23">
        <v>15</v>
      </c>
      <c r="B23" s="106">
        <v>0.35662012375731467</v>
      </c>
      <c r="C23" s="106">
        <v>0.56904288530083291</v>
      </c>
    </row>
    <row r="24" spans="1:7" x14ac:dyDescent="0.35">
      <c r="A24">
        <v>16</v>
      </c>
      <c r="B24" s="106">
        <v>0.3616609918128702</v>
      </c>
      <c r="C24" s="106">
        <v>0.57517445474527706</v>
      </c>
    </row>
    <row r="25" spans="1:7" x14ac:dyDescent="0.35">
      <c r="A25">
        <v>17</v>
      </c>
      <c r="B25" s="106">
        <v>0.36648722792398142</v>
      </c>
      <c r="C25" s="106">
        <v>0.58068216307861054</v>
      </c>
    </row>
    <row r="26" spans="1:7" x14ac:dyDescent="0.35">
      <c r="A26">
        <v>18</v>
      </c>
      <c r="B26" s="106">
        <v>0.37104622792398123</v>
      </c>
      <c r="C26" s="106">
        <v>0.58559140613416638</v>
      </c>
    </row>
    <row r="27" spans="1:7" x14ac:dyDescent="0.35">
      <c r="A27">
        <v>19</v>
      </c>
      <c r="B27" s="106">
        <v>0.37536654528509239</v>
      </c>
      <c r="C27" s="106">
        <v>0.59000340960638875</v>
      </c>
    </row>
    <row r="28" spans="1:7" x14ac:dyDescent="0.35">
      <c r="A28">
        <v>20</v>
      </c>
      <c r="B28" s="106">
        <v>0.37947267584064798</v>
      </c>
      <c r="C28" s="106">
        <v>0.5939959672452777</v>
      </c>
    </row>
    <row r="30" spans="1:7" x14ac:dyDescent="0.35">
      <c r="A30" t="s">
        <v>452</v>
      </c>
      <c r="B30" s="262" t="s">
        <v>455</v>
      </c>
      <c r="C30" s="262" t="s">
        <v>456</v>
      </c>
      <c r="D30" s="262"/>
      <c r="E30" s="262" t="s">
        <v>457</v>
      </c>
      <c r="F30" s="262" t="s">
        <v>458</v>
      </c>
      <c r="G30" s="262"/>
    </row>
    <row r="31" spans="1:7" x14ac:dyDescent="0.35">
      <c r="A31">
        <v>0</v>
      </c>
      <c r="B31" s="263">
        <v>-30932906.678150136</v>
      </c>
      <c r="C31" s="263">
        <f>'Appendix K'!W60</f>
        <v>-33594902.4440751</v>
      </c>
      <c r="D31" s="263"/>
      <c r="E31" s="264">
        <f>B31</f>
        <v>-30932906.678150136</v>
      </c>
      <c r="F31" s="264">
        <f>C31</f>
        <v>-33594902.4440751</v>
      </c>
      <c r="G31" s="264"/>
    </row>
    <row r="32" spans="1:7" x14ac:dyDescent="0.35">
      <c r="A32">
        <v>1</v>
      </c>
      <c r="B32" s="263">
        <v>36555647.970511056</v>
      </c>
      <c r="C32" s="263">
        <f>'Appendix K'!W61</f>
        <v>34971064.972647361</v>
      </c>
      <c r="D32" s="263"/>
      <c r="E32" s="264">
        <f>MAX(0,B32)+E31</f>
        <v>5622741.2923609205</v>
      </c>
      <c r="F32" s="264">
        <f>MAX(0,C32)+F31</f>
        <v>1376162.5285722613</v>
      </c>
      <c r="G32" s="264"/>
    </row>
    <row r="33" spans="1:7" x14ac:dyDescent="0.35">
      <c r="A33">
        <v>2</v>
      </c>
      <c r="B33" s="263">
        <v>12915579.59562736</v>
      </c>
      <c r="C33" s="263">
        <f>'Appendix K'!W62</f>
        <v>11633690.359969636</v>
      </c>
      <c r="D33" s="263"/>
      <c r="E33" s="264">
        <f t="shared" ref="E33:F48" si="0">MAX(0,B33)+E32</f>
        <v>18538320.887988281</v>
      </c>
      <c r="F33" s="264">
        <f t="shared" si="0"/>
        <v>13009852.888541898</v>
      </c>
      <c r="G33" s="264"/>
    </row>
    <row r="34" spans="1:7" x14ac:dyDescent="0.35">
      <c r="A34">
        <v>3</v>
      </c>
      <c r="B34" s="263">
        <v>6354315.4288729373</v>
      </c>
      <c r="C34" s="263">
        <f>'Appendix K'!W63</f>
        <v>5150700.9473465867</v>
      </c>
      <c r="D34" s="263"/>
      <c r="E34" s="264">
        <f t="shared" si="0"/>
        <v>24892636.31686122</v>
      </c>
      <c r="F34" s="264">
        <f t="shared" si="0"/>
        <v>18160553.835888483</v>
      </c>
      <c r="G34" s="264"/>
    </row>
    <row r="35" spans="1:7" x14ac:dyDescent="0.35">
      <c r="A35">
        <v>4</v>
      </c>
      <c r="B35" s="263">
        <v>3997207.7555649737</v>
      </c>
      <c r="C35" s="263">
        <f>'Appendix K'!W64</f>
        <v>11517830.697110366</v>
      </c>
      <c r="D35" s="263"/>
      <c r="E35" s="264">
        <f t="shared" si="0"/>
        <v>28889844.072426192</v>
      </c>
      <c r="F35" s="264">
        <f t="shared" si="0"/>
        <v>29678384.532998849</v>
      </c>
      <c r="G35" s="264"/>
    </row>
    <row r="36" spans="1:7" x14ac:dyDescent="0.35">
      <c r="A36">
        <v>5</v>
      </c>
      <c r="B36" s="263">
        <v>2851858.3228416806</v>
      </c>
      <c r="C36" s="263">
        <f>'Appendix K'!W65</f>
        <v>16001373.603570333</v>
      </c>
      <c r="D36" s="263"/>
      <c r="E36" s="264">
        <f t="shared" si="0"/>
        <v>31741702.395267874</v>
      </c>
      <c r="F36" s="264">
        <f t="shared" si="0"/>
        <v>45679758.13656918</v>
      </c>
      <c r="G36" s="264"/>
    </row>
    <row r="37" spans="1:7" x14ac:dyDescent="0.35">
      <c r="A37">
        <v>6</v>
      </c>
      <c r="B37" s="263">
        <v>2093197.2947707723</v>
      </c>
      <c r="C37" s="263">
        <f>'Appendix K'!W66</f>
        <v>9307403.0863661431</v>
      </c>
      <c r="D37" s="263"/>
      <c r="E37" s="264">
        <f t="shared" si="0"/>
        <v>33834899.690038644</v>
      </c>
      <c r="F37" s="264">
        <f t="shared" si="0"/>
        <v>54987161.222935319</v>
      </c>
      <c r="G37" s="264"/>
    </row>
    <row r="38" spans="1:7" x14ac:dyDescent="0.35">
      <c r="A38">
        <v>7</v>
      </c>
      <c r="B38" s="263">
        <v>1594818.5972293285</v>
      </c>
      <c r="C38" s="263">
        <f>'Appendix K'!W67</f>
        <v>5673579.9453827403</v>
      </c>
      <c r="D38" s="263"/>
      <c r="E38" s="264">
        <f t="shared" si="0"/>
        <v>35429718.287267976</v>
      </c>
      <c r="F38" s="264">
        <f t="shared" si="0"/>
        <v>60660741.168318063</v>
      </c>
      <c r="G38" s="264"/>
    </row>
    <row r="39" spans="1:7" x14ac:dyDescent="0.35">
      <c r="A39">
        <v>8</v>
      </c>
      <c r="B39" s="263">
        <v>1248028.9193612773</v>
      </c>
      <c r="C39" s="263">
        <f>'Appendix K'!W68</f>
        <v>3453402.4335952089</v>
      </c>
      <c r="D39" s="263"/>
      <c r="E39" s="264">
        <f t="shared" si="0"/>
        <v>36677747.206629254</v>
      </c>
      <c r="F39" s="264">
        <f t="shared" si="0"/>
        <v>64114143.601913273</v>
      </c>
      <c r="G39" s="264"/>
    </row>
    <row r="40" spans="1:7" x14ac:dyDescent="0.35">
      <c r="A40">
        <v>9</v>
      </c>
      <c r="B40" s="263">
        <v>960754.96145917382</v>
      </c>
      <c r="C40" s="263">
        <f>'Appendix K'!W69</f>
        <v>2105869.1832628306</v>
      </c>
      <c r="D40" s="263"/>
      <c r="E40" s="264">
        <f t="shared" si="0"/>
        <v>37638502.168088429</v>
      </c>
      <c r="F40" s="264">
        <f t="shared" si="0"/>
        <v>66220012.785176106</v>
      </c>
      <c r="G40" s="264"/>
    </row>
    <row r="41" spans="1:7" x14ac:dyDescent="0.35">
      <c r="A41">
        <v>10</v>
      </c>
      <c r="B41" s="263">
        <v>736580.82822763023</v>
      </c>
      <c r="C41" s="263">
        <f>'Appendix K'!W70</f>
        <v>1313209.2824282404</v>
      </c>
      <c r="D41" s="263"/>
      <c r="E41" s="264">
        <f t="shared" si="0"/>
        <v>38375082.99631606</v>
      </c>
      <c r="F41" s="264">
        <f t="shared" si="0"/>
        <v>67533222.067604348</v>
      </c>
      <c r="G41" s="264"/>
    </row>
    <row r="42" spans="1:7" x14ac:dyDescent="0.35">
      <c r="A42">
        <v>11</v>
      </c>
      <c r="B42" s="263">
        <v>591780.92880943965</v>
      </c>
      <c r="C42" s="263">
        <f>'Appendix K'!W71</f>
        <v>831206.20449056872</v>
      </c>
      <c r="D42" s="263"/>
      <c r="E42" s="264">
        <f t="shared" si="0"/>
        <v>38966863.925125502</v>
      </c>
      <c r="F42" s="264">
        <f t="shared" si="0"/>
        <v>68364428.27209492</v>
      </c>
      <c r="G42" s="264"/>
    </row>
    <row r="43" spans="1:7" x14ac:dyDescent="0.35">
      <c r="A43">
        <v>12</v>
      </c>
      <c r="B43" s="263">
        <v>469458.155430165</v>
      </c>
      <c r="C43" s="263">
        <f>'Appendix K'!W72</f>
        <v>458292.42986771977</v>
      </c>
      <c r="D43" s="263"/>
      <c r="E43" s="264">
        <f t="shared" si="0"/>
        <v>39436322.08055567</v>
      </c>
      <c r="F43" s="264">
        <f t="shared" si="0"/>
        <v>68822720.701962635</v>
      </c>
      <c r="G43" s="264"/>
    </row>
    <row r="44" spans="1:7" x14ac:dyDescent="0.35">
      <c r="A44">
        <v>13</v>
      </c>
      <c r="B44" s="263">
        <v>374600.22081652028</v>
      </c>
      <c r="C44" s="263">
        <f>'Appendix K'!W73</f>
        <v>189681.21436372143</v>
      </c>
      <c r="D44" s="263"/>
      <c r="E44" s="264">
        <f t="shared" si="0"/>
        <v>39810922.301372193</v>
      </c>
      <c r="F44" s="264">
        <f t="shared" si="0"/>
        <v>69012401.916326359</v>
      </c>
      <c r="G44" s="264"/>
    </row>
    <row r="45" spans="1:7" x14ac:dyDescent="0.35">
      <c r="A45">
        <v>14</v>
      </c>
      <c r="B45" s="263">
        <v>296870.0035501013</v>
      </c>
      <c r="C45" s="263">
        <f>'Appendix K'!W74</f>
        <v>956.46368347830139</v>
      </c>
      <c r="D45" s="262"/>
      <c r="E45" s="264">
        <f t="shared" si="0"/>
        <v>40107792.304922298</v>
      </c>
      <c r="F45" s="264">
        <f t="shared" si="0"/>
        <v>69013358.38000983</v>
      </c>
      <c r="G45" s="264"/>
    </row>
    <row r="46" spans="1:7" x14ac:dyDescent="0.35">
      <c r="A46">
        <v>15</v>
      </c>
      <c r="B46" s="263">
        <v>235644.7530523024</v>
      </c>
      <c r="C46" s="263">
        <f>'Appendix K'!W75</f>
        <v>-122137.71918743476</v>
      </c>
      <c r="D46" s="262"/>
      <c r="E46" s="264">
        <f t="shared" si="0"/>
        <v>40343437.057974599</v>
      </c>
      <c r="F46" s="264">
        <f t="shared" si="0"/>
        <v>69013358.38000983</v>
      </c>
      <c r="G46" s="264"/>
    </row>
    <row r="47" spans="1:7" x14ac:dyDescent="0.35">
      <c r="A47">
        <v>16</v>
      </c>
      <c r="B47" s="263">
        <v>183488.13102111255</v>
      </c>
      <c r="C47" s="263">
        <f>'Appendix K'!W76</f>
        <v>-196428.87991087465</v>
      </c>
      <c r="D47" s="262"/>
      <c r="E47" s="264">
        <f t="shared" si="0"/>
        <v>40526925.188995712</v>
      </c>
      <c r="F47" s="264">
        <f t="shared" si="0"/>
        <v>69013358.38000983</v>
      </c>
      <c r="G47" s="264"/>
    </row>
    <row r="48" spans="1:7" x14ac:dyDescent="0.35">
      <c r="A48">
        <v>17</v>
      </c>
      <c r="B48" s="263">
        <v>148907.06451164145</v>
      </c>
      <c r="C48" s="263">
        <f>'Appendix K'!W77</f>
        <v>-244895.74480093154</v>
      </c>
      <c r="D48" s="262"/>
      <c r="E48" s="264">
        <f t="shared" si="0"/>
        <v>40675832.253507353</v>
      </c>
      <c r="F48" s="264">
        <f t="shared" si="0"/>
        <v>69013358.38000983</v>
      </c>
      <c r="G48" s="264"/>
    </row>
    <row r="49" spans="1:7" x14ac:dyDescent="0.35">
      <c r="A49">
        <v>18</v>
      </c>
      <c r="B49" s="263">
        <v>117901.56886449398</v>
      </c>
      <c r="C49" s="263">
        <f>'Appendix K'!W78</f>
        <v>-271112.14062353777</v>
      </c>
      <c r="D49" s="262"/>
      <c r="E49" s="264">
        <f t="shared" ref="E49:F51" si="1">MAX(0,B49)+E48</f>
        <v>40793733.822371848</v>
      </c>
      <c r="F49" s="264">
        <f t="shared" si="1"/>
        <v>69013358.38000983</v>
      </c>
      <c r="G49" s="264"/>
    </row>
    <row r="50" spans="1:7" x14ac:dyDescent="0.35">
      <c r="A50">
        <v>19</v>
      </c>
      <c r="B50" s="263">
        <v>92262.159919385973</v>
      </c>
      <c r="C50" s="263">
        <f>'Appendix K'!W79</f>
        <v>-284108.00979854737</v>
      </c>
      <c r="D50" s="262"/>
      <c r="E50" s="264">
        <f t="shared" si="1"/>
        <v>40885995.982291237</v>
      </c>
      <c r="F50" s="264">
        <f t="shared" si="1"/>
        <v>69013358.38000983</v>
      </c>
      <c r="G50" s="264"/>
    </row>
    <row r="51" spans="1:7" x14ac:dyDescent="0.35">
      <c r="A51">
        <v>20</v>
      </c>
      <c r="B51" s="263">
        <v>71735.734194009041</v>
      </c>
      <c r="C51" s="263">
        <f>'Appendix K'!W80</f>
        <v>-287321.89370552672</v>
      </c>
      <c r="D51" s="262"/>
      <c r="E51" s="264">
        <f t="shared" si="1"/>
        <v>40957731.716485247</v>
      </c>
      <c r="F51" s="264">
        <f t="shared" si="1"/>
        <v>69013358.38000983</v>
      </c>
      <c r="G51" s="264"/>
    </row>
    <row r="53" spans="1:7" x14ac:dyDescent="0.35">
      <c r="A53" t="s">
        <v>452</v>
      </c>
      <c r="B53" s="262" t="s">
        <v>459</v>
      </c>
      <c r="C53" s="262" t="s">
        <v>460</v>
      </c>
      <c r="D53" s="262"/>
    </row>
    <row r="54" spans="1:7" x14ac:dyDescent="0.35">
      <c r="A54">
        <v>0</v>
      </c>
      <c r="B54" s="265">
        <v>0</v>
      </c>
      <c r="C54" s="265">
        <v>0</v>
      </c>
      <c r="D54" s="265"/>
    </row>
    <row r="55" spans="1:7" x14ac:dyDescent="0.35">
      <c r="A55">
        <v>1</v>
      </c>
      <c r="B55" s="265">
        <v>46.403087877402015</v>
      </c>
      <c r="C55" s="265">
        <f>'Appendix K'!AE61</f>
        <v>44.542540670455516</v>
      </c>
      <c r="D55" s="265"/>
    </row>
    <row r="56" spans="1:7" x14ac:dyDescent="0.35">
      <c r="A56">
        <v>2</v>
      </c>
      <c r="B56" s="265">
        <v>42.253800679583705</v>
      </c>
      <c r="C56" s="265">
        <f>'Appendix K'!AE62</f>
        <v>38.060052202734653</v>
      </c>
      <c r="D56" s="265"/>
    </row>
    <row r="57" spans="1:7" x14ac:dyDescent="0.35">
      <c r="A57">
        <v>3</v>
      </c>
      <c r="B57" s="265">
        <v>37.63854679084298</v>
      </c>
      <c r="C57" s="265">
        <f>'Appendix K'!AE63</f>
        <v>30.381171616554873</v>
      </c>
      <c r="D57" s="265"/>
    </row>
    <row r="58" spans="1:7" x14ac:dyDescent="0.35">
      <c r="A58">
        <v>4</v>
      </c>
      <c r="B58" s="265">
        <v>33.814054364488946</v>
      </c>
      <c r="C58" s="265">
        <f>'Appendix K'!AE64</f>
        <v>35.890337076444574</v>
      </c>
      <c r="D58" s="265"/>
    </row>
    <row r="59" spans="1:7" x14ac:dyDescent="0.35">
      <c r="A59">
        <v>5</v>
      </c>
      <c r="B59" s="265">
        <v>30.461282923867099</v>
      </c>
      <c r="C59" s="265">
        <f>'Appendix K'!AE65</f>
        <v>37.380183469202507</v>
      </c>
      <c r="D59" s="265"/>
    </row>
    <row r="60" spans="1:7" x14ac:dyDescent="0.35">
      <c r="A60">
        <v>6</v>
      </c>
      <c r="B60" s="265">
        <v>27.381669186119346</v>
      </c>
      <c r="C60" s="265">
        <f>'Appendix K'!AE66</f>
        <v>33.45424225529527</v>
      </c>
      <c r="D60" s="265"/>
    </row>
    <row r="61" spans="1:7" x14ac:dyDescent="0.35">
      <c r="A61">
        <v>7</v>
      </c>
      <c r="B61" s="265">
        <v>24.641778063198128</v>
      </c>
      <c r="C61" s="265">
        <f>'Appendix K'!AE67</f>
        <v>29.191024915754777</v>
      </c>
      <c r="D61" s="265"/>
    </row>
    <row r="62" spans="1:7" x14ac:dyDescent="0.35">
      <c r="A62">
        <v>8</v>
      </c>
      <c r="B62" s="265">
        <v>22.202823627887408</v>
      </c>
      <c r="C62" s="265">
        <f>'Appendix K'!AE68</f>
        <v>24.535153431788352</v>
      </c>
      <c r="D62" s="265"/>
    </row>
    <row r="63" spans="1:7" x14ac:dyDescent="0.35">
      <c r="A63">
        <v>9</v>
      </c>
      <c r="B63" s="265">
        <v>19.319468388855718</v>
      </c>
      <c r="C63" s="265">
        <f>'Appendix K'!AE69</f>
        <v>19.407101718984116</v>
      </c>
      <c r="D63" s="265"/>
    </row>
    <row r="64" spans="1:7" x14ac:dyDescent="0.35">
      <c r="A64">
        <v>10</v>
      </c>
      <c r="B64" s="265">
        <v>16.769069820780679</v>
      </c>
      <c r="C64" s="265">
        <f>'Appendix K'!AE70</f>
        <v>15.020800870986298</v>
      </c>
      <c r="D64" s="265"/>
    </row>
    <row r="65" spans="1:5" x14ac:dyDescent="0.35">
      <c r="A65">
        <v>11</v>
      </c>
      <c r="B65" s="265">
        <v>14.595346203430218</v>
      </c>
      <c r="C65" s="265">
        <f>'Appendix K'!AE71</f>
        <v>11.118775254707851</v>
      </c>
      <c r="D65" s="265"/>
    </row>
    <row r="66" spans="1:5" x14ac:dyDescent="0.35">
      <c r="A66">
        <v>12</v>
      </c>
      <c r="B66" s="265">
        <v>12.647669516569044</v>
      </c>
      <c r="C66" s="265">
        <f>'Appendix K'!AE72</f>
        <v>7.2860523343404537</v>
      </c>
      <c r="D66" s="265"/>
    </row>
    <row r="67" spans="1:5" x14ac:dyDescent="0.35">
      <c r="A67">
        <v>13</v>
      </c>
      <c r="B67" s="265">
        <v>10.940982092424301</v>
      </c>
      <c r="C67" s="265">
        <f>'Appendix K'!AE73</f>
        <v>3.5761688360672936</v>
      </c>
      <c r="D67" s="265"/>
    </row>
    <row r="68" spans="1:5" x14ac:dyDescent="0.35">
      <c r="A68">
        <v>14</v>
      </c>
      <c r="B68" s="265">
        <v>9.3406031159644041</v>
      </c>
      <c r="C68" s="265">
        <f>'Appendix K'!AE74</f>
        <v>2.1248673669210464E-2</v>
      </c>
      <c r="D68" s="265"/>
    </row>
    <row r="69" spans="1:5" x14ac:dyDescent="0.35">
      <c r="A69">
        <v>15</v>
      </c>
      <c r="B69" s="265">
        <v>7.9445413427481615</v>
      </c>
      <c r="C69" s="265">
        <f>'Appendix K'!AE75</f>
        <v>-3.1545630574758867</v>
      </c>
      <c r="D69" s="265"/>
    </row>
    <row r="70" spans="1:5" x14ac:dyDescent="0.35">
      <c r="A70">
        <v>16</v>
      </c>
      <c r="B70" s="265">
        <v>6.7049549429953794</v>
      </c>
      <c r="C70" s="265">
        <f>'Appendix K'!AE76</f>
        <v>-5.9075961961668417</v>
      </c>
      <c r="D70" s="265"/>
    </row>
    <row r="71" spans="1:5" x14ac:dyDescent="0.35">
      <c r="A71">
        <v>17</v>
      </c>
      <c r="B71" s="265">
        <v>5.6829368309431016</v>
      </c>
      <c r="C71" s="265">
        <f>'Appendix K'!AE77</f>
        <v>-8.1980392259710175</v>
      </c>
      <c r="D71" s="265"/>
    </row>
    <row r="72" spans="1:5" x14ac:dyDescent="0.35">
      <c r="A72">
        <v>18</v>
      </c>
      <c r="B72" s="265">
        <v>4.7631205771600378</v>
      </c>
      <c r="C72" s="265">
        <f>'Appendix K'!AE78</f>
        <v>-10.180534194952338</v>
      </c>
      <c r="D72" s="265"/>
    </row>
    <row r="73" spans="1:5" x14ac:dyDescent="0.35">
      <c r="A73">
        <v>19</v>
      </c>
      <c r="B73" s="265">
        <v>3.9330426762583039</v>
      </c>
      <c r="C73" s="265">
        <f>'Appendix K'!AE79</f>
        <v>-11.869434980372311</v>
      </c>
      <c r="D73" s="265"/>
    </row>
    <row r="74" spans="1:5" x14ac:dyDescent="0.35">
      <c r="A74">
        <v>20</v>
      </c>
      <c r="B74" s="265">
        <v>3.2173885235855781</v>
      </c>
      <c r="C74" s="265">
        <f>'Appendix K'!AE80</f>
        <v>-13.263415237702207</v>
      </c>
      <c r="D74" s="265"/>
    </row>
    <row r="77" spans="1:5" x14ac:dyDescent="0.35">
      <c r="C77" t="s">
        <v>461</v>
      </c>
      <c r="D77" t="s">
        <v>462</v>
      </c>
    </row>
    <row r="78" spans="1:5" x14ac:dyDescent="0.35">
      <c r="B78" t="s">
        <v>113</v>
      </c>
      <c r="C78" s="212">
        <f>E51</f>
        <v>40957731.716485247</v>
      </c>
      <c r="D78" s="212">
        <f>F45</f>
        <v>69013358.38000983</v>
      </c>
      <c r="E78" s="212"/>
    </row>
    <row r="83" spans="1:3" x14ac:dyDescent="0.35">
      <c r="A83" t="s">
        <v>452</v>
      </c>
      <c r="B83" s="262" t="s">
        <v>463</v>
      </c>
      <c r="C83" s="262" t="s">
        <v>464</v>
      </c>
    </row>
    <row r="84" spans="1:3" x14ac:dyDescent="0.35">
      <c r="A84">
        <v>0</v>
      </c>
      <c r="B84" s="266">
        <v>0</v>
      </c>
      <c r="C84" s="266">
        <v>0</v>
      </c>
    </row>
    <row r="85" spans="1:3" x14ac:dyDescent="0.35">
      <c r="A85">
        <v>1</v>
      </c>
      <c r="B85" s="266">
        <v>2158.314559966052</v>
      </c>
      <c r="C85" s="266">
        <v>2151.0029618699523</v>
      </c>
    </row>
    <row r="86" spans="1:3" x14ac:dyDescent="0.35">
      <c r="A86">
        <v>2</v>
      </c>
      <c r="B86" s="266">
        <v>837.44299939765517</v>
      </c>
      <c r="C86" s="266">
        <v>837.44299939765449</v>
      </c>
    </row>
    <row r="87" spans="1:3" x14ac:dyDescent="0.35">
      <c r="A87">
        <v>3</v>
      </c>
      <c r="B87" s="266">
        <v>462.53335612337185</v>
      </c>
      <c r="C87" s="266">
        <v>464.48206879209778</v>
      </c>
    </row>
    <row r="88" spans="1:3" x14ac:dyDescent="0.35">
      <c r="A88">
        <v>4</v>
      </c>
      <c r="B88" s="266">
        <v>323.86693434598607</v>
      </c>
      <c r="C88" s="266">
        <v>879.22552727260211</v>
      </c>
    </row>
    <row r="89" spans="1:3" x14ac:dyDescent="0.35">
      <c r="A89">
        <v>5</v>
      </c>
      <c r="B89" s="266">
        <v>256.49971779149678</v>
      </c>
      <c r="C89" s="266">
        <v>1172.7973398506283</v>
      </c>
    </row>
    <row r="90" spans="1:3" x14ac:dyDescent="0.35">
      <c r="A90">
        <v>6</v>
      </c>
      <c r="B90" s="266">
        <v>209.43891586668389</v>
      </c>
      <c r="C90" s="266">
        <v>762.22723230739791</v>
      </c>
    </row>
    <row r="91" spans="1:3" x14ac:dyDescent="0.35">
      <c r="A91">
        <v>7</v>
      </c>
      <c r="B91" s="266">
        <v>177.31537101748015</v>
      </c>
      <c r="C91" s="266">
        <v>532.4943091153641</v>
      </c>
    </row>
    <row r="92" spans="1:3" x14ac:dyDescent="0.35">
      <c r="A92">
        <v>8</v>
      </c>
      <c r="B92" s="266">
        <v>154.00101224169879</v>
      </c>
      <c r="C92" s="266">
        <v>385.62532558445054</v>
      </c>
    </row>
    <row r="93" spans="1:3" x14ac:dyDescent="0.35">
      <c r="A93">
        <v>9</v>
      </c>
      <c r="B93" s="266">
        <v>136.24626314143907</v>
      </c>
      <c r="C93" s="266">
        <v>297.28831719551573</v>
      </c>
    </row>
    <row r="94" spans="1:3" x14ac:dyDescent="0.35">
      <c r="A94">
        <v>10</v>
      </c>
      <c r="B94" s="266">
        <v>120.34237366441597</v>
      </c>
      <c r="C94" s="266">
        <v>239.52342364366146</v>
      </c>
    </row>
    <row r="95" spans="1:3" x14ac:dyDescent="0.35">
      <c r="A95">
        <v>11</v>
      </c>
      <c r="B95" s="266">
        <v>111.0845601453087</v>
      </c>
      <c r="C95" s="266">
        <v>204.81367960132735</v>
      </c>
    </row>
    <row r="96" spans="1:3" x14ac:dyDescent="0.35">
      <c r="A96">
        <v>12</v>
      </c>
      <c r="B96" s="266">
        <v>101.6935748930636</v>
      </c>
      <c r="C96" s="266">
        <v>172.32866861934008</v>
      </c>
    </row>
    <row r="97" spans="1:3" x14ac:dyDescent="0.35">
      <c r="A97">
        <v>13</v>
      </c>
      <c r="B97" s="266">
        <v>93.803459887792741</v>
      </c>
      <c r="C97" s="266">
        <v>145.31600260576394</v>
      </c>
    </row>
    <row r="98" spans="1:3" x14ac:dyDescent="0.35">
      <c r="A98">
        <v>14</v>
      </c>
      <c r="B98" s="266">
        <v>87.07601269232957</v>
      </c>
      <c r="C98" s="266">
        <v>123.32291834679604</v>
      </c>
    </row>
    <row r="99" spans="1:3" x14ac:dyDescent="0.35">
      <c r="A99">
        <v>15</v>
      </c>
      <c r="B99" s="266">
        <v>81.263604191109579</v>
      </c>
      <c r="C99" s="266">
        <v>106.07614496459011</v>
      </c>
    </row>
    <row r="100" spans="1:3" x14ac:dyDescent="0.35">
      <c r="A100">
        <v>16</v>
      </c>
      <c r="B100" s="266">
        <v>74.975478963090652</v>
      </c>
      <c r="C100" s="266">
        <v>91.096496265858761</v>
      </c>
    </row>
    <row r="101" spans="1:3" x14ac:dyDescent="0.35">
      <c r="A101">
        <v>17</v>
      </c>
      <c r="B101" s="266">
        <v>71.787628904219929</v>
      </c>
      <c r="C101" s="266">
        <v>81.842404938051388</v>
      </c>
    </row>
    <row r="102" spans="1:3" x14ac:dyDescent="0.35">
      <c r="A102">
        <v>18</v>
      </c>
      <c r="B102" s="266">
        <v>67.816464365388967</v>
      </c>
      <c r="C102" s="266">
        <v>72.960119163292092</v>
      </c>
    </row>
    <row r="103" spans="1:3" x14ac:dyDescent="0.35">
      <c r="A103">
        <v>19</v>
      </c>
      <c r="B103" s="266">
        <v>64.269081645334552</v>
      </c>
      <c r="C103" s="266">
        <v>65.578362434628758</v>
      </c>
    </row>
    <row r="104" spans="1:3" x14ac:dyDescent="0.35">
      <c r="A104">
        <v>20</v>
      </c>
      <c r="B104" s="266">
        <v>61.085646518919894</v>
      </c>
      <c r="C104" s="266">
        <v>59.34996803752896</v>
      </c>
    </row>
    <row r="106" spans="1:3" x14ac:dyDescent="0.35">
      <c r="B106" s="70"/>
      <c r="C106" s="70"/>
    </row>
    <row r="107" spans="1:3" x14ac:dyDescent="0.35">
      <c r="C107" s="70"/>
    </row>
  </sheetData>
  <mergeCells count="1">
    <mergeCell ref="A1:G1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77"/>
  <sheetViews>
    <sheetView view="pageBreakPreview" topLeftCell="A259" zoomScale="60" zoomScaleNormal="100" workbookViewId="0">
      <selection activeCell="G213" sqref="G213"/>
    </sheetView>
  </sheetViews>
  <sheetFormatPr defaultRowHeight="14.5" x14ac:dyDescent="0.35"/>
  <cols>
    <col min="2" max="2" width="10.54296875" bestFit="1" customWidth="1"/>
    <col min="3" max="3" width="14.36328125" bestFit="1" customWidth="1"/>
    <col min="4" max="5" width="15.36328125" bestFit="1" customWidth="1"/>
    <col min="6" max="6" width="13.08984375" bestFit="1" customWidth="1"/>
    <col min="7" max="7" width="10.81640625" customWidth="1"/>
  </cols>
  <sheetData>
    <row r="1" spans="1:7" ht="18" x14ac:dyDescent="0.4">
      <c r="A1" s="287" t="s">
        <v>465</v>
      </c>
      <c r="B1" s="287"/>
      <c r="C1" s="287"/>
      <c r="D1" s="287"/>
      <c r="E1" s="287"/>
      <c r="F1" s="287"/>
      <c r="G1" s="287"/>
    </row>
    <row r="3" spans="1:7" x14ac:dyDescent="0.35">
      <c r="A3" t="s">
        <v>466</v>
      </c>
      <c r="B3" t="s">
        <v>467</v>
      </c>
      <c r="C3" t="s">
        <v>462</v>
      </c>
      <c r="E3" t="s">
        <v>457</v>
      </c>
      <c r="F3" t="s">
        <v>468</v>
      </c>
    </row>
    <row r="4" spans="1:7" x14ac:dyDescent="0.35">
      <c r="A4">
        <v>0</v>
      </c>
      <c r="B4">
        <v>0</v>
      </c>
      <c r="C4">
        <v>0</v>
      </c>
      <c r="E4">
        <v>0</v>
      </c>
      <c r="F4">
        <v>0</v>
      </c>
    </row>
    <row r="5" spans="1:7" x14ac:dyDescent="0.35">
      <c r="A5">
        <v>1</v>
      </c>
      <c r="B5" s="180">
        <v>22194.202981909391</v>
      </c>
      <c r="C5" s="180">
        <f>'Appendix L'!BL65/1000</f>
        <v>23623.759004682131</v>
      </c>
      <c r="D5" s="180"/>
      <c r="E5" s="180">
        <f>E4+B5</f>
        <v>22194.202981909391</v>
      </c>
      <c r="F5" s="180">
        <f>F4+C5</f>
        <v>23623.759004682131</v>
      </c>
      <c r="G5" s="180"/>
    </row>
    <row r="6" spans="1:7" x14ac:dyDescent="0.35">
      <c r="A6">
        <v>2</v>
      </c>
      <c r="B6" s="180">
        <v>11260.269028477733</v>
      </c>
      <c r="C6" s="180">
        <f>'Appendix L'!BL66/1000</f>
        <v>11895.970005335914</v>
      </c>
      <c r="D6" s="180"/>
      <c r="E6" s="180">
        <f t="shared" ref="E6:F21" si="0">E5+B6</f>
        <v>33454.472010387122</v>
      </c>
      <c r="F6" s="180">
        <f t="shared" si="0"/>
        <v>35519.729010018047</v>
      </c>
      <c r="G6" s="180"/>
    </row>
    <row r="7" spans="1:7" x14ac:dyDescent="0.35">
      <c r="A7">
        <v>3</v>
      </c>
      <c r="B7" s="180">
        <v>8116.8957934646014</v>
      </c>
      <c r="C7" s="180">
        <f>'Appendix L'!BL67/1000</f>
        <v>8810.5379643520992</v>
      </c>
      <c r="D7" s="180"/>
      <c r="E7" s="180">
        <f t="shared" si="0"/>
        <v>41571.367803851725</v>
      </c>
      <c r="F7" s="180">
        <f t="shared" si="0"/>
        <v>44330.266974370148</v>
      </c>
      <c r="G7" s="180"/>
    </row>
    <row r="8" spans="1:7" x14ac:dyDescent="0.35">
      <c r="A8">
        <v>4</v>
      </c>
      <c r="B8" s="180">
        <v>6913.5028196598296</v>
      </c>
      <c r="C8" s="180">
        <f>'Appendix L'!BL68/1000</f>
        <v>13609.829586407161</v>
      </c>
      <c r="D8" s="180"/>
      <c r="E8" s="180">
        <f t="shared" si="0"/>
        <v>48484.870623511553</v>
      </c>
      <c r="F8" s="180">
        <f t="shared" si="0"/>
        <v>57940.096560777311</v>
      </c>
      <c r="G8" s="180"/>
    </row>
    <row r="9" spans="1:7" x14ac:dyDescent="0.35">
      <c r="A9">
        <v>5</v>
      </c>
      <c r="B9" s="180">
        <v>6376.5441851282976</v>
      </c>
      <c r="C9" s="180">
        <f>'Appendix L'!BL69/1000</f>
        <v>15930.635440543276</v>
      </c>
      <c r="D9" s="180"/>
      <c r="E9" s="180">
        <f t="shared" si="0"/>
        <v>54861.414808639849</v>
      </c>
      <c r="F9" s="180">
        <f t="shared" si="0"/>
        <v>73870.73200132059</v>
      </c>
      <c r="G9" s="180"/>
    </row>
    <row r="10" spans="1:7" x14ac:dyDescent="0.35">
      <c r="A10">
        <v>6</v>
      </c>
      <c r="B10" s="180">
        <v>5973.5872265532598</v>
      </c>
      <c r="C10" s="180">
        <f>'Appendix L'!BL70/1000</f>
        <v>12363.417165349558</v>
      </c>
      <c r="D10" s="180"/>
      <c r="E10" s="180">
        <f t="shared" si="0"/>
        <v>60835.002035193109</v>
      </c>
      <c r="F10" s="180">
        <f t="shared" si="0"/>
        <v>86234.149166670148</v>
      </c>
      <c r="G10" s="180"/>
    </row>
    <row r="11" spans="1:7" x14ac:dyDescent="0.35">
      <c r="A11">
        <v>7</v>
      </c>
      <c r="B11" s="180">
        <v>5695.1705273222069</v>
      </c>
      <c r="C11" s="180">
        <f>'Appendix L'!BL71/1000</f>
        <v>10458.947990848234</v>
      </c>
      <c r="D11" s="180"/>
      <c r="E11" s="180">
        <f t="shared" si="0"/>
        <v>66530.172562515319</v>
      </c>
      <c r="F11" s="180">
        <f t="shared" si="0"/>
        <v>96693.097157518379</v>
      </c>
      <c r="G11" s="180"/>
    </row>
    <row r="12" spans="1:7" x14ac:dyDescent="0.35">
      <c r="A12">
        <v>8</v>
      </c>
      <c r="B12" s="180">
        <v>5490.2157535933438</v>
      </c>
      <c r="C12" s="180">
        <f>'Appendix L'!BL72/1000</f>
        <v>9290.2433850003399</v>
      </c>
      <c r="D12" s="180"/>
      <c r="E12" s="180">
        <f t="shared" si="0"/>
        <v>72020.388316108671</v>
      </c>
      <c r="F12" s="180">
        <f t="shared" si="0"/>
        <v>105983.34054251872</v>
      </c>
      <c r="G12" s="180"/>
    </row>
    <row r="13" spans="1:7" x14ac:dyDescent="0.35">
      <c r="A13">
        <v>9</v>
      </c>
      <c r="B13" s="180">
        <v>5331.7111771628415</v>
      </c>
      <c r="C13" s="180">
        <f>'Appendix L'!BL73/1000</f>
        <v>8623.8108779892482</v>
      </c>
      <c r="D13" s="180"/>
      <c r="E13" s="180">
        <f t="shared" si="0"/>
        <v>77352.099493271511</v>
      </c>
      <c r="F13" s="180">
        <f t="shared" si="0"/>
        <v>114607.15142050797</v>
      </c>
      <c r="G13" s="180"/>
    </row>
    <row r="14" spans="1:7" x14ac:dyDescent="0.35">
      <c r="A14">
        <v>10</v>
      </c>
      <c r="B14" s="180">
        <v>5153.3814094236714</v>
      </c>
      <c r="C14" s="180">
        <f>'Appendix L'!BL74/1000</f>
        <v>8144.8216514149744</v>
      </c>
      <c r="D14" s="180"/>
      <c r="E14" s="180">
        <f t="shared" si="0"/>
        <v>82505.480902695184</v>
      </c>
      <c r="F14" s="180">
        <f t="shared" si="0"/>
        <v>122751.97307192294</v>
      </c>
      <c r="G14" s="180"/>
    </row>
    <row r="15" spans="1:7" x14ac:dyDescent="0.35">
      <c r="A15">
        <v>11</v>
      </c>
      <c r="B15" s="180">
        <v>5101.1233619238501</v>
      </c>
      <c r="C15" s="180">
        <f>'Appendix L'!BL75/1000</f>
        <v>7986.145166667693</v>
      </c>
      <c r="D15" s="180"/>
      <c r="E15" s="180">
        <f t="shared" si="0"/>
        <v>87606.604264619033</v>
      </c>
      <c r="F15" s="180">
        <f t="shared" si="0"/>
        <v>130738.11823859063</v>
      </c>
      <c r="G15" s="180"/>
    </row>
    <row r="16" spans="1:7" x14ac:dyDescent="0.35">
      <c r="A16">
        <v>12</v>
      </c>
      <c r="B16" s="180">
        <v>5012.5380022548943</v>
      </c>
      <c r="C16" s="180">
        <f>'Appendix L'!BL76/1000</f>
        <v>7746.6386454356398</v>
      </c>
      <c r="D16" s="180"/>
      <c r="E16" s="180">
        <f t="shared" si="0"/>
        <v>92619.142266873925</v>
      </c>
      <c r="F16" s="180">
        <f t="shared" si="0"/>
        <v>138484.75688402628</v>
      </c>
      <c r="G16" s="180"/>
    </row>
    <row r="17" spans="1:7" x14ac:dyDescent="0.35">
      <c r="A17">
        <v>13</v>
      </c>
      <c r="B17" s="180">
        <v>4936.6528999402881</v>
      </c>
      <c r="C17" s="180">
        <f>'Appendix L'!BL77/1000</f>
        <v>7525.35877193744</v>
      </c>
      <c r="D17" s="180"/>
      <c r="E17" s="180">
        <f t="shared" si="0"/>
        <v>97555.79516681422</v>
      </c>
      <c r="F17" s="180">
        <f t="shared" si="0"/>
        <v>146010.11565596372</v>
      </c>
      <c r="G17" s="180"/>
    </row>
    <row r="18" spans="1:7" x14ac:dyDescent="0.35">
      <c r="A18">
        <v>14</v>
      </c>
      <c r="B18" s="180">
        <v>4870.6285622023906</v>
      </c>
      <c r="C18" s="180">
        <f>'Appendix L'!BL78/1000</f>
        <v>7319.9168311408694</v>
      </c>
      <c r="D18" s="180"/>
      <c r="E18" s="180">
        <f t="shared" si="0"/>
        <v>102426.42372901661</v>
      </c>
      <c r="F18" s="180">
        <f t="shared" si="0"/>
        <v>153330.03248710459</v>
      </c>
      <c r="G18" s="180"/>
    </row>
    <row r="19" spans="1:7" x14ac:dyDescent="0.35">
      <c r="A19">
        <v>15</v>
      </c>
      <c r="B19" s="180">
        <v>4812.3970060824768</v>
      </c>
      <c r="C19" s="180">
        <f>'Appendix L'!BL79/1000</f>
        <v>7154.8907988259216</v>
      </c>
      <c r="D19" s="180"/>
      <c r="E19" s="180">
        <f t="shared" si="0"/>
        <v>107238.82073509909</v>
      </c>
      <c r="F19" s="180">
        <f t="shared" si="0"/>
        <v>160484.9232859305</v>
      </c>
      <c r="G19" s="180"/>
    </row>
    <row r="20" spans="1:7" x14ac:dyDescent="0.35">
      <c r="A20">
        <v>16</v>
      </c>
      <c r="B20" s="180">
        <v>4714.9611290786679</v>
      </c>
      <c r="C20" s="180">
        <f>'Appendix L'!BL80/1000</f>
        <v>6941.7211394488004</v>
      </c>
      <c r="D20" s="180"/>
      <c r="E20" s="180">
        <f t="shared" si="0"/>
        <v>111953.78186417776</v>
      </c>
      <c r="F20" s="180">
        <f t="shared" si="0"/>
        <v>167426.64442537932</v>
      </c>
      <c r="G20" s="180"/>
    </row>
    <row r="21" spans="1:7" x14ac:dyDescent="0.35">
      <c r="A21">
        <v>17</v>
      </c>
      <c r="B21" s="180">
        <v>4714.0379771871812</v>
      </c>
      <c r="C21" s="180">
        <f>'Appendix L'!BL81/1000</f>
        <v>6917.4158667530473</v>
      </c>
      <c r="D21" s="180"/>
      <c r="E21" s="180">
        <f t="shared" si="0"/>
        <v>116667.81984136494</v>
      </c>
      <c r="F21" s="180">
        <f t="shared" si="0"/>
        <v>174344.06029213237</v>
      </c>
      <c r="G21" s="180"/>
    </row>
    <row r="22" spans="1:7" x14ac:dyDescent="0.35">
      <c r="A22">
        <v>18</v>
      </c>
      <c r="B22" s="180">
        <v>4671.3524204695732</v>
      </c>
      <c r="C22" s="180">
        <f>'Appendix L'!BL82/1000</f>
        <v>6827.9031279939709</v>
      </c>
      <c r="D22" s="180"/>
      <c r="E22" s="180">
        <f t="shared" ref="E22:F24" si="1">E21+B22</f>
        <v>121339.17226183451</v>
      </c>
      <c r="F22" s="180">
        <f t="shared" si="1"/>
        <v>181171.96342012635</v>
      </c>
      <c r="G22" s="180"/>
    </row>
    <row r="23" spans="1:7" x14ac:dyDescent="0.35">
      <c r="A23">
        <v>19</v>
      </c>
      <c r="B23" s="180">
        <v>4632.3545978052225</v>
      </c>
      <c r="C23" s="180">
        <f>'Appendix L'!BL83/1000</f>
        <v>6752.0431221483204</v>
      </c>
      <c r="D23" s="180"/>
      <c r="E23" s="180">
        <f t="shared" si="1"/>
        <v>125971.52685963974</v>
      </c>
      <c r="F23" s="180">
        <f t="shared" si="1"/>
        <v>187924.00654227467</v>
      </c>
      <c r="G23" s="180"/>
    </row>
    <row r="24" spans="1:7" x14ac:dyDescent="0.35">
      <c r="A24">
        <v>20</v>
      </c>
      <c r="B24" s="180">
        <v>4596.5323875906861</v>
      </c>
      <c r="C24" s="180">
        <f>'Appendix L'!BL84/1000</f>
        <v>6686.7306176249904</v>
      </c>
      <c r="D24" s="180"/>
      <c r="E24" s="180">
        <f t="shared" si="1"/>
        <v>130568.05924723043</v>
      </c>
      <c r="F24" s="180">
        <f t="shared" si="1"/>
        <v>194610.73715989967</v>
      </c>
      <c r="G24" s="180"/>
    </row>
    <row r="26" spans="1:7" x14ac:dyDescent="0.35">
      <c r="C26" t="s">
        <v>450</v>
      </c>
      <c r="D26" t="s">
        <v>469</v>
      </c>
      <c r="E26" s="321" t="s">
        <v>505</v>
      </c>
      <c r="F26" s="321"/>
      <c r="G26" s="321"/>
    </row>
    <row r="27" spans="1:7" x14ac:dyDescent="0.35">
      <c r="B27" t="s">
        <v>470</v>
      </c>
      <c r="C27" s="120">
        <f>E24</f>
        <v>130568.05924723043</v>
      </c>
      <c r="D27" s="120">
        <f>F24</f>
        <v>194610.73715989967</v>
      </c>
      <c r="E27" s="120">
        <f>SUM(B8:B24)</f>
        <v>88996.691443378688</v>
      </c>
      <c r="F27" s="68">
        <f>SUM(C8:C24)</f>
        <v>150280.47018552947</v>
      </c>
      <c r="G27" s="68">
        <f>F27-E27</f>
        <v>61283.778742150782</v>
      </c>
    </row>
    <row r="29" spans="1:7" x14ac:dyDescent="0.35">
      <c r="A29" t="s">
        <v>471</v>
      </c>
      <c r="B29" t="s">
        <v>467</v>
      </c>
      <c r="C29" t="s">
        <v>462</v>
      </c>
      <c r="E29" t="s">
        <v>457</v>
      </c>
      <c r="F29" t="s">
        <v>468</v>
      </c>
    </row>
    <row r="30" spans="1:7" x14ac:dyDescent="0.35">
      <c r="A30">
        <v>0</v>
      </c>
      <c r="B30">
        <v>0</v>
      </c>
      <c r="C30" s="180">
        <v>0</v>
      </c>
      <c r="E30">
        <v>0</v>
      </c>
      <c r="F30">
        <v>0</v>
      </c>
    </row>
    <row r="31" spans="1:7" x14ac:dyDescent="0.35">
      <c r="A31">
        <v>1</v>
      </c>
      <c r="B31" s="180">
        <v>4953.9397910710959</v>
      </c>
      <c r="C31" s="180">
        <f>'Appendix L'!BK65/1000</f>
        <v>6795.4111676859829</v>
      </c>
      <c r="E31" s="180">
        <f>E30+B31</f>
        <v>4953.9397910710959</v>
      </c>
      <c r="F31" s="180">
        <f>F30+C31</f>
        <v>6795.4111676859829</v>
      </c>
      <c r="G31" s="180"/>
    </row>
    <row r="32" spans="1:7" x14ac:dyDescent="0.35">
      <c r="A32">
        <v>2</v>
      </c>
      <c r="B32" s="180">
        <v>4156.593611735907</v>
      </c>
      <c r="C32" s="180">
        <f>'Appendix L'!BK66/1000</f>
        <v>4977.7935935480427</v>
      </c>
      <c r="E32" s="180">
        <f t="shared" ref="E32:F47" si="2">E31+B32</f>
        <v>9110.5334028070029</v>
      </c>
      <c r="F32" s="180">
        <f t="shared" si="2"/>
        <v>11773.204761234025</v>
      </c>
      <c r="G32" s="180"/>
    </row>
    <row r="33" spans="1:7" x14ac:dyDescent="0.35">
      <c r="A33">
        <v>3</v>
      </c>
      <c r="B33" s="180">
        <v>3897.5915380314923</v>
      </c>
      <c r="C33" s="180">
        <f>'Appendix L'!BK67/1000</f>
        <v>4425.7757445406505</v>
      </c>
      <c r="E33" s="180">
        <f t="shared" si="2"/>
        <v>13008.124940838496</v>
      </c>
      <c r="F33" s="180">
        <f t="shared" si="2"/>
        <v>16198.980505774674</v>
      </c>
      <c r="G33" s="180"/>
    </row>
    <row r="34" spans="1:7" x14ac:dyDescent="0.35">
      <c r="A34">
        <v>4</v>
      </c>
      <c r="B34" s="180">
        <v>3774.7356719198133</v>
      </c>
      <c r="C34" s="180">
        <f>'Appendix L'!BK68/1000</f>
        <v>4532.2314486212226</v>
      </c>
      <c r="E34" s="180">
        <f t="shared" si="2"/>
        <v>16782.860612758308</v>
      </c>
      <c r="F34" s="180">
        <f t="shared" si="2"/>
        <v>20731.211954395898</v>
      </c>
      <c r="G34" s="180"/>
    </row>
    <row r="35" spans="1:7" x14ac:dyDescent="0.35">
      <c r="A35">
        <v>5</v>
      </c>
      <c r="B35" s="180">
        <v>3741.0729141086549</v>
      </c>
      <c r="C35" s="180">
        <f>'Appendix L'!BK69/1000</f>
        <v>4880.4546181429778</v>
      </c>
      <c r="E35" s="180">
        <f t="shared" si="2"/>
        <v>20523.933526866964</v>
      </c>
      <c r="F35" s="180">
        <f t="shared" si="2"/>
        <v>25611.666572538874</v>
      </c>
      <c r="G35" s="180"/>
    </row>
    <row r="36" spans="1:7" x14ac:dyDescent="0.35">
      <c r="A36">
        <v>6</v>
      </c>
      <c r="B36" s="180">
        <v>3699.3404741235031</v>
      </c>
      <c r="C36" s="180">
        <f>'Appendix L'!BK70/1000</f>
        <v>4366.8724993704827</v>
      </c>
      <c r="E36" s="180">
        <f t="shared" si="2"/>
        <v>24223.274000990466</v>
      </c>
      <c r="F36" s="180">
        <f t="shared" si="2"/>
        <v>29978.539071909356</v>
      </c>
      <c r="G36" s="180"/>
    </row>
    <row r="37" spans="1:7" x14ac:dyDescent="0.35">
      <c r="A37">
        <v>7</v>
      </c>
      <c r="B37" s="180">
        <v>3667.1584506565596</v>
      </c>
      <c r="C37" s="180">
        <f>'Appendix L'!BK71/1000</f>
        <v>4129.7565501270547</v>
      </c>
      <c r="E37" s="180">
        <f t="shared" si="2"/>
        <v>27890.432451647026</v>
      </c>
      <c r="F37" s="180">
        <f t="shared" si="2"/>
        <v>34108.295622036414</v>
      </c>
      <c r="G37" s="180"/>
    </row>
    <row r="38" spans="1:7" x14ac:dyDescent="0.35">
      <c r="A38">
        <v>8</v>
      </c>
      <c r="B38" s="180">
        <v>3640.6250465373846</v>
      </c>
      <c r="C38" s="180">
        <f>'Appendix L'!BK72/1000</f>
        <v>4001.9572459484639</v>
      </c>
      <c r="E38" s="180">
        <f t="shared" si="2"/>
        <v>31531.057498184411</v>
      </c>
      <c r="F38" s="180">
        <f t="shared" si="2"/>
        <v>38110.252867984877</v>
      </c>
      <c r="G38" s="180"/>
    </row>
    <row r="39" spans="1:7" x14ac:dyDescent="0.35">
      <c r="A39">
        <v>9</v>
      </c>
      <c r="B39" s="180">
        <v>3617.7525706570677</v>
      </c>
      <c r="C39" s="180">
        <f>'Appendix L'!BK73/1000</f>
        <v>3943.4094394908916</v>
      </c>
      <c r="E39" s="180">
        <f t="shared" si="2"/>
        <v>35148.810068841478</v>
      </c>
      <c r="F39" s="180">
        <f t="shared" si="2"/>
        <v>42053.662307475766</v>
      </c>
      <c r="G39" s="180"/>
    </row>
    <row r="40" spans="1:7" x14ac:dyDescent="0.35">
      <c r="A40">
        <v>10</v>
      </c>
      <c r="B40" s="180">
        <v>3575.0626548586338</v>
      </c>
      <c r="C40" s="180">
        <f>'Appendix L'!BK74/1000</f>
        <v>3895.2079851804738</v>
      </c>
      <c r="E40" s="180">
        <f t="shared" si="2"/>
        <v>38723.872723700115</v>
      </c>
      <c r="F40" s="180">
        <f t="shared" si="2"/>
        <v>45948.87029265624</v>
      </c>
      <c r="G40" s="180"/>
    </row>
    <row r="41" spans="1:7" x14ac:dyDescent="0.35">
      <c r="A41">
        <v>11</v>
      </c>
      <c r="B41" s="180">
        <v>3578.7842617611968</v>
      </c>
      <c r="C41" s="180">
        <f>'Appendix L'!BK75/1000</f>
        <v>3909.8707142157568</v>
      </c>
      <c r="E41" s="180">
        <f t="shared" si="2"/>
        <v>42302.656985461312</v>
      </c>
      <c r="F41" s="180">
        <f t="shared" si="2"/>
        <v>49858.741006871998</v>
      </c>
      <c r="G41" s="180"/>
    </row>
    <row r="42" spans="1:7" x14ac:dyDescent="0.35">
      <c r="A42">
        <v>12</v>
      </c>
      <c r="B42" s="180">
        <v>3561.4637439287667</v>
      </c>
      <c r="C42" s="180">
        <f>'Appendix L'!BK76/1000</f>
        <v>3885.8213326822656</v>
      </c>
      <c r="E42" s="180">
        <f t="shared" si="2"/>
        <v>45864.120729390081</v>
      </c>
      <c r="F42" s="180">
        <f t="shared" si="2"/>
        <v>53744.562339554264</v>
      </c>
      <c r="G42" s="180"/>
    </row>
    <row r="43" spans="1:7" x14ac:dyDescent="0.35">
      <c r="A43">
        <v>13</v>
      </c>
      <c r="B43" s="180">
        <v>3545.3081654865887</v>
      </c>
      <c r="C43" s="180">
        <f>'Appendix L'!BK77/1000</f>
        <v>3850.5447226951842</v>
      </c>
      <c r="E43" s="180">
        <f t="shared" si="2"/>
        <v>49409.42889487667</v>
      </c>
      <c r="F43" s="180">
        <f t="shared" si="2"/>
        <v>57595.107062249452</v>
      </c>
      <c r="G43" s="180"/>
    </row>
    <row r="44" spans="1:7" x14ac:dyDescent="0.35">
      <c r="A44">
        <v>14</v>
      </c>
      <c r="B44" s="180">
        <v>3530.0796092650144</v>
      </c>
      <c r="C44" s="180">
        <f>'Appendix L'!BK78/1000</f>
        <v>3808.3913318598502</v>
      </c>
      <c r="E44" s="180">
        <f t="shared" si="2"/>
        <v>52939.508504141682</v>
      </c>
      <c r="F44" s="180">
        <f t="shared" si="2"/>
        <v>61403.498394109301</v>
      </c>
      <c r="G44" s="180"/>
    </row>
    <row r="45" spans="1:7" x14ac:dyDescent="0.35">
      <c r="A45">
        <v>15</v>
      </c>
      <c r="B45" s="180">
        <v>3515.6160522183691</v>
      </c>
      <c r="C45" s="180">
        <f>'Appendix L'!BK79/1000</f>
        <v>3772.4485014205843</v>
      </c>
      <c r="E45" s="180">
        <f t="shared" si="2"/>
        <v>56455.124556360053</v>
      </c>
      <c r="F45" s="180">
        <f t="shared" si="2"/>
        <v>65175.946895529887</v>
      </c>
      <c r="G45" s="180"/>
    </row>
    <row r="46" spans="1:7" x14ac:dyDescent="0.35">
      <c r="A46">
        <v>16</v>
      </c>
      <c r="B46" s="180">
        <v>3479.868236193181</v>
      </c>
      <c r="C46" s="180">
        <f>'Appendix L'!BK80/1000</f>
        <v>3717.8491188789894</v>
      </c>
      <c r="E46" s="180">
        <f t="shared" si="2"/>
        <v>59934.992792553232</v>
      </c>
      <c r="F46" s="180">
        <f t="shared" si="2"/>
        <v>68893.796014408872</v>
      </c>
      <c r="G46" s="180"/>
    </row>
    <row r="47" spans="1:7" x14ac:dyDescent="0.35">
      <c r="A47">
        <v>17</v>
      </c>
      <c r="B47" s="180">
        <v>3488.2696286117257</v>
      </c>
      <c r="C47" s="180">
        <f>'Appendix L'!BK81/1000</f>
        <v>3715.5115129469691</v>
      </c>
      <c r="E47" s="180">
        <f t="shared" si="2"/>
        <v>63423.26242116496</v>
      </c>
      <c r="F47" s="180">
        <f t="shared" si="2"/>
        <v>72609.307527355835</v>
      </c>
      <c r="G47" s="180"/>
    </row>
    <row r="48" spans="1:7" x14ac:dyDescent="0.35">
      <c r="A48">
        <v>18</v>
      </c>
      <c r="B48" s="180">
        <v>3475.1972770938528</v>
      </c>
      <c r="C48" s="180">
        <f>'Appendix L'!BK82/1000</f>
        <v>3691.7997348369286</v>
      </c>
      <c r="E48" s="180">
        <f t="shared" ref="E48:F50" si="3">E47+B48</f>
        <v>66898.459698258812</v>
      </c>
      <c r="F48" s="180">
        <f t="shared" si="3"/>
        <v>76301.10726219276</v>
      </c>
      <c r="G48" s="180"/>
    </row>
    <row r="49" spans="1:7" x14ac:dyDescent="0.35">
      <c r="A49">
        <v>19</v>
      </c>
      <c r="B49" s="180">
        <v>3462.5657494976354</v>
      </c>
      <c r="C49" s="180">
        <f>'Appendix L'!BK83/1000</f>
        <v>3670.4042382310372</v>
      </c>
      <c r="E49" s="180">
        <f t="shared" si="3"/>
        <v>70361.025447756445</v>
      </c>
      <c r="F49" s="180">
        <f t="shared" si="3"/>
        <v>79971.511500423803</v>
      </c>
      <c r="G49" s="180"/>
    </row>
    <row r="50" spans="1:7" x14ac:dyDescent="0.35">
      <c r="A50">
        <v>20</v>
      </c>
      <c r="B50" s="180">
        <v>3450.3222144291076</v>
      </c>
      <c r="C50" s="180">
        <f>'Appendix L'!BK84/1000</f>
        <v>3650.8506511242576</v>
      </c>
      <c r="E50" s="180">
        <f t="shared" si="3"/>
        <v>73811.347662185552</v>
      </c>
      <c r="F50" s="180">
        <f t="shared" si="3"/>
        <v>83622.362151548063</v>
      </c>
      <c r="G50" s="180"/>
    </row>
    <row r="52" spans="1:7" x14ac:dyDescent="0.35">
      <c r="C52" t="s">
        <v>450</v>
      </c>
      <c r="D52" t="s">
        <v>469</v>
      </c>
    </row>
    <row r="53" spans="1:7" x14ac:dyDescent="0.35">
      <c r="B53" t="s">
        <v>472</v>
      </c>
      <c r="C53" s="120">
        <f>E50</f>
        <v>73811.347662185552</v>
      </c>
      <c r="D53" s="120">
        <f>F50</f>
        <v>83622.362151548063</v>
      </c>
      <c r="E53" s="120">
        <f>SUM(B34:B50)</f>
        <v>60803.222721347047</v>
      </c>
      <c r="F53" s="68">
        <f>SUM(C34:C50)</f>
        <v>67423.381645773392</v>
      </c>
      <c r="G53" s="68">
        <f>F53-E53</f>
        <v>6620.158924426345</v>
      </c>
    </row>
    <row r="56" spans="1:7" x14ac:dyDescent="0.35">
      <c r="A56" t="s">
        <v>507</v>
      </c>
      <c r="B56" t="s">
        <v>467</v>
      </c>
      <c r="C56" t="s">
        <v>462</v>
      </c>
      <c r="E56" t="s">
        <v>457</v>
      </c>
      <c r="F56" t="s">
        <v>468</v>
      </c>
    </row>
    <row r="57" spans="1:7" x14ac:dyDescent="0.35">
      <c r="A57">
        <v>0</v>
      </c>
      <c r="B57">
        <v>0</v>
      </c>
      <c r="C57" s="180">
        <v>0</v>
      </c>
      <c r="E57">
        <v>0</v>
      </c>
      <c r="F57">
        <v>0</v>
      </c>
    </row>
    <row r="58" spans="1:7" x14ac:dyDescent="0.35">
      <c r="A58">
        <v>1</v>
      </c>
      <c r="B58" s="180">
        <v>2605884.4169723713</v>
      </c>
      <c r="C58" s="180">
        <f>'Appendix L'!BJ65/1000</f>
        <v>2596974.6858842336</v>
      </c>
      <c r="E58" s="180">
        <f>E57+B58</f>
        <v>2605884.4169723713</v>
      </c>
      <c r="F58" s="180">
        <f>F57+C58</f>
        <v>2596974.6858842336</v>
      </c>
      <c r="G58" s="180"/>
    </row>
    <row r="59" spans="1:7" x14ac:dyDescent="0.35">
      <c r="A59">
        <v>2</v>
      </c>
      <c r="B59" s="180">
        <v>1011404.3153770146</v>
      </c>
      <c r="C59" s="180">
        <f>'Appendix L'!BJ66/1000</f>
        <v>1011318.409103244</v>
      </c>
      <c r="E59" s="180">
        <f t="shared" ref="E59:F74" si="4">E58+B59</f>
        <v>3617288.732349386</v>
      </c>
      <c r="F59" s="180">
        <f t="shared" si="4"/>
        <v>3608293.0949874776</v>
      </c>
      <c r="G59" s="180"/>
    </row>
    <row r="60" spans="1:7" x14ac:dyDescent="0.35">
      <c r="A60">
        <v>3</v>
      </c>
      <c r="B60" s="180">
        <v>558829.99961976369</v>
      </c>
      <c r="C60" s="180">
        <f>'Appendix L'!BJ67/1000</f>
        <v>560829.68175878096</v>
      </c>
      <c r="E60" s="180">
        <f t="shared" si="4"/>
        <v>4176118.7319691498</v>
      </c>
      <c r="F60" s="180">
        <f t="shared" si="4"/>
        <v>4169122.7767462586</v>
      </c>
      <c r="G60" s="180"/>
    </row>
    <row r="61" spans="1:7" x14ac:dyDescent="0.35">
      <c r="A61">
        <v>4</v>
      </c>
      <c r="B61" s="180">
        <v>391430.16448858759</v>
      </c>
      <c r="C61" s="180">
        <f>'Appendix L'!BJ68/1000</f>
        <v>1060013.2308628561</v>
      </c>
      <c r="E61" s="180">
        <f t="shared" si="4"/>
        <v>4567548.8964577373</v>
      </c>
      <c r="F61" s="180">
        <f t="shared" si="4"/>
        <v>5229136.007609115</v>
      </c>
      <c r="G61" s="180"/>
    </row>
    <row r="62" spans="1:7" x14ac:dyDescent="0.35">
      <c r="A62">
        <v>5</v>
      </c>
      <c r="B62" s="180">
        <v>310115.31692212244</v>
      </c>
      <c r="C62" s="180">
        <f>'Appendix L'!BJ69/1000</f>
        <v>1414523.629706267</v>
      </c>
      <c r="E62" s="180">
        <f t="shared" si="4"/>
        <v>4877664.2133798599</v>
      </c>
      <c r="F62" s="180">
        <f t="shared" si="4"/>
        <v>6643659.6373153822</v>
      </c>
      <c r="G62" s="180"/>
    </row>
    <row r="63" spans="1:7" x14ac:dyDescent="0.35">
      <c r="A63">
        <v>6</v>
      </c>
      <c r="B63" s="180">
        <v>253305.60125230576</v>
      </c>
      <c r="C63" s="180">
        <f>'Appendix L'!BJ70/1000</f>
        <v>918871.54698221514</v>
      </c>
      <c r="E63" s="180">
        <f t="shared" si="4"/>
        <v>5130969.8146321652</v>
      </c>
      <c r="F63" s="180">
        <f t="shared" si="4"/>
        <v>7562531.184297597</v>
      </c>
      <c r="G63" s="180"/>
    </row>
    <row r="64" spans="1:7" x14ac:dyDescent="0.35">
      <c r="A64">
        <v>7</v>
      </c>
      <c r="B64" s="180">
        <v>214527.48072419653</v>
      </c>
      <c r="C64" s="180">
        <f>'Appendix L'!BJ71/1000</f>
        <v>641508.61837236397</v>
      </c>
      <c r="E64" s="180">
        <f t="shared" si="4"/>
        <v>5345497.2953563621</v>
      </c>
      <c r="F64" s="180">
        <f t="shared" si="4"/>
        <v>8204039.802669961</v>
      </c>
      <c r="G64" s="180"/>
    </row>
    <row r="65" spans="1:7" x14ac:dyDescent="0.35">
      <c r="A65">
        <v>8</v>
      </c>
      <c r="B65" s="180">
        <v>186383.41944805626</v>
      </c>
      <c r="C65" s="180">
        <f>'Appendix L'!BJ72/1000</f>
        <v>464176.26774713752</v>
      </c>
      <c r="E65" s="180">
        <f t="shared" si="4"/>
        <v>5531880.7148044184</v>
      </c>
      <c r="F65" s="180">
        <f t="shared" si="4"/>
        <v>8668216.0704170987</v>
      </c>
      <c r="G65" s="180"/>
    </row>
    <row r="66" spans="1:7" x14ac:dyDescent="0.35">
      <c r="A66">
        <v>9</v>
      </c>
      <c r="B66" s="180">
        <v>164950.6727263545</v>
      </c>
      <c r="C66" s="180">
        <f>'Appendix L'!BJ73/1000</f>
        <v>357506.76427543943</v>
      </c>
      <c r="E66" s="180">
        <f t="shared" si="4"/>
        <v>5696831.3875307729</v>
      </c>
      <c r="F66" s="180">
        <f t="shared" si="4"/>
        <v>9025722.8346925378</v>
      </c>
      <c r="G66" s="180"/>
    </row>
    <row r="67" spans="1:7" x14ac:dyDescent="0.35">
      <c r="A67">
        <v>10</v>
      </c>
      <c r="B67" s="180">
        <v>145744.32932970629</v>
      </c>
      <c r="C67" s="180">
        <f>'Appendix L'!BJ74/1000</f>
        <v>287770.10141315515</v>
      </c>
      <c r="E67" s="180">
        <f t="shared" si="4"/>
        <v>5842575.7168604797</v>
      </c>
      <c r="F67" s="180">
        <f t="shared" si="4"/>
        <v>9313492.9361056928</v>
      </c>
      <c r="G67" s="180"/>
    </row>
    <row r="68" spans="1:7" x14ac:dyDescent="0.35">
      <c r="A68">
        <v>11</v>
      </c>
      <c r="B68" s="180">
        <v>134576.57932985266</v>
      </c>
      <c r="C68" s="180">
        <f>'Appendix L'!BJ75/1000</f>
        <v>245823.98039251161</v>
      </c>
      <c r="E68" s="180">
        <f t="shared" si="4"/>
        <v>5977152.2961903326</v>
      </c>
      <c r="F68" s="180">
        <f t="shared" si="4"/>
        <v>9559316.9164982047</v>
      </c>
      <c r="G68" s="180"/>
    </row>
    <row r="69" spans="1:7" x14ac:dyDescent="0.35">
      <c r="A69">
        <v>12</v>
      </c>
      <c r="B69" s="180">
        <v>123240.19787821833</v>
      </c>
      <c r="C69" s="180">
        <f>'Appendix L'!BJ76/1000</f>
        <v>206593.68055328526</v>
      </c>
      <c r="E69" s="180">
        <f t="shared" si="4"/>
        <v>6100392.4940685509</v>
      </c>
      <c r="F69" s="180">
        <f t="shared" si="4"/>
        <v>9765910.5970514901</v>
      </c>
      <c r="G69" s="180"/>
    </row>
    <row r="70" spans="1:7" x14ac:dyDescent="0.35">
      <c r="A70">
        <v>13</v>
      </c>
      <c r="B70" s="180">
        <v>113715.60051228908</v>
      </c>
      <c r="C70" s="180">
        <f>'Appendix L'!BJ77/1000</f>
        <v>173976.20503646592</v>
      </c>
      <c r="E70" s="180">
        <f t="shared" si="4"/>
        <v>6214108.0945808403</v>
      </c>
      <c r="F70" s="180">
        <f t="shared" si="4"/>
        <v>9939886.8020879552</v>
      </c>
      <c r="G70" s="180"/>
    </row>
    <row r="71" spans="1:7" x14ac:dyDescent="0.35">
      <c r="A71">
        <v>14</v>
      </c>
      <c r="B71" s="180">
        <v>105594.5242295566</v>
      </c>
      <c r="C71" s="180">
        <f>'Appendix L'!BJ78/1000</f>
        <v>147426.24143867209</v>
      </c>
      <c r="E71" s="180">
        <f t="shared" si="4"/>
        <v>6319702.6188103966</v>
      </c>
      <c r="F71" s="180">
        <f t="shared" si="4"/>
        <v>10087313.043526627</v>
      </c>
      <c r="G71" s="180"/>
    </row>
    <row r="72" spans="1:7" x14ac:dyDescent="0.35">
      <c r="A72">
        <v>15</v>
      </c>
      <c r="B72" s="180">
        <v>98578.042129683323</v>
      </c>
      <c r="C72" s="180">
        <f>'Appendix L'!BJ79/1000</f>
        <v>126606.70050457917</v>
      </c>
      <c r="E72" s="180">
        <f t="shared" si="4"/>
        <v>6418280.6609400799</v>
      </c>
      <c r="F72" s="180">
        <f t="shared" si="4"/>
        <v>10213919.744031206</v>
      </c>
      <c r="G72" s="180"/>
    </row>
    <row r="73" spans="1:7" x14ac:dyDescent="0.35">
      <c r="A73">
        <v>16</v>
      </c>
      <c r="B73" s="180">
        <v>90979.42343366101</v>
      </c>
      <c r="C73" s="180">
        <f>'Appendix L'!BJ80/1000</f>
        <v>108547.11367377001</v>
      </c>
      <c r="E73" s="180">
        <f t="shared" si="4"/>
        <v>6509260.0843737414</v>
      </c>
      <c r="F73" s="180">
        <f t="shared" si="4"/>
        <v>10322466.857704977</v>
      </c>
      <c r="G73" s="180"/>
    </row>
    <row r="74" spans="1:7" x14ac:dyDescent="0.35">
      <c r="A74">
        <v>17</v>
      </c>
      <c r="B74" s="180">
        <v>87139.064472598824</v>
      </c>
      <c r="C74" s="180">
        <f>'Appendix L'!BJ81/1000</f>
        <v>97352.802903696007</v>
      </c>
      <c r="E74" s="180">
        <f t="shared" si="4"/>
        <v>6596399.1488463404</v>
      </c>
      <c r="F74" s="180">
        <f t="shared" si="4"/>
        <v>10419819.660608673</v>
      </c>
      <c r="G74" s="180"/>
    </row>
    <row r="75" spans="1:7" x14ac:dyDescent="0.35">
      <c r="A75">
        <v>18</v>
      </c>
      <c r="B75" s="180">
        <v>82345.250531870042</v>
      </c>
      <c r="C75" s="180">
        <f>'Appendix L'!BJ82/1000</f>
        <v>86630.500930000111</v>
      </c>
      <c r="E75" s="180">
        <f t="shared" ref="E75:F77" si="5">E74+B75</f>
        <v>6678744.3993782103</v>
      </c>
      <c r="F75" s="180">
        <f t="shared" si="5"/>
        <v>10506450.161538674</v>
      </c>
      <c r="G75" s="180"/>
    </row>
    <row r="76" spans="1:7" x14ac:dyDescent="0.35">
      <c r="A76">
        <v>19</v>
      </c>
      <c r="B76" s="180">
        <v>78063.007232653006</v>
      </c>
      <c r="C76" s="180">
        <f>'Appendix L'!BJ83/1000</f>
        <v>77719.571159421495</v>
      </c>
      <c r="E76" s="180">
        <f t="shared" si="5"/>
        <v>6756807.4066108633</v>
      </c>
      <c r="F76" s="180">
        <f t="shared" si="5"/>
        <v>10584169.732698096</v>
      </c>
      <c r="G76" s="180"/>
    </row>
    <row r="77" spans="1:7" x14ac:dyDescent="0.35">
      <c r="A77">
        <v>20</v>
      </c>
      <c r="B77" s="180">
        <v>74220.105348535915</v>
      </c>
      <c r="C77" s="180">
        <f>'Appendix L'!BJ84/1000</f>
        <v>70200.929310860898</v>
      </c>
      <c r="E77" s="180">
        <f t="shared" si="5"/>
        <v>6831027.5119593991</v>
      </c>
      <c r="F77" s="180">
        <f t="shared" si="5"/>
        <v>10654370.662008956</v>
      </c>
      <c r="G77" s="180"/>
    </row>
    <row r="79" spans="1:7" x14ac:dyDescent="0.35">
      <c r="C79" t="s">
        <v>450</v>
      </c>
      <c r="D79" t="s">
        <v>469</v>
      </c>
    </row>
    <row r="80" spans="1:7" x14ac:dyDescent="0.35">
      <c r="B80" t="s">
        <v>473</v>
      </c>
      <c r="C80" s="120">
        <f>E77</f>
        <v>6831027.5119593991</v>
      </c>
      <c r="D80" s="120">
        <f>F77</f>
        <v>10654370.662008956</v>
      </c>
      <c r="E80" s="120">
        <f>SUM(B61:B77)</f>
        <v>2654908.7799902479</v>
      </c>
      <c r="F80" s="125">
        <f>SUM(C61:C77)</f>
        <v>6485247.885262697</v>
      </c>
      <c r="G80" s="125">
        <f>F80-E80</f>
        <v>3830339.1052724491</v>
      </c>
    </row>
    <row r="82" spans="1:7" x14ac:dyDescent="0.35">
      <c r="A82" t="s">
        <v>474</v>
      </c>
      <c r="B82" t="s">
        <v>467</v>
      </c>
      <c r="C82" t="s">
        <v>462</v>
      </c>
    </row>
    <row r="83" spans="1:7" x14ac:dyDescent="0.35">
      <c r="A83">
        <v>0</v>
      </c>
      <c r="C83" s="180"/>
    </row>
    <row r="84" spans="1:7" x14ac:dyDescent="0.35">
      <c r="A84">
        <v>1</v>
      </c>
      <c r="B84" s="186">
        <v>526.02262580364356</v>
      </c>
      <c r="C84" s="186">
        <f>'Appendix M'!I33</f>
        <v>382.16593842526413</v>
      </c>
      <c r="E84" s="180"/>
      <c r="F84" s="180"/>
      <c r="G84" s="180"/>
    </row>
    <row r="85" spans="1:7" x14ac:dyDescent="0.35">
      <c r="A85">
        <v>2</v>
      </c>
      <c r="B85" s="186">
        <v>243.32528263561093</v>
      </c>
      <c r="C85" s="186">
        <f>'Appendix M'!I34</f>
        <v>203.16599917161335</v>
      </c>
      <c r="E85" s="180"/>
      <c r="F85" s="180"/>
      <c r="G85" s="180"/>
    </row>
    <row r="86" spans="1:7" x14ac:dyDescent="0.35">
      <c r="A86">
        <v>3</v>
      </c>
      <c r="B86" s="186">
        <v>143.37828737744155</v>
      </c>
      <c r="C86" s="186">
        <f>'Appendix M'!I35</f>
        <v>126.7189559820296</v>
      </c>
      <c r="E86" s="180"/>
      <c r="F86" s="180"/>
      <c r="G86" s="180"/>
    </row>
    <row r="87" spans="1:7" x14ac:dyDescent="0.35">
      <c r="A87">
        <v>4</v>
      </c>
      <c r="B87" s="186">
        <v>103.69737075907834</v>
      </c>
      <c r="C87" s="186">
        <f>'Appendix M'!I36</f>
        <v>233.88329631429767</v>
      </c>
      <c r="E87" s="180"/>
      <c r="F87" s="180"/>
      <c r="G87" s="180"/>
    </row>
    <row r="88" spans="1:7" x14ac:dyDescent="0.35">
      <c r="A88">
        <v>5</v>
      </c>
      <c r="B88" s="186">
        <v>82.894753468340312</v>
      </c>
      <c r="C88" s="186">
        <f>'Appendix M'!I37</f>
        <v>289.83439871519511</v>
      </c>
      <c r="E88" s="180"/>
      <c r="F88" s="180"/>
      <c r="G88" s="180"/>
    </row>
    <row r="89" spans="1:7" x14ac:dyDescent="0.35">
      <c r="A89">
        <v>6</v>
      </c>
      <c r="B89" s="186">
        <v>68.473178671752905</v>
      </c>
      <c r="C89" s="186">
        <f>'Appendix M'!I38</f>
        <v>210.41867998543063</v>
      </c>
      <c r="E89" s="180"/>
      <c r="F89" s="180"/>
      <c r="G89" s="180"/>
    </row>
    <row r="90" spans="1:7" x14ac:dyDescent="0.35">
      <c r="A90">
        <v>7</v>
      </c>
      <c r="B90" s="186">
        <v>58.499648600072902</v>
      </c>
      <c r="C90" s="186">
        <f>'Appendix M'!I39</f>
        <v>155.33811995591543</v>
      </c>
      <c r="E90" s="180"/>
      <c r="F90" s="180"/>
      <c r="G90" s="180"/>
    </row>
    <row r="91" spans="1:7" x14ac:dyDescent="0.35">
      <c r="A91">
        <v>8</v>
      </c>
      <c r="B91" s="186">
        <v>51.195445030881828</v>
      </c>
      <c r="C91" s="186">
        <f>'Appendix M'!I40</f>
        <v>115.98731301216782</v>
      </c>
      <c r="E91" s="180"/>
      <c r="F91" s="180"/>
      <c r="G91" s="180"/>
    </row>
    <row r="92" spans="1:7" x14ac:dyDescent="0.35">
      <c r="A92">
        <v>9</v>
      </c>
      <c r="B92" s="186">
        <v>45.594791104355608</v>
      </c>
      <c r="C92" s="186">
        <f>'Appendix M'!I41</f>
        <v>90.659306308703989</v>
      </c>
      <c r="E92" s="180"/>
      <c r="F92" s="180"/>
      <c r="G92" s="180"/>
    </row>
    <row r="93" spans="1:7" x14ac:dyDescent="0.35">
      <c r="A93">
        <v>10</v>
      </c>
      <c r="B93" s="186">
        <v>40.766930093276741</v>
      </c>
      <c r="C93" s="186">
        <f>'Appendix M'!I42</f>
        <v>73.877980972515928</v>
      </c>
      <c r="E93" s="180"/>
      <c r="F93" s="180"/>
      <c r="G93" s="180"/>
    </row>
    <row r="94" spans="1:7" x14ac:dyDescent="0.35">
      <c r="A94">
        <v>11</v>
      </c>
      <c r="B94" s="186">
        <v>37.603993280004147</v>
      </c>
      <c r="C94" s="186">
        <f>'Appendix M'!I43</f>
        <v>62.87266213144315</v>
      </c>
      <c r="E94" s="180"/>
      <c r="F94" s="180"/>
      <c r="G94" s="180"/>
    </row>
    <row r="95" spans="1:7" x14ac:dyDescent="0.35">
      <c r="A95">
        <v>12</v>
      </c>
      <c r="B95" s="186">
        <v>34.603805272005395</v>
      </c>
      <c r="C95" s="186">
        <f>'Appendix M'!I44</f>
        <v>53.166026655857557</v>
      </c>
      <c r="E95" s="180"/>
      <c r="F95" s="180"/>
      <c r="G95" s="180"/>
    </row>
    <row r="96" spans="1:7" x14ac:dyDescent="0.35">
      <c r="A96">
        <v>13</v>
      </c>
      <c r="B96" s="186">
        <v>32.074955181415596</v>
      </c>
      <c r="C96" s="186">
        <f>'Appendix M'!I45</f>
        <v>45.182232012797265</v>
      </c>
      <c r="E96" s="180"/>
      <c r="F96" s="180"/>
      <c r="G96" s="180"/>
    </row>
    <row r="97" spans="1:7" x14ac:dyDescent="0.35">
      <c r="A97">
        <v>14</v>
      </c>
      <c r="B97" s="186">
        <v>29.912788355371415</v>
      </c>
      <c r="C97" s="186">
        <f>'Appendix M'!I46</f>
        <v>38.710896174284592</v>
      </c>
      <c r="E97" s="180"/>
      <c r="F97" s="180"/>
      <c r="G97" s="180"/>
    </row>
    <row r="98" spans="1:7" x14ac:dyDescent="0.35">
      <c r="A98">
        <v>15</v>
      </c>
      <c r="B98" s="186">
        <v>28.040047794036024</v>
      </c>
      <c r="C98" s="186">
        <f>'Appendix M'!I47</f>
        <v>33.560882396910948</v>
      </c>
      <c r="E98" s="180"/>
      <c r="F98" s="180"/>
      <c r="G98" s="180"/>
    </row>
    <row r="99" spans="1:7" x14ac:dyDescent="0.35">
      <c r="A99">
        <v>16</v>
      </c>
      <c r="B99" s="186">
        <v>26.144502394489628</v>
      </c>
      <c r="C99" s="186">
        <f>'Appendix M'!I48</f>
        <v>29.19621270335448</v>
      </c>
      <c r="E99" s="180"/>
      <c r="F99" s="180"/>
      <c r="G99" s="180"/>
    </row>
    <row r="100" spans="1:7" x14ac:dyDescent="0.35">
      <c r="A100">
        <v>17</v>
      </c>
      <c r="B100" s="186">
        <v>24.980598907223449</v>
      </c>
      <c r="C100" s="186">
        <f>'Appendix M'!I49</f>
        <v>26.201722848782222</v>
      </c>
      <c r="E100" s="180"/>
      <c r="F100" s="180"/>
      <c r="G100" s="180"/>
    </row>
    <row r="101" spans="1:7" x14ac:dyDescent="0.35">
      <c r="A101">
        <v>18</v>
      </c>
      <c r="B101" s="186">
        <v>23.695129791518358</v>
      </c>
      <c r="C101" s="186">
        <f>'Appendix M'!I50</f>
        <v>23.465655548032235</v>
      </c>
      <c r="E101" s="180"/>
      <c r="F101" s="180"/>
      <c r="G101" s="180"/>
    </row>
    <row r="102" spans="1:7" x14ac:dyDescent="0.35">
      <c r="A102">
        <v>19</v>
      </c>
      <c r="B102" s="186">
        <v>22.544844742364457</v>
      </c>
      <c r="C102" s="186">
        <f>'Appendix M'!I51</f>
        <v>21.174662548035492</v>
      </c>
      <c r="E102" s="180"/>
      <c r="F102" s="180"/>
      <c r="G102" s="180"/>
    </row>
    <row r="103" spans="1:7" x14ac:dyDescent="0.35">
      <c r="A103">
        <v>20</v>
      </c>
      <c r="B103" s="186">
        <v>21.5110649776854</v>
      </c>
      <c r="C103" s="186">
        <f>'Appendix M'!I52</f>
        <v>19.228649983050648</v>
      </c>
      <c r="E103" s="180"/>
      <c r="F103" s="180"/>
      <c r="G103" s="180"/>
    </row>
    <row r="105" spans="1:7" x14ac:dyDescent="0.35">
      <c r="C105" t="s">
        <v>450</v>
      </c>
      <c r="D105" t="s">
        <v>469</v>
      </c>
    </row>
    <row r="106" spans="1:7" x14ac:dyDescent="0.35">
      <c r="B106" t="s">
        <v>244</v>
      </c>
      <c r="C106" s="267">
        <f>C80/C53</f>
        <v>92.547118137215875</v>
      </c>
      <c r="D106" s="267">
        <f t="shared" ref="D106" si="6">D80/D53</f>
        <v>127.41054411617954</v>
      </c>
      <c r="E106" s="267">
        <f>E80/E53</f>
        <v>43.663948408743664</v>
      </c>
      <c r="F106" s="267">
        <f>F80/F53</f>
        <v>96.186926952650722</v>
      </c>
      <c r="G106">
        <f>G80/G53</f>
        <v>578.58718332873832</v>
      </c>
    </row>
    <row r="108" spans="1:7" x14ac:dyDescent="0.35">
      <c r="C108" s="259"/>
      <c r="D108" s="259"/>
      <c r="E108" s="259"/>
    </row>
    <row r="110" spans="1:7" x14ac:dyDescent="0.35">
      <c r="A110" t="s">
        <v>475</v>
      </c>
      <c r="B110" t="s">
        <v>467</v>
      </c>
      <c r="C110" t="s">
        <v>462</v>
      </c>
    </row>
    <row r="111" spans="1:7" x14ac:dyDescent="0.35">
      <c r="A111">
        <v>0</v>
      </c>
      <c r="C111" s="180"/>
    </row>
    <row r="112" spans="1:7" x14ac:dyDescent="0.35">
      <c r="A112">
        <v>1</v>
      </c>
      <c r="B112" s="268">
        <f t="shared" ref="B112:C127" si="7">B5/B31</f>
        <v>4.4801115713824133</v>
      </c>
      <c r="C112" s="268">
        <f t="shared" si="7"/>
        <v>3.4764281986378531</v>
      </c>
      <c r="D112" s="268"/>
    </row>
    <row r="113" spans="1:4" x14ac:dyDescent="0.35">
      <c r="A113">
        <v>2</v>
      </c>
      <c r="B113" s="268">
        <f t="shared" si="7"/>
        <v>2.7090136973422179</v>
      </c>
      <c r="C113" s="268">
        <f t="shared" si="7"/>
        <v>2.3898078097803919</v>
      </c>
      <c r="D113" s="268"/>
    </row>
    <row r="114" spans="1:4" x14ac:dyDescent="0.35">
      <c r="A114">
        <v>3</v>
      </c>
      <c r="B114" s="268">
        <f t="shared" si="7"/>
        <v>2.0825414141688383</v>
      </c>
      <c r="C114" s="268">
        <f t="shared" si="7"/>
        <v>1.9907330314284917</v>
      </c>
      <c r="D114" s="268"/>
    </row>
    <row r="115" spans="1:4" x14ac:dyDescent="0.35">
      <c r="A115">
        <v>4</v>
      </c>
      <c r="B115" s="268">
        <f t="shared" si="7"/>
        <v>1.8315197196691799</v>
      </c>
      <c r="C115" s="268">
        <f t="shared" si="7"/>
        <v>3.0028981839723761</v>
      </c>
      <c r="D115" s="268"/>
    </row>
    <row r="116" spans="1:4" x14ac:dyDescent="0.35">
      <c r="A116">
        <v>5</v>
      </c>
      <c r="B116" s="268">
        <f t="shared" si="7"/>
        <v>1.7044693678865568</v>
      </c>
      <c r="C116" s="268">
        <f t="shared" si="7"/>
        <v>3.2641703871851413</v>
      </c>
      <c r="D116" s="268"/>
    </row>
    <row r="117" spans="1:4" x14ac:dyDescent="0.35">
      <c r="A117">
        <v>6</v>
      </c>
      <c r="B117" s="268">
        <f t="shared" si="7"/>
        <v>1.6147708674932393</v>
      </c>
      <c r="C117" s="268">
        <f t="shared" si="7"/>
        <v>2.8311834538635687</v>
      </c>
      <c r="D117" s="268"/>
    </row>
    <row r="118" spans="1:4" x14ac:dyDescent="0.35">
      <c r="A118">
        <v>7</v>
      </c>
      <c r="B118" s="268">
        <f t="shared" si="7"/>
        <v>1.5530200300733001</v>
      </c>
      <c r="C118" s="268">
        <f t="shared" si="7"/>
        <v>2.5325822149313999</v>
      </c>
      <c r="D118" s="268"/>
    </row>
    <row r="119" spans="1:4" x14ac:dyDescent="0.35">
      <c r="A119">
        <v>8</v>
      </c>
      <c r="B119" s="268">
        <f t="shared" si="7"/>
        <v>1.5080420761306121</v>
      </c>
      <c r="C119" s="268">
        <f t="shared" si="7"/>
        <v>2.3214249463573546</v>
      </c>
      <c r="D119" s="268"/>
    </row>
    <row r="120" spans="1:4" x14ac:dyDescent="0.35">
      <c r="A120">
        <v>9</v>
      </c>
      <c r="B120" s="268">
        <f t="shared" si="7"/>
        <v>1.4737633580602996</v>
      </c>
      <c r="C120" s="268">
        <f t="shared" si="7"/>
        <v>2.1868920816659134</v>
      </c>
      <c r="D120" s="268"/>
    </row>
    <row r="121" spans="1:4" x14ac:dyDescent="0.35">
      <c r="A121">
        <v>10</v>
      </c>
      <c r="B121" s="268">
        <f t="shared" si="7"/>
        <v>1.4414800262087848</v>
      </c>
      <c r="C121" s="268">
        <f t="shared" si="7"/>
        <v>2.0909850468581861</v>
      </c>
      <c r="D121" s="268"/>
    </row>
    <row r="122" spans="1:4" x14ac:dyDescent="0.35">
      <c r="A122">
        <v>11</v>
      </c>
      <c r="B122" s="268">
        <f t="shared" si="7"/>
        <v>1.4253788406383225</v>
      </c>
      <c r="C122" s="268">
        <f t="shared" si="7"/>
        <v>2.0425599080888168</v>
      </c>
      <c r="D122" s="268"/>
    </row>
    <row r="123" spans="1:4" x14ac:dyDescent="0.35">
      <c r="A123">
        <v>12</v>
      </c>
      <c r="B123" s="268">
        <f t="shared" si="7"/>
        <v>1.4074376050576891</v>
      </c>
      <c r="C123" s="268">
        <f t="shared" si="7"/>
        <v>1.9935653191981342</v>
      </c>
      <c r="D123" s="268"/>
    </row>
    <row r="124" spans="1:4" x14ac:dyDescent="0.35">
      <c r="A124">
        <v>13</v>
      </c>
      <c r="B124" s="268">
        <f t="shared" si="7"/>
        <v>1.3924467689433535</v>
      </c>
      <c r="C124" s="268">
        <f t="shared" si="7"/>
        <v>1.9543621263721029</v>
      </c>
      <c r="D124" s="268"/>
    </row>
    <row r="125" spans="1:4" x14ac:dyDescent="0.35">
      <c r="A125">
        <v>14</v>
      </c>
      <c r="B125" s="268">
        <f t="shared" si="7"/>
        <v>1.3797503459749134</v>
      </c>
      <c r="C125" s="268">
        <f t="shared" si="7"/>
        <v>1.9220495461967522</v>
      </c>
    </row>
    <row r="126" spans="1:4" x14ac:dyDescent="0.35">
      <c r="A126">
        <v>15</v>
      </c>
      <c r="B126" s="268">
        <f t="shared" si="7"/>
        <v>1.3688630767986831</v>
      </c>
      <c r="C126" s="268">
        <f t="shared" si="7"/>
        <v>1.8966172225098943</v>
      </c>
    </row>
    <row r="127" spans="1:4" x14ac:dyDescent="0.35">
      <c r="A127">
        <v>16</v>
      </c>
      <c r="B127" s="268">
        <f t="shared" si="7"/>
        <v>1.3549251894194199</v>
      </c>
      <c r="C127" s="268">
        <f t="shared" si="7"/>
        <v>1.8671336349286485</v>
      </c>
    </row>
    <row r="128" spans="1:4" x14ac:dyDescent="0.35">
      <c r="A128">
        <v>17</v>
      </c>
      <c r="B128" s="268">
        <f t="shared" ref="B128:C131" si="8">B21/B47</f>
        <v>1.3513972482291432</v>
      </c>
      <c r="C128" s="268">
        <f t="shared" si="8"/>
        <v>1.8617667695682842</v>
      </c>
    </row>
    <row r="129" spans="1:7" x14ac:dyDescent="0.35">
      <c r="A129">
        <v>18</v>
      </c>
      <c r="B129" s="268">
        <f t="shared" si="8"/>
        <v>1.344197767205898</v>
      </c>
      <c r="C129" s="268">
        <f t="shared" si="8"/>
        <v>1.8494781999044614</v>
      </c>
    </row>
    <row r="130" spans="1:7" x14ac:dyDescent="0.35">
      <c r="A130">
        <v>19</v>
      </c>
      <c r="B130" s="268">
        <f t="shared" si="8"/>
        <v>1.337838739517742</v>
      </c>
      <c r="C130" s="268">
        <f t="shared" si="8"/>
        <v>1.8395911414385486</v>
      </c>
    </row>
    <row r="131" spans="1:7" x14ac:dyDescent="0.35">
      <c r="A131">
        <v>20</v>
      </c>
      <c r="B131" s="268">
        <f t="shared" si="8"/>
        <v>1.3322038064642698</v>
      </c>
      <c r="C131" s="268">
        <f t="shared" si="8"/>
        <v>1.8315541380926803</v>
      </c>
    </row>
    <row r="133" spans="1:7" x14ac:dyDescent="0.35">
      <c r="C133" t="s">
        <v>450</v>
      </c>
      <c r="D133" t="s">
        <v>469</v>
      </c>
    </row>
    <row r="134" spans="1:7" x14ac:dyDescent="0.35">
      <c r="B134" t="s">
        <v>476</v>
      </c>
      <c r="C134" s="268">
        <f>C27/C53</f>
        <v>1.7689428981137818</v>
      </c>
      <c r="D134" s="268">
        <f>D27/D53</f>
        <v>2.3272571134406412</v>
      </c>
      <c r="E134" s="268">
        <f>E27/E53</f>
        <v>1.4636837894471235</v>
      </c>
      <c r="F134" s="268">
        <f>F27/F53</f>
        <v>2.2289073392234724</v>
      </c>
      <c r="G134" s="268">
        <f t="shared" ref="G134" si="9">G27/G53</f>
        <v>9.2571461564211912</v>
      </c>
    </row>
    <row r="137" spans="1:7" x14ac:dyDescent="0.35">
      <c r="A137" t="s">
        <v>477</v>
      </c>
      <c r="B137" t="s">
        <v>467</v>
      </c>
      <c r="C137" t="s">
        <v>462</v>
      </c>
    </row>
    <row r="138" spans="1:7" x14ac:dyDescent="0.35">
      <c r="A138">
        <v>0</v>
      </c>
      <c r="B138">
        <v>0</v>
      </c>
      <c r="C138" s="180">
        <v>0</v>
      </c>
    </row>
    <row r="139" spans="1:7" x14ac:dyDescent="0.35">
      <c r="A139">
        <v>1</v>
      </c>
      <c r="B139" s="268">
        <v>25.709538359428421</v>
      </c>
      <c r="C139" s="268">
        <f>'Appendix M'!H33</f>
        <v>35.386126540125538</v>
      </c>
      <c r="D139" s="268"/>
    </row>
    <row r="140" spans="1:7" x14ac:dyDescent="0.35">
      <c r="A140">
        <v>2</v>
      </c>
      <c r="B140" s="268">
        <v>55.595623401619278</v>
      </c>
      <c r="C140" s="268">
        <f>'Appendix M'!H34</f>
        <v>66.579407045355723</v>
      </c>
      <c r="D140" s="268"/>
    </row>
    <row r="141" spans="1:7" x14ac:dyDescent="0.35">
      <c r="A141">
        <v>3</v>
      </c>
      <c r="B141" s="268">
        <v>94.386864869354625</v>
      </c>
      <c r="C141" s="268">
        <f>'Appendix M'!H35</f>
        <v>106.72809224226934</v>
      </c>
      <c r="D141" s="268"/>
    </row>
    <row r="142" spans="1:7" x14ac:dyDescent="0.35">
      <c r="A142">
        <v>4</v>
      </c>
      <c r="B142" s="268">
        <v>130.55040695991923</v>
      </c>
      <c r="C142" s="268">
        <f>'Appendix M'!H36</f>
        <v>57.739110116838333</v>
      </c>
      <c r="D142" s="268"/>
    </row>
    <row r="143" spans="1:7" x14ac:dyDescent="0.35">
      <c r="A143">
        <v>5</v>
      </c>
      <c r="B143" s="268">
        <v>163.36821962179695</v>
      </c>
      <c r="C143" s="268">
        <f>'Appendix M'!H37</f>
        <v>46.611770723672031</v>
      </c>
      <c r="D143" s="268"/>
    </row>
    <row r="144" spans="1:7" x14ac:dyDescent="0.35">
      <c r="A144">
        <v>6</v>
      </c>
      <c r="B144" s="268">
        <v>197.84506325014866</v>
      </c>
      <c r="C144" s="268">
        <f>'Appendix M'!H38</f>
        <v>64.171818435641157</v>
      </c>
      <c r="D144" s="268"/>
    </row>
    <row r="145" spans="1:4" x14ac:dyDescent="0.35">
      <c r="A145">
        <v>7</v>
      </c>
      <c r="B145" s="268">
        <v>231.65495034600275</v>
      </c>
      <c r="C145" s="268">
        <f>'Appendix M'!H39</f>
        <v>86.869590640099688</v>
      </c>
      <c r="D145" s="268"/>
    </row>
    <row r="146" spans="1:4" x14ac:dyDescent="0.35">
      <c r="A146">
        <v>8</v>
      </c>
      <c r="B146" s="268">
        <v>264.79554381180782</v>
      </c>
      <c r="C146" s="268">
        <f>'Appendix M'!H40</f>
        <v>116.24256690114252</v>
      </c>
      <c r="D146" s="268"/>
    </row>
    <row r="147" spans="1:4" x14ac:dyDescent="0.35">
      <c r="A147">
        <v>9</v>
      </c>
      <c r="B147" s="268">
        <v>297.42163464799148</v>
      </c>
      <c r="C147" s="268">
        <f>'Appendix M'!H41</f>
        <v>148.57725282603397</v>
      </c>
      <c r="D147" s="268"/>
    </row>
    <row r="148" spans="1:4" x14ac:dyDescent="0.35">
      <c r="A148">
        <v>10</v>
      </c>
      <c r="B148" s="268">
        <v>332.75407225968968</v>
      </c>
      <c r="C148" s="268">
        <f>'Appendix M'!H42</f>
        <v>182.15494105216771</v>
      </c>
      <c r="D148" s="268"/>
    </row>
    <row r="149" spans="1:4" x14ac:dyDescent="0.35">
      <c r="A149">
        <v>11</v>
      </c>
      <c r="B149" s="268">
        <v>360.8611377897808</v>
      </c>
      <c r="C149" s="268">
        <f>'Appendix M'!H43</f>
        <v>213.82660081113139</v>
      </c>
      <c r="D149" s="268"/>
    </row>
    <row r="150" spans="1:4" x14ac:dyDescent="0.35">
      <c r="A150">
        <v>12</v>
      </c>
      <c r="B150" s="268">
        <v>392.27741789515363</v>
      </c>
      <c r="C150" s="268">
        <f>'Appendix M'!H44</f>
        <v>252.5710620635509</v>
      </c>
      <c r="D150" s="268"/>
    </row>
    <row r="151" spans="1:4" x14ac:dyDescent="0.35">
      <c r="A151">
        <v>13</v>
      </c>
      <c r="B151" s="268">
        <v>423.34401913167869</v>
      </c>
      <c r="C151" s="268">
        <f>'Appendix M'!H45</f>
        <v>296.80213749747145</v>
      </c>
      <c r="D151" s="268"/>
    </row>
    <row r="152" spans="1:4" x14ac:dyDescent="0.35">
      <c r="A152">
        <v>14</v>
      </c>
      <c r="B152" s="268">
        <v>454.09242853766301</v>
      </c>
      <c r="C152" s="268">
        <f>'Appendix M'!H46</f>
        <v>345.90438661922315</v>
      </c>
    </row>
    <row r="153" spans="1:4" x14ac:dyDescent="0.35">
      <c r="A153">
        <v>15</v>
      </c>
      <c r="B153" s="268">
        <v>484.57795592009614</v>
      </c>
      <c r="C153" s="268">
        <f>'Appendix M'!H47</f>
        <v>398.34914257790797</v>
      </c>
    </row>
    <row r="154" spans="1:4" x14ac:dyDescent="0.35">
      <c r="A154">
        <v>16</v>
      </c>
      <c r="B154" s="268">
        <v>519.87848667928961</v>
      </c>
      <c r="C154" s="268">
        <f>'Appendix M'!H48</f>
        <v>457.13911411093005</v>
      </c>
    </row>
    <row r="155" spans="1:4" x14ac:dyDescent="0.35">
      <c r="A155">
        <v>17</v>
      </c>
      <c r="B155" s="268">
        <v>544.27543378740472</v>
      </c>
      <c r="C155" s="268">
        <f>'Appendix M'!H49</f>
        <v>508.50885941999309</v>
      </c>
    </row>
    <row r="156" spans="1:4" x14ac:dyDescent="0.35">
      <c r="A156">
        <v>18</v>
      </c>
      <c r="B156" s="268">
        <v>573.98773752560044</v>
      </c>
      <c r="C156" s="268">
        <f>'Appendix M'!H50</f>
        <v>566.77527283210713</v>
      </c>
    </row>
    <row r="157" spans="1:4" x14ac:dyDescent="0.35">
      <c r="A157">
        <v>19</v>
      </c>
      <c r="B157" s="268">
        <v>603.46797755009902</v>
      </c>
      <c r="C157" s="268">
        <f>'Appendix M'!H51</f>
        <v>626.91927846821204</v>
      </c>
    </row>
    <row r="158" spans="1:4" x14ac:dyDescent="0.35">
      <c r="A158">
        <v>20</v>
      </c>
      <c r="B158" s="268">
        <v>632.67223337433506</v>
      </c>
      <c r="C158" s="268">
        <f>'Appendix M'!H52</f>
        <v>689.02007074789594</v>
      </c>
    </row>
    <row r="160" spans="1:4" x14ac:dyDescent="0.35">
      <c r="C160" t="s">
        <v>450</v>
      </c>
      <c r="D160" t="s">
        <v>469</v>
      </c>
    </row>
    <row r="161" spans="1:5" x14ac:dyDescent="0.35">
      <c r="B161" t="s">
        <v>478</v>
      </c>
      <c r="C161" s="268">
        <v>146.30767584463513</v>
      </c>
      <c r="D161" s="268">
        <f>'Appendix M'!H55</f>
        <v>105.89927591409159</v>
      </c>
      <c r="E161" s="268"/>
    </row>
    <row r="163" spans="1:5" x14ac:dyDescent="0.35">
      <c r="A163" t="s">
        <v>479</v>
      </c>
      <c r="B163" t="s">
        <v>467</v>
      </c>
      <c r="C163" t="s">
        <v>462</v>
      </c>
    </row>
    <row r="164" spans="1:5" x14ac:dyDescent="0.35">
      <c r="A164">
        <v>0</v>
      </c>
      <c r="B164" s="268">
        <v>3531.1537303824357</v>
      </c>
      <c r="C164" s="268">
        <f>'Appendix N'!P5</f>
        <v>3835.0345255793495</v>
      </c>
      <c r="D164" s="68"/>
    </row>
    <row r="165" spans="1:5" x14ac:dyDescent="0.35">
      <c r="A165">
        <v>1</v>
      </c>
      <c r="B165" s="268">
        <v>177.42985349546575</v>
      </c>
      <c r="C165" s="268">
        <f>'Appendix N'!P6</f>
        <v>342.06418685836957</v>
      </c>
      <c r="D165" s="68"/>
    </row>
    <row r="166" spans="1:5" x14ac:dyDescent="0.35">
      <c r="A166">
        <v>2</v>
      </c>
      <c r="B166" s="268">
        <v>168.49063651458908</v>
      </c>
      <c r="C166" s="268">
        <f>'Appendix N'!P7</f>
        <v>337.86995165212352</v>
      </c>
      <c r="D166" s="68"/>
    </row>
    <row r="167" spans="1:5" x14ac:dyDescent="0.35">
      <c r="A167">
        <v>3</v>
      </c>
      <c r="B167" s="268">
        <v>164.30814022603207</v>
      </c>
      <c r="C167" s="268">
        <f>'Appendix N'!P8</f>
        <v>343.97368936729856</v>
      </c>
      <c r="D167" s="68"/>
    </row>
    <row r="168" spans="1:5" x14ac:dyDescent="0.35">
      <c r="A168">
        <v>4</v>
      </c>
      <c r="B168" s="268">
        <v>160.18686041315038</v>
      </c>
      <c r="C168" s="268">
        <f>'Appendix N'!P9</f>
        <v>385.87356793673263</v>
      </c>
      <c r="D168" s="68"/>
    </row>
    <row r="169" spans="1:5" x14ac:dyDescent="0.35">
      <c r="A169">
        <v>5</v>
      </c>
      <c r="B169" s="268">
        <v>161.99397355457535</v>
      </c>
      <c r="C169" s="268">
        <f>'Appendix N'!P10</f>
        <v>356.05187278509197</v>
      </c>
      <c r="D169" s="68"/>
    </row>
    <row r="170" spans="1:5" x14ac:dyDescent="0.35">
      <c r="A170">
        <v>6</v>
      </c>
      <c r="B170" s="268">
        <v>161.45882308247812</v>
      </c>
      <c r="C170" s="268">
        <f>'Appendix N'!P11</f>
        <v>359.30299353491858</v>
      </c>
      <c r="D170" s="68"/>
    </row>
    <row r="171" spans="1:5" x14ac:dyDescent="0.35">
      <c r="A171">
        <v>7</v>
      </c>
      <c r="B171" s="268">
        <v>161.08946954705297</v>
      </c>
      <c r="C171" s="268">
        <f>'Appendix N'!P12</f>
        <v>367.39659425292018</v>
      </c>
      <c r="D171" s="68"/>
    </row>
    <row r="172" spans="1:5" x14ac:dyDescent="0.35">
      <c r="A172">
        <v>8</v>
      </c>
      <c r="B172" s="268">
        <v>160.81791198961287</v>
      </c>
      <c r="C172" s="268">
        <f>'Appendix N'!P13</f>
        <v>376.25250873211553</v>
      </c>
      <c r="D172" s="68"/>
    </row>
    <row r="173" spans="1:5" x14ac:dyDescent="0.35">
      <c r="A173">
        <v>9</v>
      </c>
      <c r="B173" s="268">
        <v>160.60818045097636</v>
      </c>
      <c r="C173" s="268">
        <f>'Appendix N'!P14</f>
        <v>384.27488841445955</v>
      </c>
      <c r="D173" s="68"/>
    </row>
    <row r="174" spans="1:5" x14ac:dyDescent="0.35">
      <c r="A174">
        <v>10</v>
      </c>
      <c r="B174" s="268">
        <v>157.8513941274343</v>
      </c>
      <c r="C174" s="268">
        <f>'Appendix N'!P15</f>
        <v>384.97056778822764</v>
      </c>
      <c r="D174" s="68"/>
    </row>
    <row r="175" spans="1:5" x14ac:dyDescent="0.35">
      <c r="A175">
        <v>11</v>
      </c>
      <c r="B175" s="268">
        <v>160.30374980676078</v>
      </c>
      <c r="C175" s="268">
        <f>'Appendix N'!P16</f>
        <v>397.36698966665904</v>
      </c>
      <c r="D175" s="68"/>
    </row>
    <row r="176" spans="1:5" x14ac:dyDescent="0.35">
      <c r="A176">
        <v>12</v>
      </c>
      <c r="B176" s="268">
        <v>160.18707701735522</v>
      </c>
      <c r="C176" s="268">
        <f>'Appendix N'!P17</f>
        <v>401.31278002864423</v>
      </c>
      <c r="D176" s="68"/>
    </row>
    <row r="177" spans="1:7" x14ac:dyDescent="0.35">
      <c r="A177">
        <v>13</v>
      </c>
      <c r="B177" s="268">
        <v>160.08728888917625</v>
      </c>
      <c r="C177" s="268">
        <f>'Appendix N'!P18</f>
        <v>403.42427646334465</v>
      </c>
      <c r="D177" s="68"/>
    </row>
    <row r="178" spans="1:7" x14ac:dyDescent="0.35">
      <c r="A178">
        <v>14</v>
      </c>
      <c r="B178" s="268">
        <v>160.00060769654146</v>
      </c>
      <c r="C178" s="268">
        <f>'Appendix N'!P19</f>
        <v>403.35536708763408</v>
      </c>
    </row>
    <row r="179" spans="1:7" x14ac:dyDescent="0.35">
      <c r="A179">
        <v>15</v>
      </c>
      <c r="B179" s="268">
        <v>159.92428080311822</v>
      </c>
      <c r="C179" s="268">
        <f>'Appendix N'!P20</f>
        <v>403.11937691033575</v>
      </c>
    </row>
    <row r="180" spans="1:7" x14ac:dyDescent="0.35">
      <c r="A180">
        <v>16</v>
      </c>
      <c r="B180" s="268">
        <v>157.27509793156833</v>
      </c>
      <c r="C180" s="268">
        <f>'Appendix N'!P21</f>
        <v>396.40438962051303</v>
      </c>
    </row>
    <row r="181" spans="1:7" x14ac:dyDescent="0.35">
      <c r="A181">
        <v>17</v>
      </c>
      <c r="B181" s="268">
        <v>159.79570547654129</v>
      </c>
      <c r="C181" s="268">
        <f>'Appendix N'!P22</f>
        <v>402.77763875036408</v>
      </c>
    </row>
    <row r="182" spans="1:7" x14ac:dyDescent="0.35">
      <c r="A182">
        <v>18</v>
      </c>
      <c r="B182" s="268">
        <v>159.74005073951807</v>
      </c>
      <c r="C182" s="268">
        <f>'Appendix N'!P23</f>
        <v>402.64790001051858</v>
      </c>
    </row>
    <row r="183" spans="1:7" x14ac:dyDescent="0.35">
      <c r="A183">
        <v>19</v>
      </c>
      <c r="B183" s="268">
        <v>159.68928648863206</v>
      </c>
      <c r="C183" s="268">
        <f>'Appendix N'!P24</f>
        <v>402.5374145832692</v>
      </c>
    </row>
    <row r="184" spans="1:7" x14ac:dyDescent="0.35">
      <c r="A184">
        <v>20</v>
      </c>
      <c r="B184" s="268">
        <v>159.6427325716482</v>
      </c>
      <c r="C184" s="268">
        <f>'Appendix N'!P25</f>
        <v>402.44182499209427</v>
      </c>
    </row>
    <row r="186" spans="1:7" x14ac:dyDescent="0.35">
      <c r="C186" t="s">
        <v>450</v>
      </c>
      <c r="D186" t="s">
        <v>469</v>
      </c>
    </row>
    <row r="187" spans="1:7" x14ac:dyDescent="0.35">
      <c r="B187" t="s">
        <v>480</v>
      </c>
      <c r="C187" s="268">
        <v>338.10174256023311</v>
      </c>
      <c r="D187" s="268">
        <f>'Appendix N'!P29</f>
        <v>574.42266525074911</v>
      </c>
      <c r="E187" s="268">
        <v>160.03838179918469</v>
      </c>
      <c r="F187">
        <v>389.9712324445789</v>
      </c>
      <c r="G187" s="70">
        <v>91.869839440989608</v>
      </c>
    </row>
    <row r="189" spans="1:7" x14ac:dyDescent="0.35">
      <c r="A189" t="s">
        <v>481</v>
      </c>
      <c r="B189" t="s">
        <v>467</v>
      </c>
      <c r="C189" t="s">
        <v>462</v>
      </c>
    </row>
    <row r="190" spans="1:7" x14ac:dyDescent="0.35">
      <c r="A190">
        <v>0</v>
      </c>
      <c r="B190" s="268">
        <v>0</v>
      </c>
      <c r="C190" s="268">
        <v>0</v>
      </c>
      <c r="D190" s="68"/>
    </row>
    <row r="191" spans="1:7" x14ac:dyDescent="0.35">
      <c r="A191">
        <v>1</v>
      </c>
      <c r="B191" s="269">
        <v>0.59645220889194928</v>
      </c>
      <c r="C191" s="269">
        <f>'Appendix N'!Q6*1000</f>
        <v>1.153835766350205</v>
      </c>
      <c r="D191" s="270"/>
    </row>
    <row r="192" spans="1:7" x14ac:dyDescent="0.35">
      <c r="A192">
        <v>2</v>
      </c>
      <c r="B192" s="269">
        <v>1.4593352563634354</v>
      </c>
      <c r="C192" s="269">
        <f>'Appendix N'!Q7*1000</f>
        <v>2.926616137737533</v>
      </c>
      <c r="D192" s="270"/>
    </row>
    <row r="193" spans="1:4" x14ac:dyDescent="0.35">
      <c r="A193">
        <v>3</v>
      </c>
      <c r="B193" s="269">
        <v>2.5756299936642426</v>
      </c>
      <c r="C193" s="269">
        <f>'Appendix N'!Q8*1000</f>
        <v>5.3727711226124972</v>
      </c>
      <c r="D193" s="270"/>
    </row>
    <row r="194" spans="1:4" x14ac:dyDescent="0.35">
      <c r="A194">
        <v>4</v>
      </c>
      <c r="B194" s="269">
        <v>3.584897191182387</v>
      </c>
      <c r="C194" s="269">
        <f>'Appendix N'!Q9*1000</f>
        <v>3.1888776070976359</v>
      </c>
      <c r="D194" s="270"/>
    </row>
    <row r="195" spans="1:4" x14ac:dyDescent="0.35">
      <c r="A195">
        <v>5</v>
      </c>
      <c r="B195" s="269">
        <v>4.5759339539312167</v>
      </c>
      <c r="C195" s="269">
        <f>'Appendix N'!Q10*1000</f>
        <v>2.2049927905729541</v>
      </c>
      <c r="D195" s="270"/>
    </row>
    <row r="196" spans="1:4" x14ac:dyDescent="0.35">
      <c r="A196">
        <v>6</v>
      </c>
      <c r="B196" s="269">
        <v>5.5836873847637971</v>
      </c>
      <c r="C196" s="269">
        <f>'Appendix N'!Q11*1000</f>
        <v>3.4253908870102459</v>
      </c>
      <c r="D196" s="270"/>
    </row>
    <row r="197" spans="1:4" x14ac:dyDescent="0.35">
      <c r="A197">
        <v>7</v>
      </c>
      <c r="B197" s="269">
        <v>6.5779160248770001</v>
      </c>
      <c r="C197" s="269">
        <f>'Appendix N'!Q12*1000</f>
        <v>5.0169149306540772</v>
      </c>
      <c r="D197" s="270"/>
    </row>
    <row r="198" spans="1:4" x14ac:dyDescent="0.35">
      <c r="A198">
        <v>8</v>
      </c>
      <c r="B198" s="269">
        <v>7.5584239907221011</v>
      </c>
      <c r="C198" s="269">
        <f>'Appendix N'!Q13*1000</f>
        <v>7.1006904176514896</v>
      </c>
      <c r="D198" s="270"/>
    </row>
    <row r="199" spans="1:4" x14ac:dyDescent="0.35">
      <c r="A199">
        <v>9</v>
      </c>
      <c r="B199" s="269">
        <v>8.5293841940528505</v>
      </c>
      <c r="C199" s="269">
        <f>'Appendix N'!Q14*1000</f>
        <v>9.4159002259245508</v>
      </c>
      <c r="D199" s="270"/>
    </row>
    <row r="200" spans="1:4" x14ac:dyDescent="0.35">
      <c r="A200">
        <v>10</v>
      </c>
      <c r="B200" s="269">
        <v>9.4876982103926011</v>
      </c>
      <c r="C200" s="269">
        <f>'Appendix N'!Q15*1000</f>
        <v>11.71887613502683</v>
      </c>
      <c r="D200" s="270"/>
    </row>
    <row r="201" spans="1:4" x14ac:dyDescent="0.35">
      <c r="A201">
        <v>11</v>
      </c>
      <c r="B201" s="269">
        <v>10.434659992845592</v>
      </c>
      <c r="C201" s="269">
        <f>'Appendix N'!Q16*1000</f>
        <v>14.160273639381566</v>
      </c>
      <c r="D201" s="270"/>
    </row>
    <row r="202" spans="1:4" x14ac:dyDescent="0.35">
      <c r="A202">
        <v>12</v>
      </c>
      <c r="B202" s="269">
        <v>11.386210171933214</v>
      </c>
      <c r="C202" s="269">
        <f>'Appendix N'!Q17*1000</f>
        <v>17.016493164921346</v>
      </c>
      <c r="D202" s="270"/>
    </row>
    <row r="203" spans="1:4" x14ac:dyDescent="0.35">
      <c r="A203">
        <v>13</v>
      </c>
      <c r="B203" s="269">
        <v>12.332209866997383</v>
      </c>
      <c r="C203" s="269">
        <f>'Appendix N'!Q18*1000</f>
        <v>20.313103513656728</v>
      </c>
      <c r="D203" s="270"/>
    </row>
    <row r="204" spans="1:4" x14ac:dyDescent="0.35">
      <c r="A204">
        <v>14</v>
      </c>
      <c r="B204" s="269">
        <v>13.273465964718884</v>
      </c>
      <c r="C204" s="269">
        <f>'Appendix N'!Q19*1000</f>
        <v>23.967191873080019</v>
      </c>
    </row>
    <row r="205" spans="1:4" x14ac:dyDescent="0.35">
      <c r="A205">
        <v>15</v>
      </c>
      <c r="B205" s="269">
        <v>14.211447798814342</v>
      </c>
      <c r="C205" s="269">
        <f>'Appendix N'!Q20*1000</f>
        <v>27.892092027205294</v>
      </c>
    </row>
    <row r="206" spans="1:4" x14ac:dyDescent="0.35">
      <c r="A206">
        <v>16</v>
      </c>
      <c r="B206" s="269">
        <v>15.143312695151673</v>
      </c>
      <c r="C206" s="269">
        <f>'Appendix N'!Q21*1000</f>
        <v>31.990739647965519</v>
      </c>
    </row>
    <row r="207" spans="1:4" x14ac:dyDescent="0.35">
      <c r="A207">
        <v>17</v>
      </c>
      <c r="B207" s="269">
        <v>16.064096951771578</v>
      </c>
      <c r="C207" s="269">
        <f>'Appendix N'!Q22*1000</f>
        <v>36.242737858749791</v>
      </c>
    </row>
    <row r="208" spans="1:4" x14ac:dyDescent="0.35">
      <c r="A208">
        <v>18</v>
      </c>
      <c r="B208" s="269">
        <v>16.993364346333479</v>
      </c>
      <c r="C208" s="269">
        <f>'Appendix N'!Q23*1000</f>
        <v>40.715401229668707</v>
      </c>
    </row>
    <row r="209" spans="1:7" x14ac:dyDescent="0.35">
      <c r="A209">
        <v>19</v>
      </c>
      <c r="B209" s="269">
        <v>17.919859857195963</v>
      </c>
      <c r="C209" s="269">
        <f>'Appendix N'!Q24*1000</f>
        <v>45.371168409000852</v>
      </c>
    </row>
    <row r="210" spans="1:7" x14ac:dyDescent="0.35">
      <c r="A210">
        <v>20</v>
      </c>
      <c r="B210" s="269">
        <v>18.842203615320319</v>
      </c>
      <c r="C210" s="269">
        <f>'Appendix N'!Q25*1000</f>
        <v>50.218571485282702</v>
      </c>
    </row>
    <row r="212" spans="1:7" x14ac:dyDescent="0.35">
      <c r="C212" t="s">
        <v>450</v>
      </c>
      <c r="D212" t="s">
        <v>469</v>
      </c>
    </row>
    <row r="213" spans="1:7" x14ac:dyDescent="0.35">
      <c r="B213" t="s">
        <v>482</v>
      </c>
      <c r="C213" s="269">
        <f>1000*0.00867152491961811</f>
        <v>8.6715249196181112</v>
      </c>
      <c r="D213" s="269">
        <f>'Appendix N'!Q29*1000</f>
        <v>9.4457809048061634</v>
      </c>
      <c r="E213" s="271">
        <f>1000*0.00897692455468173</f>
        <v>8.9769245546817302</v>
      </c>
      <c r="F213">
        <f>0.00895486448060332*1000</f>
        <v>8.9548644806033195</v>
      </c>
      <c r="G213">
        <f>0.00357181338610985*1000</f>
        <v>3.57181338610985</v>
      </c>
    </row>
    <row r="253" spans="1:4" x14ac:dyDescent="0.35">
      <c r="A253" t="s">
        <v>483</v>
      </c>
      <c r="B253" t="s">
        <v>467</v>
      </c>
      <c r="C253" t="s">
        <v>462</v>
      </c>
    </row>
    <row r="254" spans="1:4" x14ac:dyDescent="0.35">
      <c r="A254">
        <v>0</v>
      </c>
      <c r="B254" s="268">
        <v>1</v>
      </c>
      <c r="C254" s="268">
        <v>1</v>
      </c>
      <c r="D254" s="68"/>
    </row>
    <row r="255" spans="1:4" x14ac:dyDescent="0.35">
      <c r="A255">
        <v>1</v>
      </c>
      <c r="B255" s="269">
        <f t="shared" ref="B255:C270" si="10">(B58-B31-B5)/B58</f>
        <v>0.98958198506573736</v>
      </c>
      <c r="C255" s="269">
        <f t="shared" si="10"/>
        <v>0.9882866897633964</v>
      </c>
      <c r="D255" s="269"/>
    </row>
    <row r="256" spans="1:4" x14ac:dyDescent="0.35">
      <c r="A256">
        <v>2</v>
      </c>
      <c r="B256" s="269">
        <f t="shared" si="10"/>
        <v>0.9847569736396995</v>
      </c>
      <c r="C256" s="269">
        <f t="shared" si="10"/>
        <v>0.98331508311625992</v>
      </c>
      <c r="D256" s="269"/>
    </row>
    <row r="257" spans="1:4" x14ac:dyDescent="0.35">
      <c r="A257">
        <v>3</v>
      </c>
      <c r="B257" s="269">
        <f t="shared" si="10"/>
        <v>0.97850064001633608</v>
      </c>
      <c r="C257" s="269">
        <f t="shared" si="10"/>
        <v>0.9763986926166548</v>
      </c>
      <c r="D257" s="269"/>
    </row>
    <row r="258" spans="1:4" x14ac:dyDescent="0.35">
      <c r="A258">
        <v>4</v>
      </c>
      <c r="B258" s="269">
        <f t="shared" si="10"/>
        <v>0.97269439235592869</v>
      </c>
      <c r="C258" s="269">
        <f t="shared" si="10"/>
        <v>0.98288506170789902</v>
      </c>
      <c r="D258" s="269"/>
    </row>
    <row r="259" spans="1:4" x14ac:dyDescent="0.35">
      <c r="A259">
        <v>5</v>
      </c>
      <c r="B259" s="269">
        <f t="shared" si="10"/>
        <v>0.96737466178822207</v>
      </c>
      <c r="C259" s="269">
        <f t="shared" si="10"/>
        <v>0.98528756280797669</v>
      </c>
      <c r="D259" s="269"/>
    </row>
    <row r="260" spans="1:4" x14ac:dyDescent="0.35">
      <c r="A260">
        <v>6</v>
      </c>
      <c r="B260" s="269">
        <f t="shared" si="10"/>
        <v>0.96181321039544632</v>
      </c>
      <c r="C260" s="269">
        <f t="shared" si="10"/>
        <v>0.98179256967998829</v>
      </c>
      <c r="D260" s="269"/>
    </row>
    <row r="261" spans="1:4" x14ac:dyDescent="0.35">
      <c r="A261">
        <v>7</v>
      </c>
      <c r="B261" s="269">
        <f t="shared" si="10"/>
        <v>0.95635836981642786</v>
      </c>
      <c r="C261" s="269">
        <f t="shared" si="10"/>
        <v>0.97725875518556593</v>
      </c>
      <c r="D261" s="269"/>
    </row>
    <row r="262" spans="1:4" x14ac:dyDescent="0.35">
      <c r="A262">
        <v>8</v>
      </c>
      <c r="B262" s="269">
        <f t="shared" si="10"/>
        <v>0.95101044488200615</v>
      </c>
      <c r="C262" s="269">
        <f t="shared" si="10"/>
        <v>0.9713638943768883</v>
      </c>
      <c r="D262" s="269"/>
    </row>
    <row r="263" spans="1:4" x14ac:dyDescent="0.35">
      <c r="A263">
        <v>9</v>
      </c>
      <c r="B263" s="269">
        <f t="shared" si="10"/>
        <v>0.94574460594855125</v>
      </c>
      <c r="C263" s="269">
        <f t="shared" si="10"/>
        <v>0.96484760129518066</v>
      </c>
      <c r="D263" s="269"/>
    </row>
    <row r="264" spans="1:4" x14ac:dyDescent="0.35">
      <c r="A264">
        <v>10</v>
      </c>
      <c r="B264" s="269">
        <f t="shared" si="10"/>
        <v>0.94011126124477473</v>
      </c>
      <c r="C264" s="269">
        <f t="shared" si="10"/>
        <v>0.95816094313665534</v>
      </c>
      <c r="D264" s="269"/>
    </row>
    <row r="265" spans="1:4" x14ac:dyDescent="0.35">
      <c r="A265">
        <v>11</v>
      </c>
      <c r="B265" s="269">
        <f t="shared" si="10"/>
        <v>0.93550209355217562</v>
      </c>
      <c r="C265" s="269">
        <f t="shared" si="10"/>
        <v>0.95160758579415694</v>
      </c>
      <c r="D265" s="269"/>
    </row>
    <row r="266" spans="1:4" x14ac:dyDescent="0.35">
      <c r="A266">
        <v>12</v>
      </c>
      <c r="B266" s="269">
        <f t="shared" si="10"/>
        <v>0.93042852986445068</v>
      </c>
      <c r="C266" s="269">
        <f t="shared" si="10"/>
        <v>0.94369401838931055</v>
      </c>
      <c r="D266" s="269"/>
    </row>
    <row r="267" spans="1:4" x14ac:dyDescent="0.35">
      <c r="A267">
        <v>13</v>
      </c>
      <c r="B267" s="269">
        <f t="shared" si="10"/>
        <v>0.92541075255096383</v>
      </c>
      <c r="C267" s="269">
        <f t="shared" si="10"/>
        <v>0.93461230234187365</v>
      </c>
      <c r="D267" s="269"/>
    </row>
    <row r="268" spans="1:4" x14ac:dyDescent="0.35">
      <c r="A268">
        <v>14</v>
      </c>
      <c r="B268" s="269">
        <f t="shared" si="10"/>
        <v>0.92044371398269931</v>
      </c>
      <c r="C268" s="269">
        <f t="shared" si="10"/>
        <v>0.92451609662971701</v>
      </c>
    </row>
    <row r="269" spans="1:4" x14ac:dyDescent="0.35">
      <c r="A269">
        <v>15</v>
      </c>
      <c r="B269" s="269">
        <f t="shared" si="10"/>
        <v>0.91551857920504232</v>
      </c>
      <c r="C269" s="269">
        <f t="shared" si="10"/>
        <v>0.91369067153083827</v>
      </c>
    </row>
    <row r="270" spans="1:4" x14ac:dyDescent="0.35">
      <c r="A270">
        <v>16</v>
      </c>
      <c r="B270" s="269">
        <f t="shared" si="10"/>
        <v>0.90992656299644237</v>
      </c>
      <c r="C270" s="269">
        <f t="shared" si="10"/>
        <v>0.90179775493280911</v>
      </c>
    </row>
    <row r="271" spans="1:4" x14ac:dyDescent="0.35">
      <c r="A271">
        <v>17</v>
      </c>
      <c r="B271" s="269">
        <f t="shared" ref="B271:C274" si="11">(B74-B47-B21)/B74</f>
        <v>0.90587106190039313</v>
      </c>
      <c r="C271" s="269">
        <f t="shared" si="11"/>
        <v>0.89077944278380583</v>
      </c>
    </row>
    <row r="272" spans="1:4" x14ac:dyDescent="0.35">
      <c r="A272">
        <v>18</v>
      </c>
      <c r="B272" s="269">
        <f t="shared" si="11"/>
        <v>0.90106837194683775</v>
      </c>
      <c r="C272" s="269">
        <f t="shared" si="11"/>
        <v>0.87856813997495975</v>
      </c>
    </row>
    <row r="273" spans="1:7" x14ac:dyDescent="0.35">
      <c r="A273">
        <v>19</v>
      </c>
      <c r="B273" s="269">
        <f t="shared" si="11"/>
        <v>0.89630273500510449</v>
      </c>
      <c r="C273" s="269">
        <f t="shared" si="11"/>
        <v>0.86589674640637915</v>
      </c>
    </row>
    <row r="274" spans="1:7" x14ac:dyDescent="0.35">
      <c r="A274">
        <v>20</v>
      </c>
      <c r="B274" s="269">
        <f t="shared" si="11"/>
        <v>0.89158120209838088</v>
      </c>
      <c r="C274" s="269">
        <f t="shared" si="11"/>
        <v>0.85274295696325053</v>
      </c>
    </row>
    <row r="276" spans="1:7" x14ac:dyDescent="0.35">
      <c r="C276" t="s">
        <v>450</v>
      </c>
      <c r="D276" t="s">
        <v>469</v>
      </c>
    </row>
    <row r="277" spans="1:7" x14ac:dyDescent="0.35">
      <c r="B277" t="s">
        <v>498</v>
      </c>
      <c r="C277" s="269">
        <f>(C80-C53-C27)/C80</f>
        <v>0.97008072262165557</v>
      </c>
      <c r="D277" s="269">
        <f>(D80-D53-D27)/D80</f>
        <v>0.97388554348840484</v>
      </c>
      <c r="E277" s="269">
        <f>(E80-E53-E27)/E80</f>
        <v>0.94357624815822261</v>
      </c>
      <c r="F277" s="269">
        <f>(F80-F53-F27)/F80</f>
        <v>0.966430912791164</v>
      </c>
      <c r="G277" s="269">
        <f>(G80-G53-G27)/G80</f>
        <v>0.98227208197490723</v>
      </c>
    </row>
  </sheetData>
  <mergeCells count="2">
    <mergeCell ref="A1:G1"/>
    <mergeCell ref="E26:G26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62"/>
  <sheetViews>
    <sheetView view="pageBreakPreview" topLeftCell="D7" zoomScale="90" zoomScaleNormal="100" zoomScaleSheetLayoutView="90" workbookViewId="0">
      <selection sqref="A1:J1"/>
    </sheetView>
  </sheetViews>
  <sheetFormatPr defaultRowHeight="14.5" x14ac:dyDescent="0.35"/>
  <cols>
    <col min="2" max="3" width="15.36328125" bestFit="1" customWidth="1"/>
    <col min="4" max="4" width="16.453125" bestFit="1" customWidth="1"/>
    <col min="5" max="5" width="10.08984375" customWidth="1"/>
    <col min="6" max="6" width="8.26953125" customWidth="1"/>
  </cols>
  <sheetData>
    <row r="1" spans="1:10" ht="18" x14ac:dyDescent="0.4">
      <c r="A1" s="287" t="s">
        <v>484</v>
      </c>
      <c r="B1" s="287"/>
      <c r="C1" s="287"/>
      <c r="D1" s="287"/>
      <c r="E1" s="287"/>
      <c r="F1" s="287"/>
      <c r="G1" s="287"/>
      <c r="H1" s="287"/>
      <c r="I1" s="287"/>
      <c r="J1" s="287"/>
    </row>
    <row r="3" spans="1:10" x14ac:dyDescent="0.35">
      <c r="C3" t="s">
        <v>450</v>
      </c>
      <c r="D3" t="s">
        <v>469</v>
      </c>
      <c r="F3" s="137">
        <v>0</v>
      </c>
      <c r="G3" s="137">
        <v>21</v>
      </c>
    </row>
    <row r="4" spans="1:10" x14ac:dyDescent="0.35">
      <c r="B4" t="s">
        <v>393</v>
      </c>
      <c r="C4" s="120">
        <v>220.97015965238162</v>
      </c>
      <c r="D4" s="120">
        <f>'Appendix O'!E7</f>
        <v>61.981590666064669</v>
      </c>
      <c r="E4" s="120"/>
      <c r="F4" s="272">
        <f>C4</f>
        <v>220.97015965238162</v>
      </c>
      <c r="G4" s="272">
        <f>C4</f>
        <v>220.97015965238162</v>
      </c>
    </row>
    <row r="5" spans="1:10" x14ac:dyDescent="0.35">
      <c r="B5" s="180" t="s">
        <v>368</v>
      </c>
      <c r="C5" s="120">
        <v>466.43244625021219</v>
      </c>
      <c r="D5" s="120">
        <f>'Appendix O'!E8</f>
        <v>132.73699276199977</v>
      </c>
      <c r="E5" s="120"/>
      <c r="F5" s="272">
        <f>D4</f>
        <v>61.981590666064669</v>
      </c>
      <c r="G5" s="272">
        <f>D4</f>
        <v>61.981590666064669</v>
      </c>
    </row>
    <row r="6" spans="1:10" x14ac:dyDescent="0.35">
      <c r="B6" s="180"/>
      <c r="C6" s="180"/>
      <c r="D6" s="180"/>
      <c r="E6" s="180"/>
    </row>
    <row r="7" spans="1:10" x14ac:dyDescent="0.35">
      <c r="A7" t="s">
        <v>485</v>
      </c>
      <c r="B7" t="s">
        <v>467</v>
      </c>
      <c r="C7" t="s">
        <v>462</v>
      </c>
    </row>
    <row r="8" spans="1:10" x14ac:dyDescent="0.35">
      <c r="A8">
        <v>0</v>
      </c>
      <c r="B8">
        <v>0</v>
      </c>
      <c r="C8">
        <v>0</v>
      </c>
      <c r="E8" t="s">
        <v>486</v>
      </c>
      <c r="F8" t="s">
        <v>487</v>
      </c>
    </row>
    <row r="9" spans="1:10" x14ac:dyDescent="0.35">
      <c r="A9">
        <v>1</v>
      </c>
      <c r="B9" s="193">
        <v>64610198.80302608</v>
      </c>
      <c r="C9" s="193">
        <v>75063439.239628762</v>
      </c>
      <c r="D9" s="193"/>
      <c r="E9" s="180">
        <v>26.529734455684302</v>
      </c>
      <c r="F9" s="265">
        <f>'Appendix O'!C12</f>
        <v>26.149221894179433</v>
      </c>
    </row>
    <row r="10" spans="1:10" x14ac:dyDescent="0.35">
      <c r="A10">
        <v>2</v>
      </c>
      <c r="B10" s="193">
        <v>64067531.451176681</v>
      </c>
      <c r="C10" s="193">
        <v>74516552.007297307</v>
      </c>
      <c r="D10" s="193"/>
      <c r="E10" s="180">
        <v>28.7634187285217</v>
      </c>
      <c r="F10" s="265">
        <f>'Appendix O'!C13</f>
        <v>28.575737106052902</v>
      </c>
    </row>
    <row r="11" spans="1:10" x14ac:dyDescent="0.35">
      <c r="A11">
        <v>3</v>
      </c>
      <c r="B11" s="193">
        <v>64456136.174406275</v>
      </c>
      <c r="C11" s="193">
        <v>74238093.441062734</v>
      </c>
      <c r="D11" s="193"/>
      <c r="E11" s="180">
        <v>32.032019789059547</v>
      </c>
      <c r="F11" s="265">
        <f>'Appendix O'!C14</f>
        <v>31.206766451308901</v>
      </c>
    </row>
    <row r="12" spans="1:10" x14ac:dyDescent="0.35">
      <c r="A12">
        <v>4</v>
      </c>
      <c r="B12" s="193">
        <v>63679703.46171353</v>
      </c>
      <c r="C12" s="193">
        <v>73944119.653820917</v>
      </c>
      <c r="D12" s="193"/>
      <c r="E12" s="180">
        <v>35.141547688093894</v>
      </c>
      <c r="F12" s="265">
        <f>'Appendix O'!C15</f>
        <v>33.60758068650992</v>
      </c>
    </row>
    <row r="13" spans="1:10" x14ac:dyDescent="0.35">
      <c r="A13">
        <v>5</v>
      </c>
      <c r="B13" s="193">
        <v>62966167.12648768</v>
      </c>
      <c r="C13" s="193">
        <v>74139210.905774057</v>
      </c>
      <c r="D13" s="193"/>
      <c r="E13" s="180">
        <v>37.954753532270189</v>
      </c>
      <c r="F13" s="265">
        <f>'Appendix O'!C16</f>
        <v>37.302029360881036</v>
      </c>
    </row>
    <row r="14" spans="1:10" x14ac:dyDescent="0.35">
      <c r="A14">
        <v>6</v>
      </c>
      <c r="B14" s="193">
        <v>63071101.188700356</v>
      </c>
      <c r="C14" s="193">
        <v>74506571.631781459</v>
      </c>
      <c r="D14" s="193"/>
      <c r="E14" s="180">
        <v>41.042924895461759</v>
      </c>
      <c r="F14" s="265">
        <f>'Appendix O'!C17</f>
        <v>40.454911373489516</v>
      </c>
    </row>
    <row r="15" spans="1:10" x14ac:dyDescent="0.35">
      <c r="A15">
        <v>7</v>
      </c>
      <c r="B15" s="193">
        <v>62649328.677268691</v>
      </c>
      <c r="C15" s="193">
        <v>73754556.336597487</v>
      </c>
      <c r="D15" s="193"/>
      <c r="E15" s="180">
        <v>45.423297620803524</v>
      </c>
      <c r="F15" s="265">
        <f>'Appendix O'!C18</f>
        <v>43.928018398361097</v>
      </c>
    </row>
    <row r="16" spans="1:10" x14ac:dyDescent="0.35">
      <c r="A16">
        <v>8</v>
      </c>
      <c r="B16" s="193">
        <v>61930641.405743919</v>
      </c>
      <c r="C16" s="193">
        <v>72363805.399657279</v>
      </c>
      <c r="D16" s="193"/>
      <c r="E16" s="180">
        <v>48.750495474195013</v>
      </c>
      <c r="F16" s="265">
        <f>'Appendix O'!C19</f>
        <v>48.101738415824002</v>
      </c>
    </row>
    <row r="17" spans="1:6" x14ac:dyDescent="0.35">
      <c r="A17">
        <v>9</v>
      </c>
      <c r="B17" s="193">
        <v>61215816.194795728</v>
      </c>
      <c r="C17" s="193">
        <v>71656711.065703675</v>
      </c>
      <c r="D17" s="193"/>
      <c r="E17" s="180">
        <v>52.298106728566012</v>
      </c>
      <c r="F17" s="265">
        <f>'Appendix O'!C20</f>
        <v>53.098182793387636</v>
      </c>
    </row>
    <row r="18" spans="1:6" x14ac:dyDescent="0.35">
      <c r="A18">
        <v>10</v>
      </c>
      <c r="B18" s="193">
        <v>59445184.938183635</v>
      </c>
      <c r="C18" s="193">
        <v>70460424.603720009</v>
      </c>
      <c r="D18" s="193"/>
      <c r="E18" s="180">
        <v>56.849380243131698</v>
      </c>
      <c r="F18" s="265">
        <f>'Appendix O'!C21</f>
        <v>56.984513704230096</v>
      </c>
    </row>
    <row r="19" spans="1:6" x14ac:dyDescent="0.35">
      <c r="A19">
        <v>11</v>
      </c>
      <c r="B19" s="193">
        <v>57437209.882883079</v>
      </c>
      <c r="C19" s="193">
        <v>70604310.428696051</v>
      </c>
      <c r="D19" s="193"/>
      <c r="E19" s="180">
        <v>60.305536061632615</v>
      </c>
      <c r="F19" s="265">
        <f>'Appendix O'!C22</f>
        <v>59.975899541097483</v>
      </c>
    </row>
    <row r="20" spans="1:6" x14ac:dyDescent="0.35">
      <c r="A20">
        <v>12</v>
      </c>
      <c r="B20" s="193">
        <v>56118428.060086921</v>
      </c>
      <c r="C20" s="193">
        <v>67834738.229364842</v>
      </c>
      <c r="D20" s="193"/>
      <c r="E20" s="180">
        <v>63.149337492333608</v>
      </c>
      <c r="F20" s="265">
        <f>'Appendix O'!C23</f>
        <v>64.391188311823882</v>
      </c>
    </row>
    <row r="21" spans="1:6" x14ac:dyDescent="0.35">
      <c r="A21">
        <v>13</v>
      </c>
      <c r="B21" s="193">
        <v>54501661.194402464</v>
      </c>
      <c r="C21" s="193">
        <v>66336954.926654622</v>
      </c>
      <c r="D21" s="193"/>
      <c r="E21" s="180">
        <v>67.411999883019419</v>
      </c>
      <c r="F21" s="265">
        <f>'Appendix O'!C24</f>
        <v>67.724450855918562</v>
      </c>
    </row>
    <row r="22" spans="1:6" x14ac:dyDescent="0.35">
      <c r="A22">
        <v>14</v>
      </c>
      <c r="B22" s="193">
        <v>53015444.157833591</v>
      </c>
      <c r="C22" s="193">
        <v>64815043.554587223</v>
      </c>
      <c r="D22" s="193"/>
      <c r="E22" s="180">
        <v>70.540954917688637</v>
      </c>
      <c r="F22" s="265">
        <f>'Appendix O'!C25</f>
        <v>70.153361527155354</v>
      </c>
    </row>
    <row r="23" spans="1:6" x14ac:dyDescent="0.35">
      <c r="A23">
        <v>15</v>
      </c>
      <c r="B23" s="193">
        <v>50833180.780271925</v>
      </c>
      <c r="C23" s="193">
        <v>63761086.574700616</v>
      </c>
      <c r="D23" s="193"/>
      <c r="E23" s="180">
        <v>74.572516323123793</v>
      </c>
      <c r="F23" s="265">
        <f>'Appendix O'!C26</f>
        <v>74.516035505670501</v>
      </c>
    </row>
    <row r="24" spans="1:6" x14ac:dyDescent="0.35">
      <c r="A24">
        <v>16</v>
      </c>
      <c r="B24" s="193">
        <v>48388047.930654414</v>
      </c>
      <c r="C24" s="193">
        <v>61280515.778946295</v>
      </c>
      <c r="D24" s="193"/>
      <c r="E24" s="180">
        <v>77.987274098268799</v>
      </c>
      <c r="F24" s="265">
        <f>'Appendix O'!C27</f>
        <v>77.66677987814856</v>
      </c>
    </row>
    <row r="25" spans="1:6" x14ac:dyDescent="0.35">
      <c r="A25">
        <v>17</v>
      </c>
      <c r="B25" s="193">
        <v>46314998.043408528</v>
      </c>
      <c r="C25" s="193">
        <v>58864039.673000365</v>
      </c>
      <c r="D25" s="193"/>
      <c r="E25" s="180">
        <v>81.783131668255308</v>
      </c>
      <c r="F25" s="265">
        <f>'Appendix O'!C28</f>
        <v>81.617240872925777</v>
      </c>
    </row>
    <row r="26" spans="1:6" x14ac:dyDescent="0.35">
      <c r="A26">
        <v>18</v>
      </c>
      <c r="B26" s="193">
        <v>43703121.046740994</v>
      </c>
      <c r="C26" s="193">
        <v>55592230.554326214</v>
      </c>
      <c r="D26" s="193"/>
      <c r="E26" s="180">
        <v>84.855658689953557</v>
      </c>
      <c r="F26" s="265">
        <f>'Appendix O'!C29</f>
        <v>83.977679163197095</v>
      </c>
    </row>
    <row r="27" spans="1:6" x14ac:dyDescent="0.35">
      <c r="A27">
        <v>19</v>
      </c>
      <c r="B27" s="193">
        <v>41082360.069298752</v>
      </c>
      <c r="C27" s="193">
        <v>53714093.440083601</v>
      </c>
      <c r="D27" s="193"/>
      <c r="E27" s="180">
        <v>89.517214643037931</v>
      </c>
      <c r="F27" s="265">
        <f>'Appendix O'!C30</f>
        <v>85.894752932666847</v>
      </c>
    </row>
    <row r="28" spans="1:6" x14ac:dyDescent="0.35">
      <c r="A28">
        <v>20</v>
      </c>
      <c r="B28" s="193">
        <v>38904664.875199154</v>
      </c>
      <c r="C28" s="193">
        <v>49944766.467073627</v>
      </c>
      <c r="D28" s="193"/>
      <c r="E28" s="180">
        <v>91.077663417635321</v>
      </c>
      <c r="F28" s="265">
        <f>'Appendix O'!C31</f>
        <v>87.334729000434223</v>
      </c>
    </row>
    <row r="30" spans="1:6" x14ac:dyDescent="0.35">
      <c r="C30" t="s">
        <v>450</v>
      </c>
      <c r="D30" t="s">
        <v>469</v>
      </c>
    </row>
    <row r="31" spans="1:6" x14ac:dyDescent="0.35">
      <c r="B31" t="s">
        <v>488</v>
      </c>
      <c r="C31" s="120">
        <f>B9</f>
        <v>64610198.80302608</v>
      </c>
      <c r="D31" s="120">
        <f>C9</f>
        <v>75063439.239628762</v>
      </c>
      <c r="E31" s="120"/>
    </row>
    <row r="55" spans="2:5" x14ac:dyDescent="0.35">
      <c r="B55" t="s">
        <v>489</v>
      </c>
    </row>
    <row r="56" spans="2:5" x14ac:dyDescent="0.35">
      <c r="C56" t="s">
        <v>450</v>
      </c>
      <c r="D56" t="s">
        <v>469</v>
      </c>
    </row>
    <row r="57" spans="2:5" x14ac:dyDescent="0.35">
      <c r="B57" t="s">
        <v>373</v>
      </c>
      <c r="C57" s="193">
        <v>50688681.057004273</v>
      </c>
      <c r="D57" s="193">
        <v>86364261.054964423</v>
      </c>
      <c r="E57" s="193"/>
    </row>
    <row r="58" spans="2:5" x14ac:dyDescent="0.35">
      <c r="B58" t="s">
        <v>374</v>
      </c>
      <c r="C58" s="193">
        <v>46536831.064452849</v>
      </c>
      <c r="D58" s="193">
        <v>75996945.200877458</v>
      </c>
      <c r="E58" s="193"/>
    </row>
    <row r="59" spans="2:5" x14ac:dyDescent="0.35">
      <c r="B59" t="s">
        <v>375</v>
      </c>
      <c r="C59" s="193">
        <v>25231464.540812861</v>
      </c>
      <c r="D59" s="193">
        <v>54176703.249667183</v>
      </c>
      <c r="E59" s="193"/>
    </row>
    <row r="60" spans="2:5" x14ac:dyDescent="0.35">
      <c r="B60" t="s">
        <v>376</v>
      </c>
      <c r="C60" s="193"/>
      <c r="D60" s="193"/>
      <c r="E60" s="193"/>
    </row>
    <row r="61" spans="2:5" x14ac:dyDescent="0.35">
      <c r="B61" s="106">
        <v>0.1</v>
      </c>
      <c r="C61" s="193">
        <v>22606444.913620774</v>
      </c>
      <c r="D61" s="193">
        <v>27506526.94793763</v>
      </c>
      <c r="E61" s="193"/>
    </row>
    <row r="62" spans="2:5" x14ac:dyDescent="0.35">
      <c r="B62" s="106">
        <v>0.25</v>
      </c>
      <c r="C62" s="193">
        <v>31834845.226163372</v>
      </c>
      <c r="D62" s="193">
        <v>45034459.153922588</v>
      </c>
      <c r="E62" s="193"/>
    </row>
  </sheetData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26898-55EC-4EFB-9222-ED038508D123}">
  <dimension ref="A1:U186"/>
  <sheetViews>
    <sheetView view="pageBreakPreview" topLeftCell="M160" zoomScale="90" zoomScaleNormal="100" zoomScaleSheetLayoutView="90" workbookViewId="0">
      <selection activeCell="X195" sqref="X195"/>
    </sheetView>
  </sheetViews>
  <sheetFormatPr defaultRowHeight="14.5" x14ac:dyDescent="0.35"/>
  <cols>
    <col min="1" max="1" width="14.54296875" bestFit="1" customWidth="1"/>
    <col min="2" max="2" width="12.7265625" bestFit="1" customWidth="1"/>
    <col min="3" max="4" width="14.6328125" bestFit="1" customWidth="1"/>
    <col min="5" max="5" width="12" bestFit="1" customWidth="1"/>
    <col min="11" max="11" width="11.6328125" bestFit="1" customWidth="1"/>
    <col min="21" max="21" width="11.6328125" bestFit="1" customWidth="1"/>
  </cols>
  <sheetData>
    <row r="1" spans="1:7" ht="18" x14ac:dyDescent="0.4">
      <c r="A1" s="287" t="s">
        <v>495</v>
      </c>
      <c r="B1" s="287"/>
      <c r="C1" s="287"/>
      <c r="D1" s="287"/>
      <c r="E1" s="287"/>
      <c r="F1" s="287"/>
      <c r="G1" s="287"/>
    </row>
    <row r="2" spans="1:7" x14ac:dyDescent="0.35">
      <c r="A2" t="s">
        <v>492</v>
      </c>
      <c r="E2" t="s">
        <v>502</v>
      </c>
    </row>
    <row r="3" spans="1:7" x14ac:dyDescent="0.35">
      <c r="A3" t="s">
        <v>452</v>
      </c>
      <c r="B3" s="262" t="s">
        <v>463</v>
      </c>
      <c r="C3" s="262" t="s">
        <v>464</v>
      </c>
      <c r="E3" t="s">
        <v>503</v>
      </c>
      <c r="F3" t="s">
        <v>451</v>
      </c>
    </row>
    <row r="4" spans="1:7" x14ac:dyDescent="0.35">
      <c r="A4">
        <v>0</v>
      </c>
      <c r="B4" s="266">
        <v>0</v>
      </c>
      <c r="C4" s="266">
        <v>0</v>
      </c>
    </row>
    <row r="5" spans="1:7" x14ac:dyDescent="0.35">
      <c r="A5">
        <v>1</v>
      </c>
      <c r="B5" s="266">
        <v>2158.314559966052</v>
      </c>
      <c r="C5" s="266">
        <v>2151.0029618699523</v>
      </c>
      <c r="E5" s="180">
        <v>787.784814387609</v>
      </c>
      <c r="F5" s="180">
        <v>785.11608108253267</v>
      </c>
    </row>
    <row r="6" spans="1:7" x14ac:dyDescent="0.35">
      <c r="A6">
        <v>2</v>
      </c>
      <c r="B6" s="266">
        <v>837.44299939765517</v>
      </c>
      <c r="C6" s="266">
        <v>837.44299939765449</v>
      </c>
      <c r="E6" s="180">
        <v>305.66669478014416</v>
      </c>
      <c r="F6" s="180">
        <v>305.66669478014393</v>
      </c>
    </row>
    <row r="7" spans="1:7" x14ac:dyDescent="0.35">
      <c r="A7">
        <v>3</v>
      </c>
      <c r="B7" s="266">
        <v>462.53335612337185</v>
      </c>
      <c r="C7" s="266">
        <v>464.48206879209778</v>
      </c>
      <c r="E7" s="180">
        <v>168.82467498503073</v>
      </c>
      <c r="F7" s="180">
        <v>169.53595510911569</v>
      </c>
    </row>
    <row r="8" spans="1:7" x14ac:dyDescent="0.35">
      <c r="A8">
        <v>4</v>
      </c>
      <c r="B8" s="266">
        <v>323.86693434598607</v>
      </c>
      <c r="C8" s="266">
        <v>879.22552727260211</v>
      </c>
      <c r="E8" s="180">
        <v>118.21143103628491</v>
      </c>
      <c r="F8" s="180">
        <v>320.91731745449977</v>
      </c>
    </row>
    <row r="9" spans="1:7" x14ac:dyDescent="0.35">
      <c r="A9">
        <v>5</v>
      </c>
      <c r="B9" s="266">
        <v>256.49971779149678</v>
      </c>
      <c r="C9" s="266">
        <v>1172.7973398506283</v>
      </c>
      <c r="E9" s="180">
        <v>93.622396993896331</v>
      </c>
      <c r="F9" s="180">
        <v>428.07102904547929</v>
      </c>
    </row>
    <row r="10" spans="1:7" x14ac:dyDescent="0.35">
      <c r="A10">
        <v>6</v>
      </c>
      <c r="B10" s="266">
        <v>209.43891586668389</v>
      </c>
      <c r="C10" s="266">
        <v>762.22723230739791</v>
      </c>
      <c r="E10" s="180">
        <v>76.445204291339621</v>
      </c>
      <c r="F10" s="180">
        <v>278.21293979220025</v>
      </c>
    </row>
    <row r="11" spans="1:7" x14ac:dyDescent="0.35">
      <c r="A11">
        <v>7</v>
      </c>
      <c r="B11" s="266">
        <v>177.31537101748015</v>
      </c>
      <c r="C11" s="266">
        <v>532.4943091153641</v>
      </c>
      <c r="E11" s="180">
        <v>64.720110421380255</v>
      </c>
      <c r="F11" s="180">
        <v>194.3604228271079</v>
      </c>
    </row>
    <row r="12" spans="1:7" x14ac:dyDescent="0.35">
      <c r="A12">
        <v>8</v>
      </c>
      <c r="B12" s="266">
        <v>154.00101224169879</v>
      </c>
      <c r="C12" s="266">
        <v>385.62532558445054</v>
      </c>
      <c r="E12" s="180">
        <v>56.210369468220058</v>
      </c>
      <c r="F12" s="180">
        <v>140.75324383832444</v>
      </c>
    </row>
    <row r="13" spans="1:7" x14ac:dyDescent="0.35">
      <c r="A13">
        <v>9</v>
      </c>
      <c r="B13" s="266">
        <v>136.24626314143907</v>
      </c>
      <c r="C13" s="266">
        <v>297.28831719551573</v>
      </c>
      <c r="E13" s="180">
        <v>49.729886046625261</v>
      </c>
      <c r="F13" s="180">
        <v>108.51023577636323</v>
      </c>
    </row>
    <row r="14" spans="1:7" x14ac:dyDescent="0.35">
      <c r="A14">
        <v>10</v>
      </c>
      <c r="B14" s="266">
        <v>120.34237366441597</v>
      </c>
      <c r="C14" s="266">
        <v>239.52342364366146</v>
      </c>
      <c r="E14" s="180">
        <v>43.92496638751183</v>
      </c>
      <c r="F14" s="180">
        <v>87.426049629936429</v>
      </c>
    </row>
    <row r="15" spans="1:7" x14ac:dyDescent="0.35">
      <c r="A15">
        <v>11</v>
      </c>
      <c r="B15" s="266">
        <v>111.0845601453087</v>
      </c>
      <c r="C15" s="266">
        <v>204.81367960132735</v>
      </c>
      <c r="E15" s="180">
        <v>40.54586445303768</v>
      </c>
      <c r="F15" s="180">
        <v>74.756993054484482</v>
      </c>
    </row>
    <row r="16" spans="1:7" x14ac:dyDescent="0.35">
      <c r="A16">
        <v>12</v>
      </c>
      <c r="B16" s="266">
        <v>101.6935748930636</v>
      </c>
      <c r="C16" s="266">
        <v>172.32866861934008</v>
      </c>
      <c r="E16" s="180">
        <v>37.118154835968213</v>
      </c>
      <c r="F16" s="180">
        <v>62.899964046059132</v>
      </c>
    </row>
    <row r="17" spans="1:6" x14ac:dyDescent="0.35">
      <c r="A17">
        <v>13</v>
      </c>
      <c r="B17" s="266">
        <v>93.803459887792741</v>
      </c>
      <c r="C17" s="266">
        <v>145.31600260576394</v>
      </c>
      <c r="E17" s="180">
        <v>34.238262859044347</v>
      </c>
      <c r="F17" s="180">
        <v>53.040340951103843</v>
      </c>
    </row>
    <row r="18" spans="1:6" x14ac:dyDescent="0.35">
      <c r="A18">
        <v>14</v>
      </c>
      <c r="B18" s="266">
        <v>87.07601269232957</v>
      </c>
      <c r="C18" s="266">
        <v>123.32291834679604</v>
      </c>
      <c r="E18" s="180">
        <v>31.782744632700293</v>
      </c>
      <c r="F18" s="180">
        <v>45.012865196580556</v>
      </c>
    </row>
    <row r="19" spans="1:6" x14ac:dyDescent="0.35">
      <c r="A19">
        <v>15</v>
      </c>
      <c r="B19" s="266">
        <v>81.263604191109579</v>
      </c>
      <c r="C19" s="266">
        <v>106.07614496459011</v>
      </c>
      <c r="E19" s="180">
        <v>29.661215529754998</v>
      </c>
      <c r="F19" s="180">
        <v>38.717792912075389</v>
      </c>
    </row>
    <row r="20" spans="1:6" x14ac:dyDescent="0.35">
      <c r="A20">
        <v>16</v>
      </c>
      <c r="B20" s="266">
        <v>74.975478963090652</v>
      </c>
      <c r="C20" s="266">
        <v>91.096496265858761</v>
      </c>
      <c r="E20" s="180">
        <v>27.366049821528087</v>
      </c>
      <c r="F20" s="180">
        <v>33.250221137038444</v>
      </c>
    </row>
    <row r="21" spans="1:6" x14ac:dyDescent="0.35">
      <c r="A21">
        <v>17</v>
      </c>
      <c r="B21" s="266">
        <v>71.787628904219929</v>
      </c>
      <c r="C21" s="266">
        <v>81.842404938051388</v>
      </c>
      <c r="E21" s="180">
        <v>26.202484550040275</v>
      </c>
      <c r="F21" s="180">
        <v>29.872477802388754</v>
      </c>
    </row>
    <row r="22" spans="1:6" x14ac:dyDescent="0.35">
      <c r="A22">
        <v>18</v>
      </c>
      <c r="B22" s="266">
        <v>67.816464365388967</v>
      </c>
      <c r="C22" s="266">
        <v>72.960119163292092</v>
      </c>
      <c r="E22" s="180">
        <v>24.753009493366971</v>
      </c>
      <c r="F22" s="180">
        <v>26.630443494601611</v>
      </c>
    </row>
    <row r="23" spans="1:6" x14ac:dyDescent="0.35">
      <c r="A23">
        <v>19</v>
      </c>
      <c r="B23" s="266">
        <v>64.269081645334552</v>
      </c>
      <c r="C23" s="266">
        <v>65.578362434628758</v>
      </c>
      <c r="E23" s="180">
        <v>23.458214800547115</v>
      </c>
      <c r="F23" s="180">
        <v>23.936102288639496</v>
      </c>
    </row>
    <row r="24" spans="1:6" x14ac:dyDescent="0.35">
      <c r="A24">
        <v>20</v>
      </c>
      <c r="B24" s="266">
        <v>61.085646518919894</v>
      </c>
      <c r="C24" s="266">
        <v>59.34996803752896</v>
      </c>
      <c r="E24" s="180">
        <v>22.296260979405762</v>
      </c>
      <c r="F24" s="180">
        <v>21.662738333698073</v>
      </c>
    </row>
    <row r="25" spans="1:6" x14ac:dyDescent="0.35">
      <c r="E25" s="180">
        <v>9.6142080279727828</v>
      </c>
      <c r="F25" s="180">
        <v>9.0791406119382483</v>
      </c>
    </row>
    <row r="26" spans="1:6" x14ac:dyDescent="0.35">
      <c r="E26" s="180"/>
      <c r="F26" s="180"/>
    </row>
    <row r="27" spans="1:6" x14ac:dyDescent="0.35">
      <c r="E27" s="180">
        <f>SUM(E5:E26)*1000</f>
        <v>2072177.0187814087</v>
      </c>
      <c r="F27" s="180">
        <f>SUM(F5:F18)*1000</f>
        <v>3054280.132583932</v>
      </c>
    </row>
    <row r="28" spans="1:6" x14ac:dyDescent="0.35">
      <c r="E28" t="s">
        <v>504</v>
      </c>
      <c r="F28" s="180">
        <f>F27-E27</f>
        <v>982103.11380252335</v>
      </c>
    </row>
    <row r="29" spans="1:6" x14ac:dyDescent="0.35">
      <c r="B29" t="s">
        <v>493</v>
      </c>
      <c r="C29" t="s">
        <v>449</v>
      </c>
    </row>
    <row r="30" spans="1:6" x14ac:dyDescent="0.35">
      <c r="A30" t="s">
        <v>450</v>
      </c>
      <c r="B30" s="212">
        <v>30932906.678150136</v>
      </c>
      <c r="C30" s="212">
        <v>19470343.736549292</v>
      </c>
    </row>
    <row r="31" spans="1:6" x14ac:dyDescent="0.35">
      <c r="A31" t="s">
        <v>451</v>
      </c>
      <c r="B31" s="212">
        <v>2661995.7659249641</v>
      </c>
      <c r="C31" s="212">
        <v>12315131.274424367</v>
      </c>
      <c r="D31" s="260">
        <v>38067879.114909999</v>
      </c>
      <c r="E31" s="261">
        <v>31785475.010973658</v>
      </c>
      <c r="F31" t="s">
        <v>494</v>
      </c>
    </row>
    <row r="32" spans="1:6" x14ac:dyDescent="0.35">
      <c r="B32" s="212"/>
      <c r="C32" s="212"/>
    </row>
    <row r="34" spans="1:21" x14ac:dyDescent="0.35">
      <c r="B34" s="212"/>
      <c r="D34" s="212"/>
    </row>
    <row r="36" spans="1:21" x14ac:dyDescent="0.35">
      <c r="A36" t="s">
        <v>452</v>
      </c>
      <c r="B36" t="s">
        <v>455</v>
      </c>
      <c r="C36" t="s">
        <v>456</v>
      </c>
      <c r="E36" t="s">
        <v>457</v>
      </c>
      <c r="F36" t="s">
        <v>458</v>
      </c>
    </row>
    <row r="37" spans="1:21" x14ac:dyDescent="0.35">
      <c r="A37">
        <v>0</v>
      </c>
      <c r="B37">
        <v>-30932906.678150136</v>
      </c>
      <c r="C37">
        <v>-33594902.4440751</v>
      </c>
      <c r="E37">
        <v>-30932906.678150136</v>
      </c>
      <c r="F37">
        <v>-33594902.4440751</v>
      </c>
    </row>
    <row r="38" spans="1:21" x14ac:dyDescent="0.35">
      <c r="A38">
        <v>1</v>
      </c>
      <c r="B38">
        <v>36555647.970511056</v>
      </c>
      <c r="C38">
        <v>34971064.972647361</v>
      </c>
      <c r="E38">
        <v>5622741.2923609205</v>
      </c>
      <c r="F38">
        <v>1376162.5285722613</v>
      </c>
    </row>
    <row r="39" spans="1:21" x14ac:dyDescent="0.35">
      <c r="A39">
        <v>2</v>
      </c>
      <c r="B39">
        <v>12915579.59562736</v>
      </c>
      <c r="C39">
        <v>11633690.359969636</v>
      </c>
      <c r="E39">
        <v>18538320.887988281</v>
      </c>
      <c r="F39">
        <v>13009852.888541898</v>
      </c>
    </row>
    <row r="40" spans="1:21" x14ac:dyDescent="0.35">
      <c r="A40">
        <v>3</v>
      </c>
      <c r="B40">
        <v>6354315.4288729373</v>
      </c>
      <c r="C40">
        <v>5150700.9473465867</v>
      </c>
      <c r="E40">
        <v>24892636.31686122</v>
      </c>
      <c r="F40">
        <v>18160553.835888483</v>
      </c>
    </row>
    <row r="41" spans="1:21" x14ac:dyDescent="0.35">
      <c r="A41">
        <v>4</v>
      </c>
      <c r="B41">
        <v>3997207.7555649737</v>
      </c>
      <c r="C41">
        <v>11517830.697110366</v>
      </c>
      <c r="E41">
        <v>28889844.072426192</v>
      </c>
      <c r="F41">
        <v>29678384.532998849</v>
      </c>
      <c r="T41" t="s">
        <v>461</v>
      </c>
      <c r="U41" t="s">
        <v>462</v>
      </c>
    </row>
    <row r="42" spans="1:21" x14ac:dyDescent="0.35">
      <c r="A42">
        <v>5</v>
      </c>
      <c r="B42">
        <v>2851858.3228416806</v>
      </c>
      <c r="C42">
        <v>16001373.603570333</v>
      </c>
      <c r="E42">
        <v>31741702.395267874</v>
      </c>
      <c r="F42">
        <v>45679758.13656918</v>
      </c>
      <c r="S42" t="s">
        <v>113</v>
      </c>
      <c r="T42">
        <v>40957731.716485247</v>
      </c>
      <c r="U42">
        <f>U43-T42</f>
        <v>28055626.663524583</v>
      </c>
    </row>
    <row r="43" spans="1:21" x14ac:dyDescent="0.35">
      <c r="A43">
        <v>6</v>
      </c>
      <c r="B43">
        <v>2093197.2947707723</v>
      </c>
      <c r="C43">
        <v>9307403.0863661431</v>
      </c>
      <c r="E43">
        <v>33834899.690038644</v>
      </c>
      <c r="F43">
        <v>54987161.222935319</v>
      </c>
      <c r="U43">
        <v>69013358.38000983</v>
      </c>
    </row>
    <row r="44" spans="1:21" x14ac:dyDescent="0.35">
      <c r="A44">
        <v>7</v>
      </c>
      <c r="B44">
        <v>1594818.5972293285</v>
      </c>
      <c r="C44">
        <v>5673579.9453827403</v>
      </c>
      <c r="E44">
        <v>35429718.287267976</v>
      </c>
      <c r="F44">
        <v>60660741.168318063</v>
      </c>
    </row>
    <row r="45" spans="1:21" x14ac:dyDescent="0.35">
      <c r="A45">
        <v>8</v>
      </c>
      <c r="B45">
        <v>1248028.9193612773</v>
      </c>
      <c r="C45">
        <v>3453402.4335952089</v>
      </c>
      <c r="E45">
        <v>36677747.206629254</v>
      </c>
      <c r="F45">
        <v>64114143.601913273</v>
      </c>
    </row>
    <row r="46" spans="1:21" x14ac:dyDescent="0.35">
      <c r="A46">
        <v>9</v>
      </c>
      <c r="B46">
        <v>960754.96145917382</v>
      </c>
      <c r="C46">
        <v>2105869.1832628306</v>
      </c>
      <c r="E46">
        <v>37638502.168088429</v>
      </c>
      <c r="F46">
        <v>66220012.785176106</v>
      </c>
    </row>
    <row r="47" spans="1:21" x14ac:dyDescent="0.35">
      <c r="A47">
        <v>10</v>
      </c>
      <c r="B47">
        <v>736580.82822763023</v>
      </c>
      <c r="C47">
        <v>1313209.2824282404</v>
      </c>
      <c r="E47">
        <v>38375082.99631606</v>
      </c>
      <c r="F47">
        <v>67533222.067604348</v>
      </c>
    </row>
    <row r="48" spans="1:21" x14ac:dyDescent="0.35">
      <c r="A48">
        <v>11</v>
      </c>
      <c r="B48">
        <v>591780.92880943965</v>
      </c>
      <c r="C48">
        <v>831206.20449056872</v>
      </c>
      <c r="E48">
        <v>38966863.925125502</v>
      </c>
      <c r="F48">
        <v>68364428.27209492</v>
      </c>
    </row>
    <row r="49" spans="1:21" x14ac:dyDescent="0.35">
      <c r="A49">
        <v>12</v>
      </c>
      <c r="B49">
        <v>469458.155430165</v>
      </c>
      <c r="C49">
        <v>458292.42986771977</v>
      </c>
      <c r="E49">
        <v>39436322.08055567</v>
      </c>
      <c r="F49">
        <v>68822720.701962635</v>
      </c>
    </row>
    <row r="50" spans="1:21" x14ac:dyDescent="0.35">
      <c r="A50">
        <v>13</v>
      </c>
      <c r="B50">
        <v>374600.22081652028</v>
      </c>
      <c r="C50">
        <v>189681.21436372143</v>
      </c>
      <c r="E50">
        <v>39810922.301372193</v>
      </c>
      <c r="F50">
        <v>69012401.916326359</v>
      </c>
    </row>
    <row r="51" spans="1:21" x14ac:dyDescent="0.35">
      <c r="A51">
        <v>14</v>
      </c>
      <c r="B51">
        <v>296870.0035501013</v>
      </c>
      <c r="C51">
        <v>956.46368347830139</v>
      </c>
      <c r="E51">
        <v>40107792.304922298</v>
      </c>
      <c r="F51">
        <v>69013358.38000983</v>
      </c>
    </row>
    <row r="52" spans="1:21" x14ac:dyDescent="0.35">
      <c r="A52">
        <v>15</v>
      </c>
      <c r="B52">
        <v>235644.7530523024</v>
      </c>
      <c r="C52">
        <v>-122137.71918743476</v>
      </c>
      <c r="E52">
        <v>40343437.057974599</v>
      </c>
      <c r="F52">
        <v>69013358.38000983</v>
      </c>
    </row>
    <row r="53" spans="1:21" x14ac:dyDescent="0.35">
      <c r="A53">
        <v>16</v>
      </c>
      <c r="B53">
        <v>183488.13102111255</v>
      </c>
      <c r="C53">
        <v>-196428.87991087465</v>
      </c>
      <c r="E53">
        <v>40526925.188995712</v>
      </c>
      <c r="F53">
        <v>69013358.38000983</v>
      </c>
    </row>
    <row r="54" spans="1:21" x14ac:dyDescent="0.35">
      <c r="A54">
        <v>17</v>
      </c>
      <c r="B54">
        <v>148907.06451164145</v>
      </c>
      <c r="C54">
        <v>-244895.74480093154</v>
      </c>
      <c r="E54">
        <v>40675832.253507353</v>
      </c>
      <c r="F54">
        <v>69013358.38000983</v>
      </c>
    </row>
    <row r="55" spans="1:21" x14ac:dyDescent="0.35">
      <c r="A55">
        <v>18</v>
      </c>
      <c r="B55">
        <v>117901.56886449398</v>
      </c>
      <c r="C55">
        <v>-271112.14062353777</v>
      </c>
      <c r="E55">
        <v>40793733.822371848</v>
      </c>
      <c r="F55">
        <v>69013358.38000983</v>
      </c>
    </row>
    <row r="56" spans="1:21" x14ac:dyDescent="0.35">
      <c r="A56">
        <v>19</v>
      </c>
      <c r="B56">
        <v>92262.159919385973</v>
      </c>
      <c r="C56">
        <v>-284108.00979854737</v>
      </c>
      <c r="E56">
        <v>40885995.982291237</v>
      </c>
      <c r="F56">
        <v>69013358.38000983</v>
      </c>
    </row>
    <row r="57" spans="1:21" x14ac:dyDescent="0.35">
      <c r="A57">
        <v>20</v>
      </c>
      <c r="B57">
        <v>71735.734194009041</v>
      </c>
      <c r="C57">
        <v>-287321.89370552672</v>
      </c>
      <c r="E57">
        <v>40957731.716485247</v>
      </c>
      <c r="F57">
        <v>69013358.38000983</v>
      </c>
    </row>
    <row r="59" spans="1:21" x14ac:dyDescent="0.35">
      <c r="T59" t="s">
        <v>450</v>
      </c>
      <c r="U59" t="s">
        <v>469</v>
      </c>
    </row>
    <row r="60" spans="1:21" x14ac:dyDescent="0.35">
      <c r="A60" t="s">
        <v>483</v>
      </c>
      <c r="B60" t="s">
        <v>467</v>
      </c>
      <c r="C60" t="s">
        <v>462</v>
      </c>
      <c r="S60" t="s">
        <v>498</v>
      </c>
      <c r="T60">
        <v>0.94357624815822261</v>
      </c>
      <c r="U60">
        <f>U61-T60</f>
        <v>3.8695833816684622E-2</v>
      </c>
    </row>
    <row r="61" spans="1:21" x14ac:dyDescent="0.35">
      <c r="A61">
        <v>0</v>
      </c>
      <c r="B61">
        <v>1</v>
      </c>
      <c r="C61">
        <v>1</v>
      </c>
      <c r="U61">
        <v>0.98227208197490723</v>
      </c>
    </row>
    <row r="62" spans="1:21" x14ac:dyDescent="0.35">
      <c r="A62">
        <v>1</v>
      </c>
      <c r="B62">
        <v>0.98958198506573736</v>
      </c>
      <c r="C62">
        <v>0.9882866897633964</v>
      </c>
    </row>
    <row r="63" spans="1:21" x14ac:dyDescent="0.35">
      <c r="A63">
        <v>2</v>
      </c>
      <c r="B63">
        <v>0.9847569736396995</v>
      </c>
      <c r="C63">
        <v>0.98331508311625992</v>
      </c>
    </row>
    <row r="64" spans="1:21" x14ac:dyDescent="0.35">
      <c r="A64">
        <v>3</v>
      </c>
      <c r="B64">
        <v>0.97850064001633608</v>
      </c>
      <c r="C64">
        <v>0.9763986926166548</v>
      </c>
    </row>
    <row r="65" spans="1:21" x14ac:dyDescent="0.35">
      <c r="A65">
        <v>4</v>
      </c>
      <c r="B65">
        <v>0.97269439235592869</v>
      </c>
      <c r="C65">
        <v>0.98288506170789902</v>
      </c>
    </row>
    <row r="66" spans="1:21" x14ac:dyDescent="0.35">
      <c r="A66">
        <v>5</v>
      </c>
      <c r="B66">
        <v>0.96737466178822207</v>
      </c>
      <c r="C66">
        <v>0.98528756280797669</v>
      </c>
    </row>
    <row r="67" spans="1:21" x14ac:dyDescent="0.35">
      <c r="A67">
        <v>6</v>
      </c>
      <c r="B67">
        <v>0.96181321039544632</v>
      </c>
      <c r="C67">
        <v>0.98179256967998829</v>
      </c>
    </row>
    <row r="68" spans="1:21" x14ac:dyDescent="0.35">
      <c r="A68">
        <v>7</v>
      </c>
      <c r="B68">
        <v>0.95635836981642786</v>
      </c>
      <c r="C68">
        <v>0.97725875518556593</v>
      </c>
    </row>
    <row r="69" spans="1:21" x14ac:dyDescent="0.35">
      <c r="A69">
        <v>8</v>
      </c>
      <c r="B69">
        <v>0.95101044488200615</v>
      </c>
      <c r="C69">
        <v>0.9713638943768883</v>
      </c>
    </row>
    <row r="70" spans="1:21" x14ac:dyDescent="0.35">
      <c r="A70">
        <v>9</v>
      </c>
      <c r="B70">
        <v>0.94574460594855125</v>
      </c>
      <c r="C70">
        <v>0.96484760129518066</v>
      </c>
    </row>
    <row r="71" spans="1:21" x14ac:dyDescent="0.35">
      <c r="A71">
        <v>10</v>
      </c>
      <c r="B71">
        <v>0.94011126124477473</v>
      </c>
      <c r="C71">
        <v>0.95816094313665534</v>
      </c>
    </row>
    <row r="72" spans="1:21" x14ac:dyDescent="0.35">
      <c r="A72">
        <v>11</v>
      </c>
      <c r="B72">
        <v>0.93550209355217562</v>
      </c>
      <c r="C72">
        <v>0.95160758579415694</v>
      </c>
    </row>
    <row r="73" spans="1:21" x14ac:dyDescent="0.35">
      <c r="A73">
        <v>12</v>
      </c>
      <c r="B73">
        <v>0.93042852986445068</v>
      </c>
      <c r="C73">
        <v>0.94369401838931055</v>
      </c>
    </row>
    <row r="74" spans="1:21" x14ac:dyDescent="0.35">
      <c r="A74">
        <v>13</v>
      </c>
      <c r="B74">
        <v>0.92541075255096383</v>
      </c>
      <c r="C74">
        <v>0.93461230234187365</v>
      </c>
    </row>
    <row r="75" spans="1:21" x14ac:dyDescent="0.35">
      <c r="A75">
        <v>14</v>
      </c>
      <c r="B75">
        <v>0.92044371398269931</v>
      </c>
      <c r="C75">
        <v>0.92451609662971701</v>
      </c>
    </row>
    <row r="76" spans="1:21" x14ac:dyDescent="0.35">
      <c r="A76">
        <v>15</v>
      </c>
      <c r="B76">
        <v>0.91551857920504232</v>
      </c>
      <c r="C76">
        <v>0.91369067153083827</v>
      </c>
      <c r="T76" t="s">
        <v>450</v>
      </c>
      <c r="U76" t="s">
        <v>469</v>
      </c>
    </row>
    <row r="77" spans="1:21" x14ac:dyDescent="0.35">
      <c r="A77">
        <v>16</v>
      </c>
      <c r="B77">
        <v>0.90992656299644237</v>
      </c>
      <c r="C77">
        <v>0.90179775493280911</v>
      </c>
      <c r="S77" t="s">
        <v>499</v>
      </c>
      <c r="T77">
        <v>88996.691443378688</v>
      </c>
      <c r="U77">
        <f>U78-T77</f>
        <v>61283.778742150782</v>
      </c>
    </row>
    <row r="78" spans="1:21" x14ac:dyDescent="0.35">
      <c r="A78">
        <v>17</v>
      </c>
      <c r="B78">
        <v>0.90587106190039313</v>
      </c>
      <c r="C78">
        <v>0.89077944278380583</v>
      </c>
      <c r="U78">
        <v>150280.47018552947</v>
      </c>
    </row>
    <row r="79" spans="1:21" x14ac:dyDescent="0.35">
      <c r="A79">
        <v>18</v>
      </c>
      <c r="B79">
        <v>0.90106837194683775</v>
      </c>
      <c r="C79">
        <v>0.87856813997495975</v>
      </c>
    </row>
    <row r="80" spans="1:21" x14ac:dyDescent="0.35">
      <c r="A80">
        <v>19</v>
      </c>
      <c r="B80">
        <v>0.89630273500510449</v>
      </c>
      <c r="C80">
        <v>0.86589674640637915</v>
      </c>
    </row>
    <row r="81" spans="1:21" x14ac:dyDescent="0.35">
      <c r="A81">
        <v>20</v>
      </c>
      <c r="B81">
        <v>0.89158120209838088</v>
      </c>
      <c r="C81">
        <v>0.85274295696325053</v>
      </c>
    </row>
    <row r="94" spans="1:21" x14ac:dyDescent="0.35">
      <c r="T94" t="s">
        <v>450</v>
      </c>
      <c r="U94" t="s">
        <v>469</v>
      </c>
    </row>
    <row r="95" spans="1:21" x14ac:dyDescent="0.35">
      <c r="S95" t="s">
        <v>500</v>
      </c>
      <c r="T95">
        <v>60803.222721347047</v>
      </c>
      <c r="U95">
        <f>U96-T95</f>
        <v>6620.158924426345</v>
      </c>
    </row>
    <row r="96" spans="1:21" x14ac:dyDescent="0.35">
      <c r="U96">
        <v>67423.381645773392</v>
      </c>
    </row>
    <row r="111" spans="19:21" x14ac:dyDescent="0.35">
      <c r="T111" t="s">
        <v>450</v>
      </c>
      <c r="U111" t="s">
        <v>469</v>
      </c>
    </row>
    <row r="112" spans="19:21" x14ac:dyDescent="0.35">
      <c r="S112" t="s">
        <v>501</v>
      </c>
      <c r="T112">
        <v>2654908.7799902479</v>
      </c>
      <c r="U112">
        <f>U113-T112</f>
        <v>3830339.1052724491</v>
      </c>
    </row>
    <row r="113" spans="21:21" x14ac:dyDescent="0.35">
      <c r="U113">
        <v>6485247.885262697</v>
      </c>
    </row>
    <row r="129" spans="9:21" x14ac:dyDescent="0.35">
      <c r="T129" t="s">
        <v>450</v>
      </c>
      <c r="U129" t="s">
        <v>469</v>
      </c>
    </row>
    <row r="130" spans="9:21" x14ac:dyDescent="0.35">
      <c r="S130" t="s">
        <v>244</v>
      </c>
      <c r="T130">
        <v>43.663948408743664</v>
      </c>
      <c r="U130">
        <f>U131-T130</f>
        <v>534.92323491999468</v>
      </c>
    </row>
    <row r="131" spans="9:21" x14ac:dyDescent="0.35">
      <c r="U131">
        <v>578.58718332873832</v>
      </c>
    </row>
    <row r="133" spans="9:21" x14ac:dyDescent="0.35">
      <c r="J133" t="s">
        <v>450</v>
      </c>
      <c r="K133" t="s">
        <v>469</v>
      </c>
    </row>
    <row r="134" spans="9:21" x14ac:dyDescent="0.35">
      <c r="I134" t="s">
        <v>496</v>
      </c>
      <c r="J134">
        <v>64610198.80302608</v>
      </c>
      <c r="K134">
        <f>K135-J134</f>
        <v>10453240.436602682</v>
      </c>
    </row>
    <row r="135" spans="9:21" x14ac:dyDescent="0.35">
      <c r="K135">
        <v>75063439.239628762</v>
      </c>
    </row>
    <row r="143" spans="9:21" x14ac:dyDescent="0.35">
      <c r="I143" t="s">
        <v>497</v>
      </c>
    </row>
    <row r="144" spans="9:21" x14ac:dyDescent="0.35">
      <c r="J144" t="s">
        <v>450</v>
      </c>
      <c r="K144" t="s">
        <v>469</v>
      </c>
    </row>
    <row r="145" spans="9:21" x14ac:dyDescent="0.35">
      <c r="I145" t="s">
        <v>373</v>
      </c>
      <c r="J145">
        <v>50688681.057004273</v>
      </c>
      <c r="K145">
        <f>K146-J145</f>
        <v>35675579.99796015</v>
      </c>
    </row>
    <row r="146" spans="9:21" x14ac:dyDescent="0.35">
      <c r="K146">
        <v>86364261.054964423</v>
      </c>
      <c r="T146" t="s">
        <v>450</v>
      </c>
      <c r="U146" t="s">
        <v>469</v>
      </c>
    </row>
    <row r="147" spans="9:21" x14ac:dyDescent="0.35">
      <c r="S147" t="s">
        <v>476</v>
      </c>
      <c r="T147">
        <v>1.4636837894471235</v>
      </c>
      <c r="U147">
        <f>U148-T147</f>
        <v>7.7934623669740679</v>
      </c>
    </row>
    <row r="148" spans="9:21" x14ac:dyDescent="0.35">
      <c r="U148">
        <v>9.2571461564211912</v>
      </c>
    </row>
    <row r="165" spans="19:21" x14ac:dyDescent="0.35">
      <c r="T165" t="s">
        <v>450</v>
      </c>
      <c r="U165" t="s">
        <v>469</v>
      </c>
    </row>
    <row r="166" spans="19:21" x14ac:dyDescent="0.35">
      <c r="S166" t="s">
        <v>480</v>
      </c>
      <c r="T166" s="268">
        <v>160.03838179918469</v>
      </c>
      <c r="U166">
        <v>91.869839440989608</v>
      </c>
    </row>
    <row r="167" spans="19:21" x14ac:dyDescent="0.35">
      <c r="U167" s="70">
        <f>T166+U166</f>
        <v>251.9082212401743</v>
      </c>
    </row>
    <row r="184" spans="8:10" x14ac:dyDescent="0.35">
      <c r="I184" t="s">
        <v>450</v>
      </c>
      <c r="J184" t="s">
        <v>469</v>
      </c>
    </row>
    <row r="185" spans="8:10" x14ac:dyDescent="0.35">
      <c r="H185" t="s">
        <v>482</v>
      </c>
      <c r="I185">
        <v>8.9769245546817302</v>
      </c>
      <c r="J185">
        <v>3.57181338610985</v>
      </c>
    </row>
    <row r="186" spans="8:10" x14ac:dyDescent="0.35">
      <c r="J186">
        <f>I185+J185</f>
        <v>12.548737940791581</v>
      </c>
    </row>
  </sheetData>
  <mergeCells count="1">
    <mergeCell ref="A1:G1"/>
  </mergeCells>
  <pageMargins left="0.7" right="0.7" top="0.75" bottom="0.75" header="0.3" footer="0.3"/>
  <pageSetup scale="86" orientation="portrait" r:id="rId1"/>
  <colBreaks count="2" manualBreakCount="2">
    <brk id="7" max="197" man="1"/>
    <brk id="18" max="197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8900F-9767-452B-A985-DD46A972A9A1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31"/>
  <sheetViews>
    <sheetView workbookViewId="0">
      <selection activeCell="L28" sqref="L28:P29"/>
    </sheetView>
  </sheetViews>
  <sheetFormatPr defaultRowHeight="14.5" x14ac:dyDescent="0.35"/>
  <cols>
    <col min="1" max="1" width="4" customWidth="1"/>
    <col min="2" max="2" width="29.6328125" customWidth="1"/>
    <col min="3" max="3" width="32.7265625" customWidth="1"/>
    <col min="4" max="4" width="9.1796875" customWidth="1"/>
    <col min="5" max="5" width="20.81640625" customWidth="1"/>
    <col min="6" max="6" width="18.54296875" customWidth="1"/>
    <col min="12" max="12" width="25.1796875" bestFit="1" customWidth="1"/>
    <col min="13" max="13" width="16.6328125" bestFit="1" customWidth="1"/>
    <col min="15" max="15" width="15.36328125" bestFit="1" customWidth="1"/>
    <col min="16" max="16" width="15.453125" bestFit="1" customWidth="1"/>
  </cols>
  <sheetData>
    <row r="1" spans="2:16" ht="18" x14ac:dyDescent="0.4">
      <c r="B1" s="287" t="s">
        <v>397</v>
      </c>
      <c r="C1" s="287"/>
      <c r="D1" s="287"/>
      <c r="E1" s="287"/>
      <c r="F1" s="287"/>
    </row>
    <row r="2" spans="2:16" x14ac:dyDescent="0.35">
      <c r="B2" s="69"/>
      <c r="L2" s="69" t="s">
        <v>163</v>
      </c>
    </row>
    <row r="3" spans="2:16" x14ac:dyDescent="0.35">
      <c r="B3" s="2" t="s">
        <v>164</v>
      </c>
      <c r="C3" s="7">
        <f>C6*C9</f>
        <v>60000</v>
      </c>
      <c r="D3" t="s">
        <v>165</v>
      </c>
      <c r="L3" s="69" t="s">
        <v>164</v>
      </c>
      <c r="M3">
        <v>640</v>
      </c>
    </row>
    <row r="4" spans="2:16" x14ac:dyDescent="0.35">
      <c r="B4" s="2" t="s">
        <v>166</v>
      </c>
      <c r="C4" s="7">
        <v>0.9</v>
      </c>
      <c r="L4" s="69" t="s">
        <v>166</v>
      </c>
      <c r="M4">
        <v>0.9</v>
      </c>
    </row>
    <row r="5" spans="2:16" x14ac:dyDescent="0.35">
      <c r="B5" s="2" t="s">
        <v>167</v>
      </c>
      <c r="C5" s="7" t="s">
        <v>168</v>
      </c>
      <c r="L5" s="69" t="s">
        <v>167</v>
      </c>
    </row>
    <row r="6" spans="2:16" x14ac:dyDescent="0.35">
      <c r="B6" s="2" t="s">
        <v>169</v>
      </c>
      <c r="C6" s="7">
        <v>300</v>
      </c>
      <c r="L6" s="69" t="s">
        <v>169</v>
      </c>
      <c r="M6">
        <v>8</v>
      </c>
    </row>
    <row r="7" spans="2:16" x14ac:dyDescent="0.35">
      <c r="B7" s="2" t="s">
        <v>170</v>
      </c>
      <c r="C7" s="7">
        <v>200</v>
      </c>
      <c r="L7" s="69" t="s">
        <v>170</v>
      </c>
      <c r="M7">
        <v>8</v>
      </c>
    </row>
    <row r="8" spans="2:16" x14ac:dyDescent="0.35">
      <c r="B8" s="2" t="s">
        <v>171</v>
      </c>
      <c r="C8" s="7">
        <v>300</v>
      </c>
      <c r="L8" s="69" t="s">
        <v>171</v>
      </c>
      <c r="M8">
        <v>80</v>
      </c>
    </row>
    <row r="9" spans="2:16" x14ac:dyDescent="0.35">
      <c r="B9" s="2" t="s">
        <v>172</v>
      </c>
      <c r="C9" s="7">
        <v>200</v>
      </c>
      <c r="L9" s="69" t="s">
        <v>172</v>
      </c>
      <c r="M9">
        <v>80</v>
      </c>
    </row>
    <row r="12" spans="2:16" x14ac:dyDescent="0.35">
      <c r="B12" s="2" t="s">
        <v>173</v>
      </c>
      <c r="C12" s="2" t="s">
        <v>174</v>
      </c>
      <c r="D12" s="2" t="s">
        <v>175</v>
      </c>
      <c r="E12" s="2" t="s">
        <v>176</v>
      </c>
      <c r="F12" s="2" t="s">
        <v>177</v>
      </c>
      <c r="L12" s="2"/>
      <c r="M12" s="2" t="s">
        <v>174</v>
      </c>
      <c r="N12" s="2" t="s">
        <v>175</v>
      </c>
      <c r="O12" s="2" t="s">
        <v>176</v>
      </c>
      <c r="P12" s="2" t="s">
        <v>177</v>
      </c>
    </row>
    <row r="13" spans="2:16" x14ac:dyDescent="0.35">
      <c r="B13" s="12" t="s">
        <v>178</v>
      </c>
      <c r="C13" s="12" t="s">
        <v>179</v>
      </c>
      <c r="D13" s="12">
        <v>1</v>
      </c>
      <c r="E13" s="12">
        <f>C3</f>
        <v>60000</v>
      </c>
      <c r="F13" s="58">
        <f>D13*(E13/60000)*2.5^0.6</f>
        <v>1.7328621078878661</v>
      </c>
      <c r="L13" s="12" t="s">
        <v>178</v>
      </c>
      <c r="M13" s="12" t="s">
        <v>179</v>
      </c>
      <c r="N13" s="12">
        <v>1</v>
      </c>
      <c r="O13" s="12">
        <f>M3</f>
        <v>640</v>
      </c>
      <c r="P13" s="58">
        <f>N13*(O13/60000)*2.5^0.6</f>
        <v>1.8483862484137237E-2</v>
      </c>
    </row>
    <row r="14" spans="2:16" x14ac:dyDescent="0.35">
      <c r="B14" s="12" t="s">
        <v>178</v>
      </c>
      <c r="C14" s="12" t="s">
        <v>180</v>
      </c>
      <c r="D14" s="12">
        <v>2</v>
      </c>
      <c r="E14" s="12">
        <f>C3*(1-C4)*1.2</f>
        <v>7199.9999999999991</v>
      </c>
      <c r="F14" s="58">
        <f>D14*(E14*0.2/400)^0.6</f>
        <v>4.3133181824856273</v>
      </c>
      <c r="L14" s="12" t="s">
        <v>178</v>
      </c>
      <c r="M14" s="12" t="s">
        <v>180</v>
      </c>
      <c r="N14" s="12">
        <v>2</v>
      </c>
      <c r="O14" s="12">
        <f>M3*(1-M4)*1.2</f>
        <v>76.799999999999983</v>
      </c>
      <c r="P14" s="58">
        <f>N14*(O14*0.2/400)^0.6</f>
        <v>0.28289725294159834</v>
      </c>
    </row>
    <row r="15" spans="2:16" x14ac:dyDescent="0.35">
      <c r="B15" s="12" t="s">
        <v>178</v>
      </c>
      <c r="C15" s="12" t="s">
        <v>181</v>
      </c>
      <c r="D15" s="12">
        <v>2</v>
      </c>
      <c r="E15" s="12">
        <f>C3*(1-C4)</f>
        <v>5999.9999999999991</v>
      </c>
      <c r="F15" s="58">
        <f>D15*(E15*0.3/400)^0.6</f>
        <v>4.9312554885516766</v>
      </c>
      <c r="L15" s="12" t="s">
        <v>178</v>
      </c>
      <c r="M15" s="12" t="s">
        <v>181</v>
      </c>
      <c r="N15" s="12">
        <v>2</v>
      </c>
      <c r="O15" s="12">
        <f>M3*(1-M4)</f>
        <v>63.999999999999986</v>
      </c>
      <c r="P15" s="58">
        <f>N15*(O15*0.3/400)^0.6</f>
        <v>0.3234258573663889</v>
      </c>
    </row>
    <row r="16" spans="2:16" x14ac:dyDescent="0.35">
      <c r="B16" s="12" t="s">
        <v>178</v>
      </c>
      <c r="C16" s="12" t="s">
        <v>182</v>
      </c>
      <c r="D16" s="12">
        <v>1</v>
      </c>
      <c r="E16" s="12">
        <f>E14</f>
        <v>7199.9999999999991</v>
      </c>
      <c r="F16" s="58">
        <f>D16*(E16*2/800)^0.6</f>
        <v>5.6645250677694108</v>
      </c>
      <c r="L16" s="12" t="s">
        <v>178</v>
      </c>
      <c r="M16" s="12" t="s">
        <v>182</v>
      </c>
      <c r="N16" s="12">
        <v>1</v>
      </c>
      <c r="O16" s="12">
        <f>O14</f>
        <v>76.799999999999983</v>
      </c>
      <c r="P16" s="58">
        <f>N16*(O16*2/800)^0.6</f>
        <v>0.37151875032027665</v>
      </c>
    </row>
    <row r="17" spans="2:16" x14ac:dyDescent="0.35">
      <c r="B17" s="12" t="s">
        <v>178</v>
      </c>
      <c r="C17" s="12" t="s">
        <v>183</v>
      </c>
      <c r="D17" s="12">
        <v>2</v>
      </c>
      <c r="E17" s="12">
        <f>E14</f>
        <v>7199.9999999999991</v>
      </c>
      <c r="F17" s="58">
        <f>D17*(E17/60000)*2.5^0.6</f>
        <v>0.4158869058930878</v>
      </c>
      <c r="L17" s="12" t="s">
        <v>178</v>
      </c>
      <c r="M17" s="12" t="s">
        <v>183</v>
      </c>
      <c r="N17" s="12">
        <v>2</v>
      </c>
      <c r="O17" s="12">
        <f>O14</f>
        <v>76.799999999999983</v>
      </c>
      <c r="P17" s="37">
        <f>N17*(O17/60000)*2.5^0.6</f>
        <v>4.4361269961929357E-3</v>
      </c>
    </row>
    <row r="18" spans="2:16" x14ac:dyDescent="0.35">
      <c r="B18" s="12" t="s">
        <v>184</v>
      </c>
      <c r="C18" s="12" t="s">
        <v>185</v>
      </c>
      <c r="D18" s="12">
        <v>1</v>
      </c>
      <c r="E18" s="12">
        <f>$C$3*$C$4</f>
        <v>54000</v>
      </c>
      <c r="F18" s="58">
        <f>D18*(E18*1.4/13000)^0.6</f>
        <v>2.875723099326164</v>
      </c>
      <c r="L18" s="12" t="s">
        <v>184</v>
      </c>
      <c r="M18" s="12" t="s">
        <v>185</v>
      </c>
      <c r="N18" s="12">
        <v>1</v>
      </c>
      <c r="O18" s="12">
        <f>$M$3*$M$4</f>
        <v>576</v>
      </c>
      <c r="P18" s="58">
        <f>N18*(O18*1.4/13000)^0.6</f>
        <v>0.18860981977250221</v>
      </c>
    </row>
    <row r="19" spans="2:16" x14ac:dyDescent="0.35">
      <c r="B19" s="12" t="s">
        <v>184</v>
      </c>
      <c r="C19" s="12" t="s">
        <v>186</v>
      </c>
      <c r="D19" s="12">
        <v>1</v>
      </c>
      <c r="E19" s="12">
        <f>$C$3*$C$4</f>
        <v>54000</v>
      </c>
      <c r="F19" s="58">
        <f>D19*(E19*1.6/13000)^0.6</f>
        <v>3.1156038662919729</v>
      </c>
      <c r="L19" s="12" t="s">
        <v>184</v>
      </c>
      <c r="M19" s="12" t="s">
        <v>186</v>
      </c>
      <c r="N19" s="12">
        <v>1</v>
      </c>
      <c r="O19" s="12">
        <f>$M$3*$M$4</f>
        <v>576</v>
      </c>
      <c r="P19" s="58">
        <f>N19*(O19*1.6/13000)^0.6</f>
        <v>0.20434286035450827</v>
      </c>
    </row>
    <row r="20" spans="2:16" x14ac:dyDescent="0.35">
      <c r="B20" s="12" t="s">
        <v>184</v>
      </c>
      <c r="C20" s="12" t="s">
        <v>187</v>
      </c>
      <c r="D20" s="12">
        <v>1</v>
      </c>
      <c r="E20" s="12">
        <f>$C$3*$C$4</f>
        <v>54000</v>
      </c>
      <c r="F20" s="58">
        <f>D20*(E20*0.7/13000)^0.6</f>
        <v>1.8972696893766099</v>
      </c>
      <c r="L20" s="12" t="s">
        <v>184</v>
      </c>
      <c r="M20" s="12" t="s">
        <v>187</v>
      </c>
      <c r="N20" s="12">
        <v>1</v>
      </c>
      <c r="O20" s="12">
        <f>$M$3*$M$4</f>
        <v>576</v>
      </c>
      <c r="P20" s="58">
        <f>N20*(O20*0.7/13000)^0.6</f>
        <v>0.12443607461963323</v>
      </c>
    </row>
    <row r="21" spans="2:16" x14ac:dyDescent="0.35">
      <c r="B21" s="12" t="s">
        <v>167</v>
      </c>
      <c r="C21" s="12" t="s">
        <v>188</v>
      </c>
      <c r="D21" s="12">
        <f>C3*C4*2/(C8*45)</f>
        <v>8</v>
      </c>
      <c r="E21" s="12">
        <f>C8*45</f>
        <v>13500</v>
      </c>
      <c r="F21" s="58">
        <f>D21*(E21*0.3/400)^0.6</f>
        <v>32.086844243388065</v>
      </c>
      <c r="G21" t="s">
        <v>189</v>
      </c>
      <c r="L21" s="12" t="s">
        <v>167</v>
      </c>
      <c r="M21" s="12" t="s">
        <v>188</v>
      </c>
      <c r="N21" s="12">
        <f>ROUNDUP(M3*M4*2/(M8*45),0)</f>
        <v>1</v>
      </c>
      <c r="O21" s="12">
        <f>M8*45</f>
        <v>3600</v>
      </c>
      <c r="P21" s="58">
        <f>N21*(O21*0.3/400)^0.6</f>
        <v>1.8147560732948997</v>
      </c>
    </row>
    <row r="22" spans="2:16" x14ac:dyDescent="0.35">
      <c r="B22" s="12" t="s">
        <v>167</v>
      </c>
      <c r="C22" s="12" t="s">
        <v>190</v>
      </c>
      <c r="D22" s="12">
        <f>ROUNDUP(C7/11,0)</f>
        <v>19</v>
      </c>
      <c r="E22" s="12"/>
      <c r="F22" s="58">
        <f>D22*0.4</f>
        <v>7.6000000000000005</v>
      </c>
      <c r="G22" t="s">
        <v>191</v>
      </c>
      <c r="L22" s="12" t="s">
        <v>167</v>
      </c>
      <c r="M22" s="12" t="s">
        <v>190</v>
      </c>
      <c r="N22" s="12">
        <f>ROUNDUP(M7/11,0)</f>
        <v>1</v>
      </c>
      <c r="O22" s="12"/>
      <c r="P22" s="58">
        <f>N22*0.4</f>
        <v>0.4</v>
      </c>
    </row>
    <row r="23" spans="2:16" x14ac:dyDescent="0.35">
      <c r="B23" s="12" t="s">
        <v>167</v>
      </c>
      <c r="C23" s="12" t="s">
        <v>192</v>
      </c>
      <c r="D23" s="12">
        <f>C7</f>
        <v>200</v>
      </c>
      <c r="E23" s="12"/>
      <c r="F23" s="58">
        <f>0.3*D23</f>
        <v>60</v>
      </c>
      <c r="G23" t="s">
        <v>193</v>
      </c>
      <c r="L23" s="12" t="s">
        <v>167</v>
      </c>
      <c r="M23" s="12" t="s">
        <v>192</v>
      </c>
      <c r="N23" s="12">
        <f>M7</f>
        <v>8</v>
      </c>
      <c r="O23" s="12"/>
      <c r="P23" s="58">
        <f>0.3*N23</f>
        <v>2.4</v>
      </c>
    </row>
    <row r="24" spans="2:16" x14ac:dyDescent="0.35">
      <c r="B24" s="12" t="s">
        <v>194</v>
      </c>
      <c r="C24" s="12" t="s">
        <v>195</v>
      </c>
      <c r="D24" s="12">
        <f>ROUNDUP(C6/7,0)</f>
        <v>43</v>
      </c>
      <c r="E24" s="12"/>
      <c r="F24" s="58">
        <f>D24*0.4</f>
        <v>17.2</v>
      </c>
      <c r="G24" t="s">
        <v>196</v>
      </c>
      <c r="L24" s="12" t="s">
        <v>194</v>
      </c>
      <c r="M24" s="12" t="s">
        <v>195</v>
      </c>
      <c r="N24" s="12">
        <f>ROUNDUP(M6/7,0)</f>
        <v>2</v>
      </c>
      <c r="O24" s="12"/>
      <c r="P24" s="58">
        <f>N24*0.4</f>
        <v>0.8</v>
      </c>
    </row>
    <row r="25" spans="2:16" x14ac:dyDescent="0.35">
      <c r="B25" s="12" t="s">
        <v>194</v>
      </c>
      <c r="C25" s="12" t="s">
        <v>192</v>
      </c>
      <c r="D25" s="12">
        <f>C6</f>
        <v>300</v>
      </c>
      <c r="E25" s="12"/>
      <c r="F25" s="58">
        <f>D25*0.5</f>
        <v>150</v>
      </c>
      <c r="G25" t="s">
        <v>197</v>
      </c>
      <c r="L25" s="12" t="s">
        <v>194</v>
      </c>
      <c r="M25" s="12" t="s">
        <v>192</v>
      </c>
      <c r="N25" s="12">
        <f>M6</f>
        <v>8</v>
      </c>
      <c r="O25" s="12"/>
      <c r="P25" s="58">
        <f>N25*0.5</f>
        <v>4</v>
      </c>
    </row>
    <row r="26" spans="2:16" x14ac:dyDescent="0.35">
      <c r="B26" s="12" t="s">
        <v>198</v>
      </c>
      <c r="C26" s="12"/>
      <c r="D26" s="12">
        <f>C6</f>
        <v>300</v>
      </c>
      <c r="E26" s="12"/>
      <c r="F26" s="58">
        <f>D26*1.5</f>
        <v>450</v>
      </c>
      <c r="L26" s="12" t="s">
        <v>198</v>
      </c>
      <c r="M26" s="12"/>
      <c r="N26" s="12">
        <f>M6</f>
        <v>8</v>
      </c>
      <c r="O26" s="12"/>
      <c r="P26" s="58">
        <f>N26*1.5</f>
        <v>12</v>
      </c>
    </row>
    <row r="27" spans="2:16" x14ac:dyDescent="0.35">
      <c r="B27" s="12" t="s">
        <v>199</v>
      </c>
      <c r="C27" s="12"/>
      <c r="D27" s="12">
        <f>C7</f>
        <v>200</v>
      </c>
      <c r="E27" s="12"/>
      <c r="F27" s="58">
        <f>D27*1</f>
        <v>200</v>
      </c>
      <c r="L27" s="12" t="s">
        <v>199</v>
      </c>
      <c r="M27" s="12"/>
      <c r="N27" s="12">
        <f>M7</f>
        <v>8</v>
      </c>
      <c r="O27" s="12"/>
      <c r="P27" s="58">
        <f>N27*1</f>
        <v>8</v>
      </c>
    </row>
    <row r="28" spans="2:16" x14ac:dyDescent="0.35">
      <c r="B28" s="12"/>
      <c r="C28" s="12"/>
      <c r="D28" s="12"/>
      <c r="E28" s="12"/>
      <c r="F28" s="58"/>
      <c r="L28" s="232" t="s">
        <v>441</v>
      </c>
      <c r="M28" s="232"/>
      <c r="N28" s="12">
        <v>0.5</v>
      </c>
      <c r="O28" s="12">
        <f>M3</f>
        <v>640</v>
      </c>
      <c r="P28" s="58">
        <f>N28*8.5*((O28*6.29)/10000)^0.6</f>
        <v>2.4619957659249621</v>
      </c>
    </row>
    <row r="29" spans="2:16" x14ac:dyDescent="0.35">
      <c r="B29" s="12" t="s">
        <v>200</v>
      </c>
      <c r="C29" s="12"/>
      <c r="D29" s="12"/>
      <c r="E29" s="12"/>
      <c r="F29" s="58">
        <f>SUM(F13:F27)</f>
        <v>941.83328865097042</v>
      </c>
      <c r="L29" s="12"/>
      <c r="M29" s="232" t="s">
        <v>412</v>
      </c>
      <c r="N29" s="12">
        <v>1</v>
      </c>
      <c r="O29" s="12"/>
      <c r="P29" s="12">
        <v>0.2</v>
      </c>
    </row>
    <row r="30" spans="2:16" x14ac:dyDescent="0.35">
      <c r="L30" s="12"/>
      <c r="M30" s="12"/>
      <c r="N30" s="12"/>
      <c r="O30" s="12"/>
      <c r="P30" s="58"/>
    </row>
    <row r="31" spans="2:16" x14ac:dyDescent="0.35">
      <c r="L31" s="12" t="s">
        <v>200</v>
      </c>
      <c r="M31" s="12"/>
      <c r="N31" s="12"/>
      <c r="O31" s="12"/>
      <c r="P31" s="58">
        <f>SUM(P13:P30)</f>
        <v>33.594902444075103</v>
      </c>
    </row>
  </sheetData>
  <mergeCells count="1">
    <mergeCell ref="B1:F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1"/>
  <sheetViews>
    <sheetView workbookViewId="0">
      <selection activeCell="D31" sqref="D31"/>
    </sheetView>
  </sheetViews>
  <sheetFormatPr defaultRowHeight="14.5" x14ac:dyDescent="0.35"/>
  <cols>
    <col min="2" max="2" width="11" bestFit="1" customWidth="1"/>
    <col min="3" max="3" width="10.81640625" customWidth="1"/>
    <col min="4" max="4" width="11.6328125" bestFit="1" customWidth="1"/>
    <col min="5" max="5" width="11.54296875" customWidth="1"/>
    <col min="6" max="6" width="11.453125" customWidth="1"/>
    <col min="7" max="7" width="13.453125" bestFit="1" customWidth="1"/>
    <col min="8" max="8" width="11.453125" customWidth="1"/>
    <col min="9" max="9" width="18.54296875" bestFit="1" customWidth="1"/>
    <col min="10" max="10" width="12" bestFit="1" customWidth="1"/>
    <col min="11" max="11" width="11.36328125" bestFit="1" customWidth="1"/>
    <col min="12" max="12" width="12" bestFit="1" customWidth="1"/>
    <col min="13" max="13" width="18.81640625" customWidth="1"/>
  </cols>
  <sheetData>
    <row r="1" spans="1:13" x14ac:dyDescent="0.35">
      <c r="A1" s="2" t="s">
        <v>356</v>
      </c>
      <c r="B1" s="7">
        <v>1.2500000000000001E-2</v>
      </c>
    </row>
    <row r="2" spans="1:13" x14ac:dyDescent="0.35">
      <c r="A2" s="2" t="s">
        <v>388</v>
      </c>
      <c r="B2" s="7">
        <f>B3-B4</f>
        <v>0.04</v>
      </c>
    </row>
    <row r="3" spans="1:13" x14ac:dyDescent="0.35">
      <c r="A3" s="2" t="s">
        <v>389</v>
      </c>
      <c r="B3" s="7">
        <v>0.08</v>
      </c>
    </row>
    <row r="4" spans="1:13" x14ac:dyDescent="0.35">
      <c r="A4" s="2" t="s">
        <v>358</v>
      </c>
      <c r="B4" s="7">
        <v>0.04</v>
      </c>
    </row>
    <row r="5" spans="1:13" x14ac:dyDescent="0.35">
      <c r="A5" s="2" t="s">
        <v>361</v>
      </c>
      <c r="B5" s="7">
        <v>0.1</v>
      </c>
      <c r="C5" s="189"/>
    </row>
    <row r="6" spans="1:13" x14ac:dyDescent="0.35">
      <c r="A6" s="2" t="s">
        <v>359</v>
      </c>
      <c r="B6" s="7">
        <f>(1/2)-((B1-B4)/(B5^2))+((((((B1-B4)/(B5^2))-(1/2))^2)+((2*B1)/(B5^2)))^(1/2))</f>
        <v>6.8642080737002393</v>
      </c>
    </row>
    <row r="7" spans="1:13" x14ac:dyDescent="0.35">
      <c r="A7" s="2" t="s">
        <v>362</v>
      </c>
      <c r="B7" s="7">
        <f>(1/2)-((B1-B4)/(B5^2))-((((((B1-B4)/(B5^2))-(1/2))^2)+((2*B1)/(B5^2)))^(1/2))</f>
        <v>-0.36420807370024022</v>
      </c>
    </row>
    <row r="9" spans="1:13" x14ac:dyDescent="0.35">
      <c r="A9" s="194" t="s">
        <v>108</v>
      </c>
      <c r="B9" s="194" t="s">
        <v>357</v>
      </c>
      <c r="C9" s="194" t="s">
        <v>367</v>
      </c>
      <c r="D9" s="194" t="s">
        <v>366</v>
      </c>
      <c r="E9" s="194" t="s">
        <v>363</v>
      </c>
      <c r="F9" s="194" t="s">
        <v>364</v>
      </c>
      <c r="G9" s="194" t="s">
        <v>360</v>
      </c>
      <c r="H9" s="194" t="s">
        <v>365</v>
      </c>
      <c r="I9" s="194" t="s">
        <v>377</v>
      </c>
      <c r="J9" s="194" t="s">
        <v>369</v>
      </c>
      <c r="K9" s="194" t="s">
        <v>370</v>
      </c>
      <c r="L9" s="194" t="s">
        <v>371</v>
      </c>
      <c r="M9" s="194" t="s">
        <v>368</v>
      </c>
    </row>
    <row r="10" spans="1:13" x14ac:dyDescent="0.35">
      <c r="A10" s="69">
        <v>1</v>
      </c>
      <c r="B10" s="70">
        <f>'Appendix K'!$I$30/('Appendix K'!$C$5*1000)</f>
        <v>42.789726581264041</v>
      </c>
      <c r="C10" s="70">
        <f>('Appendix K'!$E$31+'Appendix K'!$F$31+'Appendix K'!$H$31)/('Appendix K'!$C$5*1000)</f>
        <v>7.0032052624989349</v>
      </c>
      <c r="D10" s="70">
        <f>'Appendix P'!B27</f>
        <v>56</v>
      </c>
      <c r="E10" s="11">
        <f t="shared" ref="E10:E30" si="0">(($B$1-($B$7*($B$1-$B$4)))/($B$1*$B$4*($B$6-$B$7)))*(C10^(1-$B$6))</f>
        <v>7.5891020296003367E-6</v>
      </c>
      <c r="F10" s="70">
        <f t="shared" ref="F10:F30" si="1">(($B$1-($B$6*($B$1-$B$4)))/($B$1*$B$4*($B$6-$B$7)))*(C10^(1-$B$7))</f>
        <v>792.35072381335397</v>
      </c>
      <c r="G10" s="70">
        <f>E10*(D10^$B$6)</f>
        <v>7587815.4754660837</v>
      </c>
      <c r="H10" s="70">
        <f t="shared" ref="H10:H30" si="2">(F10*(D10^$B$7))+(D10/$B$4)-(C10/$B$1)</f>
        <v>1022.6433935843863</v>
      </c>
      <c r="I10" s="193">
        <f>H10*'Appendix K'!$C$27*1000/((1+$B$3)^A10)</f>
        <v>2892073518.2805567</v>
      </c>
      <c r="J10" s="70">
        <f>M10</f>
        <v>11.456577867449873</v>
      </c>
      <c r="K10" s="70">
        <f t="shared" ref="K10:K30" si="3">(($B$4*$B$6*((C10/$B$1)+B10))-(F10*$B$4*($B$6-$B$7)*(M10^$B$7)))/($B$6-1)</f>
        <v>12.162324544102196</v>
      </c>
      <c r="L10" s="70">
        <f>K10-J10</f>
        <v>0.70574667665232305</v>
      </c>
      <c r="M10" s="70">
        <v>11.456577867449873</v>
      </c>
    </row>
    <row r="11" spans="1:13" x14ac:dyDescent="0.35">
      <c r="A11" s="69">
        <v>2</v>
      </c>
      <c r="B11" s="70">
        <f>'Appendix K'!$I$30/('Appendix K'!$C$5*1000)</f>
        <v>42.789726581264041</v>
      </c>
      <c r="C11" s="70">
        <f>('Appendix K'!$E$31+'Appendix K'!$F$31+'Appendix K'!$H$31)/('Appendix K'!$C$5*1000)</f>
        <v>7.0032052624989349</v>
      </c>
      <c r="D11" s="70">
        <f>'Appendix P'!C27</f>
        <v>61.196516072822838</v>
      </c>
      <c r="E11" s="11">
        <f t="shared" si="0"/>
        <v>7.5891020296003367E-6</v>
      </c>
      <c r="F11" s="70">
        <f t="shared" si="1"/>
        <v>792.35072381335397</v>
      </c>
      <c r="G11" s="70">
        <f t="shared" ref="G11:G30" si="4">E11*(D11^$B$6)</f>
        <v>13952570.327772811</v>
      </c>
      <c r="H11" s="70">
        <f t="shared" si="2"/>
        <v>1146.7396027765265</v>
      </c>
      <c r="I11" s="193">
        <f>H11*'Appendix K'!$C$27*1000/((1+$B$3)^A11)</f>
        <v>3002798341.9131808</v>
      </c>
      <c r="J11" s="70">
        <f t="shared" ref="J11:J30" si="5">M11</f>
        <v>24.44085215184592</v>
      </c>
      <c r="K11" s="70">
        <f t="shared" si="3"/>
        <v>16.038387805438777</v>
      </c>
      <c r="L11" s="70">
        <f t="shared" ref="L11:L30" si="6">K11-J11</f>
        <v>-8.4024643464071431</v>
      </c>
      <c r="M11" s="70">
        <v>24.44085215184592</v>
      </c>
    </row>
    <row r="12" spans="1:13" x14ac:dyDescent="0.35">
      <c r="A12" s="69">
        <v>3</v>
      </c>
      <c r="B12" s="70">
        <f>'Appendix K'!$I$30/('Appendix K'!$C$5*1000)</f>
        <v>42.789726581264041</v>
      </c>
      <c r="C12" s="70">
        <f>('Appendix K'!$E$31+'Appendix K'!$F$31+'Appendix K'!$H$31)/('Appendix K'!$C$5*1000)</f>
        <v>7.0032052624989349</v>
      </c>
      <c r="D12" s="70">
        <f>'Appendix P'!D27</f>
        <v>66.831010434857063</v>
      </c>
      <c r="E12" s="11">
        <f t="shared" si="0"/>
        <v>7.5891020296003367E-6</v>
      </c>
      <c r="F12" s="70">
        <f t="shared" si="1"/>
        <v>792.35072381335397</v>
      </c>
      <c r="G12" s="70">
        <f t="shared" si="4"/>
        <v>25539906.41099152</v>
      </c>
      <c r="H12" s="70">
        <f t="shared" si="2"/>
        <v>1282.0115750594209</v>
      </c>
      <c r="I12" s="193">
        <f>H12*'Appendix K'!$C$27*1000/((1+$B$3)^A12)</f>
        <v>3108347371.0233951</v>
      </c>
      <c r="J12" s="70">
        <f t="shared" si="5"/>
        <v>41.344905118868816</v>
      </c>
      <c r="K12" s="70">
        <f t="shared" si="3"/>
        <v>18.16367551837747</v>
      </c>
      <c r="L12" s="70">
        <f t="shared" si="6"/>
        <v>-23.181229600491346</v>
      </c>
      <c r="M12" s="70">
        <v>41.344905118868816</v>
      </c>
    </row>
    <row r="13" spans="1:13" x14ac:dyDescent="0.35">
      <c r="A13" s="69">
        <v>4</v>
      </c>
      <c r="B13" s="70">
        <f>'Appendix K'!$I$30/('Appendix K'!$C$5*1000)</f>
        <v>42.789726581264041</v>
      </c>
      <c r="C13" s="70">
        <f>('Appendix K'!$E$31+'Appendix K'!$F$31+'Appendix K'!$H$31)/('Appendix K'!$C$5*1000)</f>
        <v>7.0032052624989349</v>
      </c>
      <c r="D13" s="70">
        <f>'Appendix P'!E27</f>
        <v>71.972486449528972</v>
      </c>
      <c r="E13" s="11">
        <f t="shared" si="0"/>
        <v>7.5891020296003367E-6</v>
      </c>
      <c r="F13" s="70">
        <f t="shared" si="1"/>
        <v>792.35072381335397</v>
      </c>
      <c r="G13" s="70">
        <f t="shared" si="4"/>
        <v>42478357.978123568</v>
      </c>
      <c r="H13" s="70">
        <f t="shared" si="2"/>
        <v>1405.9811392686383</v>
      </c>
      <c r="I13" s="193">
        <f>H13*'Appendix K'!$C$27*1000/((1+$B$3)^A13)</f>
        <v>3156409487.112577</v>
      </c>
      <c r="J13" s="70">
        <f t="shared" si="5"/>
        <v>56.989150765288748</v>
      </c>
      <c r="K13" s="70">
        <f t="shared" si="3"/>
        <v>19.274638825241727</v>
      </c>
      <c r="L13" s="70">
        <f t="shared" si="6"/>
        <v>-37.714511940047018</v>
      </c>
      <c r="M13" s="70">
        <v>56.989150765288748</v>
      </c>
    </row>
    <row r="14" spans="1:13" x14ac:dyDescent="0.35">
      <c r="A14" s="69">
        <v>5</v>
      </c>
      <c r="B14" s="70">
        <f>'Appendix K'!$I$30/('Appendix K'!$C$5*1000)</f>
        <v>42.789726581264041</v>
      </c>
      <c r="C14" s="70">
        <f>('Appendix K'!$E$31+'Appendix K'!$F$31+'Appendix K'!$H$31)/('Appendix K'!$C$5*1000)</f>
        <v>7.0032052624989349</v>
      </c>
      <c r="D14" s="70">
        <f>'Appendix P'!F27</f>
        <v>79.884351919255778</v>
      </c>
      <c r="E14" s="11">
        <f t="shared" si="0"/>
        <v>7.5891020296003367E-6</v>
      </c>
      <c r="F14" s="70">
        <f t="shared" si="1"/>
        <v>792.35072381335397</v>
      </c>
      <c r="G14" s="70">
        <f t="shared" si="4"/>
        <v>86912744.481856301</v>
      </c>
      <c r="H14" s="70">
        <f t="shared" si="2"/>
        <v>1597.5559534173738</v>
      </c>
      <c r="I14" s="193">
        <f>H14*'Appendix K'!$C$27*1000/((1+$B$3)^A14)</f>
        <v>3320826360.1962261</v>
      </c>
      <c r="J14" s="70">
        <f t="shared" si="5"/>
        <v>71.639135619626416</v>
      </c>
      <c r="K14" s="70">
        <f t="shared" si="3"/>
        <v>19.991010500472658</v>
      </c>
      <c r="L14" s="70">
        <f t="shared" si="6"/>
        <v>-51.648125119153761</v>
      </c>
      <c r="M14" s="70">
        <v>71.639135619626416</v>
      </c>
    </row>
    <row r="15" spans="1:13" x14ac:dyDescent="0.35">
      <c r="A15" s="69">
        <v>6</v>
      </c>
      <c r="B15" s="70">
        <f>'Appendix K'!$I$30/('Appendix K'!$C$5*1000)</f>
        <v>42.789726581264041</v>
      </c>
      <c r="C15" s="70">
        <f>('Appendix K'!$E$31+'Appendix K'!$F$31+'Appendix K'!$H$31)/('Appendix K'!$C$5*1000)</f>
        <v>7.0032052624989349</v>
      </c>
      <c r="D15" s="70">
        <f>'Appendix P'!G27</f>
        <v>86.636422532315805</v>
      </c>
      <c r="E15" s="11">
        <f t="shared" si="0"/>
        <v>7.5891020296003367E-6</v>
      </c>
      <c r="F15" s="70">
        <f t="shared" si="1"/>
        <v>792.35072381335397</v>
      </c>
      <c r="G15" s="70">
        <f t="shared" si="4"/>
        <v>151694516.37060875</v>
      </c>
      <c r="H15" s="70">
        <f t="shared" si="2"/>
        <v>1761.6780994926205</v>
      </c>
      <c r="I15" s="193">
        <f>H15*'Appendix K'!$C$27*1000/((1+$B$3)^A15)</f>
        <v>3390727508.4684882</v>
      </c>
      <c r="J15" s="70">
        <f t="shared" si="5"/>
        <v>86</v>
      </c>
      <c r="K15" s="70">
        <f t="shared" si="3"/>
        <v>20.521751788605894</v>
      </c>
      <c r="L15" s="70">
        <f t="shared" si="6"/>
        <v>-65.478248211394103</v>
      </c>
      <c r="M15" s="70">
        <v>86</v>
      </c>
    </row>
    <row r="16" spans="1:13" x14ac:dyDescent="0.35">
      <c r="A16" s="69">
        <v>7</v>
      </c>
      <c r="B16" s="70">
        <f>'Appendix K'!$I$30/('Appendix K'!$C$5*1000)</f>
        <v>42.789726581264041</v>
      </c>
      <c r="C16" s="70">
        <f>('Appendix K'!$E$31+'Appendix K'!$F$31+'Appendix K'!$H$31)/('Appendix K'!$C$5*1000)</f>
        <v>7.0032052624989349</v>
      </c>
      <c r="D16" s="70">
        <f>'Appendix P'!H27</f>
        <v>94.074272659554239</v>
      </c>
      <c r="E16" s="11">
        <f t="shared" si="0"/>
        <v>7.5891020296003367E-6</v>
      </c>
      <c r="F16" s="70">
        <f t="shared" si="1"/>
        <v>792.35072381335397</v>
      </c>
      <c r="G16" s="70">
        <f t="shared" si="4"/>
        <v>266996190.82134917</v>
      </c>
      <c r="H16" s="70">
        <f t="shared" si="2"/>
        <v>1943.013489912312</v>
      </c>
      <c r="I16" s="193">
        <f>H16*'Appendix K'!$C$27*1000/((1+$B$3)^A16)</f>
        <v>3462728126.6170502</v>
      </c>
      <c r="J16" s="70">
        <f t="shared" si="5"/>
        <v>101</v>
      </c>
      <c r="K16" s="70">
        <f t="shared" si="3"/>
        <v>20.960445650934307</v>
      </c>
      <c r="L16" s="70">
        <f t="shared" si="6"/>
        <v>-80.039554349065696</v>
      </c>
      <c r="M16" s="70">
        <v>101</v>
      </c>
    </row>
    <row r="17" spans="1:13" x14ac:dyDescent="0.35">
      <c r="A17" s="69">
        <v>8</v>
      </c>
      <c r="B17" s="70">
        <f>'Appendix K'!$I$30/('Appendix K'!$C$5*1000)</f>
        <v>42.789726581264041</v>
      </c>
      <c r="C17" s="70">
        <f>('Appendix K'!$E$31+'Appendix K'!$F$31+'Appendix K'!$H$31)/('Appendix K'!$C$5*1000)</f>
        <v>7.0032052624989349</v>
      </c>
      <c r="D17" s="70">
        <f>'Appendix P'!I27</f>
        <v>103.01252412737128</v>
      </c>
      <c r="E17" s="11">
        <f t="shared" si="0"/>
        <v>7.5891020296003367E-6</v>
      </c>
      <c r="F17" s="70">
        <f t="shared" si="1"/>
        <v>792.35072381335397</v>
      </c>
      <c r="G17" s="70">
        <f t="shared" si="4"/>
        <v>497836092.52053982</v>
      </c>
      <c r="H17" s="70">
        <f t="shared" si="2"/>
        <v>2161.5462369421421</v>
      </c>
      <c r="I17" s="193">
        <f>H17*'Appendix K'!$C$27*1000/((1+$B$3)^A17)</f>
        <v>3566837739.4675064</v>
      </c>
      <c r="J17" s="70">
        <f t="shared" si="5"/>
        <v>117</v>
      </c>
      <c r="K17" s="70">
        <f t="shared" si="3"/>
        <v>21.339819871374086</v>
      </c>
      <c r="L17" s="70">
        <f t="shared" si="6"/>
        <v>-95.66018012862591</v>
      </c>
      <c r="M17" s="70">
        <v>117</v>
      </c>
    </row>
    <row r="18" spans="1:13" x14ac:dyDescent="0.35">
      <c r="A18" s="69">
        <v>9</v>
      </c>
      <c r="B18" s="70">
        <f>'Appendix K'!$I$30/('Appendix K'!$C$5*1000)</f>
        <v>42.789726581264041</v>
      </c>
      <c r="C18" s="70">
        <f>('Appendix K'!$E$31+'Appendix K'!$F$31+'Appendix K'!$H$31)/('Appendix K'!$C$5*1000)</f>
        <v>7.0032052624989349</v>
      </c>
      <c r="D18" s="70">
        <f>'Appendix P'!J27</f>
        <v>113.7126851599198</v>
      </c>
      <c r="E18" s="11">
        <f t="shared" si="0"/>
        <v>7.5891020296003367E-6</v>
      </c>
      <c r="F18" s="70">
        <f t="shared" si="1"/>
        <v>792.35072381335397</v>
      </c>
      <c r="G18" s="70">
        <f t="shared" si="4"/>
        <v>981048647.02641284</v>
      </c>
      <c r="H18" s="70">
        <f t="shared" si="2"/>
        <v>2423.8714751803827</v>
      </c>
      <c r="I18" s="193">
        <f>H18*'Appendix K'!$C$27*1000/((1+$B$3)^A18)</f>
        <v>3703434394.3985224</v>
      </c>
      <c r="J18" s="70">
        <f t="shared" si="5"/>
        <v>132</v>
      </c>
      <c r="K18" s="70">
        <f t="shared" si="3"/>
        <v>21.636203177189341</v>
      </c>
      <c r="L18" s="70">
        <f t="shared" si="6"/>
        <v>-110.36379682281066</v>
      </c>
      <c r="M18" s="70">
        <v>132</v>
      </c>
    </row>
    <row r="19" spans="1:13" x14ac:dyDescent="0.35">
      <c r="A19" s="69">
        <v>10</v>
      </c>
      <c r="B19" s="70">
        <f>'Appendix K'!$I$30/('Appendix K'!$C$5*1000)</f>
        <v>42.789726581264041</v>
      </c>
      <c r="C19" s="70">
        <f>('Appendix K'!$E$31+'Appendix K'!$F$31+'Appendix K'!$H$31)/('Appendix K'!$C$5*1000)</f>
        <v>7.0032052624989349</v>
      </c>
      <c r="D19" s="70">
        <f>'Appendix P'!K27</f>
        <v>122.03547701536776</v>
      </c>
      <c r="E19" s="11">
        <f t="shared" si="0"/>
        <v>7.5891020296003367E-6</v>
      </c>
      <c r="F19" s="70">
        <f t="shared" si="1"/>
        <v>792.35072381335397</v>
      </c>
      <c r="G19" s="70">
        <f t="shared" si="4"/>
        <v>1593181100.9856825</v>
      </c>
      <c r="H19" s="70">
        <f t="shared" si="2"/>
        <v>2628.3522042914556</v>
      </c>
      <c r="I19" s="193">
        <f>H19*'Appendix K'!$C$27*1000/((1+$B$3)^A19)</f>
        <v>3718389443.4227281</v>
      </c>
      <c r="J19" s="70">
        <f t="shared" si="5"/>
        <v>147</v>
      </c>
      <c r="K19" s="70">
        <f t="shared" si="3"/>
        <v>21.889880889390188</v>
      </c>
      <c r="L19" s="70">
        <f t="shared" si="6"/>
        <v>-125.11011911060982</v>
      </c>
      <c r="M19" s="70">
        <v>147</v>
      </c>
    </row>
    <row r="20" spans="1:13" x14ac:dyDescent="0.35">
      <c r="A20" s="69">
        <v>11</v>
      </c>
      <c r="B20" s="70">
        <f>'Appendix K'!$I$30/('Appendix K'!$C$5*1000)</f>
        <v>42.789726581264041</v>
      </c>
      <c r="C20" s="70">
        <f>('Appendix K'!$E$31+'Appendix K'!$F$31+'Appendix K'!$H$31)/('Appendix K'!$C$5*1000)</f>
        <v>7.0032052624989349</v>
      </c>
      <c r="D20" s="70">
        <f>'Appendix P'!L27</f>
        <v>128.44169466660355</v>
      </c>
      <c r="E20" s="11">
        <f t="shared" si="0"/>
        <v>7.5891020296003367E-6</v>
      </c>
      <c r="F20" s="70">
        <f t="shared" si="1"/>
        <v>792.35072381335397</v>
      </c>
      <c r="G20" s="70">
        <f t="shared" si="4"/>
        <v>2263535590.45047</v>
      </c>
      <c r="H20" s="70">
        <f t="shared" si="2"/>
        <v>2785.9650918022708</v>
      </c>
      <c r="I20" s="193">
        <f>H20*'Appendix K'!$C$27*1000/((1+$B$3)^A20)</f>
        <v>3649414785.3561349</v>
      </c>
      <c r="J20" s="70">
        <f t="shared" si="5"/>
        <v>162</v>
      </c>
      <c r="K20" s="70">
        <f t="shared" si="3"/>
        <v>22.110502919995223</v>
      </c>
      <c r="L20" s="70">
        <f t="shared" si="6"/>
        <v>-139.88949708000479</v>
      </c>
      <c r="M20" s="70">
        <v>162</v>
      </c>
    </row>
    <row r="21" spans="1:13" x14ac:dyDescent="0.35">
      <c r="A21" s="69">
        <v>12</v>
      </c>
      <c r="B21" s="70">
        <f>'Appendix K'!$I$30/('Appendix K'!$C$5*1000)</f>
        <v>42.789726581264041</v>
      </c>
      <c r="C21" s="70">
        <f>('Appendix K'!$E$31+'Appendix K'!$F$31+'Appendix K'!$H$31)/('Appendix K'!$C$5*1000)</f>
        <v>7.0032052624989349</v>
      </c>
      <c r="D21" s="70">
        <f>'Appendix P'!M27</f>
        <v>137.89727893451308</v>
      </c>
      <c r="E21" s="11">
        <f t="shared" si="0"/>
        <v>7.5891020296003367E-6</v>
      </c>
      <c r="F21" s="70">
        <f t="shared" si="1"/>
        <v>792.35072381335397</v>
      </c>
      <c r="G21" s="70">
        <f t="shared" si="4"/>
        <v>3685919769.5389185</v>
      </c>
      <c r="H21" s="70">
        <f t="shared" si="2"/>
        <v>3018.9023094200411</v>
      </c>
      <c r="I21" s="193">
        <f>H21*'Appendix K'!$C$27*1000/((1+$B$3)^A21)</f>
        <v>3661616538.2508225</v>
      </c>
      <c r="J21" s="70">
        <f t="shared" si="5"/>
        <v>176</v>
      </c>
      <c r="K21" s="70">
        <f t="shared" si="3"/>
        <v>22.292635919173243</v>
      </c>
      <c r="L21" s="70">
        <f t="shared" si="6"/>
        <v>-153.70736408082675</v>
      </c>
      <c r="M21" s="70">
        <v>176</v>
      </c>
    </row>
    <row r="22" spans="1:13" x14ac:dyDescent="0.35">
      <c r="A22" s="69">
        <v>13</v>
      </c>
      <c r="B22" s="70">
        <f>'Appendix K'!$I$30/('Appendix K'!$C$5*1000)</f>
        <v>42.789726581264041</v>
      </c>
      <c r="C22" s="70">
        <f>('Appendix K'!$E$31+'Appendix K'!$F$31+'Appendix K'!$H$31)/('Appendix K'!$C$5*1000)</f>
        <v>7.0032052624989349</v>
      </c>
      <c r="D22" s="70">
        <f>'Appendix P'!N27</f>
        <v>145.03564439810842</v>
      </c>
      <c r="E22" s="11">
        <f t="shared" si="0"/>
        <v>7.5891020296003367E-6</v>
      </c>
      <c r="F22" s="70">
        <f t="shared" si="1"/>
        <v>792.35072381335397</v>
      </c>
      <c r="G22" s="70">
        <f t="shared" si="4"/>
        <v>5211980881.3134832</v>
      </c>
      <c r="H22" s="70">
        <f t="shared" si="2"/>
        <v>3194.9621954866852</v>
      </c>
      <c r="I22" s="193">
        <f>H22*'Appendix K'!$C$27*1000/((1+$B$3)^A22)</f>
        <v>3588110172.7972956</v>
      </c>
      <c r="J22" s="70">
        <f t="shared" si="5"/>
        <v>190</v>
      </c>
      <c r="K22" s="70">
        <f t="shared" si="3"/>
        <v>22.45600753380015</v>
      </c>
      <c r="L22" s="70">
        <f t="shared" si="6"/>
        <v>-167.54399246619985</v>
      </c>
      <c r="M22" s="70">
        <v>190</v>
      </c>
    </row>
    <row r="23" spans="1:13" x14ac:dyDescent="0.35">
      <c r="A23" s="69">
        <v>14</v>
      </c>
      <c r="B23" s="70">
        <f>'Appendix K'!$I$30/('Appendix K'!$C$5*1000)</f>
        <v>42.789726581264041</v>
      </c>
      <c r="C23" s="70">
        <f>('Appendix K'!$E$31+'Appendix K'!$F$31+'Appendix K'!$H$31)/('Appendix K'!$C$5*1000)</f>
        <v>7.0032052624989349</v>
      </c>
      <c r="D23" s="70">
        <f>'Appendix P'!O27</f>
        <v>150.23729047919267</v>
      </c>
      <c r="E23" s="11">
        <f t="shared" si="0"/>
        <v>7.5891020296003367E-6</v>
      </c>
      <c r="F23" s="70">
        <f t="shared" si="1"/>
        <v>792.35072381335397</v>
      </c>
      <c r="G23" s="70">
        <f t="shared" si="4"/>
        <v>6638129895.2941027</v>
      </c>
      <c r="H23" s="70">
        <f t="shared" si="2"/>
        <v>3323.3542406354936</v>
      </c>
      <c r="I23" s="193">
        <f>H23*'Appendix K'!$C$27*1000/((1+$B$3)^A23)</f>
        <v>3455834421.9737835</v>
      </c>
      <c r="J23" s="70">
        <f t="shared" si="5"/>
        <v>205</v>
      </c>
      <c r="K23" s="70">
        <f t="shared" si="3"/>
        <v>22.613753319598679</v>
      </c>
      <c r="L23" s="70">
        <f t="shared" si="6"/>
        <v>-182.38624668040131</v>
      </c>
      <c r="M23" s="70">
        <v>205</v>
      </c>
    </row>
    <row r="24" spans="1:13" x14ac:dyDescent="0.35">
      <c r="A24" s="69">
        <v>15</v>
      </c>
      <c r="B24" s="70">
        <f>'Appendix K'!$I$30/('Appendix K'!$C$5*1000)</f>
        <v>42.789726581264041</v>
      </c>
      <c r="C24" s="70">
        <f>('Appendix K'!$E$31+'Appendix K'!$F$31+'Appendix K'!$H$31)/('Appendix K'!$C$5*1000)</f>
        <v>7.0032052624989349</v>
      </c>
      <c r="D24" s="70">
        <f>'Appendix P'!P27</f>
        <v>159.58019726951781</v>
      </c>
      <c r="E24" s="11">
        <f t="shared" si="0"/>
        <v>7.5891020296003367E-6</v>
      </c>
      <c r="F24" s="70">
        <f t="shared" si="1"/>
        <v>792.35072381335397</v>
      </c>
      <c r="G24" s="70">
        <f t="shared" si="4"/>
        <v>10043766629.128811</v>
      </c>
      <c r="H24" s="70">
        <f t="shared" si="2"/>
        <v>3554.1520434342092</v>
      </c>
      <c r="I24" s="193">
        <f>H24*'Appendix K'!$C$27*1000/((1+$B$3)^A24)</f>
        <v>3422067230.2293878</v>
      </c>
      <c r="J24" s="70">
        <f t="shared" si="5"/>
        <v>219</v>
      </c>
      <c r="K24" s="70">
        <f t="shared" si="3"/>
        <v>22.747393581306369</v>
      </c>
      <c r="L24" s="70">
        <f t="shared" si="6"/>
        <v>-196.25260641869363</v>
      </c>
      <c r="M24" s="70">
        <v>219</v>
      </c>
    </row>
    <row r="25" spans="1:13" x14ac:dyDescent="0.35">
      <c r="A25" s="69">
        <v>16</v>
      </c>
      <c r="B25" s="70">
        <f>'Appendix K'!$I$30/('Appendix K'!$C$5*1000)</f>
        <v>42.789726581264041</v>
      </c>
      <c r="C25" s="70">
        <f>('Appendix K'!$E$31+'Appendix K'!$F$31+'Appendix K'!$H$31)/('Appendix K'!$C$5*1000)</f>
        <v>7.0032052624989349</v>
      </c>
      <c r="D25" s="70">
        <f>'Appendix P'!Q27</f>
        <v>166.32769000841441</v>
      </c>
      <c r="E25" s="11">
        <f t="shared" si="0"/>
        <v>7.5891020296003367E-6</v>
      </c>
      <c r="F25" s="70">
        <f t="shared" si="1"/>
        <v>792.35072381335397</v>
      </c>
      <c r="G25" s="70">
        <f t="shared" si="4"/>
        <v>13346064772.513311</v>
      </c>
      <c r="H25" s="70">
        <f t="shared" si="2"/>
        <v>3720.9695721371882</v>
      </c>
      <c r="I25" s="193">
        <f>H25*'Appendix K'!$C$27*1000/((1+$B$3)^A25)</f>
        <v>3317301140.5315371</v>
      </c>
      <c r="J25" s="70">
        <f t="shared" si="5"/>
        <v>233</v>
      </c>
      <c r="K25" s="70">
        <f t="shared" si="3"/>
        <v>22.869860602917267</v>
      </c>
      <c r="L25" s="70">
        <f t="shared" si="6"/>
        <v>-210.13013939708273</v>
      </c>
      <c r="M25" s="70">
        <v>233</v>
      </c>
    </row>
    <row r="26" spans="1:13" x14ac:dyDescent="0.35">
      <c r="A26" s="69">
        <v>17</v>
      </c>
      <c r="B26" s="70">
        <f>'Appendix K'!$I$30/('Appendix K'!$C$5*1000)</f>
        <v>42.789726581264041</v>
      </c>
      <c r="C26" s="70">
        <f>('Appendix K'!$E$31+'Appendix K'!$F$31+'Appendix K'!$H$31)/('Appendix K'!$C$5*1000)</f>
        <v>7.0032052624989349</v>
      </c>
      <c r="D26" s="70">
        <f>'Appendix P'!R27</f>
        <v>174.7878199733816</v>
      </c>
      <c r="E26" s="11">
        <f t="shared" si="0"/>
        <v>7.5891020296003367E-6</v>
      </c>
      <c r="F26" s="70">
        <f t="shared" si="1"/>
        <v>792.35072381335397</v>
      </c>
      <c r="G26" s="70">
        <f t="shared" si="4"/>
        <v>18760898790.239037</v>
      </c>
      <c r="H26" s="70">
        <f t="shared" si="2"/>
        <v>3930.2696380047119</v>
      </c>
      <c r="I26" s="193">
        <f>H26*'Appendix K'!$C$27*1000/((1+$B$3)^A26)</f>
        <v>3244347539.1910481</v>
      </c>
      <c r="J26" s="70">
        <f t="shared" si="5"/>
        <v>248</v>
      </c>
      <c r="K26" s="70">
        <f t="shared" si="3"/>
        <v>22.990403818906763</v>
      </c>
      <c r="L26" s="70">
        <f t="shared" si="6"/>
        <v>-225.00959618109323</v>
      </c>
      <c r="M26" s="70">
        <v>248</v>
      </c>
    </row>
    <row r="27" spans="1:13" x14ac:dyDescent="0.35">
      <c r="A27" s="69">
        <v>18</v>
      </c>
      <c r="B27" s="70">
        <f>'Appendix K'!$I$30/('Appendix K'!$C$5*1000)</f>
        <v>42.789726581264041</v>
      </c>
      <c r="C27" s="70">
        <f>('Appendix K'!$E$31+'Appendix K'!$F$31+'Appendix K'!$H$31)/('Appendix K'!$C$5*1000)</f>
        <v>7.0032052624989349</v>
      </c>
      <c r="D27" s="70">
        <f>'Appendix P'!S27</f>
        <v>179.84282867651311</v>
      </c>
      <c r="E27" s="11">
        <f t="shared" si="0"/>
        <v>7.5891020296003367E-6</v>
      </c>
      <c r="F27" s="70">
        <f t="shared" si="1"/>
        <v>792.35072381335397</v>
      </c>
      <c r="G27" s="70">
        <f t="shared" si="4"/>
        <v>22816340221.63488</v>
      </c>
      <c r="H27" s="70">
        <f t="shared" si="2"/>
        <v>4055.396671742039</v>
      </c>
      <c r="I27" s="193">
        <f>H27*'Appendix K'!$C$27*1000/((1+$B$3)^A27)</f>
        <v>3099663924.7569094</v>
      </c>
      <c r="J27" s="70">
        <f t="shared" si="5"/>
        <v>260</v>
      </c>
      <c r="K27" s="70">
        <f t="shared" si="3"/>
        <v>23.079894697089788</v>
      </c>
      <c r="L27" s="70">
        <f t="shared" si="6"/>
        <v>-236.9201053029102</v>
      </c>
      <c r="M27" s="70">
        <v>260</v>
      </c>
    </row>
    <row r="28" spans="1:13" x14ac:dyDescent="0.35">
      <c r="A28" s="69">
        <v>19</v>
      </c>
      <c r="B28" s="70">
        <f>'Appendix K'!$I$30/('Appendix K'!$C$5*1000)</f>
        <v>42.789726581264041</v>
      </c>
      <c r="C28" s="70">
        <f>('Appendix K'!$E$31+'Appendix K'!$F$31+'Appendix K'!$H$31)/('Appendix K'!$C$5*1000)</f>
        <v>7.0032052624989349</v>
      </c>
      <c r="D28" s="70">
        <f>'Appendix P'!T27</f>
        <v>183.94834782062969</v>
      </c>
      <c r="E28" s="11">
        <f t="shared" si="0"/>
        <v>7.5891020296003367E-6</v>
      </c>
      <c r="F28" s="70">
        <f t="shared" si="1"/>
        <v>792.35072381335397</v>
      </c>
      <c r="G28" s="70">
        <f t="shared" si="4"/>
        <v>26639999615.7784</v>
      </c>
      <c r="H28" s="70">
        <f t="shared" si="2"/>
        <v>4157.055617639101</v>
      </c>
      <c r="I28" s="193">
        <f>H28*'Appendix K'!$C$27*1000/((1+$B$3)^A28)</f>
        <v>2942004603.4400945</v>
      </c>
      <c r="J28" s="70">
        <f t="shared" si="5"/>
        <v>275</v>
      </c>
      <c r="K28" s="70">
        <f t="shared" si="3"/>
        <v>23.184141064562223</v>
      </c>
      <c r="L28" s="70">
        <f t="shared" si="6"/>
        <v>-251.81585893543777</v>
      </c>
      <c r="M28" s="70">
        <v>275</v>
      </c>
    </row>
    <row r="29" spans="1:13" x14ac:dyDescent="0.35">
      <c r="A29" s="69">
        <v>20</v>
      </c>
      <c r="B29" s="70">
        <f>'Appendix K'!$I$30/('Appendix K'!$C$5*1000)</f>
        <v>42.789726581264041</v>
      </c>
      <c r="C29" s="70">
        <f>('Appendix K'!$E$31+'Appendix K'!$F$31+'Appendix K'!$H$31)/('Appendix K'!$C$5*1000)</f>
        <v>7.0032052624989349</v>
      </c>
      <c r="D29" s="70">
        <f>'Appendix P'!U27</f>
        <v>187.03213593949997</v>
      </c>
      <c r="E29" s="11">
        <f t="shared" si="0"/>
        <v>7.5891020296003367E-6</v>
      </c>
      <c r="F29" s="70">
        <f t="shared" si="1"/>
        <v>792.35072381335397</v>
      </c>
      <c r="G29" s="70">
        <f t="shared" si="4"/>
        <v>29860436029.581657</v>
      </c>
      <c r="H29" s="70">
        <f t="shared" si="2"/>
        <v>4233.434332556717</v>
      </c>
      <c r="I29" s="193">
        <f>H29*'Appendix K'!$C$27*1000/((1+$B$3)^A29)</f>
        <v>2774128569.6199789</v>
      </c>
      <c r="J29" s="70">
        <f t="shared" si="5"/>
        <v>290</v>
      </c>
      <c r="K29" s="70">
        <f t="shared" si="3"/>
        <v>23.280905884331599</v>
      </c>
      <c r="L29" s="70">
        <f t="shared" si="6"/>
        <v>-266.71909411566838</v>
      </c>
      <c r="M29" s="70">
        <v>290</v>
      </c>
    </row>
    <row r="30" spans="1:13" x14ac:dyDescent="0.35">
      <c r="A30" s="69">
        <v>21</v>
      </c>
      <c r="B30" s="70">
        <f>'Appendix K'!$I$30/('Appendix K'!$C$5*1000)</f>
        <v>42.789726581264041</v>
      </c>
      <c r="C30" s="70">
        <f>('Appendix K'!$E$31+'Appendix K'!$F$31+'Appendix K'!$H$31)/('Appendix K'!$C$5*1000)</f>
        <v>7.0032052624989349</v>
      </c>
      <c r="D30" s="70">
        <f>'Appendix P'!V27</f>
        <v>191.03020309488858</v>
      </c>
      <c r="E30" s="11">
        <f t="shared" si="0"/>
        <v>7.5891020296003367E-6</v>
      </c>
      <c r="F30" s="70">
        <f t="shared" si="1"/>
        <v>792.35072381335397</v>
      </c>
      <c r="G30" s="70">
        <f t="shared" si="4"/>
        <v>34526250226.070763</v>
      </c>
      <c r="H30" s="70">
        <f t="shared" si="2"/>
        <v>4332.4813669385194</v>
      </c>
      <c r="I30" s="193">
        <f>H30*'Appendix K'!$C$27*1000/((1+$B$3)^A30)</f>
        <v>2628734382.5959649</v>
      </c>
      <c r="J30" s="70">
        <f t="shared" si="5"/>
        <v>441.48478662814563</v>
      </c>
      <c r="K30" s="70">
        <f t="shared" si="3"/>
        <v>23.984047810417422</v>
      </c>
      <c r="L30" s="70">
        <f t="shared" si="6"/>
        <v>-417.50073881772823</v>
      </c>
      <c r="M30" s="70">
        <v>441.48478662814563</v>
      </c>
    </row>
    <row r="31" spans="1:13" x14ac:dyDescent="0.35">
      <c r="G31" s="190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26"/>
  <sheetViews>
    <sheetView workbookViewId="0">
      <selection activeCell="B6" sqref="B6"/>
    </sheetView>
  </sheetViews>
  <sheetFormatPr defaultRowHeight="14.5" x14ac:dyDescent="0.35"/>
  <cols>
    <col min="1" max="1" width="14.6328125" style="3" customWidth="1"/>
    <col min="2" max="2" width="12.54296875" bestFit="1" customWidth="1"/>
    <col min="4" max="4" width="9.54296875" bestFit="1" customWidth="1"/>
    <col min="5" max="5" width="9.453125" style="1" customWidth="1"/>
    <col min="15" max="16" width="18.7265625" bestFit="1" customWidth="1"/>
  </cols>
  <sheetData>
    <row r="1" spans="1:21" x14ac:dyDescent="0.35">
      <c r="A1" s="2" t="s">
        <v>18</v>
      </c>
      <c r="B1" s="7">
        <v>1000</v>
      </c>
      <c r="C1" t="s">
        <v>19</v>
      </c>
      <c r="D1" s="7">
        <v>1</v>
      </c>
      <c r="E1" s="1" t="s">
        <v>20</v>
      </c>
      <c r="T1" s="7"/>
      <c r="U1" t="s">
        <v>27</v>
      </c>
    </row>
    <row r="2" spans="1:21" x14ac:dyDescent="0.35">
      <c r="A2" s="2" t="s">
        <v>0</v>
      </c>
      <c r="B2" s="7">
        <v>700</v>
      </c>
      <c r="C2" t="s">
        <v>1</v>
      </c>
      <c r="D2" s="9"/>
      <c r="T2" s="10"/>
      <c r="U2" t="s">
        <v>28</v>
      </c>
    </row>
    <row r="3" spans="1:21" x14ac:dyDescent="0.35">
      <c r="A3" s="2" t="s">
        <v>16</v>
      </c>
      <c r="B3" s="8">
        <v>0.36</v>
      </c>
    </row>
    <row r="4" spans="1:21" x14ac:dyDescent="0.35">
      <c r="A4" s="2" t="s">
        <v>5</v>
      </c>
      <c r="B4" s="7">
        <v>140</v>
      </c>
      <c r="C4" t="s">
        <v>6</v>
      </c>
      <c r="E4" s="1" t="s">
        <v>7</v>
      </c>
      <c r="F4" s="7">
        <v>67</v>
      </c>
    </row>
    <row r="5" spans="1:21" ht="29" x14ac:dyDescent="0.35">
      <c r="A5" s="2" t="s">
        <v>9</v>
      </c>
      <c r="B5" s="7">
        <v>75</v>
      </c>
      <c r="C5" t="s">
        <v>6</v>
      </c>
      <c r="E5" s="1" t="s">
        <v>7</v>
      </c>
      <c r="F5" s="7">
        <v>4</v>
      </c>
      <c r="O5" s="130" t="s">
        <v>279</v>
      </c>
      <c r="P5" s="130" t="s">
        <v>280</v>
      </c>
      <c r="Q5">
        <f>B26*0.0283168</f>
        <v>432437198.29176337</v>
      </c>
      <c r="R5" t="s">
        <v>44</v>
      </c>
    </row>
    <row r="6" spans="1:21" ht="46.75" customHeight="1" x14ac:dyDescent="0.35">
      <c r="A6" s="2" t="s">
        <v>2</v>
      </c>
      <c r="B6" s="7">
        <v>79.5</v>
      </c>
      <c r="C6" t="s">
        <v>3</v>
      </c>
      <c r="D6" s="7" t="s">
        <v>4</v>
      </c>
      <c r="E6" s="1" t="s">
        <v>8</v>
      </c>
      <c r="F6" s="7">
        <v>30</v>
      </c>
      <c r="G6" t="s">
        <v>12</v>
      </c>
      <c r="H6" s="4">
        <f>B6*8</f>
        <v>636</v>
      </c>
      <c r="I6" t="s">
        <v>3</v>
      </c>
      <c r="J6" s="4">
        <f>H6/24</f>
        <v>26.5</v>
      </c>
      <c r="K6" t="s">
        <v>24</v>
      </c>
      <c r="L6" s="4">
        <f>J6/(60*60)</f>
        <v>7.3611111111111108E-3</v>
      </c>
      <c r="M6" t="s">
        <v>23</v>
      </c>
      <c r="O6" s="129">
        <f>'Appendix K'!B27*1000/(20*365*24*60*60)</f>
        <v>8.1377846825837134E-4</v>
      </c>
      <c r="P6">
        <f>Q5/(20*365*24*60*60)</f>
        <v>0.68562468019368872</v>
      </c>
      <c r="R6" t="s">
        <v>23</v>
      </c>
    </row>
    <row r="7" spans="1:21" ht="46.75" customHeight="1" x14ac:dyDescent="0.35">
      <c r="B7" s="5">
        <f>B6*6.289814</f>
        <v>500.04021299999999</v>
      </c>
      <c r="C7" t="s">
        <v>13</v>
      </c>
      <c r="F7" s="6">
        <f>F6*6.289814</f>
        <v>188.69441999999998</v>
      </c>
      <c r="G7" t="s">
        <v>12</v>
      </c>
      <c r="H7" s="4">
        <f>H6*6.289814</f>
        <v>4000.321704</v>
      </c>
      <c r="I7" t="s">
        <v>13</v>
      </c>
      <c r="J7" s="4">
        <f>J6*4.402868</f>
        <v>116.676002</v>
      </c>
      <c r="K7" t="s">
        <v>21</v>
      </c>
      <c r="O7">
        <f>O6*'Appendix J'!B11</f>
        <v>0.72019394440865858</v>
      </c>
      <c r="P7">
        <f>P6*'Appendix J'!B9</f>
        <v>0.47993727613558207</v>
      </c>
      <c r="R7" t="s">
        <v>283</v>
      </c>
    </row>
    <row r="8" spans="1:21" ht="29" x14ac:dyDescent="0.35">
      <c r="A8" s="2" t="s">
        <v>10</v>
      </c>
      <c r="B8" s="5">
        <f>B5/0.9</f>
        <v>83.333333333333329</v>
      </c>
      <c r="C8" t="s">
        <v>6</v>
      </c>
      <c r="E8" s="1" t="s">
        <v>7</v>
      </c>
      <c r="F8" s="6">
        <f>F5/0.9</f>
        <v>4.4444444444444446</v>
      </c>
      <c r="G8" t="s">
        <v>6</v>
      </c>
      <c r="L8">
        <f>L6*1000</f>
        <v>7.3611111111111107</v>
      </c>
    </row>
    <row r="9" spans="1:21" x14ac:dyDescent="0.35">
      <c r="B9" s="5">
        <f>B8*14.5377</f>
        <v>1211.4749999999999</v>
      </c>
      <c r="C9" s="1" t="s">
        <v>11</v>
      </c>
      <c r="F9" s="4">
        <f>F8*14.5377</f>
        <v>64.611999999999995</v>
      </c>
      <c r="G9" t="s">
        <v>11</v>
      </c>
      <c r="O9">
        <f>L8+O7+P7</f>
        <v>8.5612423316553503</v>
      </c>
    </row>
    <row r="10" spans="1:21" x14ac:dyDescent="0.35">
      <c r="A10" s="3" t="s">
        <v>30</v>
      </c>
      <c r="B10" s="4">
        <f>B8*100000/(B1*9.81)</f>
        <v>849.47332653754665</v>
      </c>
      <c r="C10" t="s">
        <v>1</v>
      </c>
      <c r="F10" s="4">
        <f>F8*100000/(B1*9.81)</f>
        <v>45.305244082002488</v>
      </c>
      <c r="G10" t="s">
        <v>1</v>
      </c>
    </row>
    <row r="11" spans="1:21" ht="29" x14ac:dyDescent="0.35">
      <c r="A11" s="2" t="s">
        <v>14</v>
      </c>
      <c r="B11" s="5">
        <f>1.701*(10^-5)*H7*B9</f>
        <v>82.435388415371335</v>
      </c>
      <c r="C11" t="s">
        <v>17</v>
      </c>
    </row>
    <row r="12" spans="1:21" ht="29" x14ac:dyDescent="0.35">
      <c r="A12" s="2" t="s">
        <v>15</v>
      </c>
      <c r="B12" s="5">
        <f>(1+B3)*B11</f>
        <v>112.11212824490501</v>
      </c>
      <c r="C12" t="s">
        <v>17</v>
      </c>
    </row>
    <row r="13" spans="1:21" ht="29" x14ac:dyDescent="0.35">
      <c r="A13" s="2" t="s">
        <v>22</v>
      </c>
      <c r="B13" s="5">
        <f>B1*L6*9.81*B10/(1-B3)</f>
        <v>95847.800925925927</v>
      </c>
      <c r="C13" t="s">
        <v>25</v>
      </c>
    </row>
    <row r="14" spans="1:21" x14ac:dyDescent="0.35">
      <c r="B14" s="5">
        <f>B13/1000</f>
        <v>95.847800925925924</v>
      </c>
      <c r="C14" t="s">
        <v>26</v>
      </c>
    </row>
    <row r="16" spans="1:21" x14ac:dyDescent="0.35">
      <c r="A16" s="2" t="s">
        <v>31</v>
      </c>
      <c r="B16" s="7">
        <v>2</v>
      </c>
      <c r="C16" t="s">
        <v>32</v>
      </c>
    </row>
    <row r="17" spans="1:5" x14ac:dyDescent="0.35">
      <c r="A17" s="2" t="s">
        <v>37</v>
      </c>
      <c r="B17" s="7">
        <v>4</v>
      </c>
      <c r="C17" t="s">
        <v>38</v>
      </c>
    </row>
    <row r="18" spans="1:5" x14ac:dyDescent="0.35">
      <c r="A18" s="2" t="s">
        <v>33</v>
      </c>
      <c r="B18" s="4">
        <f>(H7*5.615/86400)/(((B17/12)^2)*3.14159)</f>
        <v>0.74477302788158228</v>
      </c>
      <c r="C18" t="s">
        <v>39</v>
      </c>
    </row>
    <row r="19" spans="1:5" x14ac:dyDescent="0.35">
      <c r="A19" s="2" t="s">
        <v>34</v>
      </c>
      <c r="B19" s="7">
        <v>200</v>
      </c>
      <c r="C19" t="s">
        <v>40</v>
      </c>
    </row>
    <row r="20" spans="1:5" x14ac:dyDescent="0.35">
      <c r="A20" s="2" t="s">
        <v>35</v>
      </c>
      <c r="B20" s="7">
        <v>6.6000000000000003E-2</v>
      </c>
    </row>
    <row r="21" spans="1:5" x14ac:dyDescent="0.35">
      <c r="A21" s="2" t="s">
        <v>36</v>
      </c>
      <c r="B21" s="7">
        <v>1.5</v>
      </c>
    </row>
    <row r="22" spans="1:5" x14ac:dyDescent="0.35">
      <c r="A22" s="2" t="s">
        <v>29</v>
      </c>
      <c r="B22" s="4">
        <f>(B16*B18*B19*B20)/(32.2*B21)</f>
        <v>0.40708090964956051</v>
      </c>
      <c r="C22" t="s">
        <v>32</v>
      </c>
      <c r="D22" s="4">
        <f>B22*0.3048</f>
        <v>0.12407826126118605</v>
      </c>
      <c r="E22" s="1" t="s">
        <v>1</v>
      </c>
    </row>
    <row r="23" spans="1:5" x14ac:dyDescent="0.35">
      <c r="A23" s="2" t="s">
        <v>42</v>
      </c>
      <c r="B23" s="7">
        <v>10</v>
      </c>
      <c r="C23" t="s">
        <v>43</v>
      </c>
    </row>
    <row r="24" spans="1:5" x14ac:dyDescent="0.35">
      <c r="A24" s="2" t="s">
        <v>41</v>
      </c>
      <c r="B24" s="4">
        <f>J6*10</f>
        <v>265</v>
      </c>
      <c r="C24" t="s">
        <v>44</v>
      </c>
    </row>
    <row r="25" spans="1:5" x14ac:dyDescent="0.35">
      <c r="A25" s="2" t="s">
        <v>281</v>
      </c>
      <c r="B25">
        <v>5000</v>
      </c>
      <c r="C25" t="s">
        <v>282</v>
      </c>
    </row>
    <row r="26" spans="1:5" x14ac:dyDescent="0.35">
      <c r="A26" s="2"/>
      <c r="B26">
        <f>B25*'Appendix K'!C27*1000</f>
        <v>15271400662.919659</v>
      </c>
      <c r="C26" t="s">
        <v>321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P156"/>
  <sheetViews>
    <sheetView topLeftCell="A31" zoomScale="70" zoomScaleNormal="70" workbookViewId="0">
      <selection activeCell="E57" sqref="E57:G57"/>
    </sheetView>
  </sheetViews>
  <sheetFormatPr defaultColWidth="8.90625" defaultRowHeight="14.5" x14ac:dyDescent="0.35"/>
  <cols>
    <col min="1" max="1" width="12.90625" style="14" customWidth="1"/>
    <col min="2" max="2" width="14.36328125" style="14" customWidth="1"/>
    <col min="3" max="3" width="13.26953125" style="14" customWidth="1"/>
    <col min="4" max="6" width="14" style="14" customWidth="1"/>
    <col min="7" max="8" width="14.36328125" style="14" bestFit="1" customWidth="1"/>
    <col min="9" max="9" width="17.453125" style="14" bestFit="1" customWidth="1"/>
    <col min="10" max="10" width="12.54296875" style="14" bestFit="1" customWidth="1"/>
    <col min="11" max="11" width="15.08984375" style="14" customWidth="1"/>
    <col min="12" max="12" width="14.08984375" style="14" customWidth="1"/>
    <col min="13" max="13" width="10.7265625" style="14" bestFit="1" customWidth="1"/>
    <col min="14" max="17" width="10.7265625" style="14" customWidth="1"/>
    <col min="18" max="18" width="16.6328125" style="14" customWidth="1"/>
    <col min="19" max="19" width="15.26953125" style="14" bestFit="1" customWidth="1"/>
    <col min="20" max="22" width="14.26953125" style="14" bestFit="1" customWidth="1"/>
    <col min="23" max="23" width="14.26953125" style="14" customWidth="1"/>
    <col min="24" max="24" width="15.08984375" style="14" bestFit="1" customWidth="1"/>
    <col min="25" max="25" width="14.26953125" style="14" bestFit="1" customWidth="1"/>
    <col min="26" max="26" width="13.26953125" style="14" bestFit="1" customWidth="1"/>
    <col min="27" max="27" width="12.54296875" style="14" bestFit="1" customWidth="1"/>
    <col min="28" max="28" width="14.26953125" style="14" bestFit="1" customWidth="1"/>
    <col min="29" max="29" width="14.26953125" style="14" customWidth="1"/>
    <col min="30" max="30" width="15.08984375" style="14" bestFit="1" customWidth="1"/>
    <col min="31" max="31" width="13.26953125" style="14" bestFit="1" customWidth="1"/>
    <col min="32" max="32" width="14.26953125" style="14" bestFit="1" customWidth="1"/>
    <col min="33" max="33" width="16.453125" style="14" bestFit="1" customWidth="1"/>
    <col min="34" max="34" width="14.26953125" style="14" bestFit="1" customWidth="1"/>
    <col min="35" max="35" width="14.26953125" style="14" customWidth="1"/>
    <col min="36" max="36" width="15.08984375" style="14" bestFit="1" customWidth="1"/>
    <col min="37" max="37" width="13.26953125" style="14" bestFit="1" customWidth="1"/>
    <col min="38" max="38" width="14.36328125" style="14" bestFit="1" customWidth="1"/>
    <col min="39" max="39" width="14.26953125" style="14" bestFit="1" customWidth="1"/>
    <col min="40" max="40" width="14.36328125" style="14" bestFit="1" customWidth="1"/>
    <col min="41" max="41" width="14.26953125" style="14" customWidth="1"/>
    <col min="42" max="42" width="17.81640625" style="14" bestFit="1" customWidth="1"/>
    <col min="43" max="43" width="13.453125" style="14" bestFit="1" customWidth="1"/>
    <col min="44" max="44" width="14.453125" style="14" bestFit="1" customWidth="1"/>
    <col min="45" max="45" width="13.26953125" style="14" customWidth="1"/>
    <col min="46" max="46" width="14.81640625" style="14" bestFit="1" customWidth="1"/>
    <col min="47" max="49" width="12.54296875" style="14" bestFit="1" customWidth="1"/>
    <col min="50" max="50" width="12.453125" style="14" bestFit="1" customWidth="1"/>
    <col min="51" max="51" width="16.81640625" style="14" customWidth="1"/>
    <col min="52" max="54" width="12.453125" style="14" bestFit="1" customWidth="1"/>
    <col min="55" max="59" width="8.90625" style="14"/>
    <col min="60" max="60" width="11.26953125" style="14" bestFit="1" customWidth="1"/>
    <col min="61" max="61" width="9.453125" style="14" bestFit="1" customWidth="1"/>
    <col min="62" max="62" width="11.26953125" style="14" bestFit="1" customWidth="1"/>
    <col min="63" max="64" width="8.90625" style="14"/>
    <col min="65" max="65" width="10.36328125" style="14" bestFit="1" customWidth="1"/>
    <col min="66" max="66" width="8.90625" style="14"/>
    <col min="67" max="67" width="11.36328125" style="14" bestFit="1" customWidth="1"/>
    <col min="68" max="16384" width="8.90625" style="14"/>
  </cols>
  <sheetData>
    <row r="1" spans="1:32" ht="18.5" customHeight="1" x14ac:dyDescent="0.35">
      <c r="A1" s="289" t="s">
        <v>398</v>
      </c>
      <c r="B1" s="289"/>
      <c r="C1" s="289"/>
      <c r="D1" s="289"/>
      <c r="E1" s="289"/>
      <c r="F1" s="289"/>
      <c r="G1" s="289"/>
      <c r="H1" s="289"/>
      <c r="I1" s="289"/>
    </row>
    <row r="2" spans="1:32" ht="15" thickBot="1" x14ac:dyDescent="0.4"/>
    <row r="3" spans="1:32" ht="15" thickBot="1" x14ac:dyDescent="0.4">
      <c r="A3" s="290" t="s">
        <v>107</v>
      </c>
      <c r="B3" s="290"/>
      <c r="C3" s="290"/>
      <c r="D3" s="290"/>
      <c r="E3" s="290"/>
      <c r="F3" s="290"/>
      <c r="G3" s="290"/>
      <c r="H3" s="290"/>
      <c r="I3" s="290"/>
      <c r="L3" s="291" t="s">
        <v>109</v>
      </c>
      <c r="M3" s="292"/>
      <c r="N3" s="292"/>
      <c r="O3" s="293"/>
    </row>
    <row r="4" spans="1:32" ht="61.75" customHeight="1" thickBot="1" x14ac:dyDescent="0.4">
      <c r="A4" s="18" t="s">
        <v>108</v>
      </c>
      <c r="B4" s="18" t="s">
        <v>118</v>
      </c>
      <c r="C4" s="18" t="s">
        <v>119</v>
      </c>
      <c r="D4" s="18" t="s">
        <v>142</v>
      </c>
      <c r="E4" s="18" t="s">
        <v>143</v>
      </c>
      <c r="F4" s="18" t="s">
        <v>144</v>
      </c>
      <c r="G4" s="18" t="s">
        <v>141</v>
      </c>
      <c r="H4" s="18" t="s">
        <v>201</v>
      </c>
      <c r="I4" s="18" t="s">
        <v>145</v>
      </c>
      <c r="L4" s="74" t="s">
        <v>108</v>
      </c>
      <c r="M4" s="74" t="s">
        <v>121</v>
      </c>
      <c r="N4" s="74" t="s">
        <v>122</v>
      </c>
      <c r="O4" s="225" t="s">
        <v>416</v>
      </c>
      <c r="P4" s="42" t="s">
        <v>110</v>
      </c>
      <c r="Q4" s="42" t="s">
        <v>155</v>
      </c>
      <c r="R4" s="43" t="s">
        <v>140</v>
      </c>
      <c r="S4" s="44">
        <f>COSTS!P31*1000000</f>
        <v>33594902.4440751</v>
      </c>
    </row>
    <row r="5" spans="1:32" ht="29" x14ac:dyDescent="0.35">
      <c r="A5" s="15">
        <v>1</v>
      </c>
      <c r="B5" s="16">
        <f>'Appendix J'!AG76/1000</f>
        <v>124.82341784391919</v>
      </c>
      <c r="C5" s="16">
        <f>B5*6.289814</f>
        <v>785.11608108253267</v>
      </c>
      <c r="D5" s="25">
        <v>56</v>
      </c>
      <c r="E5" s="25">
        <v>56</v>
      </c>
      <c r="F5" s="25">
        <v>56</v>
      </c>
      <c r="G5" s="17">
        <f t="shared" ref="G5:G25" si="0">$C5*1000*D5</f>
        <v>43966500.540621832</v>
      </c>
      <c r="H5" s="17">
        <f t="shared" ref="H5:H25" si="1">$C5*1000*E5</f>
        <v>43966500.540621832</v>
      </c>
      <c r="I5" s="17">
        <f t="shared" ref="I5:I25" si="2">$C5*1000*F5</f>
        <v>43966500.540621832</v>
      </c>
      <c r="L5" s="15">
        <v>1</v>
      </c>
      <c r="M5" s="16">
        <f>'Appendix J'!AH76/1000</f>
        <v>223.84435620565029</v>
      </c>
      <c r="N5" s="16">
        <f>M5*6.289814</f>
        <v>1407.9393654832861</v>
      </c>
      <c r="O5" s="16">
        <f>SUM('Appendix J'!AI5:'Appendix J'!AI76)</f>
        <v>0</v>
      </c>
      <c r="P5" s="17">
        <f>(C5*1000*$L$62)+(N5*1000*$L$61)+(O5*$L$63)</f>
        <v>4778668.933672904</v>
      </c>
      <c r="Q5" s="17">
        <f>'Appendix N'!H6</f>
        <v>719660.13703682949</v>
      </c>
      <c r="Y5" s="60" t="s">
        <v>220</v>
      </c>
      <c r="Z5" s="62" t="s">
        <v>221</v>
      </c>
      <c r="AA5" s="62" t="s">
        <v>222</v>
      </c>
      <c r="AB5" s="62" t="s">
        <v>223</v>
      </c>
      <c r="AC5" s="62" t="s">
        <v>224</v>
      </c>
      <c r="AD5" s="62" t="s">
        <v>226</v>
      </c>
      <c r="AE5" s="14" t="s">
        <v>433</v>
      </c>
      <c r="AF5" s="62" t="s">
        <v>227</v>
      </c>
    </row>
    <row r="6" spans="1:32" x14ac:dyDescent="0.35">
      <c r="A6" s="15">
        <v>2</v>
      </c>
      <c r="B6" s="16">
        <f>('Appendix J'!AG137-'Appendix J'!AG76)/1000</f>
        <v>48.597095999999993</v>
      </c>
      <c r="C6" s="16">
        <f>B6*6.289814</f>
        <v>305.66669478014393</v>
      </c>
      <c r="D6" s="25">
        <f t="shared" ref="D6:D11" si="3">D5+($D$12-$D$5)/7</f>
        <v>61.857142857142854</v>
      </c>
      <c r="E6" s="25">
        <f t="shared" ref="E6:E11" si="4">E5+($E$12-$E$5)/7</f>
        <v>59.857142857142854</v>
      </c>
      <c r="F6" s="25">
        <f t="shared" ref="F6:F11" si="5">F5+($F$12-$F$5)/7</f>
        <v>58.285714285714285</v>
      </c>
      <c r="G6" s="17">
        <f t="shared" si="0"/>
        <v>18907668.405686043</v>
      </c>
      <c r="H6" s="17">
        <f t="shared" si="1"/>
        <v>18296335.016125757</v>
      </c>
      <c r="I6" s="17">
        <f t="shared" si="2"/>
        <v>17816001.638614103</v>
      </c>
      <c r="L6" s="15">
        <v>2</v>
      </c>
      <c r="M6" s="16">
        <f>('Appendix J'!AH137-'Appendix J'!AH76)/1000</f>
        <v>232.77599999999993</v>
      </c>
      <c r="N6" s="16">
        <f>M6*6.289814</f>
        <v>1464.1177436639996</v>
      </c>
      <c r="O6" s="16">
        <f>SUM('Appendix J'!AI76:'Appendix J'!AI137)</f>
        <v>0</v>
      </c>
      <c r="P6" s="17">
        <f t="shared" ref="P6:P25" si="6">(C6*1000*$L$62)+(N6*1000*$L$61)+(O6*$L$63)</f>
        <v>3692402.2242783587</v>
      </c>
      <c r="Q6" s="17">
        <f>'Appendix N'!H7</f>
        <v>527167.45628413698</v>
      </c>
      <c r="Y6" s="60" t="s">
        <v>225</v>
      </c>
      <c r="Z6" s="101">
        <f>(COSTS!P26+COSTS!P27)*1000000</f>
        <v>20000000</v>
      </c>
      <c r="AA6" s="101">
        <f>COSTS!P21*1000000</f>
        <v>1814756.0732948997</v>
      </c>
      <c r="AB6" s="101">
        <f>(COSTS!P31-COSTS!P27-COSTS!P26-COSTS!P21)*1000000</f>
        <v>11780146.370780203</v>
      </c>
      <c r="AC6" s="101">
        <f>SUM(AA31:AA51)</f>
        <v>5224797.3958958657</v>
      </c>
      <c r="AD6" s="101">
        <f>SUM(AB31:AB51)</f>
        <v>23964978.783340991</v>
      </c>
      <c r="AE6" s="101">
        <f>SUM(AC31:AC51)</f>
        <v>5051107.6033412721</v>
      </c>
      <c r="AF6" s="101">
        <f>SUM(AD31:AD51)</f>
        <v>4102108.8706017695</v>
      </c>
    </row>
    <row r="7" spans="1:32" x14ac:dyDescent="0.35">
      <c r="A7" s="15">
        <v>3</v>
      </c>
      <c r="B7" s="16">
        <f>('Appendix J'!AG198-'Appendix J'!AG137)/1000</f>
        <v>26.954049056000017</v>
      </c>
      <c r="C7" s="16">
        <f>B7*6.289814</f>
        <v>169.53595510911569</v>
      </c>
      <c r="D7" s="25">
        <f t="shared" si="3"/>
        <v>67.714285714285708</v>
      </c>
      <c r="E7" s="25">
        <f t="shared" si="4"/>
        <v>63.714285714285708</v>
      </c>
      <c r="F7" s="25">
        <f t="shared" si="5"/>
        <v>60.571428571428569</v>
      </c>
      <c r="G7" s="17">
        <f t="shared" si="0"/>
        <v>11480006.103102976</v>
      </c>
      <c r="H7" s="17">
        <f t="shared" si="1"/>
        <v>10801862.282666514</v>
      </c>
      <c r="I7" s="17">
        <f t="shared" si="2"/>
        <v>10269034.995180722</v>
      </c>
      <c r="L7" s="15">
        <v>3</v>
      </c>
      <c r="M7" s="16">
        <f>('Appendix J'!AH198-'Appendix J'!AH137)/1000</f>
        <v>232.77631799999992</v>
      </c>
      <c r="N7" s="16">
        <f>M7*6.289814</f>
        <v>1464.1197438248514</v>
      </c>
      <c r="O7" s="16">
        <f>SUM('Appendix J'!AI137:'Appendix J'!AI198)</f>
        <v>41831.100000000006</v>
      </c>
      <c r="P7" s="17">
        <f t="shared" si="6"/>
        <v>3477572.675422492</v>
      </c>
      <c r="Q7" s="17">
        <f>'Appendix N'!H8</f>
        <v>468706.6463257139</v>
      </c>
      <c r="Y7" s="95">
        <v>0.1</v>
      </c>
      <c r="Z7" s="96">
        <f t="shared" ref="Z7:AE7" si="7">Z6*1.1</f>
        <v>22000000</v>
      </c>
      <c r="AA7" s="96">
        <f t="shared" si="7"/>
        <v>1996231.6806243898</v>
      </c>
      <c r="AB7" s="96">
        <f t="shared" si="7"/>
        <v>12958161.007858224</v>
      </c>
      <c r="AC7" s="96">
        <f t="shared" si="7"/>
        <v>5747277.1354854526</v>
      </c>
      <c r="AD7" s="96">
        <f t="shared" si="7"/>
        <v>26361476.661675092</v>
      </c>
      <c r="AE7" s="96">
        <f t="shared" si="7"/>
        <v>5556218.3636753997</v>
      </c>
      <c r="AF7" s="96">
        <f>AF6*1.1</f>
        <v>4512319.757661947</v>
      </c>
    </row>
    <row r="8" spans="1:32" x14ac:dyDescent="0.35">
      <c r="A8" s="15">
        <v>4</v>
      </c>
      <c r="B8" s="16">
        <f>('Appendix J'!AG258-'Appendix J'!AG198)/1000</f>
        <v>51.021749999999969</v>
      </c>
      <c r="C8" s="16">
        <f t="shared" ref="C8:C25" si="8">B8*6.289814</f>
        <v>320.91731745449977</v>
      </c>
      <c r="D8" s="25">
        <f t="shared" si="3"/>
        <v>73.571428571428569</v>
      </c>
      <c r="E8" s="25">
        <f t="shared" si="4"/>
        <v>67.571428571428569</v>
      </c>
      <c r="F8" s="25">
        <f t="shared" si="5"/>
        <v>62.857142857142854</v>
      </c>
      <c r="G8" s="17">
        <f t="shared" si="0"/>
        <v>23610345.498438198</v>
      </c>
      <c r="H8" s="17">
        <f t="shared" si="1"/>
        <v>21684841.593711197</v>
      </c>
      <c r="I8" s="17">
        <f t="shared" si="2"/>
        <v>20171945.668568555</v>
      </c>
      <c r="L8" s="15">
        <v>4</v>
      </c>
      <c r="M8" s="16">
        <f>('Appendix J'!AH258-'Appendix J'!AH198)/1000</f>
        <v>217.16446800000034</v>
      </c>
      <c r="N8" s="16">
        <f t="shared" ref="N8:N25" si="9">M8*6.289814</f>
        <v>1365.9241111289541</v>
      </c>
      <c r="O8" s="16">
        <f>SUM('Appendix J'!AI198:'Appendix J'!AI258)</f>
        <v>269154.48000000004</v>
      </c>
      <c r="P8" s="17">
        <f t="shared" si="6"/>
        <v>4341604.9558941582</v>
      </c>
      <c r="Q8" s="17">
        <f>'Appendix N'!H9</f>
        <v>479980.71417775017</v>
      </c>
      <c r="Y8" s="60" t="s">
        <v>229</v>
      </c>
      <c r="Z8" s="102">
        <f t="shared" ref="Z8:AE8" si="10">Z7-Z6</f>
        <v>2000000</v>
      </c>
      <c r="AA8" s="102">
        <f t="shared" si="10"/>
        <v>181475.60732949013</v>
      </c>
      <c r="AB8" s="102">
        <f t="shared" si="10"/>
        <v>1178014.6370780207</v>
      </c>
      <c r="AC8" s="102">
        <f t="shared" si="10"/>
        <v>522479.73958958685</v>
      </c>
      <c r="AD8" s="102">
        <f t="shared" si="10"/>
        <v>2396497.8783341013</v>
      </c>
      <c r="AE8" s="102">
        <f t="shared" si="10"/>
        <v>505110.76033412758</v>
      </c>
      <c r="AF8" s="102">
        <f>AF7-AF6</f>
        <v>410210.88706017751</v>
      </c>
    </row>
    <row r="9" spans="1:32" x14ac:dyDescent="0.35">
      <c r="A9" s="15">
        <v>5</v>
      </c>
      <c r="B9" s="16">
        <f>('Appendix J'!AG319-'Appendix J'!AG258)/1000</f>
        <v>68.057819999999893</v>
      </c>
      <c r="C9" s="16">
        <f t="shared" si="8"/>
        <v>428.07102904547929</v>
      </c>
      <c r="D9" s="25">
        <f t="shared" si="3"/>
        <v>79.428571428571431</v>
      </c>
      <c r="E9" s="25">
        <f t="shared" si="4"/>
        <v>71.428571428571431</v>
      </c>
      <c r="F9" s="25">
        <f t="shared" si="5"/>
        <v>65.142857142857139</v>
      </c>
      <c r="G9" s="17">
        <f t="shared" si="0"/>
        <v>34001070.30704093</v>
      </c>
      <c r="H9" s="17">
        <f t="shared" si="1"/>
        <v>30576502.074677095</v>
      </c>
      <c r="I9" s="17">
        <f t="shared" si="2"/>
        <v>27885769.892105509</v>
      </c>
      <c r="L9" s="15">
        <v>5</v>
      </c>
      <c r="M9" s="16">
        <f>('Appendix J'!AH319-'Appendix J'!AH258)/1000</f>
        <v>197.56825200000009</v>
      </c>
      <c r="N9" s="16">
        <f t="shared" si="9"/>
        <v>1242.6675573851285</v>
      </c>
      <c r="O9" s="16">
        <f>SUM('Appendix J'!AI258:'Appendix J'!AI319)</f>
        <v>244586.10000000003</v>
      </c>
      <c r="P9" s="17">
        <f t="shared" si="6"/>
        <v>4289270.9873839552</v>
      </c>
      <c r="Q9" s="17">
        <f>'Appendix N'!H10</f>
        <v>516858.88500707498</v>
      </c>
      <c r="Y9" s="14" t="s">
        <v>230</v>
      </c>
      <c r="Z9" s="103">
        <f t="shared" ref="Z9:AE9" si="11">$AV$52-Z8</f>
        <v>77514590.065542132</v>
      </c>
      <c r="AA9" s="103">
        <f t="shared" si="11"/>
        <v>79333114.458212644</v>
      </c>
      <c r="AB9" s="103">
        <f t="shared" si="11"/>
        <v>78336575.428464115</v>
      </c>
      <c r="AC9" s="103">
        <f t="shared" si="11"/>
        <v>78992110.325952545</v>
      </c>
      <c r="AD9" s="103">
        <f t="shared" si="11"/>
        <v>77118092.187208027</v>
      </c>
      <c r="AE9" s="103">
        <f t="shared" si="11"/>
        <v>79009479.305207998</v>
      </c>
      <c r="AF9" s="103">
        <f>$AV$52-AF8</f>
        <v>79104379.178481951</v>
      </c>
    </row>
    <row r="10" spans="1:32" x14ac:dyDescent="0.35">
      <c r="A10" s="15">
        <v>6</v>
      </c>
      <c r="B10" s="16">
        <f>('Appendix J'!AG380-'Appendix J'!AG319)/1000</f>
        <v>44.232300000000045</v>
      </c>
      <c r="C10" s="16">
        <f t="shared" si="8"/>
        <v>278.21293979220025</v>
      </c>
      <c r="D10" s="25">
        <f t="shared" si="3"/>
        <v>85.285714285714292</v>
      </c>
      <c r="E10" s="25">
        <f t="shared" si="4"/>
        <v>75.285714285714292</v>
      </c>
      <c r="F10" s="25">
        <f t="shared" si="5"/>
        <v>67.428571428571431</v>
      </c>
      <c r="G10" s="17">
        <f t="shared" si="0"/>
        <v>23727589.29370622</v>
      </c>
      <c r="H10" s="17">
        <f t="shared" si="1"/>
        <v>20945459.895784218</v>
      </c>
      <c r="I10" s="17">
        <f t="shared" si="2"/>
        <v>18759501.083131216</v>
      </c>
      <c r="L10" s="15">
        <v>6</v>
      </c>
      <c r="M10" s="16">
        <f>('Appendix J'!AH380-'Appendix J'!AH319)/1000</f>
        <v>202.47294600000001</v>
      </c>
      <c r="N10" s="16">
        <f t="shared" si="9"/>
        <v>1273.5171703720439</v>
      </c>
      <c r="O10" s="16">
        <f>SUM('Appendix J'!AI319:'Appendix J'!AI380)</f>
        <v>250597.43999999997</v>
      </c>
      <c r="P10" s="17">
        <f t="shared" si="6"/>
        <v>3994359.0102245882</v>
      </c>
      <c r="Q10" s="17">
        <f>'Appendix N'!H11</f>
        <v>462468.56647373171</v>
      </c>
      <c r="Y10" s="14" t="s">
        <v>228</v>
      </c>
      <c r="Z10" s="104">
        <f t="shared" ref="Z10:AE10" si="12">1-(Z9/$AV$52)</f>
        <v>2.5152616624841362E-2</v>
      </c>
      <c r="AA10" s="104">
        <f t="shared" si="12"/>
        <v>2.28229318895945E-3</v>
      </c>
      <c r="AB10" s="104">
        <f t="shared" si="12"/>
        <v>1.4815075272437528E-2</v>
      </c>
      <c r="AC10" s="104">
        <f t="shared" si="12"/>
        <v>6.5708662920719307E-3</v>
      </c>
      <c r="AD10" s="104">
        <f t="shared" si="12"/>
        <v>3.013909618799171E-2</v>
      </c>
      <c r="AE10" s="104">
        <f t="shared" si="12"/>
        <v>6.3524286538833019E-3</v>
      </c>
      <c r="AF10" s="104">
        <f>1-(AF9/$AV$52)</f>
        <v>5.1589385887803596E-3</v>
      </c>
    </row>
    <row r="11" spans="1:32" x14ac:dyDescent="0.35">
      <c r="A11" s="15">
        <v>7</v>
      </c>
      <c r="B11" s="16">
        <f>('Appendix J'!AG441-'Appendix J'!AG380)/1000</f>
        <v>30.900821999999984</v>
      </c>
      <c r="C11" s="16">
        <f t="shared" si="8"/>
        <v>194.3604228271079</v>
      </c>
      <c r="D11" s="25">
        <f t="shared" si="3"/>
        <v>91.142857142857153</v>
      </c>
      <c r="E11" s="25">
        <f t="shared" si="4"/>
        <v>79.142857142857153</v>
      </c>
      <c r="F11" s="25">
        <f t="shared" si="5"/>
        <v>69.714285714285722</v>
      </c>
      <c r="G11" s="17">
        <f t="shared" si="0"/>
        <v>17714564.251956407</v>
      </c>
      <c r="H11" s="17">
        <f t="shared" si="1"/>
        <v>15382239.178031113</v>
      </c>
      <c r="I11" s="17">
        <f t="shared" si="2"/>
        <v>13549698.04851838</v>
      </c>
      <c r="L11" s="15">
        <v>7</v>
      </c>
      <c r="M11" s="16">
        <f>('Appendix J'!AH441-'Appendix J'!AH380)/1000</f>
        <v>208.85468999999972</v>
      </c>
      <c r="N11" s="16">
        <f t="shared" si="9"/>
        <v>1313.6571531276581</v>
      </c>
      <c r="O11" s="16">
        <f>SUM('Appendix J'!AI380:'Appendix J'!AI441)</f>
        <v>258488.15999999997</v>
      </c>
      <c r="P11" s="17">
        <f t="shared" si="6"/>
        <v>3888679.8433230859</v>
      </c>
      <c r="Q11" s="17">
        <f>'Appendix N'!H12</f>
        <v>437357.07692360756</v>
      </c>
    </row>
    <row r="12" spans="1:32" x14ac:dyDescent="0.35">
      <c r="A12" s="15">
        <v>8</v>
      </c>
      <c r="B12" s="16">
        <f>('Appendix J'!AG502-'Appendix J'!AG441)/1000</f>
        <v>22.377966000000072</v>
      </c>
      <c r="C12" s="16">
        <f t="shared" si="8"/>
        <v>140.75324383832444</v>
      </c>
      <c r="D12" s="25">
        <v>97</v>
      </c>
      <c r="E12" s="25">
        <v>83</v>
      </c>
      <c r="F12" s="25">
        <v>72</v>
      </c>
      <c r="G12" s="17">
        <f t="shared" si="0"/>
        <v>13653064.652317472</v>
      </c>
      <c r="H12" s="17">
        <f t="shared" si="1"/>
        <v>11682519.238580929</v>
      </c>
      <c r="I12" s="17">
        <f t="shared" si="2"/>
        <v>10134233.55635936</v>
      </c>
      <c r="L12" s="15">
        <v>8</v>
      </c>
      <c r="M12" s="16">
        <f>('Appendix J'!AH502-'Appendix J'!AH441)/1000</f>
        <v>215.07429600000009</v>
      </c>
      <c r="N12" s="16">
        <f t="shared" si="9"/>
        <v>1352.7773180209444</v>
      </c>
      <c r="O12" s="16">
        <f>SUM('Appendix J'!AI441:'Appendix J'!AI502)</f>
        <v>266194.68</v>
      </c>
      <c r="P12" s="17">
        <f t="shared" si="6"/>
        <v>3856021.7856377</v>
      </c>
      <c r="Q12" s="17">
        <f>'Appendix N'!H13</f>
        <v>423822.63986176671</v>
      </c>
    </row>
    <row r="13" spans="1:32" x14ac:dyDescent="0.35">
      <c r="A13" s="15">
        <v>9</v>
      </c>
      <c r="B13" s="16">
        <f>('Appendix J'!AG563-'Appendix J'!AG502)/1000</f>
        <v>17.251740000000513</v>
      </c>
      <c r="C13" s="16">
        <f t="shared" si="8"/>
        <v>108.51023577636323</v>
      </c>
      <c r="D13" s="25">
        <f>D12+($D$27-$D$12)/15</f>
        <v>99.6</v>
      </c>
      <c r="E13" s="25">
        <f>E12+($E$17-$E$12)/5</f>
        <v>85.2</v>
      </c>
      <c r="F13" s="25">
        <f t="shared" ref="F13:F25" si="13">F12+($F$27-$F$12)/15</f>
        <v>71.466666666666669</v>
      </c>
      <c r="G13" s="17">
        <f t="shared" si="0"/>
        <v>10807619.483325778</v>
      </c>
      <c r="H13" s="17">
        <f t="shared" si="1"/>
        <v>9245072.0881461482</v>
      </c>
      <c r="I13" s="17">
        <f t="shared" si="2"/>
        <v>7754864.8501507593</v>
      </c>
      <c r="L13" s="15">
        <v>9</v>
      </c>
      <c r="M13" s="16">
        <f>('Appendix J'!AH563-'Appendix J'!AH502)/1000</f>
        <v>220.38175200000009</v>
      </c>
      <c r="N13" s="16">
        <f t="shared" si="9"/>
        <v>1386.1602290741284</v>
      </c>
      <c r="O13" s="16">
        <f>SUM('Appendix J'!AI502:'Appendix J'!AI563)</f>
        <v>272774.81999999989</v>
      </c>
      <c r="P13" s="17">
        <f t="shared" si="6"/>
        <v>3861920.5075891651</v>
      </c>
      <c r="Q13" s="17">
        <f>'Appendix N'!H14</f>
        <v>417622.20233433304</v>
      </c>
    </row>
    <row r="14" spans="1:32" x14ac:dyDescent="0.35">
      <c r="A14" s="15">
        <v>10</v>
      </c>
      <c r="B14" s="16">
        <f>('Appendix J'!AG623-'Appendix J'!AG563)/1000</f>
        <v>13.899624000000069</v>
      </c>
      <c r="C14" s="16">
        <f t="shared" si="8"/>
        <v>87.426049629936429</v>
      </c>
      <c r="D14" s="25">
        <f t="shared" ref="D14:D25" si="14">D13+($D$27-$D$12)/15</f>
        <v>102.19999999999999</v>
      </c>
      <c r="E14" s="25">
        <f>E13+($E$17-$E$12)/5</f>
        <v>87.4</v>
      </c>
      <c r="F14" s="25">
        <f t="shared" si="13"/>
        <v>70.933333333333337</v>
      </c>
      <c r="G14" s="17">
        <f t="shared" si="0"/>
        <v>8934942.272179503</v>
      </c>
      <c r="H14" s="17">
        <f t="shared" si="1"/>
        <v>7641036.7376564443</v>
      </c>
      <c r="I14" s="17">
        <f t="shared" si="2"/>
        <v>6201421.1204168247</v>
      </c>
      <c r="L14" s="15">
        <v>10</v>
      </c>
      <c r="M14" s="16">
        <f>('Appendix J'!AH623-'Appendix J'!AH563)/1000</f>
        <v>221.17591200000072</v>
      </c>
      <c r="N14" s="16">
        <f t="shared" si="9"/>
        <v>1391.1553477603725</v>
      </c>
      <c r="O14" s="16">
        <f>SUM('Appendix J'!AI563:'Appendix J'!AI623)</f>
        <v>273838.92000000004</v>
      </c>
      <c r="P14" s="17">
        <f t="shared" si="6"/>
        <v>3822392.5795955863</v>
      </c>
      <c r="Q14" s="17">
        <f>'Appendix N'!H15</f>
        <v>412517.48322927527</v>
      </c>
    </row>
    <row r="15" spans="1:32" x14ac:dyDescent="0.35">
      <c r="A15" s="15">
        <v>11</v>
      </c>
      <c r="B15" s="16">
        <f>('Appendix J'!AG684-'Appendix J'!AG623)/1000</f>
        <v>11.885406000000076</v>
      </c>
      <c r="C15" s="16">
        <f t="shared" si="8"/>
        <v>74.756993054484482</v>
      </c>
      <c r="D15" s="25">
        <f t="shared" si="14"/>
        <v>104.79999999999998</v>
      </c>
      <c r="E15" s="25">
        <f>E14+($E$17-$E$12)/5</f>
        <v>89.600000000000009</v>
      </c>
      <c r="F15" s="25">
        <f t="shared" si="13"/>
        <v>70.400000000000006</v>
      </c>
      <c r="G15" s="17">
        <f t="shared" si="0"/>
        <v>7834532.8721099729</v>
      </c>
      <c r="H15" s="17">
        <f t="shared" si="1"/>
        <v>6698226.5776818106</v>
      </c>
      <c r="I15" s="17">
        <f t="shared" si="2"/>
        <v>5262892.3110357076</v>
      </c>
      <c r="L15" s="15">
        <v>11</v>
      </c>
      <c r="M15" s="16">
        <f>('Appendix J'!AH684-'Appendix J'!AH623)/1000</f>
        <v>228.67018199999865</v>
      </c>
      <c r="N15" s="16">
        <f t="shared" si="9"/>
        <v>1438.2929121261395</v>
      </c>
      <c r="O15" s="16">
        <f>SUM('Appendix J'!AI623:'Appendix J'!AI684)</f>
        <v>283049.88</v>
      </c>
      <c r="P15" s="17">
        <f t="shared" si="6"/>
        <v>3912627.9468884901</v>
      </c>
      <c r="Q15" s="17">
        <f>'Appendix N'!H16</f>
        <v>414070.32253899123</v>
      </c>
    </row>
    <row r="16" spans="1:32" x14ac:dyDescent="0.35">
      <c r="A16" s="15">
        <v>12</v>
      </c>
      <c r="B16" s="16">
        <f>('Appendix J'!AG745-'Appendix J'!AG684)/1000</f>
        <v>10.000289999999863</v>
      </c>
      <c r="C16" s="16">
        <f t="shared" si="8"/>
        <v>62.899964046059132</v>
      </c>
      <c r="D16" s="25">
        <f t="shared" si="14"/>
        <v>107.39999999999998</v>
      </c>
      <c r="E16" s="25">
        <f>E15+($E$17-$E$12)/5</f>
        <v>91.800000000000011</v>
      </c>
      <c r="F16" s="25">
        <f t="shared" si="13"/>
        <v>69.866666666666674</v>
      </c>
      <c r="G16" s="17">
        <f t="shared" si="0"/>
        <v>6755456.138546749</v>
      </c>
      <c r="H16" s="17">
        <f t="shared" si="1"/>
        <v>5774216.6994282287</v>
      </c>
      <c r="I16" s="17">
        <f t="shared" si="2"/>
        <v>4394610.8213513317</v>
      </c>
      <c r="L16" s="15">
        <v>12</v>
      </c>
      <c r="M16" s="16">
        <f>('Appendix J'!AH745-'Appendix J'!AH684)/1000</f>
        <v>231.20770199999865</v>
      </c>
      <c r="N16" s="16">
        <f t="shared" si="9"/>
        <v>1454.2534409474194</v>
      </c>
      <c r="O16" s="16">
        <f>SUM('Appendix J'!AI684:'Appendix J'!AI745)</f>
        <v>286206.18000000005</v>
      </c>
      <c r="P16" s="17">
        <f t="shared" si="6"/>
        <v>3924375.332009987</v>
      </c>
      <c r="Q16" s="17">
        <f>'Appendix N'!H17</f>
        <v>411523.40068496938</v>
      </c>
    </row>
    <row r="17" spans="1:68" x14ac:dyDescent="0.35">
      <c r="A17" s="15">
        <v>13</v>
      </c>
      <c r="B17" s="16">
        <f>('Appendix J'!AG806-'Appendix J'!AG745)/1000</f>
        <v>8.4327359999999754</v>
      </c>
      <c r="C17" s="16">
        <f t="shared" si="8"/>
        <v>53.040340951103843</v>
      </c>
      <c r="D17" s="25">
        <f t="shared" si="14"/>
        <v>109.99999999999997</v>
      </c>
      <c r="E17" s="25">
        <v>94</v>
      </c>
      <c r="F17" s="25">
        <f t="shared" si="13"/>
        <v>69.333333333333343</v>
      </c>
      <c r="G17" s="17">
        <f t="shared" si="0"/>
        <v>5834437.504621421</v>
      </c>
      <c r="H17" s="17">
        <f t="shared" si="1"/>
        <v>4985792.0494037606</v>
      </c>
      <c r="I17" s="17">
        <f t="shared" si="2"/>
        <v>3677463.6392765334</v>
      </c>
      <c r="L17" s="15">
        <v>13</v>
      </c>
      <c r="M17" s="16">
        <f>('Appendix J'!AH806-'Appendix J'!AH745)/1000</f>
        <v>232.64478000000025</v>
      </c>
      <c r="N17" s="16">
        <f t="shared" si="9"/>
        <v>1463.2923942709215</v>
      </c>
      <c r="O17" s="16">
        <f>SUM('Appendix J'!AI745:'Appendix J'!AI806)</f>
        <v>287995.97999999992</v>
      </c>
      <c r="P17" s="17">
        <f t="shared" si="6"/>
        <v>3923173.5809196029</v>
      </c>
      <c r="Q17" s="17">
        <f>'Appendix N'!H18</f>
        <v>407787.47222515516</v>
      </c>
    </row>
    <row r="18" spans="1:68" x14ac:dyDescent="0.35">
      <c r="A18" s="15">
        <v>14</v>
      </c>
      <c r="B18" s="16">
        <f>('Appendix J'!AG867-'Appendix J'!AG806)/1000</f>
        <v>7.1564700000000885</v>
      </c>
      <c r="C18" s="16">
        <f t="shared" si="8"/>
        <v>45.012865196580556</v>
      </c>
      <c r="D18" s="25">
        <f t="shared" si="14"/>
        <v>112.59999999999997</v>
      </c>
      <c r="E18" s="25">
        <f>E17+($E$22-$E$17)/5</f>
        <v>95.8</v>
      </c>
      <c r="F18" s="25">
        <f t="shared" si="13"/>
        <v>68.800000000000011</v>
      </c>
      <c r="G18" s="17">
        <f t="shared" si="0"/>
        <v>5068448.6211349685</v>
      </c>
      <c r="H18" s="17">
        <f t="shared" si="1"/>
        <v>4312232.4858324174</v>
      </c>
      <c r="I18" s="17">
        <f t="shared" si="2"/>
        <v>3096885.1255247425</v>
      </c>
      <c r="L18" s="15">
        <v>14</v>
      </c>
      <c r="M18" s="16">
        <f>('Appendix J'!AH867-'Appendix J'!AH806)/1000</f>
        <v>232.77600000000001</v>
      </c>
      <c r="N18" s="16">
        <f t="shared" si="9"/>
        <v>1464.117743664</v>
      </c>
      <c r="O18" s="16">
        <f>SUM('Appendix J'!AI806:'Appendix J'!AI867)</f>
        <v>288169.79999999993</v>
      </c>
      <c r="P18" s="17">
        <f t="shared" si="6"/>
        <v>3905277.0503194514</v>
      </c>
      <c r="Q18" s="17">
        <f>'Appendix N'!H19</f>
        <v>403323.26626667246</v>
      </c>
    </row>
    <row r="19" spans="1:68" x14ac:dyDescent="0.35">
      <c r="A19" s="15">
        <v>15</v>
      </c>
      <c r="B19" s="16">
        <f>('Appendix J'!AG928-'Appendix J'!AG867)/1000</f>
        <v>6.1556339999999032</v>
      </c>
      <c r="C19" s="16">
        <f t="shared" si="8"/>
        <v>38.717792912075389</v>
      </c>
      <c r="D19" s="25">
        <f t="shared" si="14"/>
        <v>115.19999999999996</v>
      </c>
      <c r="E19" s="25">
        <f>E18+($E$22-$E$17)/5</f>
        <v>97.6</v>
      </c>
      <c r="F19" s="25">
        <f t="shared" si="13"/>
        <v>68.26666666666668</v>
      </c>
      <c r="G19" s="17">
        <f t="shared" si="0"/>
        <v>4460289.7434710832</v>
      </c>
      <c r="H19" s="17">
        <f t="shared" si="1"/>
        <v>3778856.5882185581</v>
      </c>
      <c r="I19" s="17">
        <f t="shared" si="2"/>
        <v>2643134.6627976806</v>
      </c>
      <c r="L19" s="15">
        <v>15</v>
      </c>
      <c r="M19" s="16">
        <f>('Appendix J'!AH928-'Appendix J'!AH867)/1000</f>
        <v>232.77600000000001</v>
      </c>
      <c r="N19" s="16">
        <f t="shared" si="9"/>
        <v>1464.117743664</v>
      </c>
      <c r="O19" s="16">
        <f>SUM('Appendix J'!AI867:'Appendix J'!AI928)</f>
        <v>288169.79999999993</v>
      </c>
      <c r="P19" s="17">
        <f t="shared" si="6"/>
        <v>3889539.3696081885</v>
      </c>
      <c r="Q19" s="17">
        <f>'Appendix N'!H20</f>
        <v>399516.78250268532</v>
      </c>
    </row>
    <row r="20" spans="1:68" x14ac:dyDescent="0.35">
      <c r="A20" s="15">
        <v>16</v>
      </c>
      <c r="B20" s="16">
        <f>('Appendix J'!AG988-'Appendix J'!AG928)/1000</f>
        <v>5.2863599999997533</v>
      </c>
      <c r="C20" s="16">
        <f t="shared" si="8"/>
        <v>33.250221137038444</v>
      </c>
      <c r="D20" s="25">
        <f t="shared" si="14"/>
        <v>117.79999999999995</v>
      </c>
      <c r="E20" s="25">
        <f>E19+($E$22-$E$17)/5</f>
        <v>99.399999999999991</v>
      </c>
      <c r="F20" s="25">
        <f t="shared" si="13"/>
        <v>67.733333333333348</v>
      </c>
      <c r="G20" s="17">
        <f t="shared" si="0"/>
        <v>3916876.0499431277</v>
      </c>
      <c r="H20" s="17">
        <f t="shared" si="1"/>
        <v>3305071.9810216213</v>
      </c>
      <c r="I20" s="17">
        <f t="shared" si="2"/>
        <v>2252148.3116820711</v>
      </c>
      <c r="L20" s="15">
        <v>16</v>
      </c>
      <c r="M20" s="16">
        <f>('Appendix J'!AH988-'Appendix J'!AH928)/1000</f>
        <v>228.96</v>
      </c>
      <c r="N20" s="16">
        <f t="shared" si="9"/>
        <v>1440.11581344</v>
      </c>
      <c r="O20" s="16">
        <f>SUM('Appendix J'!AI928:'Appendix J'!AI988)</f>
        <v>283521.89999999991</v>
      </c>
      <c r="P20" s="17">
        <f t="shared" si="6"/>
        <v>3813922.8797225957</v>
      </c>
      <c r="Q20" s="17">
        <f>'Appendix N'!H21</f>
        <v>393734.49822990148</v>
      </c>
    </row>
    <row r="21" spans="1:68" x14ac:dyDescent="0.35">
      <c r="A21" s="15">
        <v>17</v>
      </c>
      <c r="B21" s="16">
        <f>('Appendix J'!AG1049-'Appendix J'!AG988)/1000</f>
        <v>4.7493420000001203</v>
      </c>
      <c r="C21" s="16">
        <f t="shared" si="8"/>
        <v>29.872477802388754</v>
      </c>
      <c r="D21" s="25">
        <f t="shared" si="14"/>
        <v>120.39999999999995</v>
      </c>
      <c r="E21" s="25">
        <f>E20+($E$22-$E$17)/5</f>
        <v>101.19999999999999</v>
      </c>
      <c r="F21" s="25">
        <f t="shared" si="13"/>
        <v>67.200000000000017</v>
      </c>
      <c r="G21" s="17">
        <f t="shared" si="0"/>
        <v>3596646.3274076045</v>
      </c>
      <c r="H21" s="17">
        <f t="shared" si="1"/>
        <v>3023094.7536017415</v>
      </c>
      <c r="I21" s="17">
        <f t="shared" si="2"/>
        <v>2007430.5083205248</v>
      </c>
      <c r="L21" s="15">
        <v>17</v>
      </c>
      <c r="M21" s="16">
        <f>('Appendix J'!AH1049-'Appendix J'!AH988)/1000</f>
        <v>232.77600000000001</v>
      </c>
      <c r="N21" s="16">
        <f t="shared" si="9"/>
        <v>1464.117743664</v>
      </c>
      <c r="O21" s="16">
        <f>SUM('Appendix J'!AI988:'Appendix J'!AI1049)</f>
        <v>288169.79999999993</v>
      </c>
      <c r="P21" s="17">
        <f t="shared" si="6"/>
        <v>3867426.0818339717</v>
      </c>
      <c r="Q21" s="17">
        <f>'Appendix N'!H22</f>
        <v>393486.93678529374</v>
      </c>
    </row>
    <row r="22" spans="1:68" x14ac:dyDescent="0.35">
      <c r="A22" s="15">
        <v>18</v>
      </c>
      <c r="B22" s="16">
        <f>('Appendix J'!AG1110-'Appendix J'!AG1049)/1000</f>
        <v>4.233900000000256</v>
      </c>
      <c r="C22" s="16">
        <f t="shared" si="8"/>
        <v>26.630443494601611</v>
      </c>
      <c r="D22" s="25">
        <f t="shared" si="14"/>
        <v>122.99999999999994</v>
      </c>
      <c r="E22" s="25">
        <v>103</v>
      </c>
      <c r="F22" s="25">
        <f t="shared" si="13"/>
        <v>66.666666666666686</v>
      </c>
      <c r="G22" s="17">
        <f t="shared" si="0"/>
        <v>3275544.5498359967</v>
      </c>
      <c r="H22" s="17">
        <f t="shared" si="1"/>
        <v>2742935.6799439662</v>
      </c>
      <c r="I22" s="17">
        <f t="shared" si="2"/>
        <v>1775362.899640108</v>
      </c>
      <c r="L22" s="15">
        <v>18</v>
      </c>
      <c r="M22" s="16">
        <f>('Appendix J'!AH1110-'Appendix J'!AH1049)/1000</f>
        <v>232.77600000000001</v>
      </c>
      <c r="N22" s="16">
        <f t="shared" si="9"/>
        <v>1464.117743664</v>
      </c>
      <c r="O22" s="16">
        <f>SUM('Appendix J'!AI1049:'Appendix J'!AI1110)</f>
        <v>288169.79999999993</v>
      </c>
      <c r="P22" s="17">
        <f t="shared" si="6"/>
        <v>3859320.9960645037</v>
      </c>
      <c r="Q22" s="17">
        <f>'Appendix N'!H23</f>
        <v>390975.76843021251</v>
      </c>
    </row>
    <row r="23" spans="1:68" x14ac:dyDescent="0.35">
      <c r="A23" s="15">
        <v>19</v>
      </c>
      <c r="B23" s="16">
        <f>('Appendix J'!AG1171-'Appendix J'!AG1110)/1000</f>
        <v>3.8055342000001109</v>
      </c>
      <c r="C23" s="16">
        <f t="shared" si="8"/>
        <v>23.936102288639496</v>
      </c>
      <c r="D23" s="25">
        <f t="shared" si="14"/>
        <v>125.59999999999994</v>
      </c>
      <c r="E23" s="25">
        <f>E22+($E$27-$E$22)/5</f>
        <v>104.6</v>
      </c>
      <c r="F23" s="25">
        <f t="shared" si="13"/>
        <v>66.133333333333354</v>
      </c>
      <c r="G23" s="17">
        <f t="shared" si="0"/>
        <v>3006374.4474531193</v>
      </c>
      <c r="H23" s="17">
        <f t="shared" si="1"/>
        <v>2503716.2993916911</v>
      </c>
      <c r="I23" s="17">
        <f t="shared" si="2"/>
        <v>1582974.2313553593</v>
      </c>
      <c r="L23" s="15">
        <v>19</v>
      </c>
      <c r="M23" s="16">
        <f>('Appendix J'!AH1171-'Appendix J'!AH1110)/1000</f>
        <v>232.77599999999953</v>
      </c>
      <c r="N23" s="16">
        <f t="shared" si="9"/>
        <v>1464.1177436639971</v>
      </c>
      <c r="O23" s="16">
        <f>SUM('Appendix J'!AI1110:'Appendix J'!AI1171)</f>
        <v>288169.79999999993</v>
      </c>
      <c r="P23" s="17">
        <f t="shared" si="6"/>
        <v>3852585.1430495931</v>
      </c>
      <c r="Q23" s="17">
        <f>'Appendix N'!H24</f>
        <v>388709.90318094165</v>
      </c>
    </row>
    <row r="24" spans="1:68" x14ac:dyDescent="0.35">
      <c r="A24" s="15">
        <v>20</v>
      </c>
      <c r="B24" s="16">
        <f>('Appendix J'!AG1232-'Appendix J'!AG1171)/1000</f>
        <v>3.4440984000000752</v>
      </c>
      <c r="C24" s="16">
        <f t="shared" si="8"/>
        <v>21.662738333698073</v>
      </c>
      <c r="D24" s="25">
        <f t="shared" si="14"/>
        <v>128.19999999999993</v>
      </c>
      <c r="E24" s="25">
        <f>E23+($E$27-$E$22)/5</f>
        <v>106.19999999999999</v>
      </c>
      <c r="F24" s="25">
        <f t="shared" si="13"/>
        <v>65.600000000000023</v>
      </c>
      <c r="G24" s="17">
        <f t="shared" si="0"/>
        <v>2777163.0543800914</v>
      </c>
      <c r="H24" s="17">
        <f t="shared" si="1"/>
        <v>2300582.8110387349</v>
      </c>
      <c r="I24" s="17">
        <f t="shared" si="2"/>
        <v>1421075.6346905939</v>
      </c>
      <c r="L24" s="15">
        <v>20</v>
      </c>
      <c r="M24" s="16">
        <f>('Appendix J'!AH1232-'Appendix J'!AH1171)/1000</f>
        <v>232.77600000000001</v>
      </c>
      <c r="N24" s="16">
        <f t="shared" si="9"/>
        <v>1464.117743664</v>
      </c>
      <c r="O24" s="16">
        <f>SUM('Appendix J'!AI1171:'Appendix J'!AI1232)</f>
        <v>288169.79999999993</v>
      </c>
      <c r="P24" s="17">
        <f t="shared" si="6"/>
        <v>3846901.7331622448</v>
      </c>
      <c r="Q24" s="17">
        <f>'Appendix N'!H25</f>
        <v>386639.10322055919</v>
      </c>
    </row>
    <row r="25" spans="1:68" x14ac:dyDescent="0.35">
      <c r="A25" s="15">
        <v>21</v>
      </c>
      <c r="B25" s="16">
        <f>('Appendix J'!AG1260-'Appendix J'!AG1232)/1000</f>
        <v>1.4434672649999265</v>
      </c>
      <c r="C25" s="16">
        <f t="shared" si="8"/>
        <v>9.0791406119382483</v>
      </c>
      <c r="D25" s="25">
        <f t="shared" si="14"/>
        <v>130.79999999999993</v>
      </c>
      <c r="E25" s="25">
        <f>E24+($E$27-$E$22)/5</f>
        <v>107.79999999999998</v>
      </c>
      <c r="F25" s="25">
        <f t="shared" si="13"/>
        <v>65.066666666666691</v>
      </c>
      <c r="G25" s="17">
        <f t="shared" si="0"/>
        <v>1187551.5920415223</v>
      </c>
      <c r="H25" s="17">
        <f t="shared" si="1"/>
        <v>978731.35796694295</v>
      </c>
      <c r="I25" s="17">
        <f t="shared" si="2"/>
        <v>590749.41581678228</v>
      </c>
      <c r="L25" s="15">
        <v>21</v>
      </c>
      <c r="M25" s="16">
        <f>('Appendix J'!AH1260-'Appendix J'!AH1232)/1000</f>
        <v>104.54695199999958</v>
      </c>
      <c r="N25" s="16">
        <f t="shared" si="9"/>
        <v>657.58088234692536</v>
      </c>
      <c r="O25" s="16">
        <f>SUM('Appendix J'!AI1232:'Appendix J'!AI1260)</f>
        <v>131986.41629999963</v>
      </c>
      <c r="P25" s="17">
        <f t="shared" si="6"/>
        <v>1733818.865123695</v>
      </c>
      <c r="Q25" s="17">
        <f>'Appendix N'!H26</f>
        <v>302090.08112278959</v>
      </c>
    </row>
    <row r="26" spans="1:68" ht="33" customHeight="1" thickBot="1" x14ac:dyDescent="0.4">
      <c r="B26" s="116">
        <f>SUM(B5:B25)</f>
        <v>514.70982276491998</v>
      </c>
      <c r="C26" s="116">
        <f>SUM(C5:C24)</f>
        <v>3228.3499085523736</v>
      </c>
    </row>
    <row r="27" spans="1:68" ht="25.75" customHeight="1" thickBot="1" x14ac:dyDescent="0.4">
      <c r="B27" s="116">
        <f>SUM(B5:B24)</f>
        <v>513.26635549992</v>
      </c>
      <c r="C27" s="116">
        <f>SUM(C5:C18)</f>
        <v>3054.2801325839318</v>
      </c>
      <c r="D27" s="36">
        <v>136</v>
      </c>
      <c r="E27" s="36">
        <v>111</v>
      </c>
      <c r="F27" s="36">
        <v>64</v>
      </c>
      <c r="G27" s="234">
        <f>SUM(G5:G24)</f>
        <v>253329140.11727947</v>
      </c>
      <c r="H27" s="234">
        <f t="shared" ref="H27:I27" si="15">SUM(H5:H24)</f>
        <v>229647094.57156381</v>
      </c>
      <c r="I27" s="234">
        <f t="shared" si="15"/>
        <v>204622949.5393419</v>
      </c>
      <c r="M27" s="45"/>
      <c r="N27" s="45"/>
      <c r="O27" s="45"/>
      <c r="P27" s="45"/>
      <c r="Q27" s="45"/>
      <c r="R27" s="15"/>
      <c r="S27" s="235" t="s">
        <v>205</v>
      </c>
      <c r="T27" s="15"/>
      <c r="U27" s="46"/>
      <c r="V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68" ht="28.75" customHeight="1" thickBot="1" x14ac:dyDescent="0.4">
      <c r="A28" s="294" t="s">
        <v>111</v>
      </c>
      <c r="B28" s="295"/>
      <c r="C28" s="295"/>
      <c r="D28" s="295"/>
      <c r="E28" s="295"/>
      <c r="F28" s="295"/>
      <c r="G28" s="295"/>
      <c r="H28" s="295"/>
      <c r="I28" s="295"/>
      <c r="J28" s="295"/>
      <c r="K28" s="296"/>
      <c r="M28" s="74"/>
      <c r="O28" s="47" t="s">
        <v>112</v>
      </c>
      <c r="P28" s="47" t="s">
        <v>112</v>
      </c>
      <c r="Q28" s="47" t="s">
        <v>112</v>
      </c>
      <c r="R28" s="236" t="s">
        <v>112</v>
      </c>
      <c r="S28" s="88">
        <v>0.05</v>
      </c>
      <c r="T28" s="15"/>
      <c r="U28" s="89"/>
      <c r="V28" s="15"/>
      <c r="W28" s="89"/>
      <c r="X28" s="89"/>
      <c r="Y28" s="90"/>
      <c r="Z28" s="88">
        <v>0.1</v>
      </c>
      <c r="AA28" s="89"/>
      <c r="AB28" s="89"/>
      <c r="AC28" s="89"/>
      <c r="AD28" s="89"/>
      <c r="AE28" s="89"/>
      <c r="AF28" s="90"/>
      <c r="AG28" s="88">
        <v>0.15</v>
      </c>
      <c r="AH28" s="89"/>
      <c r="AI28" s="89"/>
      <c r="AJ28" s="89"/>
      <c r="AK28" s="89"/>
      <c r="AL28" s="89"/>
      <c r="AM28" s="90"/>
      <c r="AN28" s="88">
        <v>0.2</v>
      </c>
      <c r="AO28" s="89"/>
      <c r="AP28" s="89"/>
      <c r="AQ28" s="89"/>
      <c r="AR28" s="89"/>
      <c r="AS28" s="89"/>
      <c r="AT28" s="90"/>
      <c r="AU28" s="201"/>
      <c r="AV28" s="48"/>
      <c r="AW28" s="48"/>
      <c r="AX28" s="202"/>
      <c r="AY28" s="200" t="s">
        <v>355</v>
      </c>
      <c r="AZ28" s="48"/>
      <c r="BA28" s="48"/>
      <c r="BB28" s="48"/>
      <c r="BC28" s="47" t="s">
        <v>146</v>
      </c>
      <c r="BD28" s="48"/>
      <c r="BE28" s="48"/>
      <c r="BF28" s="48"/>
      <c r="BH28" s="36">
        <v>0</v>
      </c>
      <c r="BI28" s="36">
        <v>21</v>
      </c>
    </row>
    <row r="29" spans="1:68" ht="58" x14ac:dyDescent="0.35">
      <c r="A29" s="18" t="s">
        <v>108</v>
      </c>
      <c r="B29" s="18" t="s">
        <v>147</v>
      </c>
      <c r="C29" s="18" t="s">
        <v>148</v>
      </c>
      <c r="D29" s="18" t="s">
        <v>149</v>
      </c>
      <c r="E29" s="18" t="s">
        <v>203</v>
      </c>
      <c r="F29" s="18" t="s">
        <v>204</v>
      </c>
      <c r="G29" s="18" t="s">
        <v>417</v>
      </c>
      <c r="H29" s="18" t="s">
        <v>332</v>
      </c>
      <c r="I29" s="18" t="s">
        <v>333</v>
      </c>
      <c r="J29" s="18" t="s">
        <v>150</v>
      </c>
      <c r="K29" s="18" t="s">
        <v>151</v>
      </c>
      <c r="L29" s="18" t="s">
        <v>152</v>
      </c>
      <c r="N29" s="74" t="s">
        <v>108</v>
      </c>
      <c r="O29" s="29">
        <v>0.05</v>
      </c>
      <c r="P29" s="29">
        <v>0.1</v>
      </c>
      <c r="Q29" s="29">
        <v>0.15</v>
      </c>
      <c r="R29" s="80">
        <v>0.2</v>
      </c>
      <c r="S29" s="83" t="s">
        <v>206</v>
      </c>
      <c r="T29" s="74" t="s">
        <v>207</v>
      </c>
      <c r="U29" s="74" t="s">
        <v>208</v>
      </c>
      <c r="V29" s="225" t="s">
        <v>418</v>
      </c>
      <c r="W29" s="74" t="s">
        <v>209</v>
      </c>
      <c r="X29" s="74" t="s">
        <v>210</v>
      </c>
      <c r="Y29" s="91" t="s">
        <v>213</v>
      </c>
      <c r="Z29" s="83" t="s">
        <v>206</v>
      </c>
      <c r="AA29" s="74" t="s">
        <v>207</v>
      </c>
      <c r="AB29" s="74" t="s">
        <v>208</v>
      </c>
      <c r="AC29" s="225" t="s">
        <v>418</v>
      </c>
      <c r="AD29" s="74" t="s">
        <v>209</v>
      </c>
      <c r="AE29" s="74" t="s">
        <v>210</v>
      </c>
      <c r="AF29" s="91" t="s">
        <v>213</v>
      </c>
      <c r="AG29" s="83" t="s">
        <v>206</v>
      </c>
      <c r="AH29" s="74" t="s">
        <v>207</v>
      </c>
      <c r="AI29" s="74" t="s">
        <v>208</v>
      </c>
      <c r="AJ29" s="225" t="s">
        <v>418</v>
      </c>
      <c r="AK29" s="74" t="s">
        <v>209</v>
      </c>
      <c r="AL29" s="74" t="s">
        <v>210</v>
      </c>
      <c r="AM29" s="91" t="s">
        <v>213</v>
      </c>
      <c r="AN29" s="83" t="s">
        <v>206</v>
      </c>
      <c r="AO29" s="74" t="s">
        <v>207</v>
      </c>
      <c r="AP29" s="74" t="s">
        <v>208</v>
      </c>
      <c r="AQ29" s="225" t="s">
        <v>418</v>
      </c>
      <c r="AR29" s="74" t="s">
        <v>209</v>
      </c>
      <c r="AS29" s="74" t="s">
        <v>210</v>
      </c>
      <c r="AT29" s="91" t="s">
        <v>213</v>
      </c>
      <c r="AU29" s="29" t="s">
        <v>442</v>
      </c>
      <c r="AV29" s="22" t="s">
        <v>211</v>
      </c>
      <c r="AW29" s="22" t="s">
        <v>212</v>
      </c>
      <c r="AX29" s="203" t="s">
        <v>443</v>
      </c>
      <c r="AY29" s="78" t="s">
        <v>442</v>
      </c>
      <c r="AZ29" s="22" t="s">
        <v>211</v>
      </c>
      <c r="BA29" s="22" t="s">
        <v>212</v>
      </c>
      <c r="BB29" s="22" t="s">
        <v>443</v>
      </c>
      <c r="BC29" s="78" t="s">
        <v>442</v>
      </c>
      <c r="BD29" s="22" t="s">
        <v>211</v>
      </c>
      <c r="BE29" s="22" t="s">
        <v>212</v>
      </c>
      <c r="BF29" s="22" t="s">
        <v>443</v>
      </c>
      <c r="BG29" s="35" t="s">
        <v>135</v>
      </c>
      <c r="BH29" s="34">
        <v>4</v>
      </c>
      <c r="BI29" s="36">
        <f>BH29</f>
        <v>4</v>
      </c>
      <c r="BL29" s="14" t="s">
        <v>216</v>
      </c>
      <c r="BM29" s="14" t="s">
        <v>217</v>
      </c>
      <c r="BN29" s="14" t="s">
        <v>218</v>
      </c>
      <c r="BO29" s="14" t="s">
        <v>219</v>
      </c>
      <c r="BP29" s="14" t="s">
        <v>419</v>
      </c>
    </row>
    <row r="30" spans="1:68" x14ac:dyDescent="0.35">
      <c r="A30" s="15">
        <v>0</v>
      </c>
      <c r="B30" s="15">
        <v>0</v>
      </c>
      <c r="C30" s="14">
        <v>0</v>
      </c>
      <c r="D30" s="14">
        <v>0</v>
      </c>
      <c r="E30" s="14">
        <v>0</v>
      </c>
      <c r="F30" s="14">
        <v>0</v>
      </c>
      <c r="G30" s="17">
        <v>0</v>
      </c>
      <c r="H30" s="15">
        <v>0</v>
      </c>
      <c r="I30" s="21">
        <f>S4</f>
        <v>33594902.4440751</v>
      </c>
      <c r="J30" s="21">
        <f>B30-H30-I30-E30-F30-G30</f>
        <v>-33594902.4440751</v>
      </c>
      <c r="K30" s="21">
        <f>C30-H30-I30-E30-F30-G30</f>
        <v>-33594902.4440751</v>
      </c>
      <c r="L30" s="21">
        <f>D30-H30-I30-E30-F30-G30</f>
        <v>-33594902.4440751</v>
      </c>
      <c r="N30" s="15">
        <v>0</v>
      </c>
      <c r="O30" s="30">
        <f t="shared" ref="O30:O51" si="16">1/((1+$O$29)^N30)</f>
        <v>1</v>
      </c>
      <c r="P30" s="30">
        <f t="shared" ref="P30:P51" si="17">1/((1+$P$29)^N30)</f>
        <v>1</v>
      </c>
      <c r="Q30" s="30">
        <f t="shared" ref="Q30:Q51" si="18">1/((1+$Q$29)^N30)</f>
        <v>1</v>
      </c>
      <c r="R30" s="81">
        <f t="shared" ref="R30:R51" si="19">1/((1+$R$29)^N30)</f>
        <v>1</v>
      </c>
      <c r="S30" s="84">
        <f t="shared" ref="S30:S51" si="20">B30*$O30</f>
        <v>0</v>
      </c>
      <c r="T30" s="87">
        <f>E30*$O30</f>
        <v>0</v>
      </c>
      <c r="U30" s="87">
        <f>F30*$O30</f>
        <v>0</v>
      </c>
      <c r="V30" s="87">
        <f>G30*$O30</f>
        <v>0</v>
      </c>
      <c r="W30" s="87">
        <f>H30*$O30</f>
        <v>0</v>
      </c>
      <c r="X30" s="87">
        <f>I30*$O30</f>
        <v>33594902.4440751</v>
      </c>
      <c r="Y30" s="86">
        <f>T30+U30+W30+X30+V30</f>
        <v>33594902.4440751</v>
      </c>
      <c r="Z30" s="84">
        <f t="shared" ref="Z30:Z51" si="21">B30*$P30</f>
        <v>0</v>
      </c>
      <c r="AA30" s="87">
        <f>E30*$P30</f>
        <v>0</v>
      </c>
      <c r="AB30" s="87">
        <f>F30*$P30</f>
        <v>0</v>
      </c>
      <c r="AC30" s="87">
        <f>G30*$P30</f>
        <v>0</v>
      </c>
      <c r="AD30" s="87">
        <f>H30*$P30</f>
        <v>0</v>
      </c>
      <c r="AE30" s="87">
        <f>I30*$P30</f>
        <v>33594902.4440751</v>
      </c>
      <c r="AF30" s="86">
        <f>AA30+AB30+AD30+AE30+AC30</f>
        <v>33594902.4440751</v>
      </c>
      <c r="AG30" s="84">
        <f t="shared" ref="AG30:AG51" si="22">B30*$Q30</f>
        <v>0</v>
      </c>
      <c r="AH30" s="87">
        <f>E30*$Q30</f>
        <v>0</v>
      </c>
      <c r="AI30" s="87">
        <f>F30*$Q30</f>
        <v>0</v>
      </c>
      <c r="AJ30" s="87">
        <f>G30*$Q30</f>
        <v>0</v>
      </c>
      <c r="AK30" s="87">
        <f>H30*$Q30</f>
        <v>0</v>
      </c>
      <c r="AL30" s="87">
        <f>I30*$Q30</f>
        <v>33594902.4440751</v>
      </c>
      <c r="AM30" s="86">
        <f>AH30+AI30+AK30+AL30+AJ30</f>
        <v>33594902.4440751</v>
      </c>
      <c r="AN30" s="84">
        <f t="shared" ref="AN30:AN51" si="23">B30*$R30</f>
        <v>0</v>
      </c>
      <c r="AO30" s="87">
        <f>E30*$R30</f>
        <v>0</v>
      </c>
      <c r="AP30" s="87">
        <f>F30*$R30</f>
        <v>0</v>
      </c>
      <c r="AQ30" s="87">
        <f>G30*$R30</f>
        <v>0</v>
      </c>
      <c r="AR30" s="87">
        <f>H30*$R30</f>
        <v>0</v>
      </c>
      <c r="AS30" s="87">
        <f>I30*$R30</f>
        <v>33594902.4440751</v>
      </c>
      <c r="AT30" s="86">
        <f>AO30+AP30+AR30+AS30+AQ30</f>
        <v>33594902.4440751</v>
      </c>
      <c r="AU30" s="33">
        <f t="shared" ref="AU30:AU51" si="24">S30-Y30</f>
        <v>-33594902.4440751</v>
      </c>
      <c r="AV30" s="79">
        <f t="shared" ref="AV30:AV51" si="25">Z30-AF30</f>
        <v>-33594902.4440751</v>
      </c>
      <c r="AW30" s="79">
        <f t="shared" ref="AW30:AW51" si="26">AG30-AM30</f>
        <v>-33594902.4440751</v>
      </c>
      <c r="AX30" s="204">
        <f t="shared" ref="AX30:AX51" si="27">AN30-AT30</f>
        <v>-33594902.4440751</v>
      </c>
      <c r="AY30" s="79">
        <f>AU30</f>
        <v>-33594902.4440751</v>
      </c>
      <c r="AZ30" s="33">
        <f>AV30</f>
        <v>-33594902.4440751</v>
      </c>
      <c r="BA30" s="33">
        <f>AW30</f>
        <v>-33594902.4440751</v>
      </c>
      <c r="BB30" s="33">
        <f>AX30</f>
        <v>-33594902.4440751</v>
      </c>
      <c r="BC30" s="33">
        <v>0</v>
      </c>
      <c r="BD30" s="21">
        <v>0</v>
      </c>
      <c r="BE30" s="21">
        <v>0</v>
      </c>
      <c r="BF30" s="21">
        <v>0</v>
      </c>
    </row>
    <row r="31" spans="1:68" x14ac:dyDescent="0.35">
      <c r="A31" s="15">
        <v>1</v>
      </c>
      <c r="B31" s="21">
        <f t="shared" ref="B31:B51" si="28">G5</f>
        <v>43966500.540621832</v>
      </c>
      <c r="C31" s="21">
        <f t="shared" ref="C31:C51" si="29">H5</f>
        <v>43966500.540621832</v>
      </c>
      <c r="D31" s="21">
        <f t="shared" ref="D31:D51" si="30">I5</f>
        <v>43966500.540621832</v>
      </c>
      <c r="E31" s="21">
        <f>(C5*1000*$L$62)</f>
        <v>1962790.2027063316</v>
      </c>
      <c r="F31" s="233">
        <f t="shared" ref="F31:F51" si="31">(N5*1000*$L$61)</f>
        <v>2815878.7309665722</v>
      </c>
      <c r="G31" s="17">
        <f>(O5*$L$63)</f>
        <v>0</v>
      </c>
      <c r="H31" s="21">
        <f t="shared" ref="H31:H51" si="32">Q5</f>
        <v>719660.13703682949</v>
      </c>
      <c r="I31" s="15">
        <v>0</v>
      </c>
      <c r="J31" s="21">
        <f t="shared" ref="J31:J51" si="33">B31-H31-I31-E31-F31-G31</f>
        <v>38468171.469912097</v>
      </c>
      <c r="K31" s="21">
        <f t="shared" ref="K31:K51" si="34">C31-H31-I31-E31-F31-G31</f>
        <v>38468171.469912097</v>
      </c>
      <c r="L31" s="21">
        <f t="shared" ref="L31:L51" si="35">D31-H31-I31-E31-F31-G31</f>
        <v>38468171.469912097</v>
      </c>
      <c r="N31" s="15">
        <v>1</v>
      </c>
      <c r="O31" s="31">
        <f t="shared" si="16"/>
        <v>0.95238095238095233</v>
      </c>
      <c r="P31" s="31">
        <f t="shared" si="17"/>
        <v>0.90909090909090906</v>
      </c>
      <c r="Q31" s="31">
        <f t="shared" si="18"/>
        <v>0.86956521739130443</v>
      </c>
      <c r="R31" s="82">
        <f t="shared" si="19"/>
        <v>0.83333333333333337</v>
      </c>
      <c r="S31" s="84">
        <f t="shared" si="20"/>
        <v>41872857.657735072</v>
      </c>
      <c r="T31" s="87">
        <f t="shared" ref="T31:T51" si="36">E31*$O31</f>
        <v>1869324.0025774585</v>
      </c>
      <c r="U31" s="87">
        <f t="shared" ref="U31:U51" si="37">F31*$O31</f>
        <v>2681789.2675872114</v>
      </c>
      <c r="V31" s="87">
        <f t="shared" ref="V31:V51" si="38">G31*$O31</f>
        <v>0</v>
      </c>
      <c r="W31" s="87">
        <f t="shared" ref="W31:W51" si="39">H31*$O31</f>
        <v>685390.60670174228</v>
      </c>
      <c r="X31" s="87">
        <f t="shared" ref="X31:X51" si="40">I31*$O31</f>
        <v>0</v>
      </c>
      <c r="Y31" s="86">
        <f t="shared" ref="Y31:Y51" si="41">T31+U31+W31+X31+V31</f>
        <v>5236503.8768664123</v>
      </c>
      <c r="Z31" s="84">
        <f t="shared" si="21"/>
        <v>39969545.946019843</v>
      </c>
      <c r="AA31" s="87">
        <f t="shared" ref="AA31:AA51" si="42">E31*$P31</f>
        <v>1784354.7297330287</v>
      </c>
      <c r="AB31" s="87">
        <f t="shared" ref="AB31:AB51" si="43">F31*$P31</f>
        <v>2559889.7554241563</v>
      </c>
      <c r="AC31" s="87">
        <f t="shared" ref="AC31:AC51" si="44">G31*$P31</f>
        <v>0</v>
      </c>
      <c r="AD31" s="87">
        <f t="shared" ref="AD31:AD51" si="45">H31*$P31</f>
        <v>654236.48821529956</v>
      </c>
      <c r="AE31" s="87">
        <f t="shared" ref="AE31:AE51" si="46">I31*$P31</f>
        <v>0</v>
      </c>
      <c r="AF31" s="86">
        <f t="shared" ref="AF31:AF51" si="47">AA31+AB31+AD31+AE31+AC31</f>
        <v>4998480.9733724846</v>
      </c>
      <c r="AG31" s="84">
        <f t="shared" si="22"/>
        <v>38231739.600540727</v>
      </c>
      <c r="AH31" s="87">
        <f t="shared" ref="AH31:AH51" si="48">E31*$Q31</f>
        <v>1706774.0893098537</v>
      </c>
      <c r="AI31" s="87">
        <f t="shared" ref="AI31:AI51" si="49">F31*$Q31</f>
        <v>2448590.2008404979</v>
      </c>
      <c r="AJ31" s="87">
        <f t="shared" ref="AJ31:AJ52" si="50">G31*$Q31</f>
        <v>0</v>
      </c>
      <c r="AK31" s="87">
        <f t="shared" ref="AK31:AK51" si="51">H31*$Q31</f>
        <v>625791.42351028661</v>
      </c>
      <c r="AL31" s="87">
        <f t="shared" ref="AL31:AL51" si="52">I31*$Q31</f>
        <v>0</v>
      </c>
      <c r="AM31" s="86">
        <f t="shared" ref="AM31:AM51" si="53">AH31+AI31+AK31+AL31+AJ31</f>
        <v>4781155.7136606388</v>
      </c>
      <c r="AN31" s="84">
        <f t="shared" si="23"/>
        <v>36638750.450518198</v>
      </c>
      <c r="AO31" s="87">
        <f t="shared" ref="AO31:AO51" si="54">E31*$R31</f>
        <v>1635658.5022552763</v>
      </c>
      <c r="AP31" s="87">
        <f t="shared" ref="AP31:AP51" si="55">F31*$R31</f>
        <v>2346565.6091388101</v>
      </c>
      <c r="AQ31" s="87">
        <f t="shared" ref="AQ31:AQ52" si="56">G31*$R31</f>
        <v>0</v>
      </c>
      <c r="AR31" s="87">
        <f t="shared" ref="AR31:AR51" si="57">H31*$R31</f>
        <v>599716.78086402465</v>
      </c>
      <c r="AS31" s="87">
        <f t="shared" ref="AS31:AS51" si="58">I31*$R31</f>
        <v>0</v>
      </c>
      <c r="AT31" s="86">
        <f t="shared" ref="AT31:AT52" si="59">AO31+AP31+AR31+AS31+AQ31</f>
        <v>4581940.8922581114</v>
      </c>
      <c r="AU31" s="33">
        <f t="shared" si="24"/>
        <v>36636353.780868657</v>
      </c>
      <c r="AV31" s="79">
        <f t="shared" si="25"/>
        <v>34971064.972647361</v>
      </c>
      <c r="AW31" s="79">
        <f t="shared" si="26"/>
        <v>33450583.886880089</v>
      </c>
      <c r="AX31" s="204">
        <f t="shared" si="27"/>
        <v>32056809.558260087</v>
      </c>
      <c r="AY31" s="79">
        <f>AU31+AY30</f>
        <v>3041451.3367935568</v>
      </c>
      <c r="AZ31" s="21">
        <f>AV31+AZ30</f>
        <v>1376162.5285722613</v>
      </c>
      <c r="BA31" s="21">
        <f>AW31+BA30</f>
        <v>-144318.55719501153</v>
      </c>
      <c r="BB31" s="21">
        <f>AX31+BB30</f>
        <v>-1538092.8858150132</v>
      </c>
      <c r="BC31" s="33">
        <f t="shared" ref="BC31:BC51" si="60">AU31/(C5*1000)</f>
        <v>46.663614035715291</v>
      </c>
      <c r="BD31" s="33">
        <f t="shared" ref="BD31:BD51" si="61">AV31/(C5*1000)</f>
        <v>44.542540670455516</v>
      </c>
      <c r="BE31" s="33">
        <f t="shared" ref="BE31:BE51" si="62">AW31/(C5*1000)</f>
        <v>42.60590846739224</v>
      </c>
      <c r="BF31" s="33">
        <f t="shared" ref="BF31:BF51" si="63">AX31/(C5*1000)</f>
        <v>40.830662281250895</v>
      </c>
      <c r="BM31" s="14">
        <f>AA31/$AF31</f>
        <v>0.35697939818887042</v>
      </c>
      <c r="BN31" s="14">
        <f>AB31/$AF31</f>
        <v>0.51213353998164646</v>
      </c>
      <c r="BO31" s="14">
        <f>AD31/$AF31</f>
        <v>0.13088706182948315</v>
      </c>
      <c r="BP31" s="14">
        <f>AC31/$AF31</f>
        <v>0</v>
      </c>
    </row>
    <row r="32" spans="1:68" x14ac:dyDescent="0.35">
      <c r="A32" s="15">
        <v>2</v>
      </c>
      <c r="B32" s="21">
        <f t="shared" si="28"/>
        <v>18907668.405686043</v>
      </c>
      <c r="C32" s="21">
        <f t="shared" si="29"/>
        <v>18296335.016125757</v>
      </c>
      <c r="D32" s="21">
        <f t="shared" si="30"/>
        <v>17816001.638614103</v>
      </c>
      <c r="E32" s="21">
        <f t="shared" ref="E32:E51" si="64">(C6*1000*$L$62)</f>
        <v>764166.73695035977</v>
      </c>
      <c r="F32" s="233">
        <f t="shared" si="31"/>
        <v>2928235.487327999</v>
      </c>
      <c r="G32" s="17">
        <f t="shared" ref="G32:G51" si="65">(O6*$L$63)</f>
        <v>0</v>
      </c>
      <c r="H32" s="21">
        <f t="shared" si="32"/>
        <v>527167.45628413698</v>
      </c>
      <c r="I32" s="15">
        <v>0</v>
      </c>
      <c r="J32" s="21">
        <f t="shared" si="33"/>
        <v>14688098.725123549</v>
      </c>
      <c r="K32" s="21">
        <f t="shared" si="34"/>
        <v>14076765.335563263</v>
      </c>
      <c r="L32" s="21">
        <f t="shared" si="35"/>
        <v>13596431.958051609</v>
      </c>
      <c r="N32" s="15">
        <v>2</v>
      </c>
      <c r="O32" s="31">
        <f t="shared" si="16"/>
        <v>0.90702947845804982</v>
      </c>
      <c r="P32" s="31">
        <f t="shared" si="17"/>
        <v>0.82644628099173545</v>
      </c>
      <c r="Q32" s="31">
        <f t="shared" si="18"/>
        <v>0.7561436672967865</v>
      </c>
      <c r="R32" s="82">
        <f t="shared" si="19"/>
        <v>0.69444444444444442</v>
      </c>
      <c r="S32" s="84">
        <f t="shared" si="20"/>
        <v>17149812.612867158</v>
      </c>
      <c r="T32" s="87">
        <f t="shared" si="36"/>
        <v>693121.75687107455</v>
      </c>
      <c r="U32" s="87">
        <f t="shared" si="37"/>
        <v>2655995.9068734683</v>
      </c>
      <c r="V32" s="87">
        <f t="shared" si="38"/>
        <v>0</v>
      </c>
      <c r="W32" s="87">
        <f t="shared" si="39"/>
        <v>478156.42293345754</v>
      </c>
      <c r="X32" s="87">
        <f t="shared" si="40"/>
        <v>0</v>
      </c>
      <c r="Y32" s="86">
        <f t="shared" si="41"/>
        <v>3827274.0866780002</v>
      </c>
      <c r="Z32" s="84">
        <f t="shared" si="21"/>
        <v>15626172.236104166</v>
      </c>
      <c r="AA32" s="87">
        <f t="shared" si="42"/>
        <v>631542.75781021465</v>
      </c>
      <c r="AB32" s="87">
        <f t="shared" si="43"/>
        <v>2420029.328370247</v>
      </c>
      <c r="AC32" s="87">
        <f t="shared" si="44"/>
        <v>0</v>
      </c>
      <c r="AD32" s="87">
        <f t="shared" si="45"/>
        <v>435675.58370589826</v>
      </c>
      <c r="AE32" s="87">
        <f t="shared" si="46"/>
        <v>0</v>
      </c>
      <c r="AF32" s="86">
        <f t="shared" si="47"/>
        <v>3487247.6698863599</v>
      </c>
      <c r="AG32" s="84">
        <f t="shared" si="22"/>
        <v>14296913.728307029</v>
      </c>
      <c r="AH32" s="87">
        <f t="shared" si="48"/>
        <v>577819.8389038638</v>
      </c>
      <c r="AI32" s="87">
        <f t="shared" si="49"/>
        <v>2214166.720096786</v>
      </c>
      <c r="AJ32" s="87">
        <f t="shared" si="50"/>
        <v>0</v>
      </c>
      <c r="AK32" s="87">
        <f t="shared" si="51"/>
        <v>398614.3336742057</v>
      </c>
      <c r="AL32" s="87">
        <f t="shared" si="52"/>
        <v>0</v>
      </c>
      <c r="AM32" s="86">
        <f t="shared" si="53"/>
        <v>3190600.8926748559</v>
      </c>
      <c r="AN32" s="84">
        <f t="shared" si="23"/>
        <v>13130325.281726418</v>
      </c>
      <c r="AO32" s="87">
        <f t="shared" si="54"/>
        <v>530671.34510441648</v>
      </c>
      <c r="AP32" s="87">
        <f t="shared" si="55"/>
        <v>2033496.8661999991</v>
      </c>
      <c r="AQ32" s="87">
        <f t="shared" si="56"/>
        <v>0</v>
      </c>
      <c r="AR32" s="87">
        <f t="shared" si="57"/>
        <v>366088.51130842842</v>
      </c>
      <c r="AS32" s="87">
        <f t="shared" si="58"/>
        <v>0</v>
      </c>
      <c r="AT32" s="86">
        <f t="shared" si="59"/>
        <v>2930256.7226128438</v>
      </c>
      <c r="AU32" s="33">
        <f t="shared" si="24"/>
        <v>13322538.526189158</v>
      </c>
      <c r="AV32" s="79">
        <f t="shared" si="25"/>
        <v>12138924.566217806</v>
      </c>
      <c r="AW32" s="79">
        <f t="shared" si="26"/>
        <v>11106312.835632173</v>
      </c>
      <c r="AX32" s="204">
        <f t="shared" si="27"/>
        <v>10200068.559113573</v>
      </c>
      <c r="AY32" s="79">
        <f>MAX(0,AU32)+AY31</f>
        <v>16363989.862982715</v>
      </c>
      <c r="AZ32" s="79">
        <f>MAX(0,AV32)+AZ31</f>
        <v>13515087.094790068</v>
      </c>
      <c r="BA32" s="79">
        <f t="shared" ref="BA32:BB47" si="66">MAX(0,AW32)+BA31</f>
        <v>10961994.278437162</v>
      </c>
      <c r="BB32" s="79">
        <f t="shared" si="66"/>
        <v>8661975.6732985601</v>
      </c>
      <c r="BC32" s="33">
        <f t="shared" si="60"/>
        <v>43.585182009350497</v>
      </c>
      <c r="BD32" s="33">
        <f t="shared" si="61"/>
        <v>39.712944764718117</v>
      </c>
      <c r="BE32" s="33">
        <f t="shared" si="62"/>
        <v>36.334716949193897</v>
      </c>
      <c r="BF32" s="33">
        <f t="shared" si="63"/>
        <v>33.369904975908973</v>
      </c>
      <c r="BM32" s="14">
        <f t="shared" ref="BM32:BM51" si="67">AA32/$AF32</f>
        <v>0.18110063224468223</v>
      </c>
      <c r="BN32" s="14">
        <f t="shared" ref="BN32:BN51" si="68">AB32/$AF32</f>
        <v>0.69396542989133581</v>
      </c>
      <c r="BO32" s="14">
        <f t="shared" ref="BO32:BO51" si="69">AD32/$AF32</f>
        <v>0.12493393786398192</v>
      </c>
      <c r="BP32" s="14">
        <f t="shared" ref="BP32:BP51" si="70">AC32/$AF32</f>
        <v>0</v>
      </c>
    </row>
    <row r="33" spans="1:68" x14ac:dyDescent="0.35">
      <c r="A33" s="15">
        <v>3</v>
      </c>
      <c r="B33" s="21">
        <f t="shared" si="28"/>
        <v>11480006.103102976</v>
      </c>
      <c r="C33" s="21">
        <f t="shared" si="29"/>
        <v>10801862.282666514</v>
      </c>
      <c r="D33" s="21">
        <f t="shared" si="30"/>
        <v>10269034.995180722</v>
      </c>
      <c r="E33" s="21">
        <f t="shared" si="64"/>
        <v>423839.88777278922</v>
      </c>
      <c r="F33" s="233">
        <f t="shared" si="31"/>
        <v>2928239.4876497029</v>
      </c>
      <c r="G33" s="17">
        <f t="shared" si="65"/>
        <v>125493.30000000002</v>
      </c>
      <c r="H33" s="21">
        <f t="shared" si="32"/>
        <v>468706.6463257139</v>
      </c>
      <c r="I33" s="15">
        <v>0</v>
      </c>
      <c r="J33" s="21">
        <f t="shared" si="33"/>
        <v>7533726.781354771</v>
      </c>
      <c r="K33" s="21">
        <f t="shared" si="34"/>
        <v>6855582.9609183082</v>
      </c>
      <c r="L33" s="21">
        <f t="shared" si="35"/>
        <v>6322755.6734325169</v>
      </c>
      <c r="N33" s="15">
        <v>3</v>
      </c>
      <c r="O33" s="31">
        <f t="shared" si="16"/>
        <v>0.86383759853147601</v>
      </c>
      <c r="P33" s="31">
        <f t="shared" si="17"/>
        <v>0.75131480090157754</v>
      </c>
      <c r="Q33" s="31">
        <f t="shared" si="18"/>
        <v>0.65751623243198831</v>
      </c>
      <c r="R33" s="82">
        <f t="shared" si="19"/>
        <v>0.57870370370370372</v>
      </c>
      <c r="S33" s="84">
        <f t="shared" si="20"/>
        <v>9916860.9032311626</v>
      </c>
      <c r="T33" s="87">
        <f t="shared" si="36"/>
        <v>366128.83081549656</v>
      </c>
      <c r="U33" s="87">
        <f t="shared" si="37"/>
        <v>2529523.3669363591</v>
      </c>
      <c r="V33" s="87">
        <f t="shared" si="38"/>
        <v>108405.83090379009</v>
      </c>
      <c r="W33" s="87">
        <f t="shared" si="39"/>
        <v>404886.42377774656</v>
      </c>
      <c r="X33" s="87">
        <f t="shared" si="40"/>
        <v>0</v>
      </c>
      <c r="Y33" s="86">
        <f t="shared" si="41"/>
        <v>3408944.4524333919</v>
      </c>
      <c r="Z33" s="84">
        <f t="shared" si="21"/>
        <v>8625098.4997017086</v>
      </c>
      <c r="AA33" s="87">
        <f t="shared" si="42"/>
        <v>318437.18089616008</v>
      </c>
      <c r="AB33" s="87">
        <f t="shared" si="43"/>
        <v>2200029.6676556738</v>
      </c>
      <c r="AC33" s="87">
        <f t="shared" si="44"/>
        <v>94284.973703981959</v>
      </c>
      <c r="AD33" s="87">
        <f t="shared" si="45"/>
        <v>352146.24066544988</v>
      </c>
      <c r="AE33" s="87">
        <f t="shared" si="46"/>
        <v>0</v>
      </c>
      <c r="AF33" s="86">
        <f t="shared" si="47"/>
        <v>2964898.0629212656</v>
      </c>
      <c r="AG33" s="84">
        <f t="shared" si="22"/>
        <v>7548290.3612085013</v>
      </c>
      <c r="AH33" s="87">
        <f t="shared" si="48"/>
        <v>278681.60616276111</v>
      </c>
      <c r="AI33" s="87">
        <f t="shared" si="49"/>
        <v>1925364.9955780085</v>
      </c>
      <c r="AJ33" s="87">
        <f t="shared" si="50"/>
        <v>82513.88181145725</v>
      </c>
      <c r="AK33" s="87">
        <f t="shared" si="51"/>
        <v>308182.22820791585</v>
      </c>
      <c r="AL33" s="87">
        <f t="shared" si="52"/>
        <v>0</v>
      </c>
      <c r="AM33" s="86">
        <f t="shared" si="53"/>
        <v>2594742.7117601428</v>
      </c>
      <c r="AN33" s="84">
        <f t="shared" si="23"/>
        <v>6643522.0504068155</v>
      </c>
      <c r="AO33" s="87">
        <f t="shared" si="54"/>
        <v>245277.71283147525</v>
      </c>
      <c r="AP33" s="87">
        <f t="shared" si="55"/>
        <v>1694583.0368343189</v>
      </c>
      <c r="AQ33" s="87">
        <f t="shared" si="56"/>
        <v>72623.437500000015</v>
      </c>
      <c r="AR33" s="87">
        <f t="shared" si="57"/>
        <v>271242.27217923256</v>
      </c>
      <c r="AS33" s="87">
        <f t="shared" si="58"/>
        <v>0</v>
      </c>
      <c r="AT33" s="86">
        <f t="shared" si="59"/>
        <v>2283726.4593450269</v>
      </c>
      <c r="AU33" s="33">
        <f t="shared" si="24"/>
        <v>6507916.4507977702</v>
      </c>
      <c r="AV33" s="79">
        <f t="shared" si="25"/>
        <v>5660200.4367804434</v>
      </c>
      <c r="AW33" s="79">
        <f t="shared" si="26"/>
        <v>4953547.6494483585</v>
      </c>
      <c r="AX33" s="204">
        <f t="shared" si="27"/>
        <v>4359795.5910617886</v>
      </c>
      <c r="AY33" s="79">
        <f t="shared" ref="AY33:AY51" si="71">MAX(0,AU33)+AY32</f>
        <v>22871906.313780487</v>
      </c>
      <c r="AZ33" s="79">
        <f t="shared" ref="AZ33:BB51" si="72">MAX(0,AV33)+AZ32</f>
        <v>19175287.531570509</v>
      </c>
      <c r="BA33" s="79">
        <f t="shared" si="66"/>
        <v>15915541.927885521</v>
      </c>
      <c r="BB33" s="79">
        <f t="shared" si="66"/>
        <v>13021771.26436035</v>
      </c>
      <c r="BC33" s="33">
        <f t="shared" si="60"/>
        <v>38.386644571112868</v>
      </c>
      <c r="BD33" s="33">
        <f t="shared" si="61"/>
        <v>33.386430820161188</v>
      </c>
      <c r="BE33" s="33">
        <f t="shared" si="62"/>
        <v>29.218271995814614</v>
      </c>
      <c r="BF33" s="33">
        <f t="shared" si="63"/>
        <v>25.716052906038509</v>
      </c>
      <c r="BM33" s="14">
        <f t="shared" si="67"/>
        <v>0.10740240444638056</v>
      </c>
      <c r="BN33" s="14">
        <f t="shared" si="68"/>
        <v>0.74202539883884588</v>
      </c>
      <c r="BO33" s="14">
        <f t="shared" si="69"/>
        <v>0.11877178681768437</v>
      </c>
      <c r="BP33" s="14">
        <f t="shared" si="70"/>
        <v>3.1800409897089182E-2</v>
      </c>
    </row>
    <row r="34" spans="1:68" x14ac:dyDescent="0.35">
      <c r="A34" s="15">
        <v>4</v>
      </c>
      <c r="B34" s="21">
        <f t="shared" si="28"/>
        <v>23610345.498438198</v>
      </c>
      <c r="C34" s="21">
        <f t="shared" si="29"/>
        <v>21684841.593711197</v>
      </c>
      <c r="D34" s="21">
        <f t="shared" si="30"/>
        <v>20171945.668568555</v>
      </c>
      <c r="E34" s="21">
        <f t="shared" si="64"/>
        <v>802293.29363624938</v>
      </c>
      <c r="F34" s="233">
        <f t="shared" si="31"/>
        <v>2731848.2222579084</v>
      </c>
      <c r="G34" s="17">
        <f t="shared" si="65"/>
        <v>807463.44000000018</v>
      </c>
      <c r="H34" s="21">
        <f t="shared" si="32"/>
        <v>479980.71417775017</v>
      </c>
      <c r="I34" s="15">
        <v>0</v>
      </c>
      <c r="J34" s="21">
        <f t="shared" si="33"/>
        <v>18788759.828366287</v>
      </c>
      <c r="K34" s="21">
        <f t="shared" si="34"/>
        <v>16863255.92363929</v>
      </c>
      <c r="L34" s="21">
        <f t="shared" si="35"/>
        <v>15350359.998496646</v>
      </c>
      <c r="N34" s="15">
        <v>4</v>
      </c>
      <c r="O34" s="31">
        <f t="shared" si="16"/>
        <v>0.82270247479188197</v>
      </c>
      <c r="P34" s="31">
        <f t="shared" si="17"/>
        <v>0.68301345536507052</v>
      </c>
      <c r="Q34" s="31">
        <f t="shared" si="18"/>
        <v>0.57175324559303342</v>
      </c>
      <c r="R34" s="82">
        <f t="shared" si="19"/>
        <v>0.48225308641975312</v>
      </c>
      <c r="S34" s="84">
        <f t="shared" si="20"/>
        <v>19424289.672256477</v>
      </c>
      <c r="T34" s="87">
        <f t="shared" si="36"/>
        <v>660048.67818347237</v>
      </c>
      <c r="U34" s="87">
        <f t="shared" si="37"/>
        <v>2247498.2932073846</v>
      </c>
      <c r="V34" s="87">
        <f t="shared" si="38"/>
        <v>664302.17039196647</v>
      </c>
      <c r="W34" s="87">
        <f t="shared" si="39"/>
        <v>394881.32140641002</v>
      </c>
      <c r="X34" s="87">
        <f t="shared" si="40"/>
        <v>0</v>
      </c>
      <c r="Y34" s="86">
        <f t="shared" si="41"/>
        <v>3966730.4631892336</v>
      </c>
      <c r="Z34" s="84">
        <f t="shared" si="21"/>
        <v>16126183.661251413</v>
      </c>
      <c r="AA34" s="87">
        <f t="shared" si="42"/>
        <v>547977.11470271787</v>
      </c>
      <c r="AB34" s="87">
        <f t="shared" si="43"/>
        <v>1865889.0938172992</v>
      </c>
      <c r="AC34" s="87">
        <f t="shared" si="44"/>
        <v>551508.39423536637</v>
      </c>
      <c r="AD34" s="87">
        <f t="shared" si="45"/>
        <v>327833.28609913943</v>
      </c>
      <c r="AE34" s="87">
        <f t="shared" si="46"/>
        <v>0</v>
      </c>
      <c r="AF34" s="86">
        <f t="shared" si="47"/>
        <v>3293207.8888545232</v>
      </c>
      <c r="AG34" s="84">
        <f t="shared" si="22"/>
        <v>13499291.668304905</v>
      </c>
      <c r="AH34" s="87">
        <f t="shared" si="48"/>
        <v>458713.7945540502</v>
      </c>
      <c r="AI34" s="87">
        <f t="shared" si="49"/>
        <v>1561943.0875435176</v>
      </c>
      <c r="AJ34" s="87">
        <f t="shared" si="50"/>
        <v>461669.8425177157</v>
      </c>
      <c r="AK34" s="87">
        <f t="shared" si="51"/>
        <v>274430.53115319076</v>
      </c>
      <c r="AL34" s="87">
        <f t="shared" si="52"/>
        <v>0</v>
      </c>
      <c r="AM34" s="86">
        <f t="shared" si="53"/>
        <v>2756757.2557684747</v>
      </c>
      <c r="AN34" s="84">
        <f t="shared" si="23"/>
        <v>11386161.988058545</v>
      </c>
      <c r="AO34" s="87">
        <f t="shared" si="54"/>
        <v>386908.41706995055</v>
      </c>
      <c r="AP34" s="87">
        <f t="shared" si="55"/>
        <v>1317442.236814192</v>
      </c>
      <c r="AQ34" s="87">
        <f t="shared" si="56"/>
        <v>389401.73611111124</v>
      </c>
      <c r="AR34" s="87">
        <f t="shared" si="57"/>
        <v>231472.18083417739</v>
      </c>
      <c r="AS34" s="87">
        <f t="shared" si="58"/>
        <v>0</v>
      </c>
      <c r="AT34" s="86">
        <f t="shared" si="59"/>
        <v>2325224.5708294315</v>
      </c>
      <c r="AU34" s="33">
        <f t="shared" si="24"/>
        <v>15457559.209067244</v>
      </c>
      <c r="AV34" s="79">
        <f t="shared" si="25"/>
        <v>12832975.772396889</v>
      </c>
      <c r="AW34" s="79">
        <f t="shared" si="26"/>
        <v>10742534.412536431</v>
      </c>
      <c r="AX34" s="204">
        <f t="shared" si="27"/>
        <v>9060937.4172291122</v>
      </c>
      <c r="AY34" s="79">
        <f t="shared" si="71"/>
        <v>38329465.522847727</v>
      </c>
      <c r="AZ34" s="79">
        <f t="shared" si="72"/>
        <v>32008263.303967398</v>
      </c>
      <c r="BA34" s="79">
        <f t="shared" si="66"/>
        <v>26658076.340421952</v>
      </c>
      <c r="BB34" s="79">
        <f t="shared" si="66"/>
        <v>22082708.681589462</v>
      </c>
      <c r="BC34" s="33">
        <f t="shared" si="60"/>
        <v>48.16679676770277</v>
      </c>
      <c r="BD34" s="33">
        <f t="shared" si="61"/>
        <v>39.988417808634992</v>
      </c>
      <c r="BE34" s="33">
        <f t="shared" si="62"/>
        <v>33.474461577036976</v>
      </c>
      <c r="BF34" s="33">
        <f t="shared" si="63"/>
        <v>28.23449195294295</v>
      </c>
      <c r="BM34" s="14">
        <f t="shared" si="67"/>
        <v>0.16639615025740778</v>
      </c>
      <c r="BN34" s="14">
        <f t="shared" si="68"/>
        <v>0.56658709586242118</v>
      </c>
      <c r="BO34" s="14">
        <f t="shared" si="69"/>
        <v>9.9548311908474657E-2</v>
      </c>
      <c r="BP34" s="14">
        <f t="shared" si="70"/>
        <v>0.16746844197169636</v>
      </c>
    </row>
    <row r="35" spans="1:68" x14ac:dyDescent="0.35">
      <c r="A35" s="15">
        <v>5</v>
      </c>
      <c r="B35" s="21">
        <f t="shared" si="28"/>
        <v>34001070.30704093</v>
      </c>
      <c r="C35" s="21">
        <f t="shared" si="29"/>
        <v>30576502.074677095</v>
      </c>
      <c r="D35" s="21">
        <f t="shared" si="30"/>
        <v>27885769.892105509</v>
      </c>
      <c r="E35" s="21">
        <f t="shared" si="64"/>
        <v>1070177.5726136982</v>
      </c>
      <c r="F35" s="233">
        <f t="shared" si="31"/>
        <v>2485335.1147702569</v>
      </c>
      <c r="G35" s="17">
        <f t="shared" si="65"/>
        <v>733758.3</v>
      </c>
      <c r="H35" s="21">
        <f t="shared" si="32"/>
        <v>516858.88500707498</v>
      </c>
      <c r="I35" s="15">
        <v>0</v>
      </c>
      <c r="J35" s="21">
        <f t="shared" si="33"/>
        <v>29194940.4346499</v>
      </c>
      <c r="K35" s="21">
        <f t="shared" si="34"/>
        <v>25770372.202286065</v>
      </c>
      <c r="L35" s="21">
        <f t="shared" si="35"/>
        <v>23079640.019714478</v>
      </c>
      <c r="N35" s="15">
        <v>5</v>
      </c>
      <c r="O35" s="31">
        <f t="shared" si="16"/>
        <v>0.78352616646845896</v>
      </c>
      <c r="P35" s="31">
        <f t="shared" si="17"/>
        <v>0.62092132305915493</v>
      </c>
      <c r="Q35" s="31">
        <f t="shared" si="18"/>
        <v>0.49717673529828987</v>
      </c>
      <c r="R35" s="82">
        <f t="shared" si="19"/>
        <v>0.4018775720164609</v>
      </c>
      <c r="S35" s="84">
        <f t="shared" si="20"/>
        <v>26640728.273500327</v>
      </c>
      <c r="T35" s="87">
        <f t="shared" si="36"/>
        <v>838512.13091053185</v>
      </c>
      <c r="U35" s="87">
        <f t="shared" si="37"/>
        <v>1947325.0948653868</v>
      </c>
      <c r="V35" s="87">
        <f t="shared" si="38"/>
        <v>574918.82791341352</v>
      </c>
      <c r="W35" s="87">
        <f t="shared" si="39"/>
        <v>404972.46077475551</v>
      </c>
      <c r="X35" s="87">
        <f t="shared" si="40"/>
        <v>0</v>
      </c>
      <c r="Y35" s="86">
        <f t="shared" si="41"/>
        <v>3765728.5144640878</v>
      </c>
      <c r="Z35" s="84">
        <f t="shared" si="21"/>
        <v>21111989.5604752</v>
      </c>
      <c r="AA35" s="87">
        <f t="shared" si="42"/>
        <v>664496.07429553231</v>
      </c>
      <c r="AB35" s="87">
        <f t="shared" si="43"/>
        <v>1543197.5677085246</v>
      </c>
      <c r="AC35" s="87">
        <f t="shared" si="44"/>
        <v>455606.17444163637</v>
      </c>
      <c r="AD35" s="87">
        <f t="shared" si="45"/>
        <v>320928.70271347259</v>
      </c>
      <c r="AE35" s="87">
        <f t="shared" si="46"/>
        <v>0</v>
      </c>
      <c r="AF35" s="86">
        <f t="shared" si="47"/>
        <v>2984228.5191591661</v>
      </c>
      <c r="AG35" s="84">
        <f t="shared" si="22"/>
        <v>16904541.131902233</v>
      </c>
      <c r="AH35" s="87">
        <f t="shared" si="48"/>
        <v>532067.39174152701</v>
      </c>
      <c r="AI35" s="87">
        <f t="shared" si="49"/>
        <v>1235650.798483677</v>
      </c>
      <c r="AJ35" s="87">
        <f t="shared" si="50"/>
        <v>364807.55609202321</v>
      </c>
      <c r="AK35" s="87">
        <f t="shared" si="51"/>
        <v>256970.21305773177</v>
      </c>
      <c r="AL35" s="87">
        <f t="shared" si="52"/>
        <v>0</v>
      </c>
      <c r="AM35" s="86">
        <f t="shared" si="53"/>
        <v>2389495.9593749591</v>
      </c>
      <c r="AN35" s="84">
        <f t="shared" si="23"/>
        <v>13664267.580954591</v>
      </c>
      <c r="AO35" s="87">
        <f t="shared" si="54"/>
        <v>430080.36450846284</v>
      </c>
      <c r="AP35" s="87">
        <f t="shared" si="55"/>
        <v>998800.44157112308</v>
      </c>
      <c r="AQ35" s="87">
        <f t="shared" si="56"/>
        <v>294881.00405092596</v>
      </c>
      <c r="AR35" s="87">
        <f t="shared" si="57"/>
        <v>207713.99378177847</v>
      </c>
      <c r="AS35" s="87">
        <f t="shared" si="58"/>
        <v>0</v>
      </c>
      <c r="AT35" s="86">
        <f t="shared" si="59"/>
        <v>1931475.8039122904</v>
      </c>
      <c r="AU35" s="33">
        <f t="shared" si="24"/>
        <v>22874999.759036239</v>
      </c>
      <c r="AV35" s="79">
        <f t="shared" si="25"/>
        <v>18127761.041316032</v>
      </c>
      <c r="AW35" s="79">
        <f t="shared" si="26"/>
        <v>14515045.172527274</v>
      </c>
      <c r="AX35" s="204">
        <f t="shared" si="27"/>
        <v>11732791.7770423</v>
      </c>
      <c r="AY35" s="79">
        <f t="shared" si="71"/>
        <v>61204465.28188397</v>
      </c>
      <c r="AZ35" s="79">
        <f t="shared" si="72"/>
        <v>50136024.345283434</v>
      </c>
      <c r="BA35" s="79">
        <f t="shared" si="66"/>
        <v>41173121.512949228</v>
      </c>
      <c r="BB35" s="79">
        <f t="shared" si="66"/>
        <v>33815500.458631761</v>
      </c>
      <c r="BC35" s="33">
        <f t="shared" si="60"/>
        <v>53.437392878568154</v>
      </c>
      <c r="BD35" s="33">
        <f t="shared" si="61"/>
        <v>42.347554053675736</v>
      </c>
      <c r="BE35" s="33">
        <f t="shared" si="62"/>
        <v>33.908029713884609</v>
      </c>
      <c r="BF35" s="33">
        <f t="shared" si="63"/>
        <v>27.408516299746552</v>
      </c>
      <c r="BM35" s="14">
        <f t="shared" si="67"/>
        <v>0.22266929962949358</v>
      </c>
      <c r="BN35" s="14">
        <f t="shared" si="68"/>
        <v>0.51711776018524702</v>
      </c>
      <c r="BO35" s="14">
        <f t="shared" si="69"/>
        <v>0.10754159765348574</v>
      </c>
      <c r="BP35" s="14">
        <f t="shared" si="70"/>
        <v>0.15267134253177353</v>
      </c>
    </row>
    <row r="36" spans="1:68" x14ac:dyDescent="0.35">
      <c r="A36" s="15">
        <v>6</v>
      </c>
      <c r="B36" s="21">
        <f t="shared" si="28"/>
        <v>23727589.29370622</v>
      </c>
      <c r="C36" s="21">
        <f t="shared" si="29"/>
        <v>20945459.895784218</v>
      </c>
      <c r="D36" s="21">
        <f t="shared" si="30"/>
        <v>18759501.083131216</v>
      </c>
      <c r="E36" s="21">
        <f t="shared" si="64"/>
        <v>695532.34948050056</v>
      </c>
      <c r="F36" s="233">
        <f t="shared" si="31"/>
        <v>2547034.3407440879</v>
      </c>
      <c r="G36" s="17">
        <f t="shared" si="65"/>
        <v>751792.32</v>
      </c>
      <c r="H36" s="21">
        <f t="shared" si="32"/>
        <v>462468.56647373171</v>
      </c>
      <c r="I36" s="15">
        <v>0</v>
      </c>
      <c r="J36" s="21">
        <f t="shared" si="33"/>
        <v>19270761.717007898</v>
      </c>
      <c r="K36" s="21">
        <f t="shared" si="34"/>
        <v>16488632.319085896</v>
      </c>
      <c r="L36" s="21">
        <f t="shared" si="35"/>
        <v>14302673.506432896</v>
      </c>
      <c r="N36" s="15">
        <v>6</v>
      </c>
      <c r="O36" s="31">
        <f t="shared" si="16"/>
        <v>0.74621539663662761</v>
      </c>
      <c r="P36" s="31">
        <f t="shared" si="17"/>
        <v>0.56447393005377722</v>
      </c>
      <c r="Q36" s="31">
        <f t="shared" si="18"/>
        <v>0.43232759591155645</v>
      </c>
      <c r="R36" s="82">
        <f t="shared" si="19"/>
        <v>0.33489797668038412</v>
      </c>
      <c r="S36" s="84">
        <f t="shared" si="20"/>
        <v>17705892.456033986</v>
      </c>
      <c r="T36" s="87">
        <f t="shared" si="36"/>
        <v>519016.9480411972</v>
      </c>
      <c r="U36" s="87">
        <f t="shared" si="37"/>
        <v>1900636.240825461</v>
      </c>
      <c r="V36" s="87">
        <f t="shared" si="38"/>
        <v>560999.00425717048</v>
      </c>
      <c r="W36" s="87">
        <f t="shared" si="39"/>
        <v>345101.16476316832</v>
      </c>
      <c r="X36" s="87">
        <f t="shared" si="40"/>
        <v>0</v>
      </c>
      <c r="Y36" s="86">
        <f t="shared" si="41"/>
        <v>3325753.3578869971</v>
      </c>
      <c r="Z36" s="84">
        <f t="shared" si="21"/>
        <v>13393605.579320278</v>
      </c>
      <c r="AA36" s="87">
        <f t="shared" si="42"/>
        <v>392609.8787907954</v>
      </c>
      <c r="AB36" s="87">
        <f t="shared" si="43"/>
        <v>1437734.4843017468</v>
      </c>
      <c r="AC36" s="87">
        <f t="shared" si="44"/>
        <v>424367.16545464686</v>
      </c>
      <c r="AD36" s="87">
        <f t="shared" si="45"/>
        <v>261051.44924376384</v>
      </c>
      <c r="AE36" s="87">
        <f t="shared" si="46"/>
        <v>0</v>
      </c>
      <c r="AF36" s="86">
        <f t="shared" si="47"/>
        <v>2515762.9777909531</v>
      </c>
      <c r="AG36" s="84">
        <f t="shared" si="22"/>
        <v>10258091.636124795</v>
      </c>
      <c r="AH36" s="87">
        <f t="shared" si="48"/>
        <v>300697.8285296213</v>
      </c>
      <c r="AI36" s="87">
        <f t="shared" si="49"/>
        <v>1101153.2332380677</v>
      </c>
      <c r="AJ36" s="87">
        <f t="shared" si="50"/>
        <v>325020.56633037154</v>
      </c>
      <c r="AK36" s="87">
        <f t="shared" si="51"/>
        <v>199937.92352825226</v>
      </c>
      <c r="AL36" s="87">
        <f t="shared" si="52"/>
        <v>0</v>
      </c>
      <c r="AM36" s="86">
        <f t="shared" si="53"/>
        <v>1926809.5516263125</v>
      </c>
      <c r="AN36" s="84">
        <f t="shared" si="23"/>
        <v>7946321.6459653573</v>
      </c>
      <c r="AO36" s="87">
        <f t="shared" si="54"/>
        <v>232932.37655677347</v>
      </c>
      <c r="AP36" s="87">
        <f t="shared" si="55"/>
        <v>852996.64725065115</v>
      </c>
      <c r="AQ36" s="87">
        <f t="shared" si="56"/>
        <v>251773.72685185185</v>
      </c>
      <c r="AR36" s="87">
        <f t="shared" si="57"/>
        <v>154879.78719033048</v>
      </c>
      <c r="AS36" s="87">
        <f t="shared" si="58"/>
        <v>0</v>
      </c>
      <c r="AT36" s="86">
        <f t="shared" si="59"/>
        <v>1492582.5378496069</v>
      </c>
      <c r="AU36" s="33">
        <f t="shared" si="24"/>
        <v>14380139.09814699</v>
      </c>
      <c r="AV36" s="79">
        <f t="shared" si="25"/>
        <v>10877842.601529324</v>
      </c>
      <c r="AW36" s="79">
        <f t="shared" si="26"/>
        <v>8331282.0844984828</v>
      </c>
      <c r="AX36" s="204">
        <f t="shared" si="27"/>
        <v>6453739.1081157504</v>
      </c>
      <c r="AY36" s="79">
        <f t="shared" si="71"/>
        <v>75584604.38003096</v>
      </c>
      <c r="AZ36" s="79">
        <f t="shared" si="72"/>
        <v>61013866.946812756</v>
      </c>
      <c r="BA36" s="79">
        <f t="shared" si="66"/>
        <v>49504403.597447708</v>
      </c>
      <c r="BB36" s="79">
        <f t="shared" si="66"/>
        <v>40269239.566747509</v>
      </c>
      <c r="BC36" s="33">
        <f t="shared" si="60"/>
        <v>51.687527937728731</v>
      </c>
      <c r="BD36" s="33">
        <f t="shared" si="61"/>
        <v>39.098981555833042</v>
      </c>
      <c r="BE36" s="33">
        <f t="shared" si="62"/>
        <v>29.945703067302308</v>
      </c>
      <c r="BF36" s="33">
        <f t="shared" si="63"/>
        <v>23.197120568641079</v>
      </c>
      <c r="BM36" s="14">
        <f t="shared" si="67"/>
        <v>0.15605996362007807</v>
      </c>
      <c r="BN36" s="14">
        <f t="shared" si="68"/>
        <v>0.57149043729238591</v>
      </c>
      <c r="BO36" s="14">
        <f t="shared" si="69"/>
        <v>0.10376631326095294</v>
      </c>
      <c r="BP36" s="14">
        <f t="shared" si="70"/>
        <v>0.16868328582658298</v>
      </c>
    </row>
    <row r="37" spans="1:68" x14ac:dyDescent="0.35">
      <c r="A37" s="15">
        <v>7</v>
      </c>
      <c r="B37" s="21">
        <f t="shared" si="28"/>
        <v>17714564.251956407</v>
      </c>
      <c r="C37" s="21">
        <f t="shared" si="29"/>
        <v>15382239.178031113</v>
      </c>
      <c r="D37" s="21">
        <f t="shared" si="30"/>
        <v>13549698.04851838</v>
      </c>
      <c r="E37" s="21">
        <f t="shared" si="64"/>
        <v>485901.0570677697</v>
      </c>
      <c r="F37" s="233">
        <f t="shared" si="31"/>
        <v>2627314.3062553164</v>
      </c>
      <c r="G37" s="17">
        <f t="shared" si="65"/>
        <v>775464.48</v>
      </c>
      <c r="H37" s="21">
        <f t="shared" si="32"/>
        <v>437357.07692360756</v>
      </c>
      <c r="I37" s="15">
        <v>0</v>
      </c>
      <c r="J37" s="21">
        <f t="shared" si="33"/>
        <v>13388527.331709711</v>
      </c>
      <c r="K37" s="21">
        <f t="shared" si="34"/>
        <v>11056202.257784419</v>
      </c>
      <c r="L37" s="21">
        <f t="shared" si="35"/>
        <v>9223661.1282716859</v>
      </c>
      <c r="N37" s="15">
        <v>7</v>
      </c>
      <c r="O37" s="31">
        <f t="shared" si="16"/>
        <v>0.71068133013012147</v>
      </c>
      <c r="P37" s="31">
        <f t="shared" si="17"/>
        <v>0.51315811823070645</v>
      </c>
      <c r="Q37" s="31">
        <f t="shared" si="18"/>
        <v>0.37593703992309269</v>
      </c>
      <c r="R37" s="82">
        <f t="shared" si="19"/>
        <v>0.27908164723365342</v>
      </c>
      <c r="S37" s="84">
        <f t="shared" si="20"/>
        <v>12589410.08525588</v>
      </c>
      <c r="T37" s="87">
        <f t="shared" si="36"/>
        <v>345320.80954855465</v>
      </c>
      <c r="U37" s="87">
        <f t="shared" si="37"/>
        <v>1867183.2258394256</v>
      </c>
      <c r="V37" s="87">
        <f t="shared" si="38"/>
        <v>551108.12811506295</v>
      </c>
      <c r="W37" s="87">
        <f t="shared" si="39"/>
        <v>310821.50916989124</v>
      </c>
      <c r="X37" s="87">
        <f t="shared" si="40"/>
        <v>0</v>
      </c>
      <c r="Y37" s="86">
        <f t="shared" si="41"/>
        <v>3074433.6726729344</v>
      </c>
      <c r="Z37" s="84">
        <f t="shared" si="21"/>
        <v>9090372.4568108916</v>
      </c>
      <c r="AA37" s="87">
        <f t="shared" si="42"/>
        <v>249344.07209120781</v>
      </c>
      <c r="AB37" s="87">
        <f t="shared" si="43"/>
        <v>1348227.6653985921</v>
      </c>
      <c r="AC37" s="87">
        <f t="shared" si="44"/>
        <v>397935.89331155329</v>
      </c>
      <c r="AD37" s="87">
        <f t="shared" si="45"/>
        <v>224433.33458900079</v>
      </c>
      <c r="AE37" s="87">
        <f t="shared" si="46"/>
        <v>0</v>
      </c>
      <c r="AF37" s="86">
        <f t="shared" si="47"/>
        <v>2219940.9653903539</v>
      </c>
      <c r="AG37" s="84">
        <f t="shared" si="22"/>
        <v>6659560.848407926</v>
      </c>
      <c r="AH37" s="87">
        <f t="shared" si="48"/>
        <v>182668.20508955908</v>
      </c>
      <c r="AI37" s="87">
        <f t="shared" si="49"/>
        <v>987704.76324121747</v>
      </c>
      <c r="AJ37" s="87">
        <f t="shared" si="50"/>
        <v>291525.82117670029</v>
      </c>
      <c r="AK37" s="87">
        <f t="shared" si="51"/>
        <v>164418.72488807738</v>
      </c>
      <c r="AL37" s="87">
        <f t="shared" si="52"/>
        <v>0</v>
      </c>
      <c r="AM37" s="86">
        <f t="shared" si="53"/>
        <v>1626317.5143955543</v>
      </c>
      <c r="AN37" s="84">
        <f t="shared" si="23"/>
        <v>4943809.7714623855</v>
      </c>
      <c r="AO37" s="87">
        <f t="shared" si="54"/>
        <v>135606.06739904659</v>
      </c>
      <c r="AP37" s="87">
        <f t="shared" si="55"/>
        <v>733235.20439027704</v>
      </c>
      <c r="AQ37" s="87">
        <f t="shared" si="56"/>
        <v>216417.90444958847</v>
      </c>
      <c r="AR37" s="87">
        <f t="shared" si="57"/>
        <v>122058.33345713606</v>
      </c>
      <c r="AS37" s="87">
        <f t="shared" si="58"/>
        <v>0</v>
      </c>
      <c r="AT37" s="86">
        <f t="shared" si="59"/>
        <v>1207317.5096960482</v>
      </c>
      <c r="AU37" s="33">
        <f t="shared" si="24"/>
        <v>9514976.4125829451</v>
      </c>
      <c r="AV37" s="79">
        <f t="shared" si="25"/>
        <v>6870431.4914205372</v>
      </c>
      <c r="AW37" s="79">
        <f t="shared" si="26"/>
        <v>5033243.3340123715</v>
      </c>
      <c r="AX37" s="204">
        <f t="shared" si="27"/>
        <v>3736492.2617663373</v>
      </c>
      <c r="AY37" s="79">
        <f t="shared" si="71"/>
        <v>85099580.792613909</v>
      </c>
      <c r="AZ37" s="79">
        <f t="shared" si="72"/>
        <v>67884298.438233286</v>
      </c>
      <c r="BA37" s="79">
        <f t="shared" si="66"/>
        <v>54537646.931460083</v>
      </c>
      <c r="BB37" s="79">
        <f t="shared" si="66"/>
        <v>44005731.828513846</v>
      </c>
      <c r="BC37" s="33">
        <f t="shared" si="60"/>
        <v>48.955318547783435</v>
      </c>
      <c r="BD37" s="33">
        <f t="shared" si="61"/>
        <v>35.348922334523252</v>
      </c>
      <c r="BE37" s="33">
        <f t="shared" si="62"/>
        <v>25.896441573857153</v>
      </c>
      <c r="BF37" s="33">
        <f t="shared" si="63"/>
        <v>19.224553061865432</v>
      </c>
      <c r="BM37" s="14">
        <f t="shared" si="67"/>
        <v>0.11232013642640412</v>
      </c>
      <c r="BN37" s="14">
        <f t="shared" si="68"/>
        <v>0.60732590930025931</v>
      </c>
      <c r="BO37" s="14">
        <f t="shared" si="69"/>
        <v>0.10109878509743905</v>
      </c>
      <c r="BP37" s="14">
        <f t="shared" si="70"/>
        <v>0.17925516917589757</v>
      </c>
    </row>
    <row r="38" spans="1:68" x14ac:dyDescent="0.35">
      <c r="A38" s="15">
        <v>8</v>
      </c>
      <c r="B38" s="21">
        <f t="shared" si="28"/>
        <v>13653064.652317472</v>
      </c>
      <c r="C38" s="21">
        <f t="shared" si="29"/>
        <v>11682519.238580929</v>
      </c>
      <c r="D38" s="21">
        <f t="shared" si="30"/>
        <v>10134233.55635936</v>
      </c>
      <c r="E38" s="21">
        <f t="shared" si="64"/>
        <v>351883.10959581111</v>
      </c>
      <c r="F38" s="233">
        <f t="shared" si="31"/>
        <v>2705554.636041889</v>
      </c>
      <c r="G38" s="17">
        <f t="shared" si="65"/>
        <v>798584.04</v>
      </c>
      <c r="H38" s="21">
        <f t="shared" si="32"/>
        <v>423822.63986176671</v>
      </c>
      <c r="I38" s="15">
        <v>0</v>
      </c>
      <c r="J38" s="21">
        <f t="shared" si="33"/>
        <v>9373220.2268180065</v>
      </c>
      <c r="K38" s="21">
        <f t="shared" si="34"/>
        <v>7402674.8130814629</v>
      </c>
      <c r="L38" s="21">
        <f t="shared" si="35"/>
        <v>5854389.1308598937</v>
      </c>
      <c r="N38" s="15">
        <v>8</v>
      </c>
      <c r="O38" s="31">
        <f t="shared" si="16"/>
        <v>0.67683936202868722</v>
      </c>
      <c r="P38" s="31">
        <f t="shared" si="17"/>
        <v>0.46650738020973315</v>
      </c>
      <c r="Q38" s="31">
        <f t="shared" si="18"/>
        <v>0.32690177384616753</v>
      </c>
      <c r="R38" s="82">
        <f t="shared" si="19"/>
        <v>0.23256803936137788</v>
      </c>
      <c r="S38" s="84">
        <f t="shared" si="20"/>
        <v>9240931.5690109786</v>
      </c>
      <c r="T38" s="87">
        <f t="shared" si="36"/>
        <v>238168.33940749941</v>
      </c>
      <c r="U38" s="87">
        <f t="shared" si="37"/>
        <v>1831225.8737923491</v>
      </c>
      <c r="V38" s="87">
        <f t="shared" si="38"/>
        <v>540513.11215989164</v>
      </c>
      <c r="W38" s="87">
        <f t="shared" si="39"/>
        <v>286859.84517735225</v>
      </c>
      <c r="X38" s="87">
        <f t="shared" si="40"/>
        <v>0</v>
      </c>
      <c r="Y38" s="86">
        <f t="shared" si="41"/>
        <v>2896767.1705370923</v>
      </c>
      <c r="Z38" s="84">
        <f t="shared" si="21"/>
        <v>6369255.422786735</v>
      </c>
      <c r="AA38" s="87">
        <f t="shared" si="42"/>
        <v>164156.06759759627</v>
      </c>
      <c r="AB38" s="87">
        <f t="shared" si="43"/>
        <v>1262161.2052741996</v>
      </c>
      <c r="AC38" s="87">
        <f t="shared" si="44"/>
        <v>372545.34837770474</v>
      </c>
      <c r="AD38" s="87">
        <f t="shared" si="45"/>
        <v>197716.38939548601</v>
      </c>
      <c r="AE38" s="87">
        <f t="shared" si="46"/>
        <v>0</v>
      </c>
      <c r="AF38" s="86">
        <f t="shared" si="47"/>
        <v>1996579.0106449868</v>
      </c>
      <c r="AG38" s="84">
        <f t="shared" si="22"/>
        <v>4463211.0532789901</v>
      </c>
      <c r="AH38" s="87">
        <f t="shared" si="48"/>
        <v>115031.21271337602</v>
      </c>
      <c r="AI38" s="87">
        <f t="shared" si="49"/>
        <v>884450.60975981574</v>
      </c>
      <c r="AJ38" s="87">
        <f t="shared" si="50"/>
        <v>261058.53924123882</v>
      </c>
      <c r="AK38" s="87">
        <f t="shared" si="51"/>
        <v>138548.37276697697</v>
      </c>
      <c r="AL38" s="87">
        <f t="shared" si="52"/>
        <v>0</v>
      </c>
      <c r="AM38" s="86">
        <f t="shared" si="53"/>
        <v>1399088.7344814076</v>
      </c>
      <c r="AN38" s="84">
        <f t="shared" si="23"/>
        <v>3175266.4774636067</v>
      </c>
      <c r="AO38" s="87">
        <f t="shared" si="54"/>
        <v>81836.764883082637</v>
      </c>
      <c r="AP38" s="87">
        <f t="shared" si="55"/>
        <v>629225.53708934842</v>
      </c>
      <c r="AQ38" s="87">
        <f t="shared" si="56"/>
        <v>185725.12444808817</v>
      </c>
      <c r="AR38" s="87">
        <f t="shared" si="57"/>
        <v>98567.600389614439</v>
      </c>
      <c r="AS38" s="87">
        <f t="shared" si="58"/>
        <v>0</v>
      </c>
      <c r="AT38" s="86">
        <f t="shared" si="59"/>
        <v>995355.0268101336</v>
      </c>
      <c r="AU38" s="33">
        <f t="shared" si="24"/>
        <v>6344164.3984738868</v>
      </c>
      <c r="AV38" s="79">
        <f t="shared" si="25"/>
        <v>4372676.4121417478</v>
      </c>
      <c r="AW38" s="79">
        <f t="shared" si="26"/>
        <v>3064122.3187975828</v>
      </c>
      <c r="AX38" s="204">
        <f t="shared" si="27"/>
        <v>2179911.4506534729</v>
      </c>
      <c r="AY38" s="79">
        <f t="shared" si="71"/>
        <v>91443745.191087797</v>
      </c>
      <c r="AZ38" s="79">
        <f t="shared" si="72"/>
        <v>72256974.850375026</v>
      </c>
      <c r="BA38" s="79">
        <f t="shared" si="66"/>
        <v>57601769.250257663</v>
      </c>
      <c r="BB38" s="79">
        <f t="shared" si="66"/>
        <v>46185643.279167317</v>
      </c>
      <c r="BC38" s="33">
        <f t="shared" si="60"/>
        <v>45.072953386147759</v>
      </c>
      <c r="BD38" s="33">
        <f t="shared" si="61"/>
        <v>31.066256754724616</v>
      </c>
      <c r="BE38" s="33">
        <f t="shared" si="62"/>
        <v>21.769461472001119</v>
      </c>
      <c r="BF38" s="33">
        <f t="shared" si="63"/>
        <v>15.487468645180341</v>
      </c>
      <c r="BM38" s="14">
        <f t="shared" si="67"/>
        <v>8.2218668393476857E-2</v>
      </c>
      <c r="BN38" s="14">
        <f t="shared" si="68"/>
        <v>0.63216191222328011</v>
      </c>
      <c r="BO38" s="14">
        <f t="shared" si="69"/>
        <v>9.9027580847709365E-2</v>
      </c>
      <c r="BP38" s="14">
        <f t="shared" si="70"/>
        <v>0.18659183853553357</v>
      </c>
    </row>
    <row r="39" spans="1:68" x14ac:dyDescent="0.35">
      <c r="A39" s="15">
        <v>9</v>
      </c>
      <c r="B39" s="21">
        <f t="shared" si="28"/>
        <v>10807619.483325778</v>
      </c>
      <c r="C39" s="21">
        <f t="shared" si="29"/>
        <v>9245072.0881461482</v>
      </c>
      <c r="D39" s="21">
        <f t="shared" si="30"/>
        <v>7754864.8501507593</v>
      </c>
      <c r="E39" s="21">
        <f t="shared" si="64"/>
        <v>271275.58944090805</v>
      </c>
      <c r="F39" s="233">
        <f t="shared" si="31"/>
        <v>2772320.4581482569</v>
      </c>
      <c r="G39" s="17">
        <f t="shared" si="65"/>
        <v>818324.45999999973</v>
      </c>
      <c r="H39" s="21">
        <f t="shared" si="32"/>
        <v>417622.20233433304</v>
      </c>
      <c r="I39" s="15">
        <v>0</v>
      </c>
      <c r="J39" s="21">
        <f t="shared" si="33"/>
        <v>6528076.7734022792</v>
      </c>
      <c r="K39" s="21">
        <f t="shared" si="34"/>
        <v>4965529.3782226499</v>
      </c>
      <c r="L39" s="21">
        <f t="shared" si="35"/>
        <v>3475322.140227261</v>
      </c>
      <c r="N39" s="15">
        <v>9</v>
      </c>
      <c r="O39" s="31">
        <f t="shared" si="16"/>
        <v>0.64460891621779726</v>
      </c>
      <c r="P39" s="31">
        <f t="shared" si="17"/>
        <v>0.42409761837248466</v>
      </c>
      <c r="Q39" s="31">
        <f t="shared" si="18"/>
        <v>0.28426241204014574</v>
      </c>
      <c r="R39" s="82">
        <f t="shared" si="19"/>
        <v>0.1938066994678149</v>
      </c>
      <c r="S39" s="84">
        <f t="shared" si="20"/>
        <v>6966687.8820409793</v>
      </c>
      <c r="T39" s="87">
        <f t="shared" si="36"/>
        <v>174866.66370584787</v>
      </c>
      <c r="U39" s="87">
        <f t="shared" si="37"/>
        <v>1787062.4859353751</v>
      </c>
      <c r="V39" s="87">
        <f t="shared" si="38"/>
        <v>527499.24327511399</v>
      </c>
      <c r="W39" s="87">
        <f t="shared" si="39"/>
        <v>269202.99523522408</v>
      </c>
      <c r="X39" s="87">
        <f t="shared" si="40"/>
        <v>0</v>
      </c>
      <c r="Y39" s="86">
        <f t="shared" si="41"/>
        <v>2758631.3881515609</v>
      </c>
      <c r="Z39" s="84">
        <f t="shared" si="21"/>
        <v>4583485.6831545252</v>
      </c>
      <c r="AA39" s="87">
        <f t="shared" si="42"/>
        <v>115047.33140448105</v>
      </c>
      <c r="AB39" s="87">
        <f t="shared" si="43"/>
        <v>1175734.5036659914</v>
      </c>
      <c r="AC39" s="87">
        <f t="shared" si="44"/>
        <v>347049.4545419495</v>
      </c>
      <c r="AD39" s="87">
        <f t="shared" si="45"/>
        <v>177112.58138946255</v>
      </c>
      <c r="AE39" s="87">
        <f t="shared" si="46"/>
        <v>0</v>
      </c>
      <c r="AF39" s="86">
        <f t="shared" si="47"/>
        <v>1814943.8710018846</v>
      </c>
      <c r="AG39" s="84">
        <f t="shared" si="22"/>
        <v>3072199.9827422593</v>
      </c>
      <c r="AH39" s="87">
        <f t="shared" si="48"/>
        <v>77113.453382084816</v>
      </c>
      <c r="AI39" s="87">
        <f t="shared" si="49"/>
        <v>788066.50038146542</v>
      </c>
      <c r="AJ39" s="87">
        <f t="shared" si="50"/>
        <v>232618.88483104968</v>
      </c>
      <c r="AK39" s="87">
        <f t="shared" si="51"/>
        <v>118714.29455707529</v>
      </c>
      <c r="AL39" s="87">
        <f t="shared" si="52"/>
        <v>0</v>
      </c>
      <c r="AM39" s="86">
        <f t="shared" si="53"/>
        <v>1216513.1331516751</v>
      </c>
      <c r="AN39" s="84">
        <f t="shared" si="23"/>
        <v>2094589.0611674199</v>
      </c>
      <c r="AO39" s="87">
        <f t="shared" si="54"/>
        <v>52575.026635728405</v>
      </c>
      <c r="AP39" s="87">
        <f t="shared" si="55"/>
        <v>537294.27786081412</v>
      </c>
      <c r="AQ39" s="87">
        <f t="shared" si="56"/>
        <v>158596.76268638187</v>
      </c>
      <c r="AR39" s="87">
        <f t="shared" si="57"/>
        <v>80937.980658897068</v>
      </c>
      <c r="AS39" s="87">
        <f t="shared" si="58"/>
        <v>0</v>
      </c>
      <c r="AT39" s="86">
        <f t="shared" si="59"/>
        <v>829404.04784182156</v>
      </c>
      <c r="AU39" s="33">
        <f t="shared" si="24"/>
        <v>4208056.4938894184</v>
      </c>
      <c r="AV39" s="79">
        <f t="shared" si="25"/>
        <v>2768541.8121526409</v>
      </c>
      <c r="AW39" s="79">
        <f t="shared" si="26"/>
        <v>1855686.8495905842</v>
      </c>
      <c r="AX39" s="204">
        <f t="shared" si="27"/>
        <v>1265185.0133255983</v>
      </c>
      <c r="AY39" s="79">
        <f t="shared" si="71"/>
        <v>95651801.684977219</v>
      </c>
      <c r="AZ39" s="79">
        <f t="shared" si="72"/>
        <v>75025516.662527665</v>
      </c>
      <c r="BA39" s="79">
        <f t="shared" si="66"/>
        <v>59457456.099848248</v>
      </c>
      <c r="BB39" s="79">
        <f t="shared" si="66"/>
        <v>47450828.292492919</v>
      </c>
      <c r="BC39" s="33">
        <f t="shared" si="60"/>
        <v>38.780272328982065</v>
      </c>
      <c r="BD39" s="33">
        <f t="shared" si="61"/>
        <v>25.514107423547888</v>
      </c>
      <c r="BE39" s="33">
        <f t="shared" si="62"/>
        <v>17.10149126774645</v>
      </c>
      <c r="BF39" s="33">
        <f t="shared" si="63"/>
        <v>11.659591413413862</v>
      </c>
      <c r="BM39" s="14">
        <f t="shared" si="67"/>
        <v>6.3388919758148046E-2</v>
      </c>
      <c r="BN39" s="14">
        <f t="shared" si="68"/>
        <v>0.64780763882078785</v>
      </c>
      <c r="BO39" s="14">
        <f t="shared" si="69"/>
        <v>9.7585707315396439E-2</v>
      </c>
      <c r="BP39" s="14">
        <f t="shared" si="70"/>
        <v>0.19121773410566764</v>
      </c>
    </row>
    <row r="40" spans="1:68" x14ac:dyDescent="0.35">
      <c r="A40" s="15">
        <v>10</v>
      </c>
      <c r="B40" s="21">
        <f t="shared" si="28"/>
        <v>8934942.272179503</v>
      </c>
      <c r="C40" s="21">
        <f t="shared" si="29"/>
        <v>7641036.7376564443</v>
      </c>
      <c r="D40" s="21">
        <f t="shared" si="30"/>
        <v>6201421.1204168247</v>
      </c>
      <c r="E40" s="21">
        <f t="shared" si="64"/>
        <v>218565.12407484109</v>
      </c>
      <c r="F40" s="233">
        <f t="shared" si="31"/>
        <v>2782310.6955207451</v>
      </c>
      <c r="G40" s="17">
        <f t="shared" si="65"/>
        <v>821516.76000000013</v>
      </c>
      <c r="H40" s="21">
        <f t="shared" si="32"/>
        <v>412517.48322927527</v>
      </c>
      <c r="I40" s="15">
        <v>0</v>
      </c>
      <c r="J40" s="21">
        <f t="shared" si="33"/>
        <v>4700032.2093546409</v>
      </c>
      <c r="K40" s="21">
        <f t="shared" si="34"/>
        <v>3406126.6748315836</v>
      </c>
      <c r="L40" s="21">
        <f t="shared" si="35"/>
        <v>1966511.0575919636</v>
      </c>
      <c r="N40" s="15">
        <v>10</v>
      </c>
      <c r="O40" s="31">
        <f t="shared" si="16"/>
        <v>0.61391325354075932</v>
      </c>
      <c r="P40" s="31">
        <f t="shared" si="17"/>
        <v>0.38554328942953148</v>
      </c>
      <c r="Q40" s="31">
        <f t="shared" si="18"/>
        <v>0.24718470612186585</v>
      </c>
      <c r="R40" s="82">
        <f t="shared" si="19"/>
        <v>0.16150558288984573</v>
      </c>
      <c r="S40" s="84">
        <f t="shared" si="20"/>
        <v>5485279.4805125836</v>
      </c>
      <c r="T40" s="87">
        <f t="shared" si="36"/>
        <v>134180.02643132544</v>
      </c>
      <c r="U40" s="87">
        <f t="shared" si="37"/>
        <v>1708097.4114483937</v>
      </c>
      <c r="V40" s="87">
        <f t="shared" si="38"/>
        <v>504340.02696986322</v>
      </c>
      <c r="W40" s="87">
        <f t="shared" si="39"/>
        <v>253249.95027172999</v>
      </c>
      <c r="X40" s="87">
        <f t="shared" si="40"/>
        <v>0</v>
      </c>
      <c r="Y40" s="86">
        <f t="shared" si="41"/>
        <v>2599867.4151213123</v>
      </c>
      <c r="Z40" s="84">
        <f t="shared" si="21"/>
        <v>3444807.0344790579</v>
      </c>
      <c r="AA40" s="87">
        <f t="shared" si="42"/>
        <v>84266.316890387912</v>
      </c>
      <c r="AB40" s="87">
        <f t="shared" si="43"/>
        <v>1072701.2177660356</v>
      </c>
      <c r="AC40" s="87">
        <f t="shared" si="44"/>
        <v>316730.27397189097</v>
      </c>
      <c r="AD40" s="87">
        <f t="shared" si="45"/>
        <v>159043.34743140638</v>
      </c>
      <c r="AE40" s="87">
        <f t="shared" si="46"/>
        <v>0</v>
      </c>
      <c r="AF40" s="86">
        <f t="shared" si="47"/>
        <v>1632741.156059721</v>
      </c>
      <c r="AG40" s="84">
        <f t="shared" si="22"/>
        <v>2208581.0797645268</v>
      </c>
      <c r="AH40" s="87">
        <f t="shared" si="48"/>
        <v>54025.95596292874</v>
      </c>
      <c r="AI40" s="87">
        <f t="shared" si="49"/>
        <v>687744.65161201952</v>
      </c>
      <c r="AJ40" s="87">
        <f t="shared" si="50"/>
        <v>203066.37889478743</v>
      </c>
      <c r="AK40" s="87">
        <f t="shared" si="51"/>
        <v>101968.01286216013</v>
      </c>
      <c r="AL40" s="87">
        <f t="shared" si="52"/>
        <v>0</v>
      </c>
      <c r="AM40" s="86">
        <f t="shared" si="53"/>
        <v>1046804.9993318957</v>
      </c>
      <c r="AN40" s="84">
        <f t="shared" si="23"/>
        <v>1443043.0597554734</v>
      </c>
      <c r="AO40" s="87">
        <f t="shared" si="54"/>
        <v>35299.487763098667</v>
      </c>
      <c r="AP40" s="87">
        <f t="shared" si="55"/>
        <v>449358.71066073002</v>
      </c>
      <c r="AQ40" s="87">
        <f t="shared" si="56"/>
        <v>132679.54317757752</v>
      </c>
      <c r="AR40" s="87">
        <f t="shared" si="57"/>
        <v>66623.876581196266</v>
      </c>
      <c r="AS40" s="87">
        <f t="shared" si="58"/>
        <v>0</v>
      </c>
      <c r="AT40" s="86">
        <f t="shared" si="59"/>
        <v>683961.61818260245</v>
      </c>
      <c r="AU40" s="33">
        <f t="shared" si="24"/>
        <v>2885412.0653912714</v>
      </c>
      <c r="AV40" s="79">
        <f t="shared" si="25"/>
        <v>1812065.8784193369</v>
      </c>
      <c r="AW40" s="79">
        <f t="shared" si="26"/>
        <v>1161776.0804326311</v>
      </c>
      <c r="AX40" s="204">
        <f t="shared" si="27"/>
        <v>759081.44157287094</v>
      </c>
      <c r="AY40" s="79">
        <f t="shared" si="71"/>
        <v>98537213.750368491</v>
      </c>
      <c r="AZ40" s="79">
        <f t="shared" si="72"/>
        <v>76837582.540947005</v>
      </c>
      <c r="BA40" s="79">
        <f t="shared" si="66"/>
        <v>60619232.180280879</v>
      </c>
      <c r="BB40" s="79">
        <f t="shared" si="66"/>
        <v>48209909.734065786</v>
      </c>
      <c r="BC40" s="33">
        <f t="shared" si="60"/>
        <v>33.004031150953985</v>
      </c>
      <c r="BD40" s="33">
        <f t="shared" si="61"/>
        <v>20.726841554543363</v>
      </c>
      <c r="BE40" s="33">
        <f t="shared" si="62"/>
        <v>13.288671801485762</v>
      </c>
      <c r="BF40" s="33">
        <f t="shared" si="63"/>
        <v>8.6825545107661632</v>
      </c>
      <c r="BM40" s="14">
        <f t="shared" si="67"/>
        <v>5.1610334300476034E-2</v>
      </c>
      <c r="BN40" s="14">
        <f t="shared" si="68"/>
        <v>0.65699404574009479</v>
      </c>
      <c r="BO40" s="14">
        <f t="shared" si="69"/>
        <v>9.740879430957948E-2</v>
      </c>
      <c r="BP40" s="14">
        <f t="shared" si="70"/>
        <v>0.19398682564984959</v>
      </c>
    </row>
    <row r="41" spans="1:68" x14ac:dyDescent="0.35">
      <c r="A41" s="15">
        <v>11</v>
      </c>
      <c r="B41" s="21">
        <f t="shared" si="28"/>
        <v>7834532.8721099729</v>
      </c>
      <c r="C41" s="21">
        <f t="shared" si="29"/>
        <v>6698226.5776818106</v>
      </c>
      <c r="D41" s="21">
        <f t="shared" si="30"/>
        <v>5262892.3110357076</v>
      </c>
      <c r="E41" s="21">
        <f t="shared" si="64"/>
        <v>186892.48263621121</v>
      </c>
      <c r="F41" s="233">
        <f t="shared" si="31"/>
        <v>2876585.824252279</v>
      </c>
      <c r="G41" s="17">
        <f t="shared" si="65"/>
        <v>849149.64</v>
      </c>
      <c r="H41" s="21">
        <f t="shared" si="32"/>
        <v>414070.32253899123</v>
      </c>
      <c r="I41" s="15">
        <v>0</v>
      </c>
      <c r="J41" s="21">
        <f t="shared" si="33"/>
        <v>3507834.6026824904</v>
      </c>
      <c r="K41" s="21">
        <f t="shared" si="34"/>
        <v>2371528.3082543286</v>
      </c>
      <c r="L41" s="21">
        <f t="shared" si="35"/>
        <v>936194.04160822567</v>
      </c>
      <c r="N41" s="15">
        <v>11</v>
      </c>
      <c r="O41" s="31">
        <f t="shared" si="16"/>
        <v>0.5846792890864374</v>
      </c>
      <c r="P41" s="31">
        <f t="shared" si="17"/>
        <v>0.3504938994813922</v>
      </c>
      <c r="Q41" s="31">
        <f t="shared" si="18"/>
        <v>0.21494322271466598</v>
      </c>
      <c r="R41" s="82">
        <f t="shared" si="19"/>
        <v>0.13458798574153813</v>
      </c>
      <c r="S41" s="84">
        <f t="shared" si="20"/>
        <v>4580689.1099895835</v>
      </c>
      <c r="T41" s="87">
        <f t="shared" si="36"/>
        <v>109272.16388333931</v>
      </c>
      <c r="U41" s="87">
        <f t="shared" si="37"/>
        <v>1681880.154719946</v>
      </c>
      <c r="V41" s="87">
        <f t="shared" si="38"/>
        <v>496480.20784320426</v>
      </c>
      <c r="W41" s="87">
        <f t="shared" si="39"/>
        <v>242098.34181388922</v>
      </c>
      <c r="X41" s="87">
        <f t="shared" si="40"/>
        <v>0</v>
      </c>
      <c r="Y41" s="86">
        <f t="shared" si="41"/>
        <v>2529730.8682603789</v>
      </c>
      <c r="Z41" s="84">
        <f t="shared" si="21"/>
        <v>2745955.9769609757</v>
      </c>
      <c r="AA41" s="87">
        <f t="shared" si="42"/>
        <v>65504.67502292405</v>
      </c>
      <c r="AB41" s="87">
        <f t="shared" si="43"/>
        <v>1008225.782735076</v>
      </c>
      <c r="AC41" s="87">
        <f t="shared" si="44"/>
        <v>297621.76856682036</v>
      </c>
      <c r="AD41" s="87">
        <f t="shared" si="45"/>
        <v>145129.12200620884</v>
      </c>
      <c r="AE41" s="87">
        <f t="shared" si="46"/>
        <v>0</v>
      </c>
      <c r="AF41" s="86">
        <f t="shared" si="47"/>
        <v>1516481.3483310293</v>
      </c>
      <c r="AG41" s="84">
        <f t="shared" si="22"/>
        <v>1683979.7439953056</v>
      </c>
      <c r="AH41" s="87">
        <f t="shared" si="48"/>
        <v>40171.272518971993</v>
      </c>
      <c r="AI41" s="87">
        <f t="shared" si="49"/>
        <v>618302.62748010864</v>
      </c>
      <c r="AJ41" s="87">
        <f t="shared" si="50"/>
        <v>182518.96018859843</v>
      </c>
      <c r="AK41" s="87">
        <f t="shared" si="51"/>
        <v>89001.609557031974</v>
      </c>
      <c r="AL41" s="87">
        <f t="shared" si="52"/>
        <v>0</v>
      </c>
      <c r="AM41" s="86">
        <f t="shared" si="53"/>
        <v>929994.46974471118</v>
      </c>
      <c r="AN41" s="84">
        <f t="shared" si="23"/>
        <v>1054433.9984831489</v>
      </c>
      <c r="AO41" s="87">
        <f t="shared" si="54"/>
        <v>25153.482788243058</v>
      </c>
      <c r="AP41" s="87">
        <f t="shared" si="55"/>
        <v>387153.89189877646</v>
      </c>
      <c r="AQ41" s="87">
        <f t="shared" si="56"/>
        <v>114285.33964075224</v>
      </c>
      <c r="AR41" s="87">
        <f t="shared" si="57"/>
        <v>55728.890665871848</v>
      </c>
      <c r="AS41" s="87">
        <f t="shared" si="58"/>
        <v>0</v>
      </c>
      <c r="AT41" s="86">
        <f t="shared" si="59"/>
        <v>582321.60499364359</v>
      </c>
      <c r="AU41" s="33">
        <f t="shared" si="24"/>
        <v>2050958.2417292045</v>
      </c>
      <c r="AV41" s="79">
        <f t="shared" si="25"/>
        <v>1229474.6286299464</v>
      </c>
      <c r="AW41" s="79">
        <f t="shared" si="26"/>
        <v>753985.27425059443</v>
      </c>
      <c r="AX41" s="204">
        <f t="shared" si="27"/>
        <v>472112.39348950528</v>
      </c>
      <c r="AY41" s="79">
        <f t="shared" si="71"/>
        <v>100588171.99209769</v>
      </c>
      <c r="AZ41" s="79">
        <f t="shared" si="72"/>
        <v>78067057.169576958</v>
      </c>
      <c r="BA41" s="79">
        <f t="shared" si="66"/>
        <v>61373217.454531476</v>
      </c>
      <c r="BB41" s="79">
        <f t="shared" si="66"/>
        <v>48682022.127555288</v>
      </c>
      <c r="BC41" s="33">
        <f t="shared" si="60"/>
        <v>27.435001836342224</v>
      </c>
      <c r="BD41" s="33">
        <f t="shared" si="61"/>
        <v>16.446282526825005</v>
      </c>
      <c r="BE41" s="33">
        <f t="shared" si="62"/>
        <v>10.08581596775935</v>
      </c>
      <c r="BF41" s="33">
        <f t="shared" si="63"/>
        <v>6.3152940507574957</v>
      </c>
      <c r="BM41" s="14">
        <f t="shared" si="67"/>
        <v>4.3195173547644045E-2</v>
      </c>
      <c r="BN41" s="14">
        <f t="shared" si="68"/>
        <v>0.66484548843590041</v>
      </c>
      <c r="BO41" s="14">
        <f t="shared" si="69"/>
        <v>9.5701224526059211E-2</v>
      </c>
      <c r="BP41" s="14">
        <f t="shared" si="70"/>
        <v>0.19625811349039632</v>
      </c>
    </row>
    <row r="42" spans="1:68" x14ac:dyDescent="0.35">
      <c r="A42" s="15">
        <v>12</v>
      </c>
      <c r="B42" s="21">
        <f t="shared" si="28"/>
        <v>6755456.138546749</v>
      </c>
      <c r="C42" s="21">
        <f t="shared" si="29"/>
        <v>5774216.6994282287</v>
      </c>
      <c r="D42" s="21">
        <f t="shared" si="30"/>
        <v>4394610.8213513317</v>
      </c>
      <c r="E42" s="21">
        <f t="shared" si="64"/>
        <v>157249.91011514782</v>
      </c>
      <c r="F42" s="233">
        <f t="shared" si="31"/>
        <v>2908506.881894839</v>
      </c>
      <c r="G42" s="17">
        <f t="shared" si="65"/>
        <v>858618.54000000015</v>
      </c>
      <c r="H42" s="21">
        <f t="shared" si="32"/>
        <v>411523.40068496938</v>
      </c>
      <c r="I42" s="15">
        <v>0</v>
      </c>
      <c r="J42" s="21">
        <f t="shared" si="33"/>
        <v>2419557.4058517925</v>
      </c>
      <c r="K42" s="21">
        <f t="shared" si="34"/>
        <v>1438317.9667332722</v>
      </c>
      <c r="L42" s="21">
        <f t="shared" si="35"/>
        <v>58712.088656375068</v>
      </c>
      <c r="N42" s="15">
        <v>12</v>
      </c>
      <c r="O42" s="31">
        <f t="shared" si="16"/>
        <v>0.5568374181775595</v>
      </c>
      <c r="P42" s="31">
        <f t="shared" si="17"/>
        <v>0.31863081771035656</v>
      </c>
      <c r="Q42" s="31">
        <f t="shared" si="18"/>
        <v>0.18690715018666609</v>
      </c>
      <c r="R42" s="82">
        <f t="shared" si="19"/>
        <v>0.11215665478461512</v>
      </c>
      <c r="S42" s="84">
        <f t="shared" si="20"/>
        <v>3761690.7548001176</v>
      </c>
      <c r="T42" s="87">
        <f t="shared" si="36"/>
        <v>87562.633957172206</v>
      </c>
      <c r="U42" s="87">
        <f t="shared" si="37"/>
        <v>1619565.4628659862</v>
      </c>
      <c r="V42" s="87">
        <f t="shared" si="38"/>
        <v>478110.9310129857</v>
      </c>
      <c r="W42" s="87">
        <f t="shared" si="39"/>
        <v>229151.62795706766</v>
      </c>
      <c r="X42" s="87">
        <f t="shared" si="40"/>
        <v>0</v>
      </c>
      <c r="Y42" s="86">
        <f t="shared" si="41"/>
        <v>2414390.6557932119</v>
      </c>
      <c r="Z42" s="84">
        <f t="shared" si="21"/>
        <v>2152496.5134315984</v>
      </c>
      <c r="AA42" s="87">
        <f t="shared" si="42"/>
        <v>50104.667444869621</v>
      </c>
      <c r="AB42" s="87">
        <f t="shared" si="43"/>
        <v>926739.92609435203</v>
      </c>
      <c r="AC42" s="87">
        <f t="shared" si="44"/>
        <v>273582.32750147255</v>
      </c>
      <c r="AD42" s="87">
        <f t="shared" si="45"/>
        <v>131124.03766719851</v>
      </c>
      <c r="AE42" s="87">
        <f t="shared" si="46"/>
        <v>0</v>
      </c>
      <c r="AF42" s="86">
        <f t="shared" si="47"/>
        <v>1381550.9587078928</v>
      </c>
      <c r="AG42" s="84">
        <f t="shared" si="22"/>
        <v>1262643.0550667925</v>
      </c>
      <c r="AH42" s="87">
        <f t="shared" si="48"/>
        <v>29391.132566731678</v>
      </c>
      <c r="AI42" s="87">
        <f t="shared" si="49"/>
        <v>543620.7325932706</v>
      </c>
      <c r="AJ42" s="87">
        <f t="shared" si="50"/>
        <v>160481.94440883599</v>
      </c>
      <c r="AK42" s="87">
        <f t="shared" si="51"/>
        <v>76916.666057153139</v>
      </c>
      <c r="AL42" s="87">
        <f t="shared" si="52"/>
        <v>0</v>
      </c>
      <c r="AM42" s="86">
        <f t="shared" si="53"/>
        <v>810410.47562599136</v>
      </c>
      <c r="AN42" s="84">
        <f t="shared" si="23"/>
        <v>757669.3620435968</v>
      </c>
      <c r="AO42" s="87">
        <f t="shared" si="54"/>
        <v>17636.623883696393</v>
      </c>
      <c r="AP42" s="87">
        <f t="shared" si="55"/>
        <v>326208.40229135682</v>
      </c>
      <c r="AQ42" s="87">
        <f t="shared" si="56"/>
        <v>96299.783182450265</v>
      </c>
      <c r="AR42" s="87">
        <f t="shared" si="57"/>
        <v>46155.087986414954</v>
      </c>
      <c r="AS42" s="87">
        <f t="shared" si="58"/>
        <v>0</v>
      </c>
      <c r="AT42" s="86">
        <f t="shared" si="59"/>
        <v>486299.89734391845</v>
      </c>
      <c r="AU42" s="33">
        <f t="shared" si="24"/>
        <v>1347300.0990069057</v>
      </c>
      <c r="AV42" s="79">
        <f t="shared" si="25"/>
        <v>770945.55472370563</v>
      </c>
      <c r="AW42" s="79">
        <f t="shared" si="26"/>
        <v>452232.57944080117</v>
      </c>
      <c r="AX42" s="204">
        <f t="shared" si="27"/>
        <v>271369.46469967836</v>
      </c>
      <c r="AY42" s="79">
        <f t="shared" si="71"/>
        <v>101935472.0911046</v>
      </c>
      <c r="AZ42" s="79">
        <f t="shared" si="72"/>
        <v>78838002.724300668</v>
      </c>
      <c r="BA42" s="79">
        <f t="shared" si="66"/>
        <v>61825450.033972278</v>
      </c>
      <c r="BB42" s="79">
        <f t="shared" si="66"/>
        <v>48953391.592254966</v>
      </c>
      <c r="BC42" s="33">
        <f t="shared" si="60"/>
        <v>21.419727649133975</v>
      </c>
      <c r="BD42" s="33">
        <f t="shared" si="61"/>
        <v>12.256693090622006</v>
      </c>
      <c r="BE42" s="33">
        <f t="shared" si="62"/>
        <v>7.1897112549960971</v>
      </c>
      <c r="BF42" s="33">
        <f t="shared" si="63"/>
        <v>4.314302381810033</v>
      </c>
      <c r="BM42" s="14">
        <f t="shared" si="67"/>
        <v>3.6266970196836196E-2</v>
      </c>
      <c r="BN42" s="14">
        <f t="shared" si="68"/>
        <v>0.67079677391060066</v>
      </c>
      <c r="BO42" s="14">
        <f t="shared" si="69"/>
        <v>9.4910750009419398E-2</v>
      </c>
      <c r="BP42" s="14">
        <f t="shared" si="70"/>
        <v>0.19802550588314363</v>
      </c>
    </row>
    <row r="43" spans="1:68" x14ac:dyDescent="0.35">
      <c r="A43" s="15">
        <v>13</v>
      </c>
      <c r="B43" s="21">
        <f t="shared" si="28"/>
        <v>5834437.504621421</v>
      </c>
      <c r="C43" s="21">
        <f t="shared" si="29"/>
        <v>4985792.0494037606</v>
      </c>
      <c r="D43" s="21">
        <f t="shared" si="30"/>
        <v>3677463.6392765334</v>
      </c>
      <c r="E43" s="21">
        <f t="shared" si="64"/>
        <v>132600.85237775961</v>
      </c>
      <c r="F43" s="233">
        <f t="shared" si="31"/>
        <v>2926584.7885418432</v>
      </c>
      <c r="G43" s="17">
        <f t="shared" si="65"/>
        <v>863987.93999999971</v>
      </c>
      <c r="H43" s="21">
        <f t="shared" si="32"/>
        <v>407787.47222515516</v>
      </c>
      <c r="I43" s="15">
        <v>0</v>
      </c>
      <c r="J43" s="21">
        <f t="shared" si="33"/>
        <v>1503476.451476664</v>
      </c>
      <c r="K43" s="21">
        <f t="shared" si="34"/>
        <v>654830.99625900364</v>
      </c>
      <c r="L43" s="21">
        <f t="shared" si="35"/>
        <v>-653497.41386822448</v>
      </c>
      <c r="N43" s="15">
        <v>13</v>
      </c>
      <c r="O43" s="31">
        <f t="shared" si="16"/>
        <v>0.53032135064529462</v>
      </c>
      <c r="P43" s="31">
        <f t="shared" si="17"/>
        <v>0.28966437973668779</v>
      </c>
      <c r="Q43" s="31">
        <f t="shared" si="18"/>
        <v>0.16252795668405748</v>
      </c>
      <c r="R43" s="82">
        <f t="shared" si="19"/>
        <v>9.3463878987179255E-2</v>
      </c>
      <c r="S43" s="84">
        <f t="shared" si="20"/>
        <v>3094126.7777063944</v>
      </c>
      <c r="T43" s="87">
        <f t="shared" si="36"/>
        <v>70321.06312969081</v>
      </c>
      <c r="U43" s="87">
        <f t="shared" si="37"/>
        <v>1552030.3978374843</v>
      </c>
      <c r="V43" s="87">
        <f t="shared" si="38"/>
        <v>458191.25128204562</v>
      </c>
      <c r="W43" s="87">
        <f t="shared" si="39"/>
        <v>216258.40304667485</v>
      </c>
      <c r="X43" s="87">
        <f t="shared" si="40"/>
        <v>0</v>
      </c>
      <c r="Y43" s="86">
        <f t="shared" si="41"/>
        <v>2296801.1152958954</v>
      </c>
      <c r="Z43" s="84">
        <f t="shared" si="21"/>
        <v>1690028.7208886323</v>
      </c>
      <c r="AA43" s="87">
        <f t="shared" si="42"/>
        <v>38409.74365655984</v>
      </c>
      <c r="AB43" s="87">
        <f t="shared" si="43"/>
        <v>847727.36751979857</v>
      </c>
      <c r="AC43" s="87">
        <f t="shared" si="44"/>
        <v>250266.53074007854</v>
      </c>
      <c r="AD43" s="87">
        <f t="shared" si="45"/>
        <v>118121.50520649138</v>
      </c>
      <c r="AE43" s="87">
        <f t="shared" si="46"/>
        <v>0</v>
      </c>
      <c r="AF43" s="86">
        <f t="shared" si="47"/>
        <v>1254525.1471229284</v>
      </c>
      <c r="AG43" s="84">
        <f t="shared" si="22"/>
        <v>948259.20602695073</v>
      </c>
      <c r="AH43" s="87">
        <f t="shared" si="48"/>
        <v>21551.345591521615</v>
      </c>
      <c r="AI43" s="87">
        <f t="shared" si="49"/>
        <v>475651.84574435023</v>
      </c>
      <c r="AJ43" s="87">
        <f t="shared" si="50"/>
        <v>140422.19448786799</v>
      </c>
      <c r="AK43" s="87">
        <f t="shared" si="51"/>
        <v>66276.864622111316</v>
      </c>
      <c r="AL43" s="87">
        <f t="shared" si="52"/>
        <v>0</v>
      </c>
      <c r="AM43" s="86">
        <f t="shared" si="53"/>
        <v>703902.25044585112</v>
      </c>
      <c r="AN43" s="84">
        <f t="shared" si="23"/>
        <v>545309.16089019657</v>
      </c>
      <c r="AO43" s="87">
        <f t="shared" si="54"/>
        <v>12393.390020231745</v>
      </c>
      <c r="AP43" s="87">
        <f t="shared" si="55"/>
        <v>273529.96652199444</v>
      </c>
      <c r="AQ43" s="87">
        <f t="shared" si="56"/>
        <v>80751.664270542271</v>
      </c>
      <c r="AR43" s="87">
        <f t="shared" si="57"/>
        <v>38113.398956539626</v>
      </c>
      <c r="AS43" s="87">
        <f t="shared" si="58"/>
        <v>0</v>
      </c>
      <c r="AT43" s="86">
        <f t="shared" si="59"/>
        <v>404788.41976930806</v>
      </c>
      <c r="AU43" s="33">
        <f t="shared" si="24"/>
        <v>797325.66241049906</v>
      </c>
      <c r="AV43" s="79">
        <f t="shared" si="25"/>
        <v>435503.57376570394</v>
      </c>
      <c r="AW43" s="79">
        <f t="shared" si="26"/>
        <v>244356.95558109961</v>
      </c>
      <c r="AX43" s="204">
        <f t="shared" si="27"/>
        <v>140520.7411208885</v>
      </c>
      <c r="AY43" s="79">
        <f t="shared" si="71"/>
        <v>102732797.75351509</v>
      </c>
      <c r="AZ43" s="79">
        <f t="shared" si="72"/>
        <v>79273506.298066378</v>
      </c>
      <c r="BA43" s="79">
        <f t="shared" si="66"/>
        <v>62069806.989553377</v>
      </c>
      <c r="BB43" s="79">
        <f t="shared" si="66"/>
        <v>49093912.333375856</v>
      </c>
      <c r="BC43" s="33">
        <f t="shared" si="60"/>
        <v>15.032438481975966</v>
      </c>
      <c r="BD43" s="33">
        <f t="shared" si="61"/>
        <v>8.2107989118542903</v>
      </c>
      <c r="BE43" s="33">
        <f t="shared" si="62"/>
        <v>4.6070019762196539</v>
      </c>
      <c r="BF43" s="33">
        <f t="shared" si="63"/>
        <v>2.6493182095196182</v>
      </c>
      <c r="BM43" s="14">
        <f t="shared" si="67"/>
        <v>3.0616957933961724E-2</v>
      </c>
      <c r="BN43" s="14">
        <f t="shared" si="68"/>
        <v>0.67573565142471514</v>
      </c>
      <c r="BO43" s="14">
        <f t="shared" si="69"/>
        <v>9.4156347106621116E-2</v>
      </c>
      <c r="BP43" s="14">
        <f t="shared" si="70"/>
        <v>0.19949104353470198</v>
      </c>
    </row>
    <row r="44" spans="1:68" x14ac:dyDescent="0.35">
      <c r="A44" s="15">
        <v>14</v>
      </c>
      <c r="B44" s="21">
        <f t="shared" si="28"/>
        <v>5068448.6211349685</v>
      </c>
      <c r="C44" s="21">
        <f t="shared" si="29"/>
        <v>4312232.4858324174</v>
      </c>
      <c r="D44" s="21">
        <f t="shared" si="30"/>
        <v>3096885.1255247425</v>
      </c>
      <c r="E44" s="21">
        <f t="shared" si="64"/>
        <v>112532.16299145139</v>
      </c>
      <c r="F44" s="233">
        <f t="shared" si="31"/>
        <v>2928235.4873279999</v>
      </c>
      <c r="G44" s="17">
        <f t="shared" si="65"/>
        <v>864509.39999999979</v>
      </c>
      <c r="H44" s="21">
        <f t="shared" si="32"/>
        <v>403323.26626667246</v>
      </c>
      <c r="I44" s="15">
        <v>0</v>
      </c>
      <c r="J44" s="21">
        <f t="shared" si="33"/>
        <v>759848.30454884481</v>
      </c>
      <c r="K44" s="21">
        <f t="shared" si="34"/>
        <v>3632.1692462937208</v>
      </c>
      <c r="L44" s="21">
        <f t="shared" si="35"/>
        <v>-1211715.1910613813</v>
      </c>
      <c r="N44" s="15">
        <v>14</v>
      </c>
      <c r="O44" s="31">
        <f t="shared" si="16"/>
        <v>0.50506795299551888</v>
      </c>
      <c r="P44" s="31">
        <f t="shared" si="17"/>
        <v>0.26333125430607973</v>
      </c>
      <c r="Q44" s="31">
        <f t="shared" si="18"/>
        <v>0.14132865798613695</v>
      </c>
      <c r="R44" s="82">
        <f t="shared" si="19"/>
        <v>7.7886565822649384E-2</v>
      </c>
      <c r="S44" s="84">
        <f t="shared" si="20"/>
        <v>2559910.9699395988</v>
      </c>
      <c r="T44" s="87">
        <f t="shared" si="36"/>
        <v>56836.389208250439</v>
      </c>
      <c r="U44" s="87">
        <f t="shared" si="37"/>
        <v>1478957.9034735886</v>
      </c>
      <c r="V44" s="87">
        <f t="shared" si="38"/>
        <v>436635.99300338409</v>
      </c>
      <c r="W44" s="87">
        <f t="shared" si="39"/>
        <v>203705.65648877487</v>
      </c>
      <c r="X44" s="87">
        <f t="shared" si="40"/>
        <v>0</v>
      </c>
      <c r="Y44" s="86">
        <f t="shared" si="41"/>
        <v>2176135.9421739979</v>
      </c>
      <c r="Z44" s="84">
        <f t="shared" si="21"/>
        <v>1334680.9327893916</v>
      </c>
      <c r="AA44" s="87">
        <f t="shared" si="42"/>
        <v>29633.235630315099</v>
      </c>
      <c r="AB44" s="87">
        <f t="shared" si="43"/>
        <v>771095.92378165689</v>
      </c>
      <c r="AC44" s="87">
        <f t="shared" si="44"/>
        <v>227652.34466139635</v>
      </c>
      <c r="AD44" s="87">
        <f t="shared" si="45"/>
        <v>106207.62159682784</v>
      </c>
      <c r="AE44" s="87">
        <f t="shared" si="46"/>
        <v>0</v>
      </c>
      <c r="AF44" s="86">
        <f t="shared" si="47"/>
        <v>1134589.1256701963</v>
      </c>
      <c r="AG44" s="84">
        <f t="shared" si="22"/>
        <v>716317.0416966913</v>
      </c>
      <c r="AH44" s="87">
        <f t="shared" si="48"/>
        <v>15904.019575859051</v>
      </c>
      <c r="AI44" s="87">
        <f t="shared" si="49"/>
        <v>413843.59169144795</v>
      </c>
      <c r="AJ44" s="87">
        <f t="shared" si="50"/>
        <v>122179.95331840042</v>
      </c>
      <c r="AK44" s="87">
        <f t="shared" si="51"/>
        <v>57001.135956054197</v>
      </c>
      <c r="AL44" s="87">
        <f t="shared" si="52"/>
        <v>0</v>
      </c>
      <c r="AM44" s="86">
        <f t="shared" si="53"/>
        <v>608928.7005417617</v>
      </c>
      <c r="AN44" s="84">
        <f t="shared" si="23"/>
        <v>394764.05714874523</v>
      </c>
      <c r="AO44" s="87">
        <f t="shared" si="54"/>
        <v>8764.7437199987871</v>
      </c>
      <c r="AP44" s="87">
        <f t="shared" si="55"/>
        <v>228070.20602799006</v>
      </c>
      <c r="AQ44" s="87">
        <f t="shared" si="56"/>
        <v>67333.668287399109</v>
      </c>
      <c r="AR44" s="87">
        <f t="shared" si="57"/>
        <v>31413.46412588513</v>
      </c>
      <c r="AS44" s="87">
        <f t="shared" si="58"/>
        <v>0</v>
      </c>
      <c r="AT44" s="86">
        <f t="shared" si="59"/>
        <v>335582.08216127305</v>
      </c>
      <c r="AU44" s="33">
        <f t="shared" si="24"/>
        <v>383775.02776560094</v>
      </c>
      <c r="AV44" s="79">
        <f t="shared" si="25"/>
        <v>200091.80711919535</v>
      </c>
      <c r="AW44" s="79">
        <f t="shared" si="26"/>
        <v>107388.3411549296</v>
      </c>
      <c r="AX44" s="204">
        <f t="shared" si="27"/>
        <v>59181.974987472175</v>
      </c>
      <c r="AY44" s="79">
        <f t="shared" si="71"/>
        <v>103116572.7812807</v>
      </c>
      <c r="AZ44" s="79">
        <f t="shared" si="72"/>
        <v>79473598.105185568</v>
      </c>
      <c r="BA44" s="79">
        <f t="shared" si="66"/>
        <v>62177195.33070831</v>
      </c>
      <c r="BB44" s="79">
        <f t="shared" si="66"/>
        <v>49153094.308363326</v>
      </c>
      <c r="BC44" s="33">
        <f t="shared" si="60"/>
        <v>8.5258964540376514</v>
      </c>
      <c r="BD44" s="33">
        <f t="shared" si="61"/>
        <v>4.4452137460113406</v>
      </c>
      <c r="BE44" s="33">
        <f t="shared" si="62"/>
        <v>2.3857255183810753</v>
      </c>
      <c r="BF44" s="33">
        <f t="shared" si="63"/>
        <v>1.3147791132382303</v>
      </c>
      <c r="BM44" s="14">
        <f t="shared" si="67"/>
        <v>2.6118032475245953E-2</v>
      </c>
      <c r="BN44" s="14">
        <f t="shared" si="68"/>
        <v>0.67962569562454977</v>
      </c>
      <c r="BO44" s="14">
        <f t="shared" si="69"/>
        <v>9.3608883774636498E-2</v>
      </c>
      <c r="BP44" s="14">
        <f t="shared" si="70"/>
        <v>0.20064738812556768</v>
      </c>
    </row>
    <row r="45" spans="1:68" x14ac:dyDescent="0.35">
      <c r="A45" s="15">
        <v>15</v>
      </c>
      <c r="B45" s="21">
        <f t="shared" si="28"/>
        <v>4460289.7434710832</v>
      </c>
      <c r="C45" s="21">
        <f t="shared" si="29"/>
        <v>3778856.5882185581</v>
      </c>
      <c r="D45" s="21">
        <f t="shared" si="30"/>
        <v>2643134.6627976806</v>
      </c>
      <c r="E45" s="21">
        <f t="shared" si="64"/>
        <v>96794.482280188473</v>
      </c>
      <c r="F45" s="233">
        <f t="shared" si="31"/>
        <v>2928235.4873279999</v>
      </c>
      <c r="G45" s="17">
        <f t="shared" si="65"/>
        <v>864509.39999999979</v>
      </c>
      <c r="H45" s="21">
        <f t="shared" si="32"/>
        <v>399516.78250268532</v>
      </c>
      <c r="I45" s="15">
        <v>0</v>
      </c>
      <c r="J45" s="21">
        <f t="shared" si="33"/>
        <v>171233.59136020963</v>
      </c>
      <c r="K45" s="21">
        <f t="shared" si="34"/>
        <v>-510199.56389231503</v>
      </c>
      <c r="L45" s="21">
        <f t="shared" si="35"/>
        <v>-1645921.4893131927</v>
      </c>
      <c r="N45" s="15">
        <v>15</v>
      </c>
      <c r="O45" s="31">
        <f t="shared" si="16"/>
        <v>0.48101709809097021</v>
      </c>
      <c r="P45" s="31">
        <f t="shared" si="17"/>
        <v>0.23939204936916339</v>
      </c>
      <c r="Q45" s="31">
        <f t="shared" si="18"/>
        <v>0.1228944852053365</v>
      </c>
      <c r="R45" s="82">
        <f t="shared" si="19"/>
        <v>6.4905471518874491E-2</v>
      </c>
      <c r="S45" s="84">
        <f t="shared" si="20"/>
        <v>2145475.6290493784</v>
      </c>
      <c r="T45" s="87">
        <f t="shared" si="36"/>
        <v>46559.800977634099</v>
      </c>
      <c r="U45" s="87">
        <f t="shared" si="37"/>
        <v>1408531.3366415126</v>
      </c>
      <c r="V45" s="87">
        <f t="shared" si="38"/>
        <v>415843.80286036571</v>
      </c>
      <c r="W45" s="87">
        <f t="shared" si="39"/>
        <v>192174.40335808299</v>
      </c>
      <c r="X45" s="87">
        <f t="shared" si="40"/>
        <v>0</v>
      </c>
      <c r="Y45" s="86">
        <f t="shared" si="41"/>
        <v>2063109.3438375953</v>
      </c>
      <c r="Z45" s="84">
        <f t="shared" si="21"/>
        <v>1067757.9024698026</v>
      </c>
      <c r="AA45" s="87">
        <f t="shared" si="42"/>
        <v>23171.829480681488</v>
      </c>
      <c r="AB45" s="87">
        <f t="shared" si="43"/>
        <v>700996.29434696073</v>
      </c>
      <c r="AC45" s="87">
        <f t="shared" si="44"/>
        <v>206956.67696490578</v>
      </c>
      <c r="AD45" s="87">
        <f t="shared" si="45"/>
        <v>95641.141320692157</v>
      </c>
      <c r="AE45" s="87">
        <f t="shared" si="46"/>
        <v>0</v>
      </c>
      <c r="AF45" s="86">
        <f t="shared" si="47"/>
        <v>1026765.9421132401</v>
      </c>
      <c r="AG45" s="84">
        <f t="shared" si="22"/>
        <v>548145.01189052116</v>
      </c>
      <c r="AH45" s="87">
        <f t="shared" si="48"/>
        <v>11895.508070540827</v>
      </c>
      <c r="AI45" s="87">
        <f t="shared" si="49"/>
        <v>359863.99277517217</v>
      </c>
      <c r="AJ45" s="87">
        <f t="shared" si="50"/>
        <v>106243.4376681743</v>
      </c>
      <c r="AK45" s="87">
        <f t="shared" si="51"/>
        <v>49098.409316559897</v>
      </c>
      <c r="AL45" s="87">
        <f t="shared" si="52"/>
        <v>0</v>
      </c>
      <c r="AM45" s="86">
        <f t="shared" si="53"/>
        <v>527101.34783044725</v>
      </c>
      <c r="AN45" s="84">
        <f t="shared" si="23"/>
        <v>289497.20891079039</v>
      </c>
      <c r="AO45" s="87">
        <f t="shared" si="54"/>
        <v>6282.491512820975</v>
      </c>
      <c r="AP45" s="87">
        <f t="shared" si="55"/>
        <v>190058.50502332507</v>
      </c>
      <c r="AQ45" s="87">
        <f t="shared" si="56"/>
        <v>56111.390239499262</v>
      </c>
      <c r="AR45" s="87">
        <f t="shared" si="57"/>
        <v>25930.825148040418</v>
      </c>
      <c r="AS45" s="87">
        <f t="shared" si="58"/>
        <v>0</v>
      </c>
      <c r="AT45" s="86">
        <f t="shared" si="59"/>
        <v>278383.21192368574</v>
      </c>
      <c r="AU45" s="33">
        <f t="shared" si="24"/>
        <v>82366.285211783135</v>
      </c>
      <c r="AV45" s="79">
        <f t="shared" si="25"/>
        <v>40991.960356562515</v>
      </c>
      <c r="AW45" s="79">
        <f t="shared" si="26"/>
        <v>21043.664060073905</v>
      </c>
      <c r="AX45" s="204">
        <f t="shared" si="27"/>
        <v>11113.996987104649</v>
      </c>
      <c r="AY45" s="79">
        <f t="shared" si="71"/>
        <v>103198939.06649248</v>
      </c>
      <c r="AZ45" s="79">
        <f t="shared" si="72"/>
        <v>79514590.065542132</v>
      </c>
      <c r="BA45" s="79">
        <f t="shared" si="66"/>
        <v>62198238.994768381</v>
      </c>
      <c r="BB45" s="79">
        <f t="shared" si="66"/>
        <v>49164208.30535043</v>
      </c>
      <c r="BC45" s="33">
        <f t="shared" si="60"/>
        <v>2.1273497019530407</v>
      </c>
      <c r="BD45" s="33">
        <f t="shared" si="61"/>
        <v>1.0587370114213781</v>
      </c>
      <c r="BE45" s="33">
        <f t="shared" si="62"/>
        <v>0.54351404037575601</v>
      </c>
      <c r="BF45" s="33">
        <f t="shared" si="63"/>
        <v>0.28705140844013322</v>
      </c>
      <c r="BM45" s="14">
        <f t="shared" si="67"/>
        <v>2.2567781546191868E-2</v>
      </c>
      <c r="BN45" s="14">
        <f t="shared" si="68"/>
        <v>0.68272258125761742</v>
      </c>
      <c r="BO45" s="14">
        <f t="shared" si="69"/>
        <v>9.3147948717356335E-2</v>
      </c>
      <c r="BP45" s="14">
        <f t="shared" si="70"/>
        <v>0.20156168847883435</v>
      </c>
    </row>
    <row r="46" spans="1:68" x14ac:dyDescent="0.35">
      <c r="A46" s="15">
        <v>16</v>
      </c>
      <c r="B46" s="21">
        <f t="shared" si="28"/>
        <v>3916876.0499431277</v>
      </c>
      <c r="C46" s="21">
        <f t="shared" si="29"/>
        <v>3305071.9810216213</v>
      </c>
      <c r="D46" s="21">
        <f t="shared" si="30"/>
        <v>2252148.3116820711</v>
      </c>
      <c r="E46" s="21">
        <f t="shared" si="64"/>
        <v>83125.552842596109</v>
      </c>
      <c r="F46" s="233">
        <f t="shared" si="31"/>
        <v>2880231.6268799999</v>
      </c>
      <c r="G46" s="17">
        <f t="shared" si="65"/>
        <v>850565.69999999972</v>
      </c>
      <c r="H46" s="21">
        <f t="shared" si="32"/>
        <v>393734.49822990148</v>
      </c>
      <c r="I46" s="15">
        <v>0</v>
      </c>
      <c r="J46" s="21">
        <f t="shared" si="33"/>
        <v>-290781.32800936932</v>
      </c>
      <c r="K46" s="21">
        <f t="shared" si="34"/>
        <v>-902585.39693087572</v>
      </c>
      <c r="L46" s="21">
        <f t="shared" si="35"/>
        <v>-1955509.0662704261</v>
      </c>
      <c r="N46" s="15">
        <v>16</v>
      </c>
      <c r="O46" s="31">
        <f t="shared" si="16"/>
        <v>0.45811152199140021</v>
      </c>
      <c r="P46" s="31">
        <f t="shared" si="17"/>
        <v>0.21762913579014853</v>
      </c>
      <c r="Q46" s="31">
        <f t="shared" si="18"/>
        <v>0.10686476974377089</v>
      </c>
      <c r="R46" s="82">
        <f t="shared" si="19"/>
        <v>5.4087892932395409E-2</v>
      </c>
      <c r="S46" s="84">
        <f t="shared" si="20"/>
        <v>1794366.04869111</v>
      </c>
      <c r="T46" s="87">
        <f t="shared" si="36"/>
        <v>38080.773529098267</v>
      </c>
      <c r="U46" s="87">
        <f t="shared" si="37"/>
        <v>1319467.2942777635</v>
      </c>
      <c r="V46" s="87">
        <f t="shared" si="38"/>
        <v>389653.94738068059</v>
      </c>
      <c r="W46" s="87">
        <f t="shared" si="39"/>
        <v>180374.31024462043</v>
      </c>
      <c r="X46" s="87">
        <f t="shared" si="40"/>
        <v>0</v>
      </c>
      <c r="Y46" s="86">
        <f t="shared" si="41"/>
        <v>1927576.3254321627</v>
      </c>
      <c r="Z46" s="84">
        <f t="shared" si="21"/>
        <v>852426.34974625357</v>
      </c>
      <c r="AA46" s="87">
        <f t="shared" si="42"/>
        <v>18090.542227212514</v>
      </c>
      <c r="AB46" s="87">
        <f t="shared" si="43"/>
        <v>626822.31983334792</v>
      </c>
      <c r="AC46" s="87">
        <f t="shared" si="44"/>
        <v>185107.87822374268</v>
      </c>
      <c r="AD46" s="87">
        <f t="shared" si="45"/>
        <v>85688.09858054122</v>
      </c>
      <c r="AE46" s="87">
        <f t="shared" si="46"/>
        <v>0</v>
      </c>
      <c r="AF46" s="86">
        <f t="shared" si="47"/>
        <v>915708.83886484429</v>
      </c>
      <c r="AG46" s="84">
        <f t="shared" si="22"/>
        <v>418576.05719206319</v>
      </c>
      <c r="AH46" s="87">
        <f t="shared" si="48"/>
        <v>8883.1930643476935</v>
      </c>
      <c r="AI46" s="87">
        <f t="shared" si="49"/>
        <v>307795.28961525782</v>
      </c>
      <c r="AJ46" s="87">
        <f t="shared" si="50"/>
        <v>90895.507682449272</v>
      </c>
      <c r="AK46" s="87">
        <f t="shared" si="51"/>
        <v>42076.346493517587</v>
      </c>
      <c r="AL46" s="87">
        <f t="shared" si="52"/>
        <v>0</v>
      </c>
      <c r="AM46" s="86">
        <f t="shared" si="53"/>
        <v>449650.3368555723</v>
      </c>
      <c r="AN46" s="84">
        <f t="shared" si="23"/>
        <v>211855.57241878775</v>
      </c>
      <c r="AO46" s="87">
        <f t="shared" si="54"/>
        <v>4496.0860020965156</v>
      </c>
      <c r="AP46" s="87">
        <f t="shared" si="55"/>
        <v>155785.65985518447</v>
      </c>
      <c r="AQ46" s="87">
        <f t="shared" si="56"/>
        <v>46005.306513567943</v>
      </c>
      <c r="AR46" s="87">
        <f t="shared" si="57"/>
        <v>21296.269384049341</v>
      </c>
      <c r="AS46" s="87">
        <f t="shared" si="58"/>
        <v>0</v>
      </c>
      <c r="AT46" s="86">
        <f t="shared" si="59"/>
        <v>227583.32175489826</v>
      </c>
      <c r="AU46" s="33">
        <f t="shared" si="24"/>
        <v>-133210.27674105274</v>
      </c>
      <c r="AV46" s="79">
        <f t="shared" si="25"/>
        <v>-63282.489118590718</v>
      </c>
      <c r="AW46" s="79">
        <f t="shared" si="26"/>
        <v>-31074.279663509107</v>
      </c>
      <c r="AX46" s="204">
        <f t="shared" si="27"/>
        <v>-15727.749336110515</v>
      </c>
      <c r="AY46" s="79">
        <f t="shared" si="71"/>
        <v>103198939.06649248</v>
      </c>
      <c r="AZ46" s="79">
        <f t="shared" si="72"/>
        <v>79514590.065542132</v>
      </c>
      <c r="BA46" s="79">
        <f t="shared" si="66"/>
        <v>62198238.994768381</v>
      </c>
      <c r="BB46" s="79">
        <f t="shared" si="66"/>
        <v>49164208.30535043</v>
      </c>
      <c r="BC46" s="33">
        <f t="shared" si="60"/>
        <v>-4.0062974676780634</v>
      </c>
      <c r="BD46" s="33">
        <f t="shared" si="61"/>
        <v>-1.9032200976281148</v>
      </c>
      <c r="BE46" s="33">
        <f t="shared" si="62"/>
        <v>-0.93455858640574596</v>
      </c>
      <c r="BF46" s="33">
        <f t="shared" si="63"/>
        <v>-0.47301187174935477</v>
      </c>
      <c r="BM46" s="14">
        <f t="shared" si="67"/>
        <v>1.9755779849890277E-2</v>
      </c>
      <c r="BN46" s="14">
        <f t="shared" si="68"/>
        <v>0.68452142562081886</v>
      </c>
      <c r="BO46" s="14">
        <f t="shared" si="69"/>
        <v>9.3575703262583132E-2</v>
      </c>
      <c r="BP46" s="14">
        <f t="shared" si="70"/>
        <v>0.20214709126670777</v>
      </c>
    </row>
    <row r="47" spans="1:68" x14ac:dyDescent="0.35">
      <c r="A47" s="15">
        <v>17</v>
      </c>
      <c r="B47" s="21">
        <f t="shared" si="28"/>
        <v>3596646.3274076045</v>
      </c>
      <c r="C47" s="21">
        <f t="shared" si="29"/>
        <v>3023094.7536017415</v>
      </c>
      <c r="D47" s="21">
        <f t="shared" si="30"/>
        <v>2007430.5083205248</v>
      </c>
      <c r="E47" s="21">
        <f t="shared" si="64"/>
        <v>74681.194505971886</v>
      </c>
      <c r="F47" s="233">
        <f t="shared" si="31"/>
        <v>2928235.4873279999</v>
      </c>
      <c r="G47" s="17">
        <f t="shared" si="65"/>
        <v>864509.39999999979</v>
      </c>
      <c r="H47" s="21">
        <f t="shared" si="32"/>
        <v>393486.93678529374</v>
      </c>
      <c r="I47" s="15">
        <v>0</v>
      </c>
      <c r="J47" s="21">
        <f t="shared" si="33"/>
        <v>-664266.69121166074</v>
      </c>
      <c r="K47" s="21">
        <f t="shared" si="34"/>
        <v>-1237818.2650175239</v>
      </c>
      <c r="L47" s="21">
        <f t="shared" si="35"/>
        <v>-2253482.5102987406</v>
      </c>
      <c r="N47" s="15">
        <v>17</v>
      </c>
      <c r="O47" s="31">
        <f t="shared" si="16"/>
        <v>0.43629668761085727</v>
      </c>
      <c r="P47" s="31">
        <f t="shared" si="17"/>
        <v>0.19784466890013502</v>
      </c>
      <c r="Q47" s="31">
        <f t="shared" si="18"/>
        <v>9.2925886733713825E-2</v>
      </c>
      <c r="R47" s="82">
        <f t="shared" si="19"/>
        <v>4.5073244110329508E-2</v>
      </c>
      <c r="S47" s="84">
        <f t="shared" si="20"/>
        <v>1569204.8791556926</v>
      </c>
      <c r="T47" s="87">
        <f t="shared" si="36"/>
        <v>32583.157789777684</v>
      </c>
      <c r="U47" s="87">
        <f t="shared" si="37"/>
        <v>1277579.4436657708</v>
      </c>
      <c r="V47" s="87">
        <f t="shared" si="38"/>
        <v>377182.58762844955</v>
      </c>
      <c r="W47" s="87">
        <f t="shared" si="39"/>
        <v>171677.04713756643</v>
      </c>
      <c r="X47" s="87">
        <f t="shared" si="40"/>
        <v>0</v>
      </c>
      <c r="Y47" s="86">
        <f t="shared" si="41"/>
        <v>1859022.2362215645</v>
      </c>
      <c r="Z47" s="84">
        <f t="shared" si="21"/>
        <v>711577.30179684411</v>
      </c>
      <c r="AA47" s="87">
        <f t="shared" si="42"/>
        <v>14775.27620010059</v>
      </c>
      <c r="AB47" s="87">
        <f t="shared" si="43"/>
        <v>579335.78045203362</v>
      </c>
      <c r="AC47" s="87">
        <f t="shared" si="44"/>
        <v>171038.57600405434</v>
      </c>
      <c r="AD47" s="87">
        <f t="shared" si="45"/>
        <v>77849.292724814804</v>
      </c>
      <c r="AE47" s="87">
        <f t="shared" si="46"/>
        <v>0</v>
      </c>
      <c r="AF47" s="86">
        <f t="shared" si="47"/>
        <v>842998.92538100341</v>
      </c>
      <c r="AG47" s="84">
        <f t="shared" si="22"/>
        <v>334221.54924190685</v>
      </c>
      <c r="AH47" s="87">
        <f t="shared" si="48"/>
        <v>6939.8162218003945</v>
      </c>
      <c r="AI47" s="87">
        <f t="shared" si="49"/>
        <v>272108.87922508304</v>
      </c>
      <c r="AJ47" s="87">
        <f t="shared" si="50"/>
        <v>80335.302584630874</v>
      </c>
      <c r="AK47" s="87">
        <f t="shared" si="51"/>
        <v>36565.122518906217</v>
      </c>
      <c r="AL47" s="87">
        <f t="shared" si="52"/>
        <v>0</v>
      </c>
      <c r="AM47" s="86">
        <f t="shared" si="53"/>
        <v>395949.12055042048</v>
      </c>
      <c r="AN47" s="84">
        <f t="shared" si="23"/>
        <v>162112.51789376306</v>
      </c>
      <c r="AO47" s="87">
        <f t="shared" si="54"/>
        <v>3366.1237104186698</v>
      </c>
      <c r="AP47" s="87">
        <f t="shared" si="55"/>
        <v>131985.07293286463</v>
      </c>
      <c r="AQ47" s="87">
        <f t="shared" si="56"/>
        <v>38966.243221874487</v>
      </c>
      <c r="AR47" s="87">
        <f t="shared" si="57"/>
        <v>17735.732755949339</v>
      </c>
      <c r="AS47" s="87">
        <f t="shared" si="58"/>
        <v>0</v>
      </c>
      <c r="AT47" s="86">
        <f t="shared" si="59"/>
        <v>192053.17262110714</v>
      </c>
      <c r="AU47" s="33">
        <f t="shared" si="24"/>
        <v>-289817.35706587182</v>
      </c>
      <c r="AV47" s="79">
        <f t="shared" si="25"/>
        <v>-131421.6235841593</v>
      </c>
      <c r="AW47" s="79">
        <f t="shared" si="26"/>
        <v>-61727.571308513638</v>
      </c>
      <c r="AX47" s="204">
        <f t="shared" si="27"/>
        <v>-29940.654727344081</v>
      </c>
      <c r="AY47" s="79">
        <f t="shared" si="71"/>
        <v>103198939.06649248</v>
      </c>
      <c r="AZ47" s="79">
        <f t="shared" si="72"/>
        <v>79514590.065542132</v>
      </c>
      <c r="BA47" s="79">
        <f t="shared" si="66"/>
        <v>62198238.994768381</v>
      </c>
      <c r="BB47" s="79">
        <f t="shared" si="66"/>
        <v>49164208.30535043</v>
      </c>
      <c r="BC47" s="33">
        <f t="shared" si="60"/>
        <v>-9.7018184759583797</v>
      </c>
      <c r="BD47" s="33">
        <f t="shared" si="61"/>
        <v>-4.3994215830884356</v>
      </c>
      <c r="BE47" s="33">
        <f t="shared" si="62"/>
        <v>-2.0663693087949198</v>
      </c>
      <c r="BF47" s="33">
        <f t="shared" si="63"/>
        <v>-1.0022822654821715</v>
      </c>
      <c r="BM47" s="14">
        <f t="shared" si="67"/>
        <v>1.7527040373654958E-2</v>
      </c>
      <c r="BN47" s="14">
        <f t="shared" si="68"/>
        <v>0.68723193234225766</v>
      </c>
      <c r="BO47" s="14">
        <f t="shared" si="69"/>
        <v>9.2348033171726629E-2</v>
      </c>
      <c r="BP47" s="14">
        <f t="shared" si="70"/>
        <v>0.20289299411236073</v>
      </c>
    </row>
    <row r="48" spans="1:68" x14ac:dyDescent="0.35">
      <c r="A48" s="15">
        <v>18</v>
      </c>
      <c r="B48" s="21">
        <f t="shared" si="28"/>
        <v>3275544.5498359967</v>
      </c>
      <c r="C48" s="21">
        <f t="shared" si="29"/>
        <v>2742935.6799439662</v>
      </c>
      <c r="D48" s="21">
        <f t="shared" si="30"/>
        <v>1775362.899640108</v>
      </c>
      <c r="E48" s="21">
        <f t="shared" si="64"/>
        <v>66576.108736504029</v>
      </c>
      <c r="F48" s="233">
        <f t="shared" si="31"/>
        <v>2928235.4873279999</v>
      </c>
      <c r="G48" s="17">
        <f t="shared" si="65"/>
        <v>864509.39999999979</v>
      </c>
      <c r="H48" s="21">
        <f t="shared" si="32"/>
        <v>390975.76843021251</v>
      </c>
      <c r="I48" s="15">
        <v>0</v>
      </c>
      <c r="J48" s="21">
        <f t="shared" si="33"/>
        <v>-974752.21465871937</v>
      </c>
      <c r="K48" s="21">
        <f t="shared" si="34"/>
        <v>-1507361.08455075</v>
      </c>
      <c r="L48" s="21">
        <f t="shared" si="35"/>
        <v>-2474933.8648546082</v>
      </c>
      <c r="N48" s="15">
        <v>18</v>
      </c>
      <c r="O48" s="31">
        <f t="shared" si="16"/>
        <v>0.41552065486748313</v>
      </c>
      <c r="P48" s="31">
        <f t="shared" si="17"/>
        <v>0.17985878990921364</v>
      </c>
      <c r="Q48" s="31">
        <f t="shared" si="18"/>
        <v>8.0805118898881603E-2</v>
      </c>
      <c r="R48" s="82">
        <f t="shared" si="19"/>
        <v>3.7561036758607926E-2</v>
      </c>
      <c r="S48" s="84">
        <f t="shared" si="20"/>
        <v>1361056.4163954686</v>
      </c>
      <c r="T48" s="87">
        <f t="shared" si="36"/>
        <v>27663.748300720919</v>
      </c>
      <c r="U48" s="87">
        <f t="shared" si="37"/>
        <v>1216742.3273007341</v>
      </c>
      <c r="V48" s="87">
        <f t="shared" si="38"/>
        <v>359221.51202709484</v>
      </c>
      <c r="W48" s="87">
        <f t="shared" si="39"/>
        <v>162458.50733543935</v>
      </c>
      <c r="X48" s="87">
        <f t="shared" si="40"/>
        <v>0</v>
      </c>
      <c r="Y48" s="86">
        <f t="shared" si="41"/>
        <v>1766086.0949639892</v>
      </c>
      <c r="Z48" s="84">
        <f t="shared" si="21"/>
        <v>589135.47902722226</v>
      </c>
      <c r="AA48" s="87">
        <f t="shared" si="42"/>
        <v>11974.298354211842</v>
      </c>
      <c r="AB48" s="87">
        <f t="shared" si="43"/>
        <v>526668.89132003055</v>
      </c>
      <c r="AC48" s="87">
        <f t="shared" si="44"/>
        <v>155489.6145491403</v>
      </c>
      <c r="AD48" s="87">
        <f t="shared" si="45"/>
        <v>70320.428593682955</v>
      </c>
      <c r="AE48" s="87">
        <f t="shared" si="46"/>
        <v>0</v>
      </c>
      <c r="AF48" s="86">
        <f t="shared" si="47"/>
        <v>764453.23281706567</v>
      </c>
      <c r="AG48" s="84">
        <f t="shared" si="22"/>
        <v>264680.7668080813</v>
      </c>
      <c r="AH48" s="87">
        <f t="shared" si="48"/>
        <v>5379.6903822780787</v>
      </c>
      <c r="AI48" s="87">
        <f t="shared" si="49"/>
        <v>236616.41671746355</v>
      </c>
      <c r="AJ48" s="87">
        <f t="shared" si="50"/>
        <v>69856.784856200786</v>
      </c>
      <c r="AK48" s="87">
        <f t="shared" si="51"/>
        <v>31592.843454584923</v>
      </c>
      <c r="AL48" s="87">
        <f t="shared" si="52"/>
        <v>0</v>
      </c>
      <c r="AM48" s="86">
        <f t="shared" si="53"/>
        <v>343445.73541052738</v>
      </c>
      <c r="AN48" s="84">
        <f t="shared" si="23"/>
        <v>123032.84924084772</v>
      </c>
      <c r="AO48" s="87">
        <f t="shared" si="54"/>
        <v>2500.6676674969062</v>
      </c>
      <c r="AP48" s="87">
        <f t="shared" si="55"/>
        <v>109987.5607773872</v>
      </c>
      <c r="AQ48" s="87">
        <f t="shared" si="56"/>
        <v>32471.869351562076</v>
      </c>
      <c r="AR48" s="87">
        <f t="shared" si="57"/>
        <v>14685.455209732192</v>
      </c>
      <c r="AS48" s="87">
        <f t="shared" si="58"/>
        <v>0</v>
      </c>
      <c r="AT48" s="86">
        <f t="shared" si="59"/>
        <v>159645.55300617838</v>
      </c>
      <c r="AU48" s="33">
        <f t="shared" si="24"/>
        <v>-405029.67856852058</v>
      </c>
      <c r="AV48" s="79">
        <f t="shared" si="25"/>
        <v>-175317.75378984341</v>
      </c>
      <c r="AW48" s="79">
        <f t="shared" si="26"/>
        <v>-78764.968602446083</v>
      </c>
      <c r="AX48" s="204">
        <f t="shared" si="27"/>
        <v>-36612.703765330662</v>
      </c>
      <c r="AY48" s="79">
        <f t="shared" si="71"/>
        <v>103198939.06649248</v>
      </c>
      <c r="AZ48" s="79">
        <f t="shared" si="72"/>
        <v>79514590.065542132</v>
      </c>
      <c r="BA48" s="79">
        <f t="shared" si="72"/>
        <v>62198238.994768381</v>
      </c>
      <c r="BB48" s="79">
        <f t="shared" si="72"/>
        <v>49164208.30535043</v>
      </c>
      <c r="BC48" s="33">
        <f t="shared" si="60"/>
        <v>-15.209272750212596</v>
      </c>
      <c r="BD48" s="33">
        <f t="shared" si="61"/>
        <v>-6.5833583967680802</v>
      </c>
      <c r="BE48" s="33">
        <f t="shared" si="62"/>
        <v>-2.9577039758430201</v>
      </c>
      <c r="BF48" s="33">
        <f t="shared" si="63"/>
        <v>-1.3748439365177152</v>
      </c>
      <c r="BM48" s="14">
        <f t="shared" si="67"/>
        <v>1.5663873001211182E-2</v>
      </c>
      <c r="BN48" s="14">
        <f t="shared" si="68"/>
        <v>0.68894847808965032</v>
      </c>
      <c r="BO48" s="14">
        <f t="shared" si="69"/>
        <v>9.1987875222329915E-2</v>
      </c>
      <c r="BP48" s="14">
        <f t="shared" si="70"/>
        <v>0.20339977368680853</v>
      </c>
    </row>
    <row r="49" spans="1:68" x14ac:dyDescent="0.35">
      <c r="A49" s="15">
        <v>19</v>
      </c>
      <c r="B49" s="21">
        <f t="shared" si="28"/>
        <v>3006374.4474531193</v>
      </c>
      <c r="C49" s="21">
        <f t="shared" si="29"/>
        <v>2503716.2993916911</v>
      </c>
      <c r="D49" s="21">
        <f t="shared" si="30"/>
        <v>1582974.2313553593</v>
      </c>
      <c r="E49" s="21">
        <f t="shared" si="64"/>
        <v>59840.25572159874</v>
      </c>
      <c r="F49" s="233">
        <f t="shared" si="31"/>
        <v>2928235.4873279943</v>
      </c>
      <c r="G49" s="17">
        <f t="shared" si="65"/>
        <v>864509.39999999979</v>
      </c>
      <c r="H49" s="21">
        <f t="shared" si="32"/>
        <v>388709.90318094165</v>
      </c>
      <c r="I49" s="15">
        <v>0</v>
      </c>
      <c r="J49" s="21">
        <f t="shared" si="33"/>
        <v>-1234920.5987774152</v>
      </c>
      <c r="K49" s="21">
        <f t="shared" si="34"/>
        <v>-1737578.746838843</v>
      </c>
      <c r="L49" s="21">
        <f t="shared" si="35"/>
        <v>-2658320.8148751752</v>
      </c>
      <c r="N49" s="15">
        <v>19</v>
      </c>
      <c r="O49" s="31">
        <f t="shared" si="16"/>
        <v>0.39573395701665059</v>
      </c>
      <c r="P49" s="31">
        <f t="shared" si="17"/>
        <v>0.16350799082655781</v>
      </c>
      <c r="Q49" s="31">
        <f t="shared" si="18"/>
        <v>7.0265320781636179E-2</v>
      </c>
      <c r="R49" s="82">
        <f t="shared" si="19"/>
        <v>3.1300863965506603E-2</v>
      </c>
      <c r="S49" s="84">
        <f t="shared" si="20"/>
        <v>1189724.4563643695</v>
      </c>
      <c r="T49" s="87">
        <f t="shared" si="36"/>
        <v>23680.821185596535</v>
      </c>
      <c r="U49" s="87">
        <f t="shared" si="37"/>
        <v>1158802.2164768875</v>
      </c>
      <c r="V49" s="87">
        <f t="shared" si="38"/>
        <v>342115.7257400903</v>
      </c>
      <c r="W49" s="87">
        <f t="shared" si="39"/>
        <v>153825.70811735318</v>
      </c>
      <c r="X49" s="87">
        <f t="shared" si="40"/>
        <v>0</v>
      </c>
      <c r="Y49" s="86">
        <f t="shared" si="41"/>
        <v>1678424.4715199275</v>
      </c>
      <c r="Z49" s="84">
        <f t="shared" si="21"/>
        <v>491566.24557536247</v>
      </c>
      <c r="AA49" s="87">
        <f t="shared" si="42"/>
        <v>9784.3599835860405</v>
      </c>
      <c r="AB49" s="87">
        <f t="shared" si="43"/>
        <v>478789.90120002674</v>
      </c>
      <c r="AC49" s="87">
        <f t="shared" si="44"/>
        <v>141354.19504467296</v>
      </c>
      <c r="AD49" s="87">
        <f t="shared" si="45"/>
        <v>63557.17528350158</v>
      </c>
      <c r="AE49" s="87">
        <f t="shared" si="46"/>
        <v>0</v>
      </c>
      <c r="AF49" s="86">
        <f t="shared" si="47"/>
        <v>693485.6315117873</v>
      </c>
      <c r="AG49" s="84">
        <f t="shared" si="22"/>
        <v>211243.86494000765</v>
      </c>
      <c r="AH49" s="87">
        <f t="shared" si="48"/>
        <v>4204.6947639332748</v>
      </c>
      <c r="AI49" s="87">
        <f t="shared" si="49"/>
        <v>205753.40584127227</v>
      </c>
      <c r="AJ49" s="87">
        <f t="shared" si="50"/>
        <v>60745.030309739806</v>
      </c>
      <c r="AK49" s="87">
        <f t="shared" si="51"/>
        <v>27312.826038007606</v>
      </c>
      <c r="AL49" s="87">
        <f t="shared" si="52"/>
        <v>0</v>
      </c>
      <c r="AM49" s="86">
        <f t="shared" si="53"/>
        <v>298015.95695295295</v>
      </c>
      <c r="AN49" s="84">
        <f t="shared" si="23"/>
        <v>94102.117609105175</v>
      </c>
      <c r="AO49" s="87">
        <f t="shared" si="54"/>
        <v>1873.0517040028903</v>
      </c>
      <c r="AP49" s="87">
        <f t="shared" si="55"/>
        <v>91656.300647822485</v>
      </c>
      <c r="AQ49" s="87">
        <f t="shared" si="56"/>
        <v>27059.891126301729</v>
      </c>
      <c r="AR49" s="87">
        <f t="shared" si="57"/>
        <v>12166.955801511896</v>
      </c>
      <c r="AS49" s="87">
        <f t="shared" si="58"/>
        <v>0</v>
      </c>
      <c r="AT49" s="86">
        <f t="shared" si="59"/>
        <v>132756.199279639</v>
      </c>
      <c r="AU49" s="33">
        <f t="shared" si="24"/>
        <v>-488700.01515555801</v>
      </c>
      <c r="AV49" s="79">
        <f t="shared" si="25"/>
        <v>-201919.38593642483</v>
      </c>
      <c r="AW49" s="79">
        <f t="shared" si="26"/>
        <v>-86772.092012945301</v>
      </c>
      <c r="AX49" s="204">
        <f t="shared" si="27"/>
        <v>-38654.081670533822</v>
      </c>
      <c r="AY49" s="79">
        <f t="shared" si="71"/>
        <v>103198939.06649248</v>
      </c>
      <c r="AZ49" s="79">
        <f t="shared" si="72"/>
        <v>79514590.065542132</v>
      </c>
      <c r="BA49" s="79">
        <f t="shared" si="72"/>
        <v>62198238.994768381</v>
      </c>
      <c r="BB49" s="79">
        <f t="shared" si="72"/>
        <v>49164208.30535043</v>
      </c>
      <c r="BC49" s="33">
        <f t="shared" si="60"/>
        <v>-20.416858570474265</v>
      </c>
      <c r="BD49" s="33">
        <f t="shared" si="61"/>
        <v>-8.4357671730146055</v>
      </c>
      <c r="BE49" s="33">
        <f t="shared" si="62"/>
        <v>-3.625155464602476</v>
      </c>
      <c r="BF49" s="33">
        <f t="shared" si="63"/>
        <v>-1.6148862168290341</v>
      </c>
      <c r="BM49" s="14">
        <f t="shared" si="67"/>
        <v>1.4108958483042102E-2</v>
      </c>
      <c r="BN49" s="14">
        <f t="shared" si="68"/>
        <v>0.69041070130937332</v>
      </c>
      <c r="BO49" s="14">
        <f t="shared" si="69"/>
        <v>9.1648871145243463E-2</v>
      </c>
      <c r="BP49" s="14">
        <f t="shared" si="70"/>
        <v>0.20383146906234112</v>
      </c>
    </row>
    <row r="50" spans="1:68" x14ac:dyDescent="0.35">
      <c r="A50" s="15">
        <v>20</v>
      </c>
      <c r="B50" s="21">
        <f t="shared" si="28"/>
        <v>2777163.0543800914</v>
      </c>
      <c r="C50" s="21">
        <f t="shared" si="29"/>
        <v>2300582.8110387349</v>
      </c>
      <c r="D50" s="21">
        <f t="shared" si="30"/>
        <v>1421075.6346905939</v>
      </c>
      <c r="E50" s="21">
        <f t="shared" si="64"/>
        <v>54156.845834245178</v>
      </c>
      <c r="F50" s="233">
        <f t="shared" si="31"/>
        <v>2928235.4873279999</v>
      </c>
      <c r="G50" s="17">
        <f t="shared" si="65"/>
        <v>864509.39999999979</v>
      </c>
      <c r="H50" s="21">
        <f t="shared" si="32"/>
        <v>386639.10322055919</v>
      </c>
      <c r="I50" s="15">
        <v>0</v>
      </c>
      <c r="J50" s="21">
        <f t="shared" si="33"/>
        <v>-1456377.7820027126</v>
      </c>
      <c r="K50" s="21">
        <f t="shared" si="34"/>
        <v>-1932958.0253440691</v>
      </c>
      <c r="L50" s="21">
        <f t="shared" si="35"/>
        <v>-2812465.20169221</v>
      </c>
      <c r="N50" s="15">
        <v>20</v>
      </c>
      <c r="O50" s="31">
        <f t="shared" si="16"/>
        <v>0.37688948287300061</v>
      </c>
      <c r="P50" s="31">
        <f t="shared" si="17"/>
        <v>0.14864362802414349</v>
      </c>
      <c r="Q50" s="31">
        <f t="shared" si="18"/>
        <v>6.1100278940553199E-2</v>
      </c>
      <c r="R50" s="82">
        <f t="shared" si="19"/>
        <v>2.6084053304588836E-2</v>
      </c>
      <c r="S50" s="84">
        <f t="shared" si="20"/>
        <v>1046683.5474193156</v>
      </c>
      <c r="T50" s="87">
        <f t="shared" si="36"/>
        <v>20411.145620501484</v>
      </c>
      <c r="U50" s="87">
        <f t="shared" si="37"/>
        <v>1103621.1585494189</v>
      </c>
      <c r="V50" s="87">
        <f t="shared" si="38"/>
        <v>325824.50070484797</v>
      </c>
      <c r="W50" s="87">
        <f t="shared" si="39"/>
        <v>145720.21167127727</v>
      </c>
      <c r="X50" s="87">
        <f t="shared" si="40"/>
        <v>0</v>
      </c>
      <c r="Y50" s="86">
        <f t="shared" si="41"/>
        <v>1595577.0165460454</v>
      </c>
      <c r="Z50" s="84">
        <f t="shared" si="21"/>
        <v>412807.59201766847</v>
      </c>
      <c r="AA50" s="87">
        <f t="shared" si="42"/>
        <v>8050.0700471464252</v>
      </c>
      <c r="AB50" s="87">
        <f t="shared" si="43"/>
        <v>435263.54654547974</v>
      </c>
      <c r="AC50" s="87">
        <f t="shared" si="44"/>
        <v>128503.81367697545</v>
      </c>
      <c r="AD50" s="87">
        <f t="shared" si="45"/>
        <v>57471.439038705219</v>
      </c>
      <c r="AE50" s="87">
        <f t="shared" si="46"/>
        <v>0</v>
      </c>
      <c r="AF50" s="86">
        <f t="shared" si="47"/>
        <v>629288.86930830684</v>
      </c>
      <c r="AG50" s="84">
        <f t="shared" si="22"/>
        <v>169685.43728602229</v>
      </c>
      <c r="AH50" s="87">
        <f t="shared" si="48"/>
        <v>3308.9983870129167</v>
      </c>
      <c r="AI50" s="87">
        <f t="shared" si="49"/>
        <v>178916.00507936752</v>
      </c>
      <c r="AJ50" s="87">
        <f t="shared" si="50"/>
        <v>52821.76548673027</v>
      </c>
      <c r="AK50" s="87">
        <f t="shared" si="51"/>
        <v>23623.757056101505</v>
      </c>
      <c r="AL50" s="87">
        <f t="shared" si="52"/>
        <v>0</v>
      </c>
      <c r="AM50" s="86">
        <f t="shared" si="53"/>
        <v>258670.52600921222</v>
      </c>
      <c r="AN50" s="84">
        <f t="shared" si="23"/>
        <v>72439.669145985055</v>
      </c>
      <c r="AO50" s="87">
        <f t="shared" si="54"/>
        <v>1412.630053548851</v>
      </c>
      <c r="AP50" s="87">
        <f t="shared" si="55"/>
        <v>76380.250539852219</v>
      </c>
      <c r="AQ50" s="87">
        <f t="shared" si="56"/>
        <v>22549.909271918106</v>
      </c>
      <c r="AR50" s="87">
        <f t="shared" si="57"/>
        <v>10085.114978043492</v>
      </c>
      <c r="AS50" s="87">
        <f t="shared" si="58"/>
        <v>0</v>
      </c>
      <c r="AT50" s="86">
        <f t="shared" si="59"/>
        <v>110427.90484336267</v>
      </c>
      <c r="AU50" s="33">
        <f t="shared" si="24"/>
        <v>-548893.46912672988</v>
      </c>
      <c r="AV50" s="79">
        <f t="shared" si="25"/>
        <v>-216481.27729063836</v>
      </c>
      <c r="AW50" s="79">
        <f t="shared" si="26"/>
        <v>-88985.088723189925</v>
      </c>
      <c r="AX50" s="204">
        <f t="shared" si="27"/>
        <v>-37988.235697377619</v>
      </c>
      <c r="AY50" s="79">
        <f t="shared" si="71"/>
        <v>103198939.06649248</v>
      </c>
      <c r="AZ50" s="79">
        <f t="shared" si="72"/>
        <v>79514590.065542132</v>
      </c>
      <c r="BA50" s="79">
        <f t="shared" si="72"/>
        <v>62198238.994768381</v>
      </c>
      <c r="BB50" s="79">
        <f t="shared" si="72"/>
        <v>49164208.30535043</v>
      </c>
      <c r="BC50" s="33">
        <f t="shared" si="60"/>
        <v>-25.338138727959588</v>
      </c>
      <c r="BD50" s="33">
        <f t="shared" si="61"/>
        <v>-9.9932554211710585</v>
      </c>
      <c r="BE50" s="33">
        <f t="shared" si="62"/>
        <v>-4.1077488613139321</v>
      </c>
      <c r="BF50" s="33">
        <f t="shared" si="63"/>
        <v>-1.7536211310037368</v>
      </c>
      <c r="BM50" s="14">
        <f t="shared" si="67"/>
        <v>1.2792328674102868E-2</v>
      </c>
      <c r="BN50" s="14">
        <f t="shared" si="68"/>
        <v>0.69167526675611912</v>
      </c>
      <c r="BO50" s="14">
        <f t="shared" si="69"/>
        <v>9.1327595070727838E-2</v>
      </c>
      <c r="BP50" s="14">
        <f t="shared" si="70"/>
        <v>0.20420480949905012</v>
      </c>
    </row>
    <row r="51" spans="1:68" ht="15" thickBot="1" x14ac:dyDescent="0.4">
      <c r="A51" s="15">
        <v>21</v>
      </c>
      <c r="B51" s="21">
        <f t="shared" si="28"/>
        <v>1187551.5920415223</v>
      </c>
      <c r="C51" s="21">
        <f t="shared" si="29"/>
        <v>978731.35796694295</v>
      </c>
      <c r="D51" s="21">
        <f t="shared" si="30"/>
        <v>590749.41581678228</v>
      </c>
      <c r="E51" s="21">
        <f t="shared" si="64"/>
        <v>22697.851529845619</v>
      </c>
      <c r="F51" s="233">
        <f t="shared" si="31"/>
        <v>1315161.7646938507</v>
      </c>
      <c r="G51" s="17">
        <f t="shared" si="65"/>
        <v>395959.2488999989</v>
      </c>
      <c r="H51" s="21">
        <f t="shared" si="32"/>
        <v>302090.08112278959</v>
      </c>
      <c r="I51" s="15">
        <v>0</v>
      </c>
      <c r="J51" s="21">
        <f t="shared" si="33"/>
        <v>-848357.3542049625</v>
      </c>
      <c r="K51" s="21">
        <f t="shared" si="34"/>
        <v>-1057177.5882795418</v>
      </c>
      <c r="L51" s="21">
        <f t="shared" si="35"/>
        <v>-1445159.5304297025</v>
      </c>
      <c r="N51" s="15">
        <v>21</v>
      </c>
      <c r="O51" s="32">
        <f t="shared" si="16"/>
        <v>0.35894236464095297</v>
      </c>
      <c r="P51" s="31">
        <f t="shared" si="17"/>
        <v>0.13513057093103953</v>
      </c>
      <c r="Q51" s="31">
        <f t="shared" si="18"/>
        <v>5.3130677339611479E-2</v>
      </c>
      <c r="R51" s="82">
        <f t="shared" si="19"/>
        <v>2.1736711087157363E-2</v>
      </c>
      <c r="S51" s="85">
        <f t="shared" si="20"/>
        <v>426262.57658051234</v>
      </c>
      <c r="T51" s="92">
        <f t="shared" si="36"/>
        <v>8147.2205003920581</v>
      </c>
      <c r="U51" s="92">
        <f t="shared" si="37"/>
        <v>472067.27370457933</v>
      </c>
      <c r="V51" s="87">
        <f t="shared" si="38"/>
        <v>142126.54910162126</v>
      </c>
      <c r="W51" s="92">
        <f t="shared" si="39"/>
        <v>108432.92805279141</v>
      </c>
      <c r="X51" s="92">
        <f t="shared" si="40"/>
        <v>0</v>
      </c>
      <c r="Y51" s="86">
        <f t="shared" si="41"/>
        <v>730773.97135938413</v>
      </c>
      <c r="Z51" s="84">
        <f t="shared" si="21"/>
        <v>160474.52464263584</v>
      </c>
      <c r="AA51" s="92">
        <f t="shared" si="42"/>
        <v>3067.1736361360076</v>
      </c>
      <c r="AB51" s="92">
        <f t="shared" si="43"/>
        <v>177718.56012975352</v>
      </c>
      <c r="AC51" s="87">
        <f t="shared" si="44"/>
        <v>53506.19936928244</v>
      </c>
      <c r="AD51" s="92">
        <f t="shared" si="45"/>
        <v>40821.605134726604</v>
      </c>
      <c r="AE51" s="92">
        <f t="shared" si="46"/>
        <v>0</v>
      </c>
      <c r="AF51" s="86">
        <f t="shared" si="47"/>
        <v>275113.53826989856</v>
      </c>
      <c r="AG51" s="85">
        <f t="shared" si="22"/>
        <v>63095.420460900044</v>
      </c>
      <c r="AH51" s="92">
        <f t="shared" si="48"/>
        <v>1205.9522259346343</v>
      </c>
      <c r="AI51" s="92">
        <f t="shared" si="49"/>
        <v>69875.435369343017</v>
      </c>
      <c r="AJ51" s="87">
        <f t="shared" si="50"/>
        <v>21037.583092940753</v>
      </c>
      <c r="AK51" s="92">
        <f t="shared" si="51"/>
        <v>16050.250627631991</v>
      </c>
      <c r="AL51" s="92">
        <f t="shared" si="52"/>
        <v>0</v>
      </c>
      <c r="AM51" s="86">
        <f t="shared" si="53"/>
        <v>108169.2213158504</v>
      </c>
      <c r="AN51" s="85">
        <f t="shared" si="23"/>
        <v>25813.465857300336</v>
      </c>
      <c r="AO51" s="92">
        <f t="shared" si="54"/>
        <v>493.37664100344699</v>
      </c>
      <c r="AP51" s="92">
        <f t="shared" si="55"/>
        <v>28587.291312026267</v>
      </c>
      <c r="AQ51" s="87">
        <f t="shared" si="56"/>
        <v>8606.851795627108</v>
      </c>
      <c r="AR51" s="92">
        <f t="shared" si="57"/>
        <v>6566.4448156620083</v>
      </c>
      <c r="AS51" s="92">
        <f t="shared" si="58"/>
        <v>0</v>
      </c>
      <c r="AT51" s="86">
        <f t="shared" si="59"/>
        <v>44253.964564318834</v>
      </c>
      <c r="AU51" s="205">
        <f t="shared" si="24"/>
        <v>-304511.39477887179</v>
      </c>
      <c r="AV51" s="206">
        <f t="shared" si="25"/>
        <v>-114639.01362726273</v>
      </c>
      <c r="AW51" s="206">
        <f t="shared" si="26"/>
        <v>-45073.800854950357</v>
      </c>
      <c r="AX51" s="207">
        <f t="shared" si="27"/>
        <v>-18440.498707018498</v>
      </c>
      <c r="AY51" s="79">
        <f t="shared" si="71"/>
        <v>103198939.06649248</v>
      </c>
      <c r="AZ51" s="79">
        <f t="shared" si="72"/>
        <v>79514590.065542132</v>
      </c>
      <c r="BA51" s="79">
        <f t="shared" si="72"/>
        <v>62198238.994768381</v>
      </c>
      <c r="BB51" s="79">
        <f t="shared" si="72"/>
        <v>49164208.30535043</v>
      </c>
      <c r="BC51" s="33">
        <f t="shared" si="60"/>
        <v>-33.539671626901217</v>
      </c>
      <c r="BD51" s="33">
        <f t="shared" si="61"/>
        <v>-12.626637093440628</v>
      </c>
      <c r="BE51" s="33">
        <f t="shared" si="62"/>
        <v>-4.9645448596403927</v>
      </c>
      <c r="BF51" s="33">
        <f t="shared" si="63"/>
        <v>-2.0310841626101608</v>
      </c>
      <c r="BM51" s="14">
        <f t="shared" si="67"/>
        <v>1.1148755729814264E-2</v>
      </c>
      <c r="BN51" s="14">
        <f t="shared" si="68"/>
        <v>0.64598260502688798</v>
      </c>
      <c r="BO51" s="14">
        <f t="shared" si="69"/>
        <v>0.1483809389804685</v>
      </c>
      <c r="BP51" s="14">
        <f t="shared" si="70"/>
        <v>0.19448770026282927</v>
      </c>
    </row>
    <row r="52" spans="1:68" x14ac:dyDescent="0.35">
      <c r="V52" s="87"/>
      <c r="AJ52" s="87">
        <f t="shared" si="50"/>
        <v>0</v>
      </c>
      <c r="AQ52" s="87">
        <f t="shared" si="56"/>
        <v>0</v>
      </c>
      <c r="AT52" s="86">
        <f t="shared" si="59"/>
        <v>0</v>
      </c>
      <c r="AU52" s="20">
        <f>SUMIF(AU31:AU50,"&gt;0")+AU30</f>
        <v>103198939.06649244</v>
      </c>
      <c r="AV52" s="20">
        <f>SUMIF(AV31:AV50,"&gt;0")+AV30</f>
        <v>79514590.065542132</v>
      </c>
      <c r="AW52" s="20">
        <f>SUMIF(AW31:AW50,"&gt;0")+AW30</f>
        <v>62198238.994768374</v>
      </c>
      <c r="AX52" s="20">
        <f>SUMIF(AX31:AX50,"&gt;0")+AX30</f>
        <v>49164208.305350475</v>
      </c>
    </row>
    <row r="53" spans="1:68" x14ac:dyDescent="0.35">
      <c r="E53" s="64">
        <f>SUM(E30:E50)</f>
        <v>8070874.771380933</v>
      </c>
      <c r="F53" s="64">
        <f>SUM(F30:F50)</f>
        <v>56485393.525219679</v>
      </c>
      <c r="G53" s="234">
        <f>SUM(G30:G50)</f>
        <v>14241775.32</v>
      </c>
      <c r="H53" s="64">
        <f>SUM(H30:H50)</f>
        <v>8855929.2617196031</v>
      </c>
      <c r="I53" s="64">
        <f>SUM(I30:I50)</f>
        <v>33594902.4440751</v>
      </c>
      <c r="AF53" s="113">
        <f>SUM(AF30:AF50)</f>
        <v>71662781.558985099</v>
      </c>
      <c r="AT53" s="19"/>
      <c r="AU53" s="109"/>
      <c r="AV53" s="109"/>
      <c r="AW53" s="109"/>
    </row>
    <row r="54" spans="1:68" x14ac:dyDescent="0.35">
      <c r="F54" s="77"/>
      <c r="AS54" s="19"/>
      <c r="AT54" s="110"/>
      <c r="AU54" s="111"/>
      <c r="AV54" s="112"/>
      <c r="AW54" s="24"/>
    </row>
    <row r="55" spans="1:68" x14ac:dyDescent="0.35">
      <c r="F55" s="115">
        <f>E53+F53+H53+I53+G53</f>
        <v>121248875.32239529</v>
      </c>
    </row>
    <row r="56" spans="1:68" x14ac:dyDescent="0.35">
      <c r="AH56" s="62"/>
      <c r="AI56" s="62"/>
      <c r="AJ56" s="62"/>
    </row>
    <row r="57" spans="1:68" ht="29" x14ac:dyDescent="0.35">
      <c r="E57" s="234">
        <f>SUM(E34:E50)</f>
        <v>4920077.9439514522</v>
      </c>
      <c r="F57" s="234">
        <f t="shared" ref="F57:G57" si="73">SUM(F34:F50)</f>
        <v>47813039.819275409</v>
      </c>
      <c r="G57" s="234">
        <f t="shared" si="73"/>
        <v>14116282.02</v>
      </c>
      <c r="R57" s="45" t="s">
        <v>214</v>
      </c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93"/>
      <c r="AI57" s="93"/>
      <c r="AJ57" s="93"/>
      <c r="AT57" s="93"/>
      <c r="AU57" s="93"/>
      <c r="AV57" s="93"/>
      <c r="AW57" s="93"/>
      <c r="AX57" s="93"/>
      <c r="AY57" s="62"/>
      <c r="AZ57" s="62"/>
      <c r="BA57" s="62"/>
      <c r="BB57" s="62"/>
      <c r="BC57" s="62"/>
      <c r="BD57" s="62"/>
    </row>
    <row r="58" spans="1:68" ht="44" thickBot="1" x14ac:dyDescent="0.4">
      <c r="O58" s="14" t="s">
        <v>236</v>
      </c>
      <c r="R58" s="100">
        <v>0.05</v>
      </c>
      <c r="S58" s="100">
        <v>0.1</v>
      </c>
      <c r="T58" s="100">
        <v>0.15</v>
      </c>
      <c r="U58" s="100">
        <v>0.2</v>
      </c>
      <c r="V58" s="15"/>
      <c r="W58" s="45"/>
      <c r="X58" s="45"/>
      <c r="Y58" s="45"/>
      <c r="Z58" s="45" t="s">
        <v>355</v>
      </c>
      <c r="AA58" s="45"/>
      <c r="AB58" s="45"/>
      <c r="AC58" s="45"/>
      <c r="AD58" s="45" t="s">
        <v>232</v>
      </c>
      <c r="AE58" s="45"/>
      <c r="AF58" s="45"/>
      <c r="AG58" s="45"/>
      <c r="AH58" s="45" t="s">
        <v>233</v>
      </c>
      <c r="AI58" s="45"/>
      <c r="AJ58" s="45"/>
      <c r="AM58" s="114"/>
      <c r="AP58" s="114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</row>
    <row r="59" spans="1:68" ht="43.5" x14ac:dyDescent="0.35">
      <c r="C59" s="36" t="s">
        <v>491</v>
      </c>
      <c r="E59" s="108" t="s">
        <v>108</v>
      </c>
      <c r="F59" s="108" t="s">
        <v>235</v>
      </c>
      <c r="J59" s="297" t="s">
        <v>115</v>
      </c>
      <c r="K59" s="298"/>
      <c r="L59" s="299"/>
      <c r="O59" s="14" t="s">
        <v>237</v>
      </c>
      <c r="P59" s="14" t="s">
        <v>238</v>
      </c>
      <c r="R59" s="76" t="s">
        <v>206</v>
      </c>
      <c r="S59" s="76" t="s">
        <v>206</v>
      </c>
      <c r="T59" s="76" t="s">
        <v>206</v>
      </c>
      <c r="U59" s="76" t="s">
        <v>206</v>
      </c>
      <c r="V59" s="22" t="s">
        <v>442</v>
      </c>
      <c r="W59" s="22" t="s">
        <v>211</v>
      </c>
      <c r="X59" s="22" t="s">
        <v>212</v>
      </c>
      <c r="Y59" s="22" t="s">
        <v>443</v>
      </c>
      <c r="Z59" s="22" t="s">
        <v>442</v>
      </c>
      <c r="AA59" s="22" t="s">
        <v>211</v>
      </c>
      <c r="AB59" s="22" t="s">
        <v>212</v>
      </c>
      <c r="AC59" s="22" t="s">
        <v>443</v>
      </c>
      <c r="AD59" s="22" t="s">
        <v>442</v>
      </c>
      <c r="AE59" s="22" t="s">
        <v>211</v>
      </c>
      <c r="AF59" s="22" t="s">
        <v>212</v>
      </c>
      <c r="AG59" s="22" t="s">
        <v>443</v>
      </c>
      <c r="AH59" s="22" t="s">
        <v>442</v>
      </c>
      <c r="AI59" s="22" t="s">
        <v>211</v>
      </c>
      <c r="AJ59" s="22" t="s">
        <v>212</v>
      </c>
      <c r="AK59" s="14" t="s">
        <v>234</v>
      </c>
      <c r="AQ59" s="36"/>
      <c r="AR59" s="36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</row>
    <row r="60" spans="1:68" ht="43.5" x14ac:dyDescent="0.35">
      <c r="C60" s="36">
        <v>0</v>
      </c>
      <c r="E60" s="15">
        <v>0</v>
      </c>
      <c r="F60" s="15">
        <v>0</v>
      </c>
      <c r="J60" s="290" t="s">
        <v>114</v>
      </c>
      <c r="K60" s="290"/>
      <c r="L60" s="74" t="s">
        <v>239</v>
      </c>
      <c r="O60" s="109">
        <f>AV52/W83</f>
        <v>1.1521623049802783</v>
      </c>
      <c r="P60" s="14">
        <f>W113/W83</f>
        <v>0.87367279241151585</v>
      </c>
      <c r="Q60" s="273">
        <v>0</v>
      </c>
      <c r="R60" s="87">
        <f t="shared" ref="R60:R81" si="74">C30*$O30</f>
        <v>0</v>
      </c>
      <c r="S60" s="87">
        <f t="shared" ref="S60:S81" si="75">C30*$P30</f>
        <v>0</v>
      </c>
      <c r="T60" s="87">
        <f t="shared" ref="T60:T81" si="76">C30*$Q30</f>
        <v>0</v>
      </c>
      <c r="U60" s="87">
        <f t="shared" ref="U60:U81" si="77">C30*$R30</f>
        <v>0</v>
      </c>
      <c r="V60" s="21">
        <f t="shared" ref="V60:V81" si="78">R60-Y30</f>
        <v>-33594902.4440751</v>
      </c>
      <c r="W60" s="21">
        <f t="shared" ref="W60:W81" si="79">S60-AF30</f>
        <v>-33594902.4440751</v>
      </c>
      <c r="X60" s="21">
        <f t="shared" ref="X60:X81" si="80">T60-AM30</f>
        <v>-33594902.4440751</v>
      </c>
      <c r="Y60" s="21">
        <f t="shared" ref="Y60:Y81" si="81">U60-AT30</f>
        <v>-33594902.4440751</v>
      </c>
      <c r="Z60" s="21">
        <f>V60</f>
        <v>-33594902.4440751</v>
      </c>
      <c r="AA60" s="21">
        <f>W60</f>
        <v>-33594902.4440751</v>
      </c>
      <c r="AB60" s="21">
        <f>X60</f>
        <v>-33594902.4440751</v>
      </c>
      <c r="AC60" s="21">
        <f>Y60</f>
        <v>-33594902.4440751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P60" s="113"/>
      <c r="AR60" s="36"/>
    </row>
    <row r="61" spans="1:68" ht="43.4" customHeight="1" x14ac:dyDescent="0.35">
      <c r="C61" s="116">
        <f>C5*1000/365</f>
        <v>2151.0029618699523</v>
      </c>
      <c r="E61" s="15">
        <v>1</v>
      </c>
      <c r="F61" s="21">
        <f>E31+F31+H31+G31</f>
        <v>5498329.0707097333</v>
      </c>
      <c r="J61" s="300" t="s">
        <v>116</v>
      </c>
      <c r="K61" s="300"/>
      <c r="L61" s="15">
        <v>2</v>
      </c>
      <c r="M61" s="14" t="s">
        <v>413</v>
      </c>
      <c r="O61" s="104">
        <f>O60-1</f>
        <v>0.15216230498027827</v>
      </c>
      <c r="P61" s="104">
        <f>P60-1</f>
        <v>-0.12632720758848415</v>
      </c>
      <c r="Q61" s="273">
        <v>1</v>
      </c>
      <c r="R61" s="87">
        <f t="shared" si="74"/>
        <v>41872857.657735072</v>
      </c>
      <c r="S61" s="87">
        <f t="shared" si="75"/>
        <v>39969545.946019843</v>
      </c>
      <c r="T61" s="87">
        <f t="shared" si="76"/>
        <v>38231739.600540727</v>
      </c>
      <c r="U61" s="87">
        <f t="shared" si="77"/>
        <v>36638750.450518198</v>
      </c>
      <c r="V61" s="21">
        <f t="shared" si="78"/>
        <v>36636353.780868657</v>
      </c>
      <c r="W61" s="21">
        <f t="shared" si="79"/>
        <v>34971064.972647361</v>
      </c>
      <c r="X61" s="21">
        <f t="shared" si="80"/>
        <v>33450583.886880089</v>
      </c>
      <c r="Y61" s="21">
        <f t="shared" si="81"/>
        <v>32056809.558260087</v>
      </c>
      <c r="Z61" s="21">
        <f>V61+Z60</f>
        <v>3041451.3367935568</v>
      </c>
      <c r="AA61" s="21">
        <f>W61+AA60</f>
        <v>1376162.5285722613</v>
      </c>
      <c r="AB61" s="21">
        <f>X61+AB60</f>
        <v>-144318.55719501153</v>
      </c>
      <c r="AC61" s="21">
        <f>Y61+AC60</f>
        <v>-1538092.8858150132</v>
      </c>
      <c r="AD61" s="21">
        <f>V61/($C5*1000)</f>
        <v>46.663614035715291</v>
      </c>
      <c r="AE61" s="21">
        <f>W61/($C5*1000)</f>
        <v>44.542540670455516</v>
      </c>
      <c r="AF61" s="21">
        <f>X61/($C5*1000)</f>
        <v>42.60590846739224</v>
      </c>
      <c r="AG61" s="21">
        <f>Y61/($C5*1000)</f>
        <v>40.830662281250895</v>
      </c>
      <c r="AH61" s="21">
        <f t="shared" ref="AH61:AH81" si="82">Y31/($C5*1000)</f>
        <v>6.6697192976180331</v>
      </c>
      <c r="AI61" s="21">
        <f t="shared" ref="AI61:AI81" si="83">AF31/($C5*1000)</f>
        <v>6.3665502386353952</v>
      </c>
      <c r="AJ61" s="21">
        <f t="shared" ref="AJ61:AJ81" si="84">AM31/($C5*1000)</f>
        <v>6.0897437065208146</v>
      </c>
      <c r="AK61" s="114">
        <f t="shared" ref="AK61:AK81" si="85">(S61-AF31)/AF31</f>
        <v>6.9963385194306973</v>
      </c>
      <c r="AL61" s="114"/>
      <c r="AM61" s="113"/>
      <c r="AO61" s="113"/>
    </row>
    <row r="62" spans="1:68" ht="34.4" customHeight="1" x14ac:dyDescent="0.35">
      <c r="C62" s="116">
        <f t="shared" ref="C62:C80" si="86">C6*1000/365</f>
        <v>837.44299939765449</v>
      </c>
      <c r="E62" s="15">
        <v>2</v>
      </c>
      <c r="F62" s="21">
        <f t="shared" ref="F62:F81" si="87">E32+F32+H32+G32</f>
        <v>4219569.6805624962</v>
      </c>
      <c r="J62" s="288" t="s">
        <v>117</v>
      </c>
      <c r="K62" s="288"/>
      <c r="L62" s="15">
        <v>2.5</v>
      </c>
      <c r="M62" s="14" t="s">
        <v>413</v>
      </c>
      <c r="Q62" s="273">
        <v>2</v>
      </c>
      <c r="R62" s="87">
        <f t="shared" si="74"/>
        <v>16595315.2073703</v>
      </c>
      <c r="S62" s="87">
        <f t="shared" si="75"/>
        <v>15120938.029855996</v>
      </c>
      <c r="T62" s="87">
        <f t="shared" si="76"/>
        <v>13834657.857183939</v>
      </c>
      <c r="U62" s="87">
        <f t="shared" si="77"/>
        <v>12705788.205642886</v>
      </c>
      <c r="V62" s="21">
        <f t="shared" si="78"/>
        <v>12768041.1206923</v>
      </c>
      <c r="W62" s="21">
        <f t="shared" si="79"/>
        <v>11633690.359969636</v>
      </c>
      <c r="X62" s="21">
        <f t="shared" si="80"/>
        <v>10644056.964509083</v>
      </c>
      <c r="Y62" s="21">
        <f t="shared" si="81"/>
        <v>9775531.4830300435</v>
      </c>
      <c r="Z62" s="21">
        <f>MAX(0,V62)+Z61</f>
        <v>15809492.457485856</v>
      </c>
      <c r="AA62" s="21">
        <f t="shared" ref="AA62:AC77" si="88">MAX(0,W62)+AA61</f>
        <v>13009852.888541898</v>
      </c>
      <c r="AB62" s="21">
        <f t="shared" si="88"/>
        <v>10499738.407314071</v>
      </c>
      <c r="AC62" s="21">
        <f t="shared" si="88"/>
        <v>8237438.5972150303</v>
      </c>
      <c r="AD62" s="21">
        <f t="shared" ref="AD62:AD81" si="89">V62/(C6*1000)</f>
        <v>41.771123052434405</v>
      </c>
      <c r="AE62" s="21">
        <f t="shared" ref="AE62:AE81" si="90">W62/($C6*1000)</f>
        <v>38.060052202734653</v>
      </c>
      <c r="AF62" s="21">
        <f t="shared" ref="AF62:AF81" si="91">X62/($C6*1000)</f>
        <v>34.822429614600331</v>
      </c>
      <c r="AG62" s="21">
        <f t="shared" ref="AG62:AG81" si="92">Y62/($C6*1000)</f>
        <v>31.981016087020095</v>
      </c>
      <c r="AH62" s="21">
        <f t="shared" si="82"/>
        <v>12.521070015268865</v>
      </c>
      <c r="AI62" s="21">
        <f t="shared" si="83"/>
        <v>11.408660902342087</v>
      </c>
      <c r="AJ62" s="21">
        <f t="shared" si="84"/>
        <v>10.438169899307319</v>
      </c>
      <c r="AK62" s="114">
        <f t="shared" si="85"/>
        <v>3.3360665663155342</v>
      </c>
      <c r="AL62" s="114"/>
      <c r="AM62" s="113"/>
      <c r="AO62" s="113"/>
    </row>
    <row r="63" spans="1:68" ht="30.5" customHeight="1" x14ac:dyDescent="0.35">
      <c r="C63" s="116">
        <f t="shared" si="86"/>
        <v>464.48206879209778</v>
      </c>
      <c r="E63" s="15">
        <v>3</v>
      </c>
      <c r="F63" s="21">
        <f t="shared" si="87"/>
        <v>3946279.3217482059</v>
      </c>
      <c r="J63" s="288" t="s">
        <v>415</v>
      </c>
      <c r="K63" s="288"/>
      <c r="L63" s="15">
        <v>3</v>
      </c>
      <c r="M63" s="14" t="s">
        <v>414</v>
      </c>
      <c r="Q63" s="273">
        <v>3</v>
      </c>
      <c r="R63" s="87">
        <f t="shared" si="74"/>
        <v>9331054.7739263698</v>
      </c>
      <c r="S63" s="87">
        <f t="shared" si="75"/>
        <v>8115599.0102678519</v>
      </c>
      <c r="T63" s="87">
        <f t="shared" si="76"/>
        <v>7102399.7913480829</v>
      </c>
      <c r="U63" s="87">
        <f t="shared" si="77"/>
        <v>6251077.7098764544</v>
      </c>
      <c r="V63" s="21">
        <f t="shared" si="78"/>
        <v>5922110.3214929774</v>
      </c>
      <c r="W63" s="21">
        <f t="shared" si="79"/>
        <v>5150700.9473465867</v>
      </c>
      <c r="X63" s="21">
        <f t="shared" si="80"/>
        <v>4507657.0795879401</v>
      </c>
      <c r="Y63" s="21">
        <f t="shared" si="81"/>
        <v>3967351.2505314276</v>
      </c>
      <c r="Z63" s="21">
        <f t="shared" ref="Z63:AC81" si="93">MAX(0,V63)+Z62</f>
        <v>21731602.778978832</v>
      </c>
      <c r="AA63" s="21">
        <f t="shared" si="88"/>
        <v>18160553.835888483</v>
      </c>
      <c r="AB63" s="21">
        <f t="shared" si="88"/>
        <v>15007395.486902012</v>
      </c>
      <c r="AC63" s="21">
        <f t="shared" si="88"/>
        <v>12204789.847746458</v>
      </c>
      <c r="AD63" s="21">
        <f t="shared" si="89"/>
        <v>34.931294176986974</v>
      </c>
      <c r="AE63" s="21">
        <f t="shared" si="90"/>
        <v>30.381171616554873</v>
      </c>
      <c r="AF63" s="21">
        <f t="shared" si="91"/>
        <v>26.588207066086657</v>
      </c>
      <c r="AG63" s="21">
        <f t="shared" si="92"/>
        <v>23.401238091223689</v>
      </c>
      <c r="AH63" s="21">
        <f t="shared" si="82"/>
        <v>20.107501386589931</v>
      </c>
      <c r="AI63" s="21">
        <f t="shared" si="83"/>
        <v>17.488314269459927</v>
      </c>
      <c r="AJ63" s="21">
        <f t="shared" si="84"/>
        <v>15.304970028865737</v>
      </c>
      <c r="AK63" s="114">
        <f t="shared" si="85"/>
        <v>1.7372269933191853</v>
      </c>
      <c r="AL63" s="114"/>
      <c r="AM63" s="113"/>
      <c r="AO63" s="113"/>
    </row>
    <row r="64" spans="1:68" x14ac:dyDescent="0.35">
      <c r="C64" s="116">
        <f t="shared" si="86"/>
        <v>879.22552727260211</v>
      </c>
      <c r="E64" s="15">
        <v>4</v>
      </c>
      <c r="F64" s="21">
        <f t="shared" si="87"/>
        <v>4821585.6700719083</v>
      </c>
      <c r="Q64" s="273">
        <v>4</v>
      </c>
      <c r="R64" s="87">
        <f t="shared" si="74"/>
        <v>17840172.844616141</v>
      </c>
      <c r="S64" s="87">
        <f t="shared" si="75"/>
        <v>14811038.585964888</v>
      </c>
      <c r="T64" s="87">
        <f t="shared" si="76"/>
        <v>12398378.561375184</v>
      </c>
      <c r="U64" s="87">
        <f t="shared" si="77"/>
        <v>10457581.787090663</v>
      </c>
      <c r="V64" s="21">
        <f t="shared" si="78"/>
        <v>13873442.381426908</v>
      </c>
      <c r="W64" s="21">
        <f t="shared" si="79"/>
        <v>11517830.697110366</v>
      </c>
      <c r="X64" s="21">
        <f t="shared" si="80"/>
        <v>9641621.3056067098</v>
      </c>
      <c r="Y64" s="21">
        <f t="shared" si="81"/>
        <v>8132357.2162612313</v>
      </c>
      <c r="Z64" s="21">
        <f t="shared" si="93"/>
        <v>35605045.16040574</v>
      </c>
      <c r="AA64" s="21">
        <f t="shared" si="88"/>
        <v>29678384.532998849</v>
      </c>
      <c r="AB64" s="21">
        <f t="shared" si="88"/>
        <v>24649016.792508721</v>
      </c>
      <c r="AC64" s="21">
        <f t="shared" si="88"/>
        <v>20337147.064007688</v>
      </c>
      <c r="AD64" s="21">
        <f t="shared" si="89"/>
        <v>43.230581918951472</v>
      </c>
      <c r="AE64" s="21">
        <f t="shared" si="90"/>
        <v>35.890337076444574</v>
      </c>
      <c r="AF64" s="21">
        <f t="shared" si="91"/>
        <v>30.043942103478773</v>
      </c>
      <c r="AG64" s="21">
        <f t="shared" si="92"/>
        <v>25.340973434424434</v>
      </c>
      <c r="AH64" s="21">
        <f t="shared" si="82"/>
        <v>12.360599591985695</v>
      </c>
      <c r="AI64" s="21">
        <f t="shared" si="83"/>
        <v>10.261857836080909</v>
      </c>
      <c r="AJ64" s="21">
        <f t="shared" si="84"/>
        <v>8.5902414915933374</v>
      </c>
      <c r="AK64" s="114">
        <f t="shared" si="85"/>
        <v>3.4974502326716501</v>
      </c>
      <c r="AL64" s="114"/>
      <c r="AM64" s="113"/>
      <c r="AO64" s="113"/>
    </row>
    <row r="65" spans="3:41" x14ac:dyDescent="0.35">
      <c r="C65" s="116">
        <f t="shared" si="86"/>
        <v>1172.7973398506283</v>
      </c>
      <c r="E65" s="15">
        <v>5</v>
      </c>
      <c r="F65" s="21">
        <f t="shared" si="87"/>
        <v>4806129.8723910302</v>
      </c>
      <c r="Q65" s="273">
        <v>5</v>
      </c>
      <c r="R65" s="87">
        <f t="shared" si="74"/>
        <v>23957489.454586625</v>
      </c>
      <c r="S65" s="87">
        <f t="shared" si="75"/>
        <v>18985602.122729499</v>
      </c>
      <c r="T65" s="87">
        <f t="shared" si="76"/>
        <v>15201925.478329346</v>
      </c>
      <c r="U65" s="87">
        <f t="shared" si="77"/>
        <v>12288010.414527511</v>
      </c>
      <c r="V65" s="21">
        <f t="shared" si="78"/>
        <v>20191760.940122537</v>
      </c>
      <c r="W65" s="21">
        <f t="shared" si="79"/>
        <v>16001373.603570333</v>
      </c>
      <c r="X65" s="21">
        <f t="shared" si="80"/>
        <v>12812429.518954387</v>
      </c>
      <c r="Y65" s="21">
        <f t="shared" si="81"/>
        <v>10356534.61061522</v>
      </c>
      <c r="Z65" s="21">
        <f t="shared" si="93"/>
        <v>55796806.100528277</v>
      </c>
      <c r="AA65" s="21">
        <f t="shared" si="88"/>
        <v>45679758.13656918</v>
      </c>
      <c r="AB65" s="21">
        <f t="shared" si="88"/>
        <v>37461446.31146311</v>
      </c>
      <c r="AC65" s="21">
        <f t="shared" si="88"/>
        <v>30693681.674622908</v>
      </c>
      <c r="AD65" s="21">
        <f t="shared" si="89"/>
        <v>47.169183546820484</v>
      </c>
      <c r="AE65" s="21">
        <f t="shared" si="90"/>
        <v>37.380183469202507</v>
      </c>
      <c r="AF65" s="21">
        <f t="shared" si="91"/>
        <v>29.93061583149829</v>
      </c>
      <c r="AG65" s="21">
        <f t="shared" si="92"/>
        <v>24.19349572361487</v>
      </c>
      <c r="AH65" s="21">
        <f t="shared" si="82"/>
        <v>8.7969712009265812</v>
      </c>
      <c r="AI65" s="21">
        <f t="shared" si="83"/>
        <v>6.9713396064514201</v>
      </c>
      <c r="AJ65" s="21">
        <f t="shared" si="84"/>
        <v>5.5820081183795631</v>
      </c>
      <c r="AK65" s="114">
        <f t="shared" si="85"/>
        <v>5.3619799894141043</v>
      </c>
      <c r="AL65" s="114"/>
      <c r="AM65" s="113"/>
      <c r="AO65" s="113"/>
    </row>
    <row r="66" spans="3:41" x14ac:dyDescent="0.35">
      <c r="C66" s="116">
        <f t="shared" si="86"/>
        <v>762.22723230739791</v>
      </c>
      <c r="E66" s="15">
        <v>6</v>
      </c>
      <c r="F66" s="21">
        <f t="shared" si="87"/>
        <v>4456827.57669832</v>
      </c>
      <c r="Q66" s="273">
        <v>6</v>
      </c>
      <c r="R66" s="87">
        <f t="shared" si="74"/>
        <v>15629824.663869197</v>
      </c>
      <c r="S66" s="87">
        <f t="shared" si="75"/>
        <v>11823166.064157097</v>
      </c>
      <c r="T66" s="87">
        <f t="shared" si="76"/>
        <v>9055300.3220063113</v>
      </c>
      <c r="U66" s="87">
        <f t="shared" si="77"/>
        <v>7014592.1397382636</v>
      </c>
      <c r="V66" s="21">
        <f t="shared" si="78"/>
        <v>12304071.305982199</v>
      </c>
      <c r="W66" s="21">
        <f t="shared" si="79"/>
        <v>9307403.0863661431</v>
      </c>
      <c r="X66" s="21">
        <f t="shared" si="80"/>
        <v>7128490.7703799987</v>
      </c>
      <c r="Y66" s="21">
        <f t="shared" si="81"/>
        <v>5522009.6018886566</v>
      </c>
      <c r="Z66" s="21">
        <f t="shared" si="93"/>
        <v>68100877.406510472</v>
      </c>
      <c r="AA66" s="21">
        <f t="shared" si="88"/>
        <v>54987161.222935319</v>
      </c>
      <c r="AB66" s="21">
        <f t="shared" si="88"/>
        <v>44589937.081843108</v>
      </c>
      <c r="AC66" s="21">
        <f t="shared" si="88"/>
        <v>36215691.276511565</v>
      </c>
      <c r="AD66" s="21">
        <f t="shared" si="89"/>
        <v>44.225373971362444</v>
      </c>
      <c r="AE66" s="21">
        <f t="shared" si="90"/>
        <v>33.45424225529527</v>
      </c>
      <c r="AF66" s="21">
        <f t="shared" si="91"/>
        <v>25.622427108186749</v>
      </c>
      <c r="AG66" s="21">
        <f t="shared" si="92"/>
        <v>19.848140801837239</v>
      </c>
      <c r="AH66" s="21">
        <f t="shared" si="82"/>
        <v>11.953985175423661</v>
      </c>
      <c r="AI66" s="21">
        <f t="shared" si="83"/>
        <v>9.0425807644676741</v>
      </c>
      <c r="AJ66" s="21">
        <f t="shared" si="84"/>
        <v>6.925664755440434</v>
      </c>
      <c r="AK66" s="114">
        <f t="shared" si="85"/>
        <v>3.6996343330160655</v>
      </c>
      <c r="AL66" s="114"/>
      <c r="AM66" s="113"/>
      <c r="AO66" s="113"/>
    </row>
    <row r="67" spans="3:41" x14ac:dyDescent="0.35">
      <c r="C67" s="116">
        <f t="shared" si="86"/>
        <v>532.4943091153641</v>
      </c>
      <c r="E67" s="15">
        <v>7</v>
      </c>
      <c r="F67" s="21">
        <f t="shared" si="87"/>
        <v>4326036.9202466933</v>
      </c>
      <c r="Q67" s="273">
        <v>7</v>
      </c>
      <c r="R67" s="87">
        <f t="shared" si="74"/>
        <v>10931870.199422818</v>
      </c>
      <c r="S67" s="87">
        <f t="shared" si="75"/>
        <v>7893520.9107730947</v>
      </c>
      <c r="T67" s="87">
        <f t="shared" si="76"/>
        <v>5782753.4639780428</v>
      </c>
      <c r="U67" s="87">
        <f t="shared" si="77"/>
        <v>4292900.6479469622</v>
      </c>
      <c r="V67" s="21">
        <f t="shared" si="78"/>
        <v>7857436.5267498828</v>
      </c>
      <c r="W67" s="21">
        <f t="shared" si="79"/>
        <v>5673579.9453827403</v>
      </c>
      <c r="X67" s="21">
        <f t="shared" si="80"/>
        <v>4156435.9495824883</v>
      </c>
      <c r="Y67" s="21">
        <f t="shared" si="81"/>
        <v>3085583.1382509139</v>
      </c>
      <c r="Z67" s="21">
        <f t="shared" si="93"/>
        <v>75958313.933260351</v>
      </c>
      <c r="AA67" s="21">
        <f t="shared" si="88"/>
        <v>60660741.168318063</v>
      </c>
      <c r="AB67" s="21">
        <f t="shared" si="88"/>
        <v>48746373.031425595</v>
      </c>
      <c r="AC67" s="21">
        <f t="shared" si="88"/>
        <v>39301274.414762482</v>
      </c>
      <c r="AD67" s="21">
        <f t="shared" si="89"/>
        <v>40.427142586221976</v>
      </c>
      <c r="AE67" s="21">
        <f t="shared" si="90"/>
        <v>29.191024915754777</v>
      </c>
      <c r="AF67" s="21">
        <f t="shared" si="91"/>
        <v>21.385197094780043</v>
      </c>
      <c r="AG67" s="21">
        <f t="shared" si="92"/>
        <v>15.875573295061594</v>
      </c>
      <c r="AH67" s="21">
        <f t="shared" si="82"/>
        <v>15.818208398361932</v>
      </c>
      <c r="AI67" s="21">
        <f t="shared" si="83"/>
        <v>11.421774727075423</v>
      </c>
      <c r="AJ67" s="21">
        <f t="shared" si="84"/>
        <v>8.3675343505618685</v>
      </c>
      <c r="AK67" s="114">
        <f t="shared" si="85"/>
        <v>2.5557346045844507</v>
      </c>
      <c r="AL67" s="114"/>
      <c r="AM67" s="113"/>
      <c r="AO67" s="113"/>
    </row>
    <row r="68" spans="3:41" x14ac:dyDescent="0.35">
      <c r="C68" s="116">
        <f t="shared" si="86"/>
        <v>385.62532558445054</v>
      </c>
      <c r="E68" s="15">
        <v>8</v>
      </c>
      <c r="F68" s="21">
        <f t="shared" si="87"/>
        <v>4279844.4254994672</v>
      </c>
      <c r="Q68" s="273">
        <v>8</v>
      </c>
      <c r="R68" s="87">
        <f t="shared" si="74"/>
        <v>7907188.8683289811</v>
      </c>
      <c r="S68" s="87">
        <f t="shared" si="75"/>
        <v>5449981.4442401957</v>
      </c>
      <c r="T68" s="87">
        <f t="shared" si="76"/>
        <v>3819036.2620840841</v>
      </c>
      <c r="U68" s="87">
        <f t="shared" si="77"/>
        <v>2716980.5941183437</v>
      </c>
      <c r="V68" s="21">
        <f t="shared" si="78"/>
        <v>5010421.6977918893</v>
      </c>
      <c r="W68" s="21">
        <f t="shared" si="79"/>
        <v>3453402.4335952089</v>
      </c>
      <c r="X68" s="21">
        <f t="shared" si="80"/>
        <v>2419947.5276026763</v>
      </c>
      <c r="Y68" s="21">
        <f t="shared" si="81"/>
        <v>1721625.5673082101</v>
      </c>
      <c r="Z68" s="21">
        <f t="shared" si="93"/>
        <v>80968735.631052241</v>
      </c>
      <c r="AA68" s="21">
        <f t="shared" si="88"/>
        <v>64114143.601913273</v>
      </c>
      <c r="AB68" s="21">
        <f t="shared" si="88"/>
        <v>51166320.559028268</v>
      </c>
      <c r="AC68" s="21">
        <f t="shared" si="88"/>
        <v>41022899.982070692</v>
      </c>
      <c r="AD68" s="21">
        <f t="shared" si="89"/>
        <v>35.597202317746131</v>
      </c>
      <c r="AE68" s="21">
        <f t="shared" si="90"/>
        <v>24.535153431788352</v>
      </c>
      <c r="AF68" s="21">
        <f t="shared" si="91"/>
        <v>17.192836638154766</v>
      </c>
      <c r="AG68" s="21">
        <f t="shared" si="92"/>
        <v>12.231516094121051</v>
      </c>
      <c r="AH68" s="21">
        <f t="shared" si="82"/>
        <v>20.580464730634915</v>
      </c>
      <c r="AI68" s="21">
        <f t="shared" si="83"/>
        <v>14.184959125619498</v>
      </c>
      <c r="AJ68" s="21">
        <f t="shared" si="84"/>
        <v>9.9400105910771348</v>
      </c>
      <c r="AK68" s="114">
        <f t="shared" si="85"/>
        <v>1.7296597906634315</v>
      </c>
      <c r="AL68" s="114"/>
      <c r="AM68" s="113"/>
      <c r="AO68" s="113"/>
    </row>
    <row r="69" spans="3:41" x14ac:dyDescent="0.35">
      <c r="C69" s="116">
        <f t="shared" si="86"/>
        <v>297.28831719551573</v>
      </c>
      <c r="E69" s="15">
        <v>9</v>
      </c>
      <c r="F69" s="21">
        <f t="shared" si="87"/>
        <v>4279542.7099234983</v>
      </c>
      <c r="Q69" s="273">
        <v>9</v>
      </c>
      <c r="R69" s="87">
        <f t="shared" si="74"/>
        <v>5959455.8990952969</v>
      </c>
      <c r="S69" s="87">
        <f t="shared" si="75"/>
        <v>3920813.0542647149</v>
      </c>
      <c r="T69" s="87">
        <f t="shared" si="76"/>
        <v>2628026.491261451</v>
      </c>
      <c r="U69" s="87">
        <f t="shared" si="77"/>
        <v>1791756.9077456244</v>
      </c>
      <c r="V69" s="21">
        <f t="shared" si="78"/>
        <v>3200824.5109437359</v>
      </c>
      <c r="W69" s="21">
        <f t="shared" si="79"/>
        <v>2105869.1832628306</v>
      </c>
      <c r="X69" s="21">
        <f t="shared" si="80"/>
        <v>1411513.3581097759</v>
      </c>
      <c r="Y69" s="21">
        <f t="shared" si="81"/>
        <v>962352.85990380286</v>
      </c>
      <c r="Z69" s="21">
        <f t="shared" si="93"/>
        <v>84169560.141995981</v>
      </c>
      <c r="AA69" s="21">
        <f t="shared" si="88"/>
        <v>66220012.785176106</v>
      </c>
      <c r="AB69" s="21">
        <f t="shared" si="88"/>
        <v>52577833.91713804</v>
      </c>
      <c r="AC69" s="21">
        <f t="shared" si="88"/>
        <v>41985252.841974497</v>
      </c>
      <c r="AD69" s="21">
        <f t="shared" si="89"/>
        <v>29.497903935445795</v>
      </c>
      <c r="AE69" s="21">
        <f t="shared" si="90"/>
        <v>19.407101718984116</v>
      </c>
      <c r="AF69" s="21">
        <f t="shared" si="91"/>
        <v>13.008112534368355</v>
      </c>
      <c r="AG69" s="21">
        <f t="shared" si="92"/>
        <v>8.8687749410773282</v>
      </c>
      <c r="AH69" s="21">
        <f t="shared" si="82"/>
        <v>25.42277572631054</v>
      </c>
      <c r="AI69" s="21">
        <f t="shared" si="83"/>
        <v>16.726015366351582</v>
      </c>
      <c r="AJ69" s="21">
        <f t="shared" si="84"/>
        <v>11.211044971452067</v>
      </c>
      <c r="AK69" s="114">
        <f t="shared" si="85"/>
        <v>1.1602943853576857</v>
      </c>
      <c r="AL69" s="114"/>
      <c r="AM69" s="113"/>
      <c r="AO69" s="113"/>
    </row>
    <row r="70" spans="3:41" x14ac:dyDescent="0.35">
      <c r="C70" s="116">
        <f t="shared" si="86"/>
        <v>239.52342364366146</v>
      </c>
      <c r="E70" s="15">
        <v>10</v>
      </c>
      <c r="F70" s="21">
        <f t="shared" si="87"/>
        <v>4234910.0628248611</v>
      </c>
      <c r="Q70" s="273">
        <v>10</v>
      </c>
      <c r="R70" s="87">
        <f t="shared" si="74"/>
        <v>4690933.7240391374</v>
      </c>
      <c r="S70" s="87">
        <f t="shared" si="75"/>
        <v>2945950.4384879614</v>
      </c>
      <c r="T70" s="87">
        <f t="shared" si="76"/>
        <v>1888747.4204639888</v>
      </c>
      <c r="U70" s="87">
        <f t="shared" si="77"/>
        <v>1234070.0921979293</v>
      </c>
      <c r="V70" s="21">
        <f t="shared" si="78"/>
        <v>2091066.3089178251</v>
      </c>
      <c r="W70" s="21">
        <f t="shared" si="79"/>
        <v>1313209.2824282404</v>
      </c>
      <c r="X70" s="21">
        <f t="shared" si="80"/>
        <v>841942.42113209306</v>
      </c>
      <c r="Y70" s="21">
        <f t="shared" si="81"/>
        <v>550108.47401532682</v>
      </c>
      <c r="Z70" s="21">
        <f t="shared" si="93"/>
        <v>86260626.450913802</v>
      </c>
      <c r="AA70" s="21">
        <f t="shared" si="88"/>
        <v>67533222.067604348</v>
      </c>
      <c r="AB70" s="21">
        <f t="shared" si="88"/>
        <v>53419776.338270135</v>
      </c>
      <c r="AC70" s="21">
        <f t="shared" si="88"/>
        <v>42535361.315989822</v>
      </c>
      <c r="AD70" s="21">
        <f t="shared" si="89"/>
        <v>23.918114998550752</v>
      </c>
      <c r="AE70" s="21">
        <f t="shared" si="90"/>
        <v>15.020800870986298</v>
      </c>
      <c r="AF70" s="21">
        <f t="shared" si="91"/>
        <v>9.6303381508821495</v>
      </c>
      <c r="AG70" s="21">
        <f t="shared" si="92"/>
        <v>6.2922718839964453</v>
      </c>
      <c r="AH70" s="21">
        <f t="shared" si="82"/>
        <v>29.737903360911616</v>
      </c>
      <c r="AI70" s="21">
        <f t="shared" si="83"/>
        <v>18.675682625154753</v>
      </c>
      <c r="AJ70" s="21">
        <f t="shared" si="84"/>
        <v>11.973605164168927</v>
      </c>
      <c r="AK70" s="114">
        <f t="shared" si="85"/>
        <v>0.8042972871446421</v>
      </c>
      <c r="AL70" s="114"/>
      <c r="AM70" s="113"/>
      <c r="AO70" s="113"/>
    </row>
    <row r="71" spans="3:41" x14ac:dyDescent="0.35">
      <c r="C71" s="116">
        <f t="shared" si="86"/>
        <v>204.81367960132735</v>
      </c>
      <c r="E71" s="15">
        <v>11</v>
      </c>
      <c r="F71" s="21">
        <f t="shared" si="87"/>
        <v>4326698.2694274811</v>
      </c>
      <c r="Q71" s="273">
        <v>11</v>
      </c>
      <c r="R71" s="87">
        <f t="shared" si="74"/>
        <v>3916314.3535788818</v>
      </c>
      <c r="S71" s="87">
        <f t="shared" si="75"/>
        <v>2347687.552821598</v>
      </c>
      <c r="T71" s="87">
        <f t="shared" si="76"/>
        <v>1439738.4070799563</v>
      </c>
      <c r="U71" s="87">
        <f t="shared" si="77"/>
        <v>901500.82313063124</v>
      </c>
      <c r="V71" s="21">
        <f t="shared" si="78"/>
        <v>1386583.4853185029</v>
      </c>
      <c r="W71" s="21">
        <f t="shared" si="79"/>
        <v>831206.20449056872</v>
      </c>
      <c r="X71" s="21">
        <f t="shared" si="80"/>
        <v>509743.93733524508</v>
      </c>
      <c r="Y71" s="21">
        <f t="shared" si="81"/>
        <v>319179.21813698765</v>
      </c>
      <c r="Z71" s="21">
        <f t="shared" si="93"/>
        <v>87647209.936232299</v>
      </c>
      <c r="AA71" s="21">
        <f t="shared" si="88"/>
        <v>68364428.27209492</v>
      </c>
      <c r="AB71" s="21">
        <f t="shared" si="88"/>
        <v>53929520.275605381</v>
      </c>
      <c r="AC71" s="21">
        <f t="shared" si="88"/>
        <v>42854540.534126811</v>
      </c>
      <c r="AD71" s="21">
        <f t="shared" si="89"/>
        <v>18.547876642228392</v>
      </c>
      <c r="AE71" s="21">
        <f t="shared" si="90"/>
        <v>11.118775254707851</v>
      </c>
      <c r="AF71" s="21">
        <f t="shared" si="91"/>
        <v>6.818678982496432</v>
      </c>
      <c r="AG71" s="21">
        <f t="shared" si="92"/>
        <v>4.2695566674861185</v>
      </c>
      <c r="AH71" s="21">
        <f t="shared" si="82"/>
        <v>33.839387659916412</v>
      </c>
      <c r="AI71" s="21">
        <f t="shared" si="83"/>
        <v>20.285478138824892</v>
      </c>
      <c r="AJ71" s="21">
        <f t="shared" si="84"/>
        <v>12.440233772737642</v>
      </c>
      <c r="AK71" s="114">
        <f t="shared" si="85"/>
        <v>0.54811501994756262</v>
      </c>
      <c r="AL71" s="114"/>
      <c r="AM71" s="113"/>
      <c r="AO71" s="113"/>
    </row>
    <row r="72" spans="3:41" x14ac:dyDescent="0.35">
      <c r="C72" s="116">
        <f t="shared" si="86"/>
        <v>172.32866861934008</v>
      </c>
      <c r="E72" s="15">
        <v>12</v>
      </c>
      <c r="F72" s="21">
        <f t="shared" si="87"/>
        <v>4335898.7326949565</v>
      </c>
      <c r="Q72" s="273">
        <v>12</v>
      </c>
      <c r="R72" s="87">
        <f t="shared" si="74"/>
        <v>3215299.9189073639</v>
      </c>
      <c r="S72" s="87">
        <f t="shared" si="75"/>
        <v>1839843.3885756126</v>
      </c>
      <c r="T72" s="87">
        <f t="shared" si="76"/>
        <v>1079242.3878503873</v>
      </c>
      <c r="U72" s="87">
        <f t="shared" si="77"/>
        <v>647616.82900933153</v>
      </c>
      <c r="V72" s="21">
        <f t="shared" si="78"/>
        <v>800909.26311415201</v>
      </c>
      <c r="W72" s="21">
        <f t="shared" si="79"/>
        <v>458292.42986771977</v>
      </c>
      <c r="X72" s="21">
        <f t="shared" si="80"/>
        <v>268831.9122243959</v>
      </c>
      <c r="Y72" s="21">
        <f t="shared" si="81"/>
        <v>161316.93166541308</v>
      </c>
      <c r="Z72" s="21">
        <f t="shared" si="93"/>
        <v>88448119.199346453</v>
      </c>
      <c r="AA72" s="21">
        <f t="shared" si="88"/>
        <v>68822720.701962635</v>
      </c>
      <c r="AB72" s="21">
        <f t="shared" si="88"/>
        <v>54198352.187829778</v>
      </c>
      <c r="AC72" s="21">
        <f t="shared" si="88"/>
        <v>43015857.465792224</v>
      </c>
      <c r="AD72" s="21">
        <f t="shared" si="89"/>
        <v>12.733063925564061</v>
      </c>
      <c r="AE72" s="21">
        <f t="shared" si="90"/>
        <v>7.2860523343404537</v>
      </c>
      <c r="AF72" s="21">
        <f t="shared" si="91"/>
        <v>4.2739597120841122</v>
      </c>
      <c r="AG72" s="21">
        <f t="shared" si="92"/>
        <v>2.5646585671700404</v>
      </c>
      <c r="AH72" s="21">
        <f t="shared" si="82"/>
        <v>38.3846110631359</v>
      </c>
      <c r="AI72" s="21">
        <f t="shared" si="83"/>
        <v>21.964256731470279</v>
      </c>
      <c r="AJ72" s="21">
        <f t="shared" si="84"/>
        <v>12.884116675051835</v>
      </c>
      <c r="AK72" s="114">
        <f t="shared" si="85"/>
        <v>0.33172314562782512</v>
      </c>
      <c r="AL72" s="114"/>
      <c r="AM72" s="113"/>
      <c r="AO72" s="113"/>
    </row>
    <row r="73" spans="3:41" x14ac:dyDescent="0.35">
      <c r="C73" s="116">
        <f t="shared" si="86"/>
        <v>145.31600260576394</v>
      </c>
      <c r="E73" s="15">
        <v>13</v>
      </c>
      <c r="F73" s="21">
        <f t="shared" si="87"/>
        <v>4330961.0531447576</v>
      </c>
      <c r="Q73" s="273">
        <v>13</v>
      </c>
      <c r="R73" s="87">
        <f t="shared" si="74"/>
        <v>2644071.9736763737</v>
      </c>
      <c r="S73" s="87">
        <f t="shared" si="75"/>
        <v>1444206.3614866498</v>
      </c>
      <c r="T73" s="87">
        <f t="shared" si="76"/>
        <v>810330.59424121259</v>
      </c>
      <c r="U73" s="87">
        <f t="shared" si="77"/>
        <v>465991.46476071351</v>
      </c>
      <c r="V73" s="21">
        <f t="shared" si="78"/>
        <v>347270.85838047834</v>
      </c>
      <c r="W73" s="21">
        <f t="shared" si="79"/>
        <v>189681.21436372143</v>
      </c>
      <c r="X73" s="21">
        <f t="shared" si="80"/>
        <v>106428.34379536146</v>
      </c>
      <c r="Y73" s="21">
        <f t="shared" si="81"/>
        <v>61203.044991405448</v>
      </c>
      <c r="Z73" s="21">
        <f t="shared" si="93"/>
        <v>88795390.057726935</v>
      </c>
      <c r="AA73" s="21">
        <f t="shared" si="88"/>
        <v>69012401.916326359</v>
      </c>
      <c r="AB73" s="21">
        <f t="shared" si="88"/>
        <v>54304780.531625137</v>
      </c>
      <c r="AC73" s="21">
        <f t="shared" si="88"/>
        <v>43077060.510783628</v>
      </c>
      <c r="AD73" s="21">
        <f t="shared" si="89"/>
        <v>6.547296871651259</v>
      </c>
      <c r="AE73" s="21">
        <f t="shared" si="90"/>
        <v>3.5761688360672936</v>
      </c>
      <c r="AF73" s="21">
        <f t="shared" si="91"/>
        <v>2.0065546692747369</v>
      </c>
      <c r="AG73" s="21">
        <f t="shared" si="92"/>
        <v>1.1538961457247521</v>
      </c>
      <c r="AH73" s="21">
        <f t="shared" si="82"/>
        <v>43.302910089006431</v>
      </c>
      <c r="AI73" s="21">
        <f t="shared" si="83"/>
        <v>23.652282859181359</v>
      </c>
      <c r="AJ73" s="21">
        <f t="shared" si="84"/>
        <v>13.271073259026664</v>
      </c>
      <c r="AK73" s="114">
        <f t="shared" si="85"/>
        <v>0.15119761831696066</v>
      </c>
      <c r="AL73" s="114"/>
      <c r="AM73" s="113"/>
      <c r="AO73" s="113"/>
    </row>
    <row r="74" spans="3:41" x14ac:dyDescent="0.35">
      <c r="C74" s="116">
        <f t="shared" si="86"/>
        <v>123.32291834679604</v>
      </c>
      <c r="E74" s="15">
        <v>14</v>
      </c>
      <c r="F74" s="21">
        <f t="shared" si="87"/>
        <v>4308600.3165861238</v>
      </c>
      <c r="Q74" s="273">
        <v>14</v>
      </c>
      <c r="R74" s="87">
        <f t="shared" si="74"/>
        <v>2177970.4344601571</v>
      </c>
      <c r="S74" s="87">
        <f t="shared" si="75"/>
        <v>1135545.5893536746</v>
      </c>
      <c r="T74" s="87">
        <f t="shared" si="76"/>
        <v>609442.03014691884</v>
      </c>
      <c r="U74" s="87">
        <f t="shared" si="77"/>
        <v>335864.97935035353</v>
      </c>
      <c r="V74" s="21">
        <f t="shared" si="78"/>
        <v>1834.4922861591913</v>
      </c>
      <c r="W74" s="21">
        <f t="shared" si="79"/>
        <v>956.46368347830139</v>
      </c>
      <c r="X74" s="21">
        <f t="shared" si="80"/>
        <v>513.32960515713785</v>
      </c>
      <c r="Y74" s="21">
        <f t="shared" si="81"/>
        <v>282.89718908048235</v>
      </c>
      <c r="Z74" s="21">
        <f t="shared" si="93"/>
        <v>88797224.550013095</v>
      </c>
      <c r="AA74" s="21">
        <f t="shared" si="88"/>
        <v>69013358.38000983</v>
      </c>
      <c r="AB74" s="21">
        <f t="shared" si="88"/>
        <v>54305293.861230291</v>
      </c>
      <c r="AC74" s="21">
        <f t="shared" si="88"/>
        <v>43077343.407972708</v>
      </c>
      <c r="AD74" s="21">
        <f t="shared" si="89"/>
        <v>4.0754843712960315E-2</v>
      </c>
      <c r="AE74" s="21">
        <f t="shared" si="90"/>
        <v>2.1248673669210464E-2</v>
      </c>
      <c r="AF74" s="21">
        <f t="shared" si="91"/>
        <v>1.1404064213982393E-2</v>
      </c>
      <c r="AG74" s="21">
        <f t="shared" si="92"/>
        <v>6.2848074177240532E-3</v>
      </c>
      <c r="AH74" s="21">
        <f t="shared" si="82"/>
        <v>48.344755053257757</v>
      </c>
      <c r="AI74" s="21">
        <f t="shared" si="83"/>
        <v>25.205885488853227</v>
      </c>
      <c r="AJ74" s="21">
        <f t="shared" si="84"/>
        <v>13.527881370857937</v>
      </c>
      <c r="AK74" s="114">
        <f t="shared" si="85"/>
        <v>8.430044514249358E-4</v>
      </c>
      <c r="AL74" s="114"/>
      <c r="AM74" s="113"/>
      <c r="AO74" s="113"/>
    </row>
    <row r="75" spans="3:41" x14ac:dyDescent="0.35">
      <c r="C75" s="116">
        <f t="shared" si="86"/>
        <v>106.07614496459011</v>
      </c>
      <c r="E75" s="15">
        <v>15</v>
      </c>
      <c r="F75" s="21">
        <f t="shared" si="87"/>
        <v>4289056.1521108737</v>
      </c>
      <c r="Q75" s="273">
        <v>15</v>
      </c>
      <c r="R75" s="87">
        <f t="shared" si="74"/>
        <v>1817694.6301668352</v>
      </c>
      <c r="S75" s="87">
        <f t="shared" si="75"/>
        <v>904628.22292580537</v>
      </c>
      <c r="T75" s="87">
        <f t="shared" si="76"/>
        <v>464400.63507391396</v>
      </c>
      <c r="U75" s="87">
        <f t="shared" si="77"/>
        <v>245268.46866053087</v>
      </c>
      <c r="V75" s="21">
        <f t="shared" si="78"/>
        <v>-245414.71367076016</v>
      </c>
      <c r="W75" s="21">
        <f t="shared" si="79"/>
        <v>-122137.71918743476</v>
      </c>
      <c r="X75" s="21">
        <f t="shared" si="80"/>
        <v>-62700.712756533292</v>
      </c>
      <c r="Y75" s="21">
        <f t="shared" si="81"/>
        <v>-33114.743263154873</v>
      </c>
      <c r="Z75" s="21">
        <f t="shared" si="93"/>
        <v>88797224.550013095</v>
      </c>
      <c r="AA75" s="21">
        <f t="shared" si="88"/>
        <v>69013358.38000983</v>
      </c>
      <c r="AB75" s="21">
        <f t="shared" si="88"/>
        <v>54305293.861230291</v>
      </c>
      <c r="AC75" s="21">
        <f t="shared" si="88"/>
        <v>43077343.407972708</v>
      </c>
      <c r="AD75" s="21">
        <f t="shared" si="89"/>
        <v>-6.3385512244480156</v>
      </c>
      <c r="AE75" s="21">
        <f t="shared" si="90"/>
        <v>-3.1545630574758867</v>
      </c>
      <c r="AF75" s="21">
        <f t="shared" si="91"/>
        <v>-1.6194288992381602</v>
      </c>
      <c r="AG75" s="21">
        <f t="shared" si="92"/>
        <v>-0.85528489029205412</v>
      </c>
      <c r="AH75" s="21">
        <f t="shared" si="82"/>
        <v>53.285819998126705</v>
      </c>
      <c r="AI75" s="21">
        <f t="shared" si="83"/>
        <v>26.519227075906233</v>
      </c>
      <c r="AJ75" s="21">
        <f t="shared" si="84"/>
        <v>13.613930655279002</v>
      </c>
      <c r="AK75" s="114">
        <f t="shared" si="85"/>
        <v>-0.11895380843666942</v>
      </c>
      <c r="AL75" s="114"/>
      <c r="AM75" s="113"/>
      <c r="AO75" s="113"/>
    </row>
    <row r="76" spans="3:41" x14ac:dyDescent="0.35">
      <c r="C76" s="116">
        <f t="shared" si="86"/>
        <v>91.096496265858761</v>
      </c>
      <c r="E76" s="15">
        <v>16</v>
      </c>
      <c r="F76" s="21">
        <f t="shared" si="87"/>
        <v>4207657.3779524975</v>
      </c>
      <c r="Q76" s="273">
        <v>16</v>
      </c>
      <c r="R76" s="87">
        <f t="shared" si="74"/>
        <v>1514091.5555169471</v>
      </c>
      <c r="S76" s="87">
        <f t="shared" si="75"/>
        <v>719279.95895396965</v>
      </c>
      <c r="T76" s="87">
        <f t="shared" si="76"/>
        <v>353195.75623846427</v>
      </c>
      <c r="U76" s="87">
        <f t="shared" si="77"/>
        <v>178764.37944335744</v>
      </c>
      <c r="V76" s="21">
        <f t="shared" si="78"/>
        <v>-413484.76991521567</v>
      </c>
      <c r="W76" s="21">
        <f t="shared" si="79"/>
        <v>-196428.87991087465</v>
      </c>
      <c r="X76" s="21">
        <f t="shared" si="80"/>
        <v>-96454.580617108033</v>
      </c>
      <c r="Y76" s="21">
        <f t="shared" si="81"/>
        <v>-48818.942311540828</v>
      </c>
      <c r="Z76" s="21">
        <f t="shared" si="93"/>
        <v>88797224.550013095</v>
      </c>
      <c r="AA76" s="21">
        <f t="shared" si="88"/>
        <v>69013358.38000983</v>
      </c>
      <c r="AB76" s="21">
        <f t="shared" si="88"/>
        <v>54305293.861230291</v>
      </c>
      <c r="AC76" s="21">
        <f t="shared" si="88"/>
        <v>43077343.407972708</v>
      </c>
      <c r="AD76" s="21">
        <f t="shared" si="89"/>
        <v>-12.435549472319817</v>
      </c>
      <c r="AE76" s="21">
        <f t="shared" si="90"/>
        <v>-5.9075961961668417</v>
      </c>
      <c r="AF76" s="21">
        <f t="shared" si="91"/>
        <v>-2.9008703496911274</v>
      </c>
      <c r="AG76" s="21">
        <f t="shared" si="92"/>
        <v>-1.468229101705429</v>
      </c>
      <c r="AH76" s="21">
        <f t="shared" si="82"/>
        <v>57.97183475826499</v>
      </c>
      <c r="AI76" s="21">
        <f t="shared" si="83"/>
        <v>27.539932293707604</v>
      </c>
      <c r="AJ76" s="21">
        <f t="shared" si="84"/>
        <v>13.523228462221953</v>
      </c>
      <c r="AK76" s="114">
        <f t="shared" si="85"/>
        <v>-0.21451019316836245</v>
      </c>
      <c r="AL76" s="114"/>
      <c r="AM76" s="113"/>
      <c r="AO76" s="113"/>
    </row>
    <row r="77" spans="3:41" x14ac:dyDescent="0.35">
      <c r="C77" s="116">
        <f t="shared" si="86"/>
        <v>81.842404938051388</v>
      </c>
      <c r="E77" s="15">
        <v>17</v>
      </c>
      <c r="F77" s="21">
        <f t="shared" si="87"/>
        <v>4260913.0186192654</v>
      </c>
      <c r="Q77" s="273">
        <v>17</v>
      </c>
      <c r="R77" s="87">
        <f t="shared" si="74"/>
        <v>1318966.2273302006</v>
      </c>
      <c r="S77" s="87">
        <f t="shared" si="75"/>
        <v>598103.18058007187</v>
      </c>
      <c r="T77" s="87">
        <f t="shared" si="76"/>
        <v>280923.76065847994</v>
      </c>
      <c r="U77" s="87">
        <f t="shared" si="77"/>
        <v>136260.68779774773</v>
      </c>
      <c r="V77" s="21">
        <f t="shared" si="78"/>
        <v>-540056.00889136386</v>
      </c>
      <c r="W77" s="21">
        <f t="shared" si="79"/>
        <v>-244895.74480093154</v>
      </c>
      <c r="X77" s="21">
        <f t="shared" si="80"/>
        <v>-115025.35989194055</v>
      </c>
      <c r="Y77" s="21">
        <f t="shared" si="81"/>
        <v>-55792.484823359409</v>
      </c>
      <c r="Z77" s="21">
        <f t="shared" si="93"/>
        <v>88797224.550013095</v>
      </c>
      <c r="AA77" s="21">
        <f t="shared" si="88"/>
        <v>69013358.38000983</v>
      </c>
      <c r="AB77" s="21">
        <f t="shared" si="88"/>
        <v>54305293.861230291</v>
      </c>
      <c r="AC77" s="21">
        <f t="shared" si="88"/>
        <v>43077343.407972708</v>
      </c>
      <c r="AD77" s="21">
        <f t="shared" si="89"/>
        <v>-18.078714878086821</v>
      </c>
      <c r="AE77" s="21">
        <f t="shared" si="90"/>
        <v>-8.1980392259710175</v>
      </c>
      <c r="AF77" s="21">
        <f t="shared" si="91"/>
        <v>-3.850546334082221</v>
      </c>
      <c r="AG77" s="21">
        <f t="shared" si="92"/>
        <v>-1.8676885524004962</v>
      </c>
      <c r="AH77" s="21">
        <f t="shared" si="82"/>
        <v>62.231939664305571</v>
      </c>
      <c r="AI77" s="21">
        <f t="shared" si="83"/>
        <v>28.219919718664681</v>
      </c>
      <c r="AJ77" s="21">
        <f t="shared" si="84"/>
        <v>13.254646071534058</v>
      </c>
      <c r="AK77" s="114">
        <f t="shared" si="85"/>
        <v>-0.29050540567444733</v>
      </c>
      <c r="AL77" s="114"/>
      <c r="AM77" s="113"/>
      <c r="AO77" s="113"/>
    </row>
    <row r="78" spans="3:41" x14ac:dyDescent="0.35">
      <c r="C78" s="116">
        <f t="shared" si="86"/>
        <v>72.960119163292092</v>
      </c>
      <c r="E78" s="15">
        <v>18</v>
      </c>
      <c r="F78" s="21">
        <f t="shared" si="87"/>
        <v>4250296.7644947162</v>
      </c>
      <c r="Q78" s="273">
        <v>18</v>
      </c>
      <c r="R78" s="87">
        <f t="shared" si="74"/>
        <v>1139746.4299897021</v>
      </c>
      <c r="S78" s="87">
        <f t="shared" si="75"/>
        <v>493341.0921935279</v>
      </c>
      <c r="T78" s="87">
        <f t="shared" si="76"/>
        <v>221643.24374985683</v>
      </c>
      <c r="U78" s="87">
        <f t="shared" si="77"/>
        <v>103027.50790087254</v>
      </c>
      <c r="V78" s="21">
        <f t="shared" si="78"/>
        <v>-626339.66497428715</v>
      </c>
      <c r="W78" s="21">
        <f t="shared" si="79"/>
        <v>-271112.14062353777</v>
      </c>
      <c r="X78" s="21">
        <f t="shared" si="80"/>
        <v>-121802.49166067055</v>
      </c>
      <c r="Y78" s="21">
        <f t="shared" si="81"/>
        <v>-56618.045105305835</v>
      </c>
      <c r="Z78" s="21">
        <f t="shared" si="93"/>
        <v>88797224.550013095</v>
      </c>
      <c r="AA78" s="21">
        <f t="shared" si="93"/>
        <v>69013358.38000983</v>
      </c>
      <c r="AB78" s="21">
        <f t="shared" si="93"/>
        <v>54305293.861230291</v>
      </c>
      <c r="AC78" s="21">
        <f t="shared" si="93"/>
        <v>43077343.407972708</v>
      </c>
      <c r="AD78" s="21">
        <f t="shared" si="89"/>
        <v>-23.519685847562229</v>
      </c>
      <c r="AE78" s="21">
        <f t="shared" si="90"/>
        <v>-10.180534194952338</v>
      </c>
      <c r="AF78" s="21">
        <f t="shared" si="91"/>
        <v>-4.5738063538206468</v>
      </c>
      <c r="AG78" s="21">
        <f t="shared" si="92"/>
        <v>-2.1260646716898708</v>
      </c>
      <c r="AH78" s="21">
        <f t="shared" si="82"/>
        <v>66.318313298912997</v>
      </c>
      <c r="AI78" s="21">
        <f t="shared" si="83"/>
        <v>28.705989555601345</v>
      </c>
      <c r="AJ78" s="21">
        <f t="shared" si="84"/>
        <v>12.896733600405451</v>
      </c>
      <c r="AK78" s="114">
        <f t="shared" si="85"/>
        <v>-0.35464843235009924</v>
      </c>
      <c r="AL78" s="114"/>
      <c r="AM78" s="113"/>
      <c r="AO78" s="113"/>
    </row>
    <row r="79" spans="3:41" x14ac:dyDescent="0.35">
      <c r="C79" s="116">
        <f t="shared" si="86"/>
        <v>65.578362434628758</v>
      </c>
      <c r="E79" s="15">
        <v>19</v>
      </c>
      <c r="F79" s="21">
        <f t="shared" si="87"/>
        <v>4241295.0462305341</v>
      </c>
      <c r="Q79" s="273">
        <v>19</v>
      </c>
      <c r="R79" s="87">
        <f t="shared" si="74"/>
        <v>990805.55840535893</v>
      </c>
      <c r="S79" s="87">
        <f t="shared" si="75"/>
        <v>409377.62171323993</v>
      </c>
      <c r="T79" s="87">
        <f t="shared" si="76"/>
        <v>175924.42892296822</v>
      </c>
      <c r="U79" s="87">
        <f t="shared" si="77"/>
        <v>78368.483295480924</v>
      </c>
      <c r="V79" s="21">
        <f t="shared" si="78"/>
        <v>-687618.91311456857</v>
      </c>
      <c r="W79" s="21">
        <f t="shared" si="79"/>
        <v>-284108.00979854737</v>
      </c>
      <c r="X79" s="21">
        <f t="shared" si="80"/>
        <v>-122091.52802998474</v>
      </c>
      <c r="Y79" s="21">
        <f t="shared" si="81"/>
        <v>-54387.715984158072</v>
      </c>
      <c r="Z79" s="21">
        <f t="shared" si="93"/>
        <v>88797224.550013095</v>
      </c>
      <c r="AA79" s="21">
        <f t="shared" si="93"/>
        <v>69013358.38000983</v>
      </c>
      <c r="AB79" s="21">
        <f t="shared" si="93"/>
        <v>54305293.861230291</v>
      </c>
      <c r="AC79" s="21">
        <f t="shared" si="93"/>
        <v>43077343.407972708</v>
      </c>
      <c r="AD79" s="21">
        <f t="shared" si="89"/>
        <v>-28.727271667823914</v>
      </c>
      <c r="AE79" s="21">
        <f t="shared" si="90"/>
        <v>-11.869434980372311</v>
      </c>
      <c r="AF79" s="21">
        <f t="shared" si="91"/>
        <v>-5.1007272010168325</v>
      </c>
      <c r="AG79" s="21">
        <f t="shared" si="92"/>
        <v>-2.2722043601046717</v>
      </c>
      <c r="AH79" s="21">
        <f t="shared" si="82"/>
        <v>70.121043571765554</v>
      </c>
      <c r="AI79" s="21">
        <f t="shared" si="83"/>
        <v>28.972370820830257</v>
      </c>
      <c r="AJ79" s="21">
        <f t="shared" si="84"/>
        <v>12.450479754775976</v>
      </c>
      <c r="AK79" s="114">
        <f t="shared" si="85"/>
        <v>-0.40968117706951845</v>
      </c>
      <c r="AL79" s="114"/>
      <c r="AM79" s="113"/>
      <c r="AO79" s="113"/>
    </row>
    <row r="80" spans="3:41" x14ac:dyDescent="0.35">
      <c r="C80" s="116">
        <f t="shared" si="86"/>
        <v>59.34996803752896</v>
      </c>
      <c r="E80" s="15">
        <v>20</v>
      </c>
      <c r="F80" s="21">
        <f t="shared" si="87"/>
        <v>4233540.8363828035</v>
      </c>
      <c r="Q80" s="273">
        <v>20</v>
      </c>
      <c r="R80" s="87">
        <f t="shared" si="74"/>
        <v>867065.46595890285</v>
      </c>
      <c r="S80" s="87">
        <f t="shared" si="75"/>
        <v>341966.97560278012</v>
      </c>
      <c r="T80" s="87">
        <f t="shared" si="76"/>
        <v>140566.25148030868</v>
      </c>
      <c r="U80" s="87">
        <f t="shared" si="77"/>
        <v>60008.524674755186</v>
      </c>
      <c r="V80" s="21">
        <f t="shared" si="78"/>
        <v>-728511.55058714258</v>
      </c>
      <c r="W80" s="21">
        <f t="shared" si="79"/>
        <v>-287321.89370552672</v>
      </c>
      <c r="X80" s="21">
        <f t="shared" si="80"/>
        <v>-118104.27452890354</v>
      </c>
      <c r="Y80" s="21">
        <f t="shared" si="81"/>
        <v>-50419.380168607488</v>
      </c>
      <c r="Z80" s="21">
        <f t="shared" si="93"/>
        <v>88797224.550013095</v>
      </c>
      <c r="AA80" s="21">
        <f t="shared" si="93"/>
        <v>69013358.38000983</v>
      </c>
      <c r="AB80" s="21">
        <f t="shared" si="93"/>
        <v>54305293.861230291</v>
      </c>
      <c r="AC80" s="21">
        <f t="shared" si="93"/>
        <v>43077343.407972708</v>
      </c>
      <c r="AD80" s="21">
        <f t="shared" si="89"/>
        <v>-33.629707351165585</v>
      </c>
      <c r="AE80" s="21">
        <f t="shared" si="90"/>
        <v>-13.263415237702207</v>
      </c>
      <c r="AF80" s="21">
        <f t="shared" si="91"/>
        <v>-5.4519549980061006</v>
      </c>
      <c r="AG80" s="21">
        <f t="shared" si="92"/>
        <v>-2.3274703037046902</v>
      </c>
      <c r="AH80" s="21">
        <f t="shared" si="82"/>
        <v>73.655370432278247</v>
      </c>
      <c r="AI80" s="21">
        <f t="shared" si="83"/>
        <v>29.049368533866247</v>
      </c>
      <c r="AJ80" s="21">
        <f t="shared" si="84"/>
        <v>11.940804621492848</v>
      </c>
      <c r="AK80" s="114">
        <f t="shared" si="85"/>
        <v>-0.45658187792411026</v>
      </c>
      <c r="AL80" s="114"/>
      <c r="AM80" s="113"/>
      <c r="AO80" s="113"/>
    </row>
    <row r="81" spans="5:58" x14ac:dyDescent="0.35">
      <c r="E81" s="15">
        <v>21</v>
      </c>
      <c r="F81" s="21">
        <f t="shared" si="87"/>
        <v>2035908.9462464845</v>
      </c>
      <c r="Q81" s="273">
        <v>21</v>
      </c>
      <c r="R81" s="87">
        <f t="shared" si="74"/>
        <v>351308.14797690551</v>
      </c>
      <c r="S81" s="87">
        <f t="shared" si="75"/>
        <v>132256.52719018463</v>
      </c>
      <c r="T81" s="87">
        <f t="shared" si="76"/>
        <v>52000.659982301426</v>
      </c>
      <c r="U81" s="87">
        <f t="shared" si="77"/>
        <v>21274.400760068631</v>
      </c>
      <c r="V81" s="21">
        <f t="shared" si="78"/>
        <v>-379465.82338247861</v>
      </c>
      <c r="W81" s="21">
        <f t="shared" si="79"/>
        <v>-142857.01107971394</v>
      </c>
      <c r="X81" s="21">
        <f t="shared" si="80"/>
        <v>-56168.561333548976</v>
      </c>
      <c r="Y81" s="21">
        <f t="shared" si="81"/>
        <v>-22979.563804250203</v>
      </c>
      <c r="Z81" s="21">
        <f t="shared" si="93"/>
        <v>88797224.550013095</v>
      </c>
      <c r="AA81" s="21">
        <f t="shared" si="93"/>
        <v>69013358.38000983</v>
      </c>
      <c r="AB81" s="21">
        <f t="shared" si="93"/>
        <v>54305293.861230291</v>
      </c>
      <c r="AC81" s="21">
        <f t="shared" si="93"/>
        <v>43077343.407972708</v>
      </c>
      <c r="AD81" s="21">
        <f t="shared" si="89"/>
        <v>-41.795346013643119</v>
      </c>
      <c r="AE81" s="21">
        <f t="shared" si="90"/>
        <v>-15.73464022485453</v>
      </c>
      <c r="AF81" s="21">
        <f t="shared" si="91"/>
        <v>-6.1865504384514542</v>
      </c>
      <c r="AG81" s="21">
        <f t="shared" si="92"/>
        <v>-2.5310285176147791</v>
      </c>
      <c r="AH81" s="21">
        <f t="shared" si="82"/>
        <v>80.489332921937844</v>
      </c>
      <c r="AI81" s="21">
        <f t="shared" si="83"/>
        <v>30.301715771220589</v>
      </c>
      <c r="AJ81" s="21">
        <f t="shared" si="84"/>
        <v>11.914037455661571</v>
      </c>
      <c r="AK81" s="114">
        <f t="shared" si="85"/>
        <v>-0.51926565293040894</v>
      </c>
      <c r="AL81" s="114"/>
      <c r="AM81" s="113"/>
      <c r="AO81" s="113"/>
    </row>
    <row r="83" spans="5:58" x14ac:dyDescent="0.35">
      <c r="S83" s="113">
        <f>SUM(S60:S80)</f>
        <v>139270135.55096808</v>
      </c>
      <c r="U83" s="19" t="s">
        <v>113</v>
      </c>
      <c r="V83" s="20">
        <f>SUMIF(V61:V80,"&gt;0")+V60</f>
        <v>88797224.550013095</v>
      </c>
      <c r="W83" s="20">
        <f>SUMIF(W61:W80,"&gt;0")+W60</f>
        <v>69013358.38000983</v>
      </c>
      <c r="X83" s="20">
        <f>SUMIF(X61:X80,"&gt;0")+X60</f>
        <v>54305293.861230277</v>
      </c>
      <c r="Y83" s="20">
        <f>SUMIF(Y61:Y80,"&gt;0")+Y60</f>
        <v>43077343.407972701</v>
      </c>
      <c r="AI83" s="103">
        <f>AVERAGE(AI60:AI80)</f>
        <v>18.222021270406891</v>
      </c>
      <c r="AK83" s="114">
        <f>(S83-AF53)/AF53</f>
        <v>0.94340957078725551</v>
      </c>
    </row>
    <row r="84" spans="5:58" x14ac:dyDescent="0.35">
      <c r="U84" s="19"/>
      <c r="V84" s="117">
        <f>V83/W83</f>
        <v>1.2866671994292309</v>
      </c>
      <c r="W84" s="20"/>
      <c r="X84" s="110">
        <f>X83/W83</f>
        <v>0.78688090445052383</v>
      </c>
      <c r="Y84" s="20"/>
    </row>
    <row r="85" spans="5:58" x14ac:dyDescent="0.35">
      <c r="U85" s="19"/>
      <c r="V85" s="118">
        <f>V84-1</f>
        <v>0.28666719942923091</v>
      </c>
      <c r="W85" s="20"/>
      <c r="X85" s="114">
        <f>X84-1</f>
        <v>-0.21311909554947617</v>
      </c>
      <c r="Y85" s="20"/>
    </row>
    <row r="86" spans="5:58" x14ac:dyDescent="0.35">
      <c r="U86" s="19"/>
    </row>
    <row r="87" spans="5:58" ht="29" x14ac:dyDescent="0.35">
      <c r="R87" s="45" t="s">
        <v>215</v>
      </c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</row>
    <row r="88" spans="5:58" ht="43.5" x14ac:dyDescent="0.35">
      <c r="Q88" s="62"/>
      <c r="R88" s="100">
        <v>0.05</v>
      </c>
      <c r="S88" s="100">
        <v>0.1</v>
      </c>
      <c r="T88" s="100">
        <v>0.15</v>
      </c>
      <c r="U88" s="100">
        <v>0.2</v>
      </c>
      <c r="V88" s="15"/>
      <c r="W88" s="45"/>
      <c r="X88" s="45"/>
      <c r="Y88" s="45"/>
      <c r="Z88" s="45" t="s">
        <v>355</v>
      </c>
      <c r="AA88" s="45"/>
      <c r="AB88" s="45"/>
      <c r="AC88" s="45"/>
      <c r="AD88" s="45" t="s">
        <v>146</v>
      </c>
      <c r="AE88" s="45"/>
      <c r="AF88" s="45"/>
      <c r="AG88" s="45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</row>
    <row r="89" spans="5:58" ht="43.5" x14ac:dyDescent="0.35">
      <c r="Q89" s="62"/>
      <c r="R89" s="76" t="s">
        <v>206</v>
      </c>
      <c r="S89" s="76" t="s">
        <v>206</v>
      </c>
      <c r="T89" s="76" t="s">
        <v>206</v>
      </c>
      <c r="U89" s="76" t="s">
        <v>206</v>
      </c>
      <c r="V89" s="22" t="s">
        <v>442</v>
      </c>
      <c r="W89" s="22" t="s">
        <v>211</v>
      </c>
      <c r="X89" s="22" t="s">
        <v>212</v>
      </c>
      <c r="Y89" s="22" t="s">
        <v>443</v>
      </c>
      <c r="Z89" s="22" t="s">
        <v>442</v>
      </c>
      <c r="AA89" s="22" t="s">
        <v>211</v>
      </c>
      <c r="AB89" s="22" t="s">
        <v>212</v>
      </c>
      <c r="AC89" s="22" t="s">
        <v>443</v>
      </c>
      <c r="AD89" s="22" t="s">
        <v>442</v>
      </c>
      <c r="AE89" s="22" t="s">
        <v>211</v>
      </c>
      <c r="AF89" s="22" t="s">
        <v>212</v>
      </c>
      <c r="AG89" s="22" t="s">
        <v>443</v>
      </c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62"/>
      <c r="AZ89" s="62"/>
      <c r="BA89" s="62"/>
      <c r="BB89" s="62"/>
      <c r="BC89" s="62"/>
      <c r="BD89" s="62"/>
      <c r="BE89" s="62"/>
      <c r="BF89" s="62"/>
    </row>
    <row r="90" spans="5:58" x14ac:dyDescent="0.35">
      <c r="Q90" s="62">
        <v>0</v>
      </c>
      <c r="R90" s="87">
        <f t="shared" ref="R90:R111" si="94">D30*$O30</f>
        <v>0</v>
      </c>
      <c r="S90" s="87">
        <f t="shared" ref="S90:S111" si="95">D30*$P30</f>
        <v>0</v>
      </c>
      <c r="T90" s="87">
        <f t="shared" ref="T90:T111" si="96">$D30*$Q30</f>
        <v>0</v>
      </c>
      <c r="U90" s="87">
        <f t="shared" ref="U90:U111" si="97">$D30*$R30</f>
        <v>0</v>
      </c>
      <c r="V90" s="21">
        <f t="shared" ref="V90:V111" si="98">R90-Y30</f>
        <v>-33594902.4440751</v>
      </c>
      <c r="W90" s="21">
        <f t="shared" ref="W90:W111" si="99">S90-AF30</f>
        <v>-33594902.4440751</v>
      </c>
      <c r="X90" s="21">
        <f t="shared" ref="X90:X111" si="100">T90-AM30</f>
        <v>-33594902.4440751</v>
      </c>
      <c r="Y90" s="21">
        <f t="shared" ref="Y90:Y111" si="101">U90-AT30</f>
        <v>-33594902.4440751</v>
      </c>
      <c r="Z90" s="21">
        <f>V90</f>
        <v>-33594902.4440751</v>
      </c>
      <c r="AA90" s="21">
        <f>W90</f>
        <v>-33594902.4440751</v>
      </c>
      <c r="AB90" s="21">
        <f>X90</f>
        <v>-33594902.4440751</v>
      </c>
      <c r="AC90" s="21">
        <f>Y90</f>
        <v>-33594902.4440751</v>
      </c>
      <c r="AD90" s="21">
        <v>0</v>
      </c>
      <c r="AE90" s="21">
        <v>0</v>
      </c>
      <c r="AF90" s="21">
        <v>0</v>
      </c>
      <c r="AG90" s="21">
        <v>0</v>
      </c>
      <c r="AH90" s="60"/>
      <c r="AI90" s="60"/>
      <c r="AJ90" s="94"/>
      <c r="AK90" s="60"/>
      <c r="AL90" s="60"/>
      <c r="AM90" s="60"/>
      <c r="AN90" s="60"/>
      <c r="AO90" s="60"/>
      <c r="AP90" s="62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62"/>
      <c r="BC90" s="62"/>
      <c r="BD90" s="62"/>
      <c r="BE90" s="62"/>
      <c r="BF90" s="62"/>
    </row>
    <row r="91" spans="5:58" x14ac:dyDescent="0.35">
      <c r="Q91" s="62">
        <v>1</v>
      </c>
      <c r="R91" s="87">
        <f t="shared" si="94"/>
        <v>41872857.657735072</v>
      </c>
      <c r="S91" s="87">
        <f t="shared" si="95"/>
        <v>39969545.946019843</v>
      </c>
      <c r="T91" s="87">
        <f t="shared" si="96"/>
        <v>38231739.600540727</v>
      </c>
      <c r="U91" s="87">
        <f t="shared" si="97"/>
        <v>36638750.450518198</v>
      </c>
      <c r="V91" s="21">
        <f t="shared" si="98"/>
        <v>36636353.780868657</v>
      </c>
      <c r="W91" s="21">
        <f t="shared" si="99"/>
        <v>34971064.972647361</v>
      </c>
      <c r="X91" s="21">
        <f t="shared" si="100"/>
        <v>33450583.886880089</v>
      </c>
      <c r="Y91" s="21">
        <f t="shared" si="101"/>
        <v>32056809.558260087</v>
      </c>
      <c r="Z91" s="21">
        <f>V91+Z90</f>
        <v>3041451.3367935568</v>
      </c>
      <c r="AA91" s="21">
        <f>W91+AA90</f>
        <v>1376162.5285722613</v>
      </c>
      <c r="AB91" s="21">
        <f>X91+AB90</f>
        <v>-144318.55719501153</v>
      </c>
      <c r="AC91" s="21">
        <f>Y91+AC90</f>
        <v>-1538092.8858150132</v>
      </c>
      <c r="AD91" s="21">
        <f t="shared" ref="AD91:AD111" si="102">V91/($C5*1000)</f>
        <v>46.663614035715291</v>
      </c>
      <c r="AE91" s="21">
        <f t="shared" ref="AE91:AE111" si="103">W91/($C5*1000)</f>
        <v>44.542540670455516</v>
      </c>
      <c r="AF91" s="21">
        <f t="shared" ref="AF91:AF111" si="104">X91/($C5*1000)</f>
        <v>42.60590846739224</v>
      </c>
      <c r="AG91" s="21">
        <f t="shared" ref="AG91:AG111" si="105">Y91/($C5*1000)</f>
        <v>40.830662281250895</v>
      </c>
      <c r="AH91" s="60"/>
      <c r="AI91" s="60"/>
      <c r="AJ91" s="60"/>
      <c r="AK91" s="60"/>
      <c r="AL91" s="60"/>
      <c r="AM91" s="60"/>
      <c r="AN91" s="60"/>
      <c r="AO91" s="60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62"/>
      <c r="BC91" s="62"/>
      <c r="BD91" s="62"/>
      <c r="BE91" s="62"/>
      <c r="BF91" s="62"/>
    </row>
    <row r="92" spans="5:58" x14ac:dyDescent="0.35">
      <c r="Q92" s="62">
        <v>2</v>
      </c>
      <c r="R92" s="87">
        <f t="shared" si="94"/>
        <v>16159638.674479911</v>
      </c>
      <c r="S92" s="87">
        <f t="shared" si="95"/>
        <v>14723968.29637529</v>
      </c>
      <c r="T92" s="87">
        <f t="shared" si="96"/>
        <v>13471456.815587226</v>
      </c>
      <c r="U92" s="87">
        <f t="shared" si="97"/>
        <v>12372223.360148683</v>
      </c>
      <c r="V92" s="21">
        <f t="shared" si="98"/>
        <v>12332364.587801911</v>
      </c>
      <c r="W92" s="21">
        <f t="shared" si="99"/>
        <v>11236720.62648893</v>
      </c>
      <c r="X92" s="21">
        <f t="shared" si="100"/>
        <v>10280855.92291237</v>
      </c>
      <c r="Y92" s="21">
        <f t="shared" si="101"/>
        <v>9441966.6375358403</v>
      </c>
      <c r="Z92" s="21">
        <f>MAX(0,V92)+Z91</f>
        <v>15373815.924595468</v>
      </c>
      <c r="AA92" s="21">
        <f t="shared" ref="AA92:AC107" si="106">MAX(0,W92)+AA91</f>
        <v>12612883.155061191</v>
      </c>
      <c r="AB92" s="21">
        <f t="shared" si="106"/>
        <v>10136537.365717359</v>
      </c>
      <c r="AC92" s="21">
        <f t="shared" si="106"/>
        <v>7903873.7517208271</v>
      </c>
      <c r="AD92" s="21">
        <f t="shared" si="102"/>
        <v>40.345791014857468</v>
      </c>
      <c r="AE92" s="21">
        <f t="shared" si="103"/>
        <v>36.76135090403335</v>
      </c>
      <c r="AF92" s="21">
        <f t="shared" si="104"/>
        <v>33.634203851705387</v>
      </c>
      <c r="AG92" s="21">
        <f t="shared" si="105"/>
        <v>30.889746245750256</v>
      </c>
      <c r="AH92" s="96"/>
      <c r="AI92" s="96"/>
      <c r="AJ92" s="96"/>
      <c r="AK92" s="96"/>
      <c r="AL92" s="96"/>
      <c r="AM92" s="96"/>
      <c r="AN92" s="96"/>
      <c r="AO92" s="96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62"/>
      <c r="BC92" s="62"/>
      <c r="BD92" s="62"/>
      <c r="BE92" s="62"/>
      <c r="BF92" s="62"/>
    </row>
    <row r="93" spans="5:58" x14ac:dyDescent="0.35">
      <c r="Q93" s="62">
        <v>3</v>
      </c>
      <c r="R93" s="87">
        <f t="shared" si="94"/>
        <v>8870778.5294726025</v>
      </c>
      <c r="S93" s="87">
        <f t="shared" si="95"/>
        <v>7715277.982855537</v>
      </c>
      <c r="T93" s="87">
        <f t="shared" si="96"/>
        <v>6752057.2007434694</v>
      </c>
      <c r="U93" s="87">
        <f t="shared" si="97"/>
        <v>5942728.5851740297</v>
      </c>
      <c r="V93" s="21">
        <f t="shared" si="98"/>
        <v>5461834.0770392101</v>
      </c>
      <c r="W93" s="21">
        <f t="shared" si="99"/>
        <v>4750379.9199342709</v>
      </c>
      <c r="X93" s="21">
        <f t="shared" si="100"/>
        <v>4157314.4889833266</v>
      </c>
      <c r="Y93" s="21">
        <f t="shared" si="101"/>
        <v>3659002.1258290028</v>
      </c>
      <c r="Z93" s="21">
        <f t="shared" ref="Z93:AC111" si="107">MAX(0,V93)+Z92</f>
        <v>20835650.00163468</v>
      </c>
      <c r="AA93" s="21">
        <f t="shared" si="106"/>
        <v>17363263.074995462</v>
      </c>
      <c r="AB93" s="21">
        <f t="shared" si="106"/>
        <v>14293851.854700685</v>
      </c>
      <c r="AC93" s="21">
        <f t="shared" si="106"/>
        <v>11562875.877549831</v>
      </c>
      <c r="AD93" s="21">
        <f t="shared" si="102"/>
        <v>32.216376010173761</v>
      </c>
      <c r="AE93" s="21">
        <f t="shared" si="103"/>
        <v>28.019896528007056</v>
      </c>
      <c r="AF93" s="21">
        <f t="shared" si="104"/>
        <v>24.521727478443268</v>
      </c>
      <c r="AG93" s="21">
        <f t="shared" si="105"/>
        <v>21.582455022440627</v>
      </c>
      <c r="AH93" s="96"/>
      <c r="AI93" s="96"/>
      <c r="AJ93" s="96"/>
      <c r="AK93" s="96"/>
      <c r="AL93" s="96"/>
      <c r="AM93" s="96"/>
      <c r="AN93" s="96"/>
      <c r="AO93" s="96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62"/>
      <c r="BC93" s="62"/>
      <c r="BD93" s="62"/>
      <c r="BE93" s="62"/>
      <c r="BF93" s="62"/>
    </row>
    <row r="94" spans="5:58" x14ac:dyDescent="0.35">
      <c r="Q94" s="62">
        <v>4</v>
      </c>
      <c r="R94" s="87">
        <f t="shared" si="94"/>
        <v>16595509.622898735</v>
      </c>
      <c r="S94" s="87">
        <f t="shared" si="95"/>
        <v>13777710.312525477</v>
      </c>
      <c r="T94" s="87">
        <f t="shared" si="96"/>
        <v>11533375.405930404</v>
      </c>
      <c r="U94" s="87">
        <f t="shared" si="97"/>
        <v>9727983.057758756</v>
      </c>
      <c r="V94" s="21">
        <f t="shared" si="98"/>
        <v>12628779.159709502</v>
      </c>
      <c r="W94" s="21">
        <f t="shared" si="99"/>
        <v>10484502.423670955</v>
      </c>
      <c r="X94" s="21">
        <f t="shared" si="100"/>
        <v>8776618.1501619294</v>
      </c>
      <c r="Y94" s="21">
        <f t="shared" si="101"/>
        <v>7402758.4869293245</v>
      </c>
      <c r="Z94" s="21">
        <f t="shared" si="107"/>
        <v>33464429.161344182</v>
      </c>
      <c r="AA94" s="21">
        <f t="shared" si="106"/>
        <v>27847765.498666417</v>
      </c>
      <c r="AB94" s="21">
        <f t="shared" si="106"/>
        <v>23070470.004862614</v>
      </c>
      <c r="AC94" s="21">
        <f t="shared" si="106"/>
        <v>18965634.364479154</v>
      </c>
      <c r="AD94" s="21">
        <f t="shared" si="102"/>
        <v>39.352127394932602</v>
      </c>
      <c r="AE94" s="21">
        <f t="shared" si="103"/>
        <v>32.670416501152097</v>
      </c>
      <c r="AF94" s="21">
        <f t="shared" si="104"/>
        <v>27.348533945683045</v>
      </c>
      <c r="AG94" s="21">
        <f t="shared" si="105"/>
        <v>23.067494598445595</v>
      </c>
      <c r="AH94" s="96"/>
      <c r="AI94" s="96"/>
      <c r="AJ94" s="96"/>
      <c r="AK94" s="96"/>
      <c r="AL94" s="96"/>
      <c r="AM94" s="96"/>
      <c r="AN94" s="96"/>
      <c r="AO94" s="96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62"/>
      <c r="BC94" s="62"/>
      <c r="BD94" s="62"/>
      <c r="BE94" s="62"/>
      <c r="BF94" s="62"/>
    </row>
    <row r="95" spans="5:58" x14ac:dyDescent="0.35">
      <c r="Q95" s="62">
        <v>5</v>
      </c>
      <c r="R95" s="87">
        <f t="shared" si="94"/>
        <v>21849230.382583003</v>
      </c>
      <c r="S95" s="87">
        <f t="shared" si="95"/>
        <v>17314869.135929301</v>
      </c>
      <c r="T95" s="87">
        <f t="shared" si="96"/>
        <v>13864156.036236363</v>
      </c>
      <c r="U95" s="87">
        <f t="shared" si="97"/>
        <v>11206665.49804909</v>
      </c>
      <c r="V95" s="21">
        <f t="shared" si="98"/>
        <v>18083501.868118916</v>
      </c>
      <c r="W95" s="21">
        <f t="shared" si="99"/>
        <v>14330640.616770135</v>
      </c>
      <c r="X95" s="21">
        <f t="shared" si="100"/>
        <v>11474660.076861404</v>
      </c>
      <c r="Y95" s="21">
        <f t="shared" si="101"/>
        <v>9275189.6941367984</v>
      </c>
      <c r="Z95" s="21">
        <f t="shared" si="107"/>
        <v>51547931.029463097</v>
      </c>
      <c r="AA95" s="21">
        <f t="shared" si="106"/>
        <v>42178406.115436554</v>
      </c>
      <c r="AB95" s="21">
        <f t="shared" si="106"/>
        <v>34545130.081724018</v>
      </c>
      <c r="AC95" s="21">
        <f t="shared" si="106"/>
        <v>28240824.058615953</v>
      </c>
      <c r="AD95" s="21">
        <f t="shared" si="102"/>
        <v>42.244161929018745</v>
      </c>
      <c r="AE95" s="21">
        <f t="shared" si="103"/>
        <v>33.477249438544959</v>
      </c>
      <c r="AF95" s="21">
        <f t="shared" si="104"/>
        <v>26.805504923909037</v>
      </c>
      <c r="AG95" s="21">
        <f t="shared" si="105"/>
        <v>21.667408128082826</v>
      </c>
      <c r="AH95" s="96"/>
      <c r="AI95" s="96"/>
      <c r="AJ95" s="96"/>
      <c r="AK95" s="96"/>
      <c r="AL95" s="96"/>
      <c r="AM95" s="96"/>
      <c r="AN95" s="96"/>
      <c r="AO95" s="96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62"/>
      <c r="BC95" s="62"/>
      <c r="BD95" s="62"/>
      <c r="BE95" s="62"/>
      <c r="BF95" s="62"/>
    </row>
    <row r="96" spans="5:58" x14ac:dyDescent="0.35">
      <c r="Q96" s="62">
        <v>6</v>
      </c>
      <c r="R96" s="87">
        <f t="shared" si="94"/>
        <v>13998628.541454006</v>
      </c>
      <c r="S96" s="87">
        <f t="shared" si="95"/>
        <v>10589249.302243168</v>
      </c>
      <c r="T96" s="87">
        <f t="shared" si="96"/>
        <v>8110250.0037703579</v>
      </c>
      <c r="U96" s="87">
        <f t="shared" si="97"/>
        <v>6282518.9562741192</v>
      </c>
      <c r="V96" s="21">
        <f t="shared" si="98"/>
        <v>10672875.18356701</v>
      </c>
      <c r="W96" s="21">
        <f t="shared" si="99"/>
        <v>8073486.3244522139</v>
      </c>
      <c r="X96" s="21">
        <f t="shared" si="100"/>
        <v>6183440.4521440454</v>
      </c>
      <c r="Y96" s="21">
        <f t="shared" si="101"/>
        <v>4789936.4184245123</v>
      </c>
      <c r="Z96" s="21">
        <f t="shared" si="107"/>
        <v>62220806.213030107</v>
      </c>
      <c r="AA96" s="21">
        <f t="shared" si="106"/>
        <v>50251892.439888768</v>
      </c>
      <c r="AB96" s="21">
        <f t="shared" si="106"/>
        <v>40728570.53386806</v>
      </c>
      <c r="AC96" s="21">
        <f t="shared" si="106"/>
        <v>33030760.477040466</v>
      </c>
      <c r="AD96" s="21">
        <f t="shared" si="102"/>
        <v>38.36225299778895</v>
      </c>
      <c r="AE96" s="21">
        <f t="shared" si="103"/>
        <v>29.019089947729874</v>
      </c>
      <c r="AF96" s="21">
        <f t="shared" si="104"/>
        <v>22.225567426024515</v>
      </c>
      <c r="AG96" s="21">
        <f t="shared" si="105"/>
        <v>17.216799556491367</v>
      </c>
      <c r="AH96" s="96"/>
      <c r="AI96" s="96"/>
      <c r="AJ96" s="96"/>
      <c r="AK96" s="96"/>
      <c r="AL96" s="96"/>
      <c r="AM96" s="96"/>
      <c r="AN96" s="96"/>
      <c r="AO96" s="96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62"/>
      <c r="BC96" s="62"/>
      <c r="BD96" s="62"/>
      <c r="BE96" s="62"/>
      <c r="BF96" s="62"/>
    </row>
    <row r="97" spans="17:58" x14ac:dyDescent="0.35">
      <c r="Q97" s="62">
        <v>7</v>
      </c>
      <c r="R97" s="87">
        <f t="shared" si="94"/>
        <v>9629517.4319825526</v>
      </c>
      <c r="S97" s="87">
        <f t="shared" si="95"/>
        <v>6953137.5531719672</v>
      </c>
      <c r="T97" s="87">
        <f t="shared" si="96"/>
        <v>5093833.3762117056</v>
      </c>
      <c r="U97" s="87">
        <f t="shared" si="97"/>
        <v>3781472.0508991289</v>
      </c>
      <c r="V97" s="21">
        <f t="shared" si="98"/>
        <v>6555083.7593096178</v>
      </c>
      <c r="W97" s="21">
        <f t="shared" si="99"/>
        <v>4733196.5877816137</v>
      </c>
      <c r="X97" s="21">
        <f t="shared" si="100"/>
        <v>3467515.8618161511</v>
      </c>
      <c r="Y97" s="21">
        <f t="shared" si="101"/>
        <v>2574154.5412030807</v>
      </c>
      <c r="Z97" s="21">
        <f t="shared" si="107"/>
        <v>68775889.97233972</v>
      </c>
      <c r="AA97" s="21">
        <f t="shared" si="106"/>
        <v>54985089.027670383</v>
      </c>
      <c r="AB97" s="21">
        <f t="shared" si="106"/>
        <v>44196086.395684212</v>
      </c>
      <c r="AC97" s="21">
        <f t="shared" si="106"/>
        <v>35604915.018243544</v>
      </c>
      <c r="AD97" s="21">
        <f t="shared" si="102"/>
        <v>33.726432902137965</v>
      </c>
      <c r="AE97" s="21">
        <f t="shared" si="103"/>
        <v>24.352676943865262</v>
      </c>
      <c r="AF97" s="21">
        <f t="shared" si="104"/>
        <v>17.840647861219455</v>
      </c>
      <c r="AG97" s="21">
        <f t="shared" si="105"/>
        <v>13.244232049715718</v>
      </c>
      <c r="AH97" s="96"/>
      <c r="AI97" s="96"/>
      <c r="AJ97" s="96"/>
      <c r="AK97" s="96"/>
      <c r="AL97" s="96"/>
      <c r="AM97" s="96"/>
      <c r="AN97" s="96"/>
      <c r="AO97" s="96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62"/>
      <c r="BC97" s="62"/>
      <c r="BD97" s="62"/>
      <c r="BE97" s="62"/>
      <c r="BF97" s="62"/>
    </row>
    <row r="98" spans="17:58" ht="27.65" customHeight="1" x14ac:dyDescent="0.35">
      <c r="Q98" s="62">
        <v>8</v>
      </c>
      <c r="R98" s="87">
        <f t="shared" si="94"/>
        <v>6859248.1749359835</v>
      </c>
      <c r="S98" s="87">
        <f t="shared" si="95"/>
        <v>4727694.7468107725</v>
      </c>
      <c r="T98" s="87">
        <f t="shared" si="96"/>
        <v>3312898.9261452295</v>
      </c>
      <c r="U98" s="87">
        <f t="shared" si="97"/>
        <v>2356898.8286327804</v>
      </c>
      <c r="V98" s="21">
        <f t="shared" si="98"/>
        <v>3962481.0043988912</v>
      </c>
      <c r="W98" s="21">
        <f t="shared" si="99"/>
        <v>2731115.7361657857</v>
      </c>
      <c r="X98" s="21">
        <f t="shared" si="100"/>
        <v>1913810.1916638219</v>
      </c>
      <c r="Y98" s="21">
        <f t="shared" si="101"/>
        <v>1361543.8018226468</v>
      </c>
      <c r="Z98" s="21">
        <f t="shared" si="107"/>
        <v>72738370.976738617</v>
      </c>
      <c r="AA98" s="21">
        <f t="shared" si="106"/>
        <v>57716204.763836168</v>
      </c>
      <c r="AB98" s="21">
        <f t="shared" si="106"/>
        <v>46109896.587348036</v>
      </c>
      <c r="AC98" s="21">
        <f t="shared" si="106"/>
        <v>36966458.820066191</v>
      </c>
      <c r="AD98" s="21">
        <f t="shared" si="102"/>
        <v>28.151969335430568</v>
      </c>
      <c r="AE98" s="21">
        <f t="shared" si="103"/>
        <v>19.403572249481289</v>
      </c>
      <c r="AF98" s="21">
        <f t="shared" si="104"/>
        <v>13.596917125846925</v>
      </c>
      <c r="AG98" s="21">
        <f t="shared" si="105"/>
        <v>9.6732676611458963</v>
      </c>
      <c r="AH98" s="96"/>
      <c r="AI98" s="96"/>
      <c r="AJ98" s="96"/>
      <c r="AK98" s="96"/>
      <c r="AL98" s="96"/>
      <c r="AM98" s="96"/>
      <c r="AN98" s="96"/>
      <c r="AO98" s="96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62"/>
      <c r="BC98" s="62"/>
      <c r="BD98" s="62"/>
      <c r="BE98" s="62"/>
      <c r="BF98" s="62"/>
    </row>
    <row r="99" spans="17:58" ht="32.5" customHeight="1" x14ac:dyDescent="0.35">
      <c r="Q99" s="62">
        <v>9</v>
      </c>
      <c r="R99" s="87">
        <f t="shared" si="94"/>
        <v>4998855.0264711715</v>
      </c>
      <c r="S99" s="87">
        <f t="shared" si="95"/>
        <v>3288819.713749432</v>
      </c>
      <c r="T99" s="87">
        <f t="shared" si="96"/>
        <v>2204416.5873491983</v>
      </c>
      <c r="U99" s="87">
        <f t="shared" si="97"/>
        <v>1502944.7614266896</v>
      </c>
      <c r="V99" s="21">
        <f t="shared" si="98"/>
        <v>2240223.6383196106</v>
      </c>
      <c r="W99" s="21">
        <f t="shared" si="99"/>
        <v>1473875.8427475474</v>
      </c>
      <c r="X99" s="21">
        <f t="shared" si="100"/>
        <v>987903.45419752318</v>
      </c>
      <c r="Y99" s="21">
        <f t="shared" si="101"/>
        <v>673540.713584868</v>
      </c>
      <c r="Z99" s="21">
        <f t="shared" si="107"/>
        <v>74978594.615058228</v>
      </c>
      <c r="AA99" s="21">
        <f t="shared" si="106"/>
        <v>59190080.606583714</v>
      </c>
      <c r="AB99" s="21">
        <f t="shared" si="106"/>
        <v>47097800.041545562</v>
      </c>
      <c r="AC99" s="21">
        <f t="shared" si="106"/>
        <v>37639999.533651061</v>
      </c>
      <c r="AD99" s="21">
        <f t="shared" si="102"/>
        <v>20.645274819388035</v>
      </c>
      <c r="AE99" s="21">
        <f t="shared" si="103"/>
        <v>13.582827760001988</v>
      </c>
      <c r="AF99" s="21">
        <f t="shared" si="104"/>
        <v>9.1042420756836844</v>
      </c>
      <c r="AG99" s="21">
        <f t="shared" si="105"/>
        <v>6.2071629350526694</v>
      </c>
      <c r="AH99" s="96"/>
      <c r="AI99" s="96"/>
      <c r="AJ99" s="96"/>
      <c r="AK99" s="96"/>
      <c r="AL99" s="96"/>
      <c r="AM99" s="96"/>
      <c r="AN99" s="96"/>
      <c r="AO99" s="96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62"/>
      <c r="BC99" s="62"/>
      <c r="BD99" s="62"/>
      <c r="BE99" s="62"/>
      <c r="BF99" s="62"/>
    </row>
    <row r="100" spans="17:58" x14ac:dyDescent="0.35">
      <c r="Q100" s="62">
        <v>10</v>
      </c>
      <c r="R100" s="87">
        <f t="shared" si="94"/>
        <v>3807134.6166114737</v>
      </c>
      <c r="S100" s="87">
        <f t="shared" si="95"/>
        <v>2390916.2979032733</v>
      </c>
      <c r="T100" s="87">
        <f t="shared" si="96"/>
        <v>1532896.4571881648</v>
      </c>
      <c r="U100" s="87">
        <f t="shared" si="97"/>
        <v>1001564.1327983194</v>
      </c>
      <c r="V100" s="21">
        <f t="shared" si="98"/>
        <v>1207267.2014901615</v>
      </c>
      <c r="W100" s="21">
        <f t="shared" si="99"/>
        <v>758175.14184355224</v>
      </c>
      <c r="X100" s="21">
        <f t="shared" si="100"/>
        <v>486091.45785626909</v>
      </c>
      <c r="Y100" s="21">
        <f t="shared" si="101"/>
        <v>317602.51461571699</v>
      </c>
      <c r="Z100" s="21">
        <f t="shared" si="107"/>
        <v>76185861.816548392</v>
      </c>
      <c r="AA100" s="21">
        <f t="shared" si="106"/>
        <v>59948255.748427264</v>
      </c>
      <c r="AB100" s="21">
        <f t="shared" si="106"/>
        <v>47583891.49940183</v>
      </c>
      <c r="AC100" s="21">
        <f t="shared" si="106"/>
        <v>37957602.048266776</v>
      </c>
      <c r="AD100" s="21">
        <f t="shared" si="102"/>
        <v>13.809010090246248</v>
      </c>
      <c r="AE100" s="21">
        <f t="shared" si="103"/>
        <v>8.6721880383800141</v>
      </c>
      <c r="AF100" s="21">
        <f t="shared" si="104"/>
        <v>5.5600299900754253</v>
      </c>
      <c r="AG100" s="21">
        <f t="shared" si="105"/>
        <v>3.6328132857436524</v>
      </c>
      <c r="AH100" s="96"/>
      <c r="AI100" s="96"/>
      <c r="AJ100" s="96"/>
      <c r="AK100" s="96"/>
      <c r="AL100" s="96"/>
      <c r="AM100" s="96"/>
      <c r="AN100" s="96"/>
      <c r="AO100" s="96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62"/>
      <c r="BC100" s="62"/>
      <c r="BD100" s="62"/>
      <c r="BE100" s="62"/>
      <c r="BF100" s="62"/>
    </row>
    <row r="101" spans="17:58" x14ac:dyDescent="0.35">
      <c r="Q101" s="62">
        <v>11</v>
      </c>
      <c r="R101" s="87">
        <f t="shared" si="94"/>
        <v>3077104.1349548353</v>
      </c>
      <c r="S101" s="87">
        <f t="shared" si="95"/>
        <v>1844611.6486455412</v>
      </c>
      <c r="T101" s="87">
        <f t="shared" si="96"/>
        <v>1131223.0341342513</v>
      </c>
      <c r="U101" s="87">
        <f t="shared" si="97"/>
        <v>708322.07531692449</v>
      </c>
      <c r="V101" s="21">
        <f t="shared" si="98"/>
        <v>547373.26669445634</v>
      </c>
      <c r="W101" s="21">
        <f t="shared" si="99"/>
        <v>328130.30031451187</v>
      </c>
      <c r="X101" s="21">
        <f t="shared" si="100"/>
        <v>201228.56438954012</v>
      </c>
      <c r="Y101" s="21">
        <f t="shared" si="101"/>
        <v>126000.4703232809</v>
      </c>
      <c r="Z101" s="21">
        <f t="shared" si="107"/>
        <v>76733235.083242849</v>
      </c>
      <c r="AA101" s="21">
        <f t="shared" si="106"/>
        <v>60276386.048741773</v>
      </c>
      <c r="AB101" s="21">
        <f t="shared" si="106"/>
        <v>47785120.063791372</v>
      </c>
      <c r="AC101" s="21">
        <f t="shared" si="106"/>
        <v>38083602.518590055</v>
      </c>
      <c r="AD101" s="21">
        <f t="shared" si="102"/>
        <v>7.3220342917687855</v>
      </c>
      <c r="AE101" s="21">
        <f t="shared" si="103"/>
        <v>4.3892923846651177</v>
      </c>
      <c r="AF101" s="21">
        <f t="shared" si="104"/>
        <v>2.6917691063748439</v>
      </c>
      <c r="AG101" s="21">
        <f t="shared" si="105"/>
        <v>1.685467341248585</v>
      </c>
      <c r="AH101" s="96"/>
      <c r="AI101" s="96"/>
      <c r="AJ101" s="96"/>
      <c r="AK101" s="96"/>
      <c r="AL101" s="96"/>
      <c r="AM101" s="96"/>
      <c r="AN101" s="96"/>
      <c r="AO101" s="96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62"/>
      <c r="BC101" s="62"/>
      <c r="BD101" s="62"/>
      <c r="BE101" s="62"/>
      <c r="BF101" s="62"/>
    </row>
    <row r="102" spans="17:58" x14ac:dyDescent="0.35">
      <c r="Q102" s="62">
        <v>12</v>
      </c>
      <c r="R102" s="87">
        <f t="shared" si="94"/>
        <v>2447083.7436564397</v>
      </c>
      <c r="S102" s="87">
        <f t="shared" si="95"/>
        <v>1400258.4395259565</v>
      </c>
      <c r="T102" s="87">
        <f t="shared" si="96"/>
        <v>821384.18479826138</v>
      </c>
      <c r="U102" s="87">
        <f t="shared" si="97"/>
        <v>492884.84880303522</v>
      </c>
      <c r="V102" s="21">
        <f t="shared" si="98"/>
        <v>32693.087863227818</v>
      </c>
      <c r="W102" s="21">
        <f t="shared" si="99"/>
        <v>18707.480818063719</v>
      </c>
      <c r="X102" s="21">
        <f t="shared" si="100"/>
        <v>10973.709172270028</v>
      </c>
      <c r="Y102" s="21">
        <f t="shared" si="101"/>
        <v>6584.9514591167681</v>
      </c>
      <c r="Z102" s="21">
        <f t="shared" si="107"/>
        <v>76765928.17110607</v>
      </c>
      <c r="AA102" s="21">
        <f t="shared" si="106"/>
        <v>60295093.529559836</v>
      </c>
      <c r="AB102" s="21">
        <f t="shared" si="106"/>
        <v>47796093.772963643</v>
      </c>
      <c r="AC102" s="21">
        <f t="shared" si="106"/>
        <v>38090187.470049173</v>
      </c>
      <c r="AD102" s="21">
        <f t="shared" si="102"/>
        <v>0.51976322020292376</v>
      </c>
      <c r="AE102" s="21">
        <f t="shared" si="103"/>
        <v>0.29741639922663515</v>
      </c>
      <c r="AF102" s="21">
        <f t="shared" si="104"/>
        <v>0.1744628846565702</v>
      </c>
      <c r="AG102" s="21">
        <f t="shared" si="105"/>
        <v>0.10468927222748285</v>
      </c>
      <c r="AH102" s="96"/>
      <c r="AI102" s="96"/>
      <c r="AJ102" s="96"/>
      <c r="AK102" s="96"/>
      <c r="AL102" s="96"/>
      <c r="AM102" s="96"/>
      <c r="AN102" s="96"/>
      <c r="AO102" s="96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62"/>
      <c r="BC102" s="62"/>
      <c r="BD102" s="62"/>
      <c r="BE102" s="62"/>
      <c r="BF102" s="62"/>
    </row>
    <row r="103" spans="17:58" x14ac:dyDescent="0.35">
      <c r="Q103" s="62">
        <v>13</v>
      </c>
      <c r="R103" s="87">
        <f t="shared" si="94"/>
        <v>1950237.4841300917</v>
      </c>
      <c r="S103" s="87">
        <f t="shared" si="95"/>
        <v>1065230.2240752596</v>
      </c>
      <c r="T103" s="87">
        <f t="shared" si="96"/>
        <v>597690.65107153275</v>
      </c>
      <c r="U103" s="87">
        <f t="shared" si="97"/>
        <v>343710.01656109374</v>
      </c>
      <c r="V103" s="21">
        <f t="shared" si="98"/>
        <v>-346563.63116580364</v>
      </c>
      <c r="W103" s="21">
        <f t="shared" si="99"/>
        <v>-189294.92304766877</v>
      </c>
      <c r="X103" s="21">
        <f t="shared" si="100"/>
        <v>-106211.59937431838</v>
      </c>
      <c r="Y103" s="21">
        <f t="shared" si="101"/>
        <v>-61078.403208214324</v>
      </c>
      <c r="Z103" s="21">
        <f t="shared" si="107"/>
        <v>76765928.17110607</v>
      </c>
      <c r="AA103" s="21">
        <f t="shared" si="106"/>
        <v>60295093.529559836</v>
      </c>
      <c r="AB103" s="21">
        <f t="shared" si="106"/>
        <v>47796093.772963643</v>
      </c>
      <c r="AC103" s="21">
        <f t="shared" si="106"/>
        <v>38090187.470049173</v>
      </c>
      <c r="AD103" s="21">
        <f t="shared" si="102"/>
        <v>-6.5339631109326639</v>
      </c>
      <c r="AE103" s="21">
        <f t="shared" si="103"/>
        <v>-3.5688858641043346</v>
      </c>
      <c r="AF103" s="21">
        <f t="shared" si="104"/>
        <v>-2.0024682622653462</v>
      </c>
      <c r="AG103" s="21">
        <f t="shared" si="105"/>
        <v>-1.1515462026256678</v>
      </c>
      <c r="AH103" s="96"/>
      <c r="AI103" s="96"/>
      <c r="AJ103" s="96"/>
      <c r="AK103" s="96"/>
      <c r="AL103" s="96"/>
      <c r="AM103" s="96"/>
      <c r="AN103" s="96"/>
      <c r="AO103" s="96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62"/>
      <c r="BC103" s="62"/>
      <c r="BD103" s="62"/>
      <c r="BE103" s="62"/>
      <c r="BF103" s="62"/>
    </row>
    <row r="104" spans="17:58" x14ac:dyDescent="0.35">
      <c r="Q104" s="62">
        <v>14</v>
      </c>
      <c r="R104" s="87">
        <f t="shared" si="94"/>
        <v>1564137.4310110523</v>
      </c>
      <c r="S104" s="87">
        <f t="shared" si="95"/>
        <v>815506.64454627165</v>
      </c>
      <c r="T104" s="87">
        <f t="shared" si="96"/>
        <v>437678.61872764112</v>
      </c>
      <c r="U104" s="87">
        <f t="shared" si="97"/>
        <v>241205.74717436667</v>
      </c>
      <c r="V104" s="21">
        <f t="shared" si="98"/>
        <v>-611998.51116294554</v>
      </c>
      <c r="W104" s="21">
        <f t="shared" si="99"/>
        <v>-319082.4811239246</v>
      </c>
      <c r="X104" s="21">
        <f t="shared" si="100"/>
        <v>-171250.08181412058</v>
      </c>
      <c r="Y104" s="21">
        <f t="shared" si="101"/>
        <v>-94376.334986906382</v>
      </c>
      <c r="Z104" s="21">
        <f t="shared" si="107"/>
        <v>76765928.17110607</v>
      </c>
      <c r="AA104" s="21">
        <f t="shared" si="106"/>
        <v>60295093.529559836</v>
      </c>
      <c r="AB104" s="21">
        <f t="shared" si="106"/>
        <v>47796093.772963643</v>
      </c>
      <c r="AC104" s="21">
        <f t="shared" si="106"/>
        <v>38090187.470049173</v>
      </c>
      <c r="AD104" s="21">
        <f t="shared" si="102"/>
        <v>-13.596079887166049</v>
      </c>
      <c r="AE104" s="21">
        <f t="shared" si="103"/>
        <v>-7.0886951925949386</v>
      </c>
      <c r="AF104" s="21">
        <f t="shared" si="104"/>
        <v>-3.8044697014117146</v>
      </c>
      <c r="AG104" s="21">
        <f t="shared" si="105"/>
        <v>-2.0966524697938085</v>
      </c>
      <c r="AH104" s="96"/>
      <c r="AI104" s="96"/>
      <c r="AJ104" s="96"/>
      <c r="AK104" s="96"/>
      <c r="AL104" s="96"/>
      <c r="AM104" s="96"/>
      <c r="AN104" s="96"/>
      <c r="AO104" s="96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62"/>
      <c r="BC104" s="62"/>
      <c r="BD104" s="62"/>
      <c r="BE104" s="62"/>
      <c r="BF104" s="62"/>
    </row>
    <row r="105" spans="17:58" x14ac:dyDescent="0.35">
      <c r="Q105" s="62">
        <v>15</v>
      </c>
      <c r="R105" s="87">
        <f t="shared" si="94"/>
        <v>1271392.9653625954</v>
      </c>
      <c r="S105" s="87">
        <f t="shared" si="95"/>
        <v>632745.42368580936</v>
      </c>
      <c r="T105" s="87">
        <f t="shared" si="96"/>
        <v>324826.6737129016</v>
      </c>
      <c r="U105" s="87">
        <f t="shared" si="97"/>
        <v>171553.90157676479</v>
      </c>
      <c r="V105" s="21">
        <f t="shared" si="98"/>
        <v>-791716.37847499992</v>
      </c>
      <c r="W105" s="21">
        <f t="shared" si="99"/>
        <v>-394020.51842743077</v>
      </c>
      <c r="X105" s="21">
        <f t="shared" si="100"/>
        <v>-202274.67411754566</v>
      </c>
      <c r="Y105" s="21">
        <f t="shared" si="101"/>
        <v>-106829.31034692095</v>
      </c>
      <c r="Z105" s="21">
        <f t="shared" si="107"/>
        <v>76765928.17110607</v>
      </c>
      <c r="AA105" s="21">
        <f t="shared" si="106"/>
        <v>60295093.529559836</v>
      </c>
      <c r="AB105" s="21">
        <f t="shared" si="106"/>
        <v>47796093.772963643</v>
      </c>
      <c r="AC105" s="21">
        <f t="shared" si="106"/>
        <v>38090187.470049173</v>
      </c>
      <c r="AD105" s="21">
        <f t="shared" si="102"/>
        <v>-20.448386101783132</v>
      </c>
      <c r="AE105" s="21">
        <f t="shared" si="103"/>
        <v>-10.176729838971342</v>
      </c>
      <c r="AF105" s="21">
        <f t="shared" si="104"/>
        <v>-5.2243337985946967</v>
      </c>
      <c r="AG105" s="21">
        <f t="shared" si="105"/>
        <v>-2.759178721512372</v>
      </c>
      <c r="AH105" s="96"/>
      <c r="AI105" s="96"/>
      <c r="AJ105" s="96"/>
      <c r="AK105" s="96"/>
      <c r="AL105" s="96"/>
      <c r="AM105" s="96"/>
      <c r="AN105" s="96"/>
      <c r="AO105" s="96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62"/>
      <c r="BC105" s="62"/>
      <c r="BD105" s="62"/>
      <c r="BE105" s="62"/>
      <c r="BF105" s="62"/>
    </row>
    <row r="106" spans="17:58" x14ac:dyDescent="0.35">
      <c r="Q106" s="62">
        <v>16</v>
      </c>
      <c r="R106" s="87">
        <f t="shared" si="94"/>
        <v>1031735.090815036</v>
      </c>
      <c r="S106" s="87">
        <f t="shared" si="95"/>
        <v>490133.09074261121</v>
      </c>
      <c r="T106" s="87">
        <f t="shared" si="96"/>
        <v>240675.31075672689</v>
      </c>
      <c r="U106" s="87">
        <f t="shared" si="97"/>
        <v>121813.95675013495</v>
      </c>
      <c r="V106" s="21">
        <f t="shared" si="98"/>
        <v>-895841.23461712676</v>
      </c>
      <c r="W106" s="21">
        <f t="shared" si="99"/>
        <v>-425575.74812223308</v>
      </c>
      <c r="X106" s="21">
        <f t="shared" si="100"/>
        <v>-208975.02609884541</v>
      </c>
      <c r="Y106" s="21">
        <f t="shared" si="101"/>
        <v>-105769.36500476331</v>
      </c>
      <c r="Z106" s="21">
        <f t="shared" si="107"/>
        <v>76765928.17110607</v>
      </c>
      <c r="AA106" s="21">
        <f t="shared" si="106"/>
        <v>60295093.529559836</v>
      </c>
      <c r="AB106" s="21">
        <f t="shared" si="106"/>
        <v>47796093.772963643</v>
      </c>
      <c r="AC106" s="21">
        <f t="shared" si="106"/>
        <v>38090187.470049173</v>
      </c>
      <c r="AD106" s="21">
        <f t="shared" si="102"/>
        <v>-26.942414335380814</v>
      </c>
      <c r="AE106" s="21">
        <f t="shared" si="103"/>
        <v>-12.799185496188208</v>
      </c>
      <c r="AF106" s="21">
        <f t="shared" si="104"/>
        <v>-6.2849213915772033</v>
      </c>
      <c r="AG106" s="21">
        <f t="shared" si="105"/>
        <v>-3.1810123778979489</v>
      </c>
      <c r="AH106" s="96"/>
      <c r="AI106" s="96"/>
      <c r="AJ106" s="96"/>
      <c r="AK106" s="96"/>
      <c r="AL106" s="96"/>
      <c r="AM106" s="96"/>
      <c r="AN106" s="96"/>
      <c r="AO106" s="96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62"/>
      <c r="BC106" s="62"/>
      <c r="BD106" s="62"/>
      <c r="BE106" s="62"/>
      <c r="BF106" s="62"/>
    </row>
    <row r="107" spans="17:58" x14ac:dyDescent="0.35">
      <c r="Q107" s="62">
        <v>17</v>
      </c>
      <c r="R107" s="87">
        <f t="shared" si="94"/>
        <v>875835.28138922446</v>
      </c>
      <c r="S107" s="87">
        <f t="shared" si="95"/>
        <v>397159.42425870401</v>
      </c>
      <c r="T107" s="87">
        <f t="shared" si="96"/>
        <v>186542.26004199465</v>
      </c>
      <c r="U107" s="87">
        <f t="shared" si="97"/>
        <v>90481.405336053867</v>
      </c>
      <c r="V107" s="21">
        <f t="shared" si="98"/>
        <v>-983186.95483234001</v>
      </c>
      <c r="W107" s="21">
        <f t="shared" si="99"/>
        <v>-445839.50112229941</v>
      </c>
      <c r="X107" s="21">
        <f t="shared" si="100"/>
        <v>-209406.86050842583</v>
      </c>
      <c r="Y107" s="21">
        <f t="shared" si="101"/>
        <v>-101571.76728505327</v>
      </c>
      <c r="Z107" s="21">
        <f t="shared" si="107"/>
        <v>76765928.17110607</v>
      </c>
      <c r="AA107" s="21">
        <f t="shared" si="106"/>
        <v>60295093.529559836</v>
      </c>
      <c r="AB107" s="21">
        <f t="shared" si="106"/>
        <v>47796093.772963643</v>
      </c>
      <c r="AC107" s="21">
        <f t="shared" si="106"/>
        <v>38090187.470049173</v>
      </c>
      <c r="AD107" s="21">
        <f t="shared" si="102"/>
        <v>-32.912802256855954</v>
      </c>
      <c r="AE107" s="21">
        <f t="shared" si="103"/>
        <v>-14.924757968575603</v>
      </c>
      <c r="AF107" s="21">
        <f t="shared" si="104"/>
        <v>-7.0100264830284882</v>
      </c>
      <c r="AG107" s="21">
        <f t="shared" si="105"/>
        <v>-3.4001788521516976</v>
      </c>
      <c r="AH107" s="96"/>
      <c r="AI107" s="96"/>
      <c r="AJ107" s="96"/>
      <c r="AK107" s="96"/>
      <c r="AL107" s="96"/>
      <c r="AM107" s="96"/>
      <c r="AN107" s="96"/>
      <c r="AO107" s="96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62"/>
      <c r="BC107" s="62"/>
      <c r="BD107" s="62"/>
      <c r="BE107" s="62"/>
      <c r="BF107" s="62"/>
    </row>
    <row r="108" spans="17:58" x14ac:dyDescent="0.35">
      <c r="Q108" s="62">
        <v>18</v>
      </c>
      <c r="R108" s="87">
        <f t="shared" si="94"/>
        <v>737699.9546858914</v>
      </c>
      <c r="S108" s="87">
        <f t="shared" si="95"/>
        <v>319314.62277898251</v>
      </c>
      <c r="T108" s="87">
        <f t="shared" si="96"/>
        <v>143458.41019408213</v>
      </c>
      <c r="U108" s="87">
        <f t="shared" si="97"/>
        <v>66684.471133250845</v>
      </c>
      <c r="V108" s="21">
        <f t="shared" si="98"/>
        <v>-1028386.1402780978</v>
      </c>
      <c r="W108" s="21">
        <f t="shared" si="99"/>
        <v>-445138.61003808316</v>
      </c>
      <c r="X108" s="21">
        <f t="shared" si="100"/>
        <v>-199987.32521644526</v>
      </c>
      <c r="Y108" s="21">
        <f t="shared" si="101"/>
        <v>-92961.081872927534</v>
      </c>
      <c r="Z108" s="21">
        <f t="shared" si="107"/>
        <v>76765928.17110607</v>
      </c>
      <c r="AA108" s="21">
        <f t="shared" si="107"/>
        <v>60295093.529559836</v>
      </c>
      <c r="AB108" s="21">
        <f t="shared" si="107"/>
        <v>47796093.772963643</v>
      </c>
      <c r="AC108" s="21">
        <f t="shared" si="107"/>
        <v>38090187.470049173</v>
      </c>
      <c r="AD108" s="21">
        <f t="shared" si="102"/>
        <v>-38.616936307747451</v>
      </c>
      <c r="AE108" s="21">
        <f t="shared" si="103"/>
        <v>-16.715403561653766</v>
      </c>
      <c r="AF108" s="21">
        <f t="shared" si="104"/>
        <v>-7.5097256738133433</v>
      </c>
      <c r="AG108" s="21">
        <f t="shared" si="105"/>
        <v>-3.4907823405859588</v>
      </c>
      <c r="AH108" s="96"/>
      <c r="AI108" s="96"/>
      <c r="AJ108" s="96"/>
      <c r="AK108" s="96"/>
      <c r="AL108" s="96"/>
      <c r="AM108" s="96"/>
      <c r="AN108" s="96"/>
      <c r="AO108" s="96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62"/>
      <c r="BC108" s="62"/>
      <c r="BD108" s="62"/>
      <c r="BE108" s="62"/>
      <c r="BF108" s="62"/>
    </row>
    <row r="109" spans="17:58" x14ac:dyDescent="0.35">
      <c r="Q109" s="62">
        <v>19</v>
      </c>
      <c r="R109" s="87">
        <f t="shared" si="94"/>
        <v>626436.65642964724</v>
      </c>
      <c r="S109" s="87">
        <f t="shared" si="95"/>
        <v>258828.9360991295</v>
      </c>
      <c r="T109" s="87">
        <f t="shared" si="96"/>
        <v>111228.19215524828</v>
      </c>
      <c r="U109" s="87">
        <f t="shared" si="97"/>
        <v>49548.461076556479</v>
      </c>
      <c r="V109" s="21">
        <f t="shared" si="98"/>
        <v>-1051987.8150902803</v>
      </c>
      <c r="W109" s="21">
        <f t="shared" si="99"/>
        <v>-434656.69541265781</v>
      </c>
      <c r="X109" s="21">
        <f t="shared" si="100"/>
        <v>-186787.76479770467</v>
      </c>
      <c r="Y109" s="21">
        <f t="shared" si="101"/>
        <v>-83207.738203082525</v>
      </c>
      <c r="Z109" s="21">
        <f t="shared" si="107"/>
        <v>76765928.17110607</v>
      </c>
      <c r="AA109" s="21">
        <f t="shared" si="107"/>
        <v>60295093.529559836</v>
      </c>
      <c r="AB109" s="21">
        <f t="shared" si="107"/>
        <v>47796093.772963643</v>
      </c>
      <c r="AC109" s="21">
        <f t="shared" si="107"/>
        <v>38090187.470049173</v>
      </c>
      <c r="AD109" s="21">
        <f t="shared" si="102"/>
        <v>-43.94983788106439</v>
      </c>
      <c r="AE109" s="21">
        <f t="shared" si="103"/>
        <v>-18.159042360833897</v>
      </c>
      <c r="AF109" s="21">
        <f t="shared" si="104"/>
        <v>-7.8035998737504348</v>
      </c>
      <c r="AG109" s="21">
        <f t="shared" si="105"/>
        <v>-3.4762442606444912</v>
      </c>
      <c r="AH109" s="96"/>
      <c r="AI109" s="96"/>
      <c r="AJ109" s="96"/>
      <c r="AK109" s="96"/>
      <c r="AL109" s="96"/>
      <c r="AM109" s="96"/>
      <c r="AN109" s="96"/>
      <c r="AO109" s="96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62"/>
      <c r="BC109" s="62"/>
      <c r="BD109" s="62"/>
      <c r="BE109" s="62"/>
      <c r="BF109" s="62"/>
    </row>
    <row r="110" spans="17:58" x14ac:dyDescent="0.35">
      <c r="Q110" s="62">
        <v>20</v>
      </c>
      <c r="R110" s="87">
        <f t="shared" si="94"/>
        <v>535588.46108195907</v>
      </c>
      <c r="S110" s="87">
        <f t="shared" si="95"/>
        <v>211233.83803712227</v>
      </c>
      <c r="T110" s="87">
        <f t="shared" si="96"/>
        <v>86828.117675218964</v>
      </c>
      <c r="U110" s="87">
        <f t="shared" si="97"/>
        <v>37067.412605121863</v>
      </c>
      <c r="V110" s="21">
        <f t="shared" si="98"/>
        <v>-1059988.5554640864</v>
      </c>
      <c r="W110" s="21">
        <f t="shared" si="99"/>
        <v>-418055.03127118456</v>
      </c>
      <c r="X110" s="21">
        <f t="shared" si="100"/>
        <v>-171842.40833399325</v>
      </c>
      <c r="Y110" s="21">
        <f t="shared" si="101"/>
        <v>-73360.492238240811</v>
      </c>
      <c r="Z110" s="21">
        <f t="shared" si="107"/>
        <v>76765928.17110607</v>
      </c>
      <c r="AA110" s="21">
        <f t="shared" si="107"/>
        <v>60295093.529559836</v>
      </c>
      <c r="AB110" s="21">
        <f t="shared" si="107"/>
        <v>47796093.772963643</v>
      </c>
      <c r="AC110" s="21">
        <f t="shared" si="107"/>
        <v>38090187.470049173</v>
      </c>
      <c r="AD110" s="21">
        <f t="shared" si="102"/>
        <v>-48.931420355809401</v>
      </c>
      <c r="AE110" s="21">
        <f t="shared" si="103"/>
        <v>-19.298346535482427</v>
      </c>
      <c r="AF110" s="21">
        <f t="shared" si="104"/>
        <v>-7.932626322992558</v>
      </c>
      <c r="AG110" s="21">
        <f t="shared" si="105"/>
        <v>-3.3864828678709964</v>
      </c>
      <c r="AH110" s="96"/>
      <c r="AI110" s="96"/>
      <c r="AJ110" s="96"/>
      <c r="AK110" s="96"/>
      <c r="AL110" s="96"/>
      <c r="AM110" s="96"/>
      <c r="AN110" s="96"/>
      <c r="AO110" s="96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62"/>
      <c r="BC110" s="62"/>
      <c r="BD110" s="62"/>
      <c r="BE110" s="62"/>
      <c r="BF110" s="62"/>
    </row>
    <row r="111" spans="17:58" x14ac:dyDescent="0.35">
      <c r="Q111" s="62">
        <v>21</v>
      </c>
      <c r="R111" s="87">
        <f t="shared" si="94"/>
        <v>212044.99222353741</v>
      </c>
      <c r="S111" s="87">
        <f t="shared" si="95"/>
        <v>79828.305836499858</v>
      </c>
      <c r="T111" s="87">
        <f t="shared" si="96"/>
        <v>31386.916600325432</v>
      </c>
      <c r="U111" s="87">
        <f t="shared" si="97"/>
        <v>12840.949376516386</v>
      </c>
      <c r="V111" s="21">
        <f t="shared" si="98"/>
        <v>-518728.97913584672</v>
      </c>
      <c r="W111" s="21">
        <f t="shared" si="99"/>
        <v>-195285.23243339872</v>
      </c>
      <c r="X111" s="21">
        <f t="shared" si="100"/>
        <v>-76782.304715524966</v>
      </c>
      <c r="Y111" s="21">
        <f t="shared" si="101"/>
        <v>-31413.015187802448</v>
      </c>
      <c r="Z111" s="21">
        <f t="shared" si="107"/>
        <v>76765928.17110607</v>
      </c>
      <c r="AA111" s="21">
        <f t="shared" si="107"/>
        <v>60295093.529559836</v>
      </c>
      <c r="AB111" s="21">
        <f t="shared" si="107"/>
        <v>47796093.772963643</v>
      </c>
      <c r="AC111" s="21">
        <f t="shared" si="107"/>
        <v>38090187.470049173</v>
      </c>
      <c r="AD111" s="21">
        <f t="shared" si="102"/>
        <v>-57.134149729299828</v>
      </c>
      <c r="AE111" s="21">
        <f t="shared" si="103"/>
        <v>-21.509219955974281</v>
      </c>
      <c r="AF111" s="21">
        <f t="shared" si="104"/>
        <v>-8.457001383430848</v>
      </c>
      <c r="AG111" s="21">
        <f t="shared" si="105"/>
        <v>-3.4599106380726359</v>
      </c>
      <c r="AH111" s="96"/>
      <c r="AI111" s="96"/>
      <c r="AJ111" s="96"/>
      <c r="AK111" s="96"/>
      <c r="AL111" s="96"/>
      <c r="AM111" s="96"/>
      <c r="AN111" s="96"/>
      <c r="AO111" s="96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62"/>
      <c r="BC111" s="62"/>
      <c r="BD111" s="62"/>
      <c r="BE111" s="62"/>
      <c r="BF111" s="62"/>
    </row>
    <row r="112" spans="17:58" x14ac:dyDescent="0.35">
      <c r="Q112" s="62"/>
      <c r="AH112" s="96"/>
      <c r="AI112" s="96"/>
      <c r="AJ112" s="96"/>
      <c r="AK112" s="96"/>
      <c r="AL112" s="96"/>
      <c r="AM112" s="96"/>
      <c r="AN112" s="96"/>
      <c r="AO112" s="96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62"/>
      <c r="BC112" s="62"/>
      <c r="BD112" s="62"/>
      <c r="BE112" s="62"/>
      <c r="BF112" s="62"/>
    </row>
    <row r="113" spans="17:58" x14ac:dyDescent="0.35">
      <c r="Q113" s="62"/>
      <c r="U113" s="19" t="s">
        <v>113</v>
      </c>
      <c r="V113" s="20">
        <f>SUMIF(V91:V110,"&gt;0")+V90</f>
        <v>76765928.17110607</v>
      </c>
      <c r="W113" s="20">
        <f>SUMIF(W91:W110,"&gt;0")+W90</f>
        <v>60295093.529559873</v>
      </c>
      <c r="X113" s="20">
        <f>SUMIF(X91:X110,"&gt;0")+X90</f>
        <v>47796093.772963636</v>
      </c>
      <c r="Y113" s="20">
        <f>SUMIF(Y91:Y110,"&gt;0")+Y90</f>
        <v>38090187.470049165</v>
      </c>
      <c r="AH113" s="96"/>
      <c r="AI113" s="96"/>
      <c r="AJ113" s="96"/>
      <c r="AK113" s="96"/>
      <c r="AL113" s="96"/>
      <c r="AM113" s="96"/>
      <c r="AN113" s="96"/>
      <c r="AO113" s="96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62"/>
      <c r="BC113" s="62"/>
      <c r="BD113" s="62"/>
      <c r="BE113" s="62"/>
      <c r="BF113" s="62"/>
    </row>
    <row r="114" spans="17:58" x14ac:dyDescent="0.35"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</row>
    <row r="115" spans="17:58" x14ac:dyDescent="0.35"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0"/>
      <c r="AP115" s="98"/>
      <c r="AQ115" s="98"/>
      <c r="AR115" s="98"/>
      <c r="AS115" s="98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</row>
    <row r="116" spans="17:58" x14ac:dyDescent="0.35"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0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</row>
    <row r="117" spans="17:58" x14ac:dyDescent="0.35"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0"/>
      <c r="AP117" s="99"/>
      <c r="AQ117" s="99"/>
      <c r="AR117" s="99"/>
      <c r="AS117" s="99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</row>
    <row r="118" spans="17:58" x14ac:dyDescent="0.35"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</row>
    <row r="119" spans="17:58" x14ac:dyDescent="0.35">
      <c r="Q119" s="62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62"/>
      <c r="AZ119" s="62"/>
      <c r="BA119" s="62"/>
      <c r="BB119" s="62"/>
      <c r="BC119" s="62"/>
      <c r="BD119" s="62"/>
      <c r="BE119" s="62"/>
      <c r="BF119" s="62"/>
    </row>
    <row r="120" spans="17:58" x14ac:dyDescent="0.35">
      <c r="Q120" s="62"/>
      <c r="R120" s="94"/>
      <c r="S120" s="60"/>
      <c r="T120" s="60"/>
      <c r="U120" s="60"/>
      <c r="V120" s="60"/>
      <c r="W120" s="60"/>
      <c r="X120" s="94"/>
      <c r="Y120" s="60"/>
      <c r="Z120" s="60"/>
      <c r="AA120" s="60"/>
      <c r="AB120" s="60"/>
      <c r="AC120" s="60"/>
      <c r="AD120" s="94"/>
      <c r="AE120" s="60"/>
      <c r="AF120" s="60"/>
      <c r="AG120" s="60"/>
      <c r="AH120" s="60"/>
      <c r="AI120" s="60"/>
      <c r="AJ120" s="94"/>
      <c r="AK120" s="60"/>
      <c r="AL120" s="60"/>
      <c r="AM120" s="60"/>
      <c r="AN120" s="60"/>
      <c r="AO120" s="60"/>
      <c r="AP120" s="62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</row>
    <row r="121" spans="17:58" x14ac:dyDescent="0.35">
      <c r="Q121" s="62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</row>
    <row r="122" spans="17:58" x14ac:dyDescent="0.35">
      <c r="Q122" s="62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</row>
    <row r="123" spans="17:58" x14ac:dyDescent="0.35">
      <c r="Q123" s="62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</row>
    <row r="124" spans="17:58" x14ac:dyDescent="0.35">
      <c r="Q124" s="62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</row>
    <row r="125" spans="17:58" x14ac:dyDescent="0.35">
      <c r="Q125" s="62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</row>
    <row r="126" spans="17:58" x14ac:dyDescent="0.35">
      <c r="Q126" s="62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</row>
    <row r="127" spans="17:58" x14ac:dyDescent="0.35">
      <c r="Q127" s="62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</row>
    <row r="128" spans="17:58" x14ac:dyDescent="0.35">
      <c r="Q128" s="62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</row>
    <row r="129" spans="17:53" x14ac:dyDescent="0.35">
      <c r="Q129" s="62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</row>
    <row r="130" spans="17:53" x14ac:dyDescent="0.35">
      <c r="Q130" s="62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</row>
    <row r="131" spans="17:53" x14ac:dyDescent="0.35">
      <c r="Q131" s="62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</row>
    <row r="132" spans="17:53" x14ac:dyDescent="0.35">
      <c r="Q132" s="62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</row>
    <row r="133" spans="17:53" x14ac:dyDescent="0.35">
      <c r="Q133" s="62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</row>
    <row r="134" spans="17:53" x14ac:dyDescent="0.35">
      <c r="Q134" s="62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</row>
    <row r="135" spans="17:53" x14ac:dyDescent="0.35">
      <c r="Q135" s="62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</row>
    <row r="136" spans="17:53" x14ac:dyDescent="0.35">
      <c r="Q136" s="62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</row>
    <row r="137" spans="17:53" x14ac:dyDescent="0.35">
      <c r="Q137" s="62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</row>
    <row r="138" spans="17:53" x14ac:dyDescent="0.35">
      <c r="Q138" s="62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</row>
    <row r="139" spans="17:53" x14ac:dyDescent="0.35">
      <c r="Q139" s="62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</row>
    <row r="140" spans="17:53" x14ac:dyDescent="0.35">
      <c r="Q140" s="62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</row>
    <row r="141" spans="17:53" x14ac:dyDescent="0.35">
      <c r="Q141" s="62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</row>
    <row r="142" spans="17:53" x14ac:dyDescent="0.35">
      <c r="Q142" s="62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</row>
    <row r="143" spans="17:53" x14ac:dyDescent="0.35">
      <c r="Q143" s="62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</row>
    <row r="144" spans="17:53" x14ac:dyDescent="0.35"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</row>
    <row r="145" spans="17:53" x14ac:dyDescent="0.35"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0"/>
      <c r="AP145" s="98"/>
      <c r="AQ145" s="98"/>
      <c r="AR145" s="98"/>
      <c r="AS145" s="98"/>
      <c r="AT145" s="62"/>
      <c r="AU145" s="62"/>
      <c r="AV145" s="62"/>
      <c r="AW145" s="62"/>
      <c r="AX145" s="62"/>
      <c r="AY145" s="62"/>
      <c r="AZ145" s="62"/>
      <c r="BA145" s="62"/>
    </row>
    <row r="146" spans="17:53" x14ac:dyDescent="0.35"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0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</row>
    <row r="147" spans="17:53" x14ac:dyDescent="0.35"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0"/>
      <c r="AP147" s="99"/>
      <c r="AQ147" s="99"/>
      <c r="AR147" s="99"/>
      <c r="AS147" s="99"/>
      <c r="AT147" s="62"/>
      <c r="AU147" s="62"/>
      <c r="AV147" s="62"/>
      <c r="AW147" s="62"/>
      <c r="AX147" s="62"/>
      <c r="AY147" s="62"/>
      <c r="AZ147" s="62"/>
      <c r="BA147" s="62"/>
    </row>
    <row r="148" spans="17:53" x14ac:dyDescent="0.35"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</row>
    <row r="149" spans="17:53" x14ac:dyDescent="0.35"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</row>
    <row r="150" spans="17:53" x14ac:dyDescent="0.35"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</row>
    <row r="151" spans="17:53" x14ac:dyDescent="0.35"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</row>
    <row r="152" spans="17:53" x14ac:dyDescent="0.35"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</row>
    <row r="153" spans="17:53" x14ac:dyDescent="0.35"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</row>
    <row r="154" spans="17:53" x14ac:dyDescent="0.35"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</row>
    <row r="155" spans="17:53" x14ac:dyDescent="0.35"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</row>
    <row r="156" spans="17:53" x14ac:dyDescent="0.35"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</row>
  </sheetData>
  <mergeCells count="9">
    <mergeCell ref="J63:K63"/>
    <mergeCell ref="A1:I1"/>
    <mergeCell ref="A3:I3"/>
    <mergeCell ref="L3:O3"/>
    <mergeCell ref="J62:K62"/>
    <mergeCell ref="A28:K28"/>
    <mergeCell ref="J59:L59"/>
    <mergeCell ref="J60:K60"/>
    <mergeCell ref="J61:K61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BreakPreview" topLeftCell="A25" zoomScale="70" zoomScaleNormal="70" zoomScaleSheetLayoutView="70" workbookViewId="0">
      <selection activeCell="M37" sqref="M37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view="pageBreakPreview" topLeftCell="A55" zoomScale="60" zoomScaleNormal="70" workbookViewId="0">
      <selection activeCell="J68" sqref="J68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P108"/>
  <sheetViews>
    <sheetView topLeftCell="A13" workbookViewId="0">
      <selection activeCell="C24" sqref="C24"/>
    </sheetView>
  </sheetViews>
  <sheetFormatPr defaultRowHeight="14.5" x14ac:dyDescent="0.35"/>
  <cols>
    <col min="1" max="1" width="17.54296875" customWidth="1"/>
    <col min="2" max="2" width="21.54296875" customWidth="1"/>
    <col min="3" max="3" width="14.6328125" bestFit="1" customWidth="1"/>
    <col min="4" max="4" width="12.36328125" bestFit="1" customWidth="1"/>
    <col min="5" max="5" width="18.26953125" bestFit="1" customWidth="1"/>
    <col min="6" max="6" width="19.1796875" bestFit="1" customWidth="1"/>
    <col min="7" max="7" width="17.453125" customWidth="1"/>
    <col min="8" max="8" width="19.1796875" bestFit="1" customWidth="1"/>
    <col min="9" max="9" width="15.54296875" bestFit="1" customWidth="1"/>
    <col min="10" max="10" width="15.26953125" bestFit="1" customWidth="1"/>
    <col min="11" max="11" width="17.54296875" bestFit="1" customWidth="1"/>
    <col min="12" max="13" width="14.453125" customWidth="1"/>
    <col min="14" max="14" width="13.1796875" customWidth="1"/>
    <col min="15" max="15" width="11.54296875" customWidth="1"/>
    <col min="16" max="16" width="18" bestFit="1" customWidth="1"/>
    <col min="17" max="17" width="18.1796875" bestFit="1" customWidth="1"/>
    <col min="18" max="18" width="19.1796875" bestFit="1" customWidth="1"/>
    <col min="19" max="19" width="19.1796875" customWidth="1"/>
    <col min="20" max="20" width="18.1796875" bestFit="1" customWidth="1"/>
    <col min="21" max="21" width="19.1796875" bestFit="1" customWidth="1"/>
    <col min="22" max="22" width="19.1796875" customWidth="1"/>
    <col min="23" max="23" width="11.7265625" customWidth="1"/>
    <col min="24" max="24" width="11.36328125" bestFit="1" customWidth="1"/>
    <col min="25" max="25" width="18" bestFit="1" customWidth="1"/>
    <col min="26" max="26" width="17.08984375" bestFit="1" customWidth="1"/>
    <col min="27" max="27" width="17.54296875" bestFit="1" customWidth="1"/>
    <col min="28" max="28" width="17.54296875" customWidth="1"/>
    <col min="29" max="29" width="12.1796875" customWidth="1"/>
    <col min="30" max="31" width="11.36328125" bestFit="1" customWidth="1"/>
    <col min="32" max="32" width="17.54296875" bestFit="1" customWidth="1"/>
    <col min="33" max="33" width="18.54296875" bestFit="1" customWidth="1"/>
    <col min="34" max="34" width="18.54296875" customWidth="1"/>
    <col min="35" max="36" width="11.36328125" bestFit="1" customWidth="1"/>
    <col min="40" max="40" width="11.36328125" bestFit="1" customWidth="1"/>
    <col min="41" max="41" width="23.6328125" bestFit="1" customWidth="1"/>
    <col min="42" max="42" width="10.81640625" bestFit="1" customWidth="1"/>
    <col min="43" max="43" width="12.453125" customWidth="1"/>
    <col min="44" max="44" width="11.453125" bestFit="1" customWidth="1"/>
    <col min="46" max="46" width="10.81640625" bestFit="1" customWidth="1"/>
    <col min="47" max="47" width="9.81640625" bestFit="1" customWidth="1"/>
    <col min="48" max="48" width="10.81640625" bestFit="1" customWidth="1"/>
    <col min="59" max="59" width="9.81640625" bestFit="1" customWidth="1"/>
    <col min="60" max="60" width="16.453125" bestFit="1" customWidth="1"/>
    <col min="61" max="61" width="9.81640625" bestFit="1" customWidth="1"/>
    <col min="62" max="62" width="10.81640625" bestFit="1" customWidth="1"/>
    <col min="64" max="64" width="9.81640625" bestFit="1" customWidth="1"/>
    <col min="66" max="66" width="11.81640625" bestFit="1" customWidth="1"/>
  </cols>
  <sheetData>
    <row r="1" spans="1:16" ht="18.5" x14ac:dyDescent="0.45">
      <c r="A1" s="317" t="s">
        <v>296</v>
      </c>
      <c r="B1" s="317"/>
      <c r="C1" s="317"/>
      <c r="D1" s="317"/>
      <c r="E1" s="317"/>
      <c r="F1" s="317"/>
      <c r="G1" s="317"/>
      <c r="H1" s="317"/>
      <c r="I1" s="317"/>
      <c r="J1" s="317"/>
      <c r="K1" s="154"/>
      <c r="O1" s="137"/>
      <c r="P1" s="137"/>
    </row>
    <row r="2" spans="1:16" ht="29" x14ac:dyDescent="0.35">
      <c r="B2" s="133" t="s">
        <v>251</v>
      </c>
      <c r="C2" s="133" t="s">
        <v>297</v>
      </c>
      <c r="D2" s="133" t="s">
        <v>298</v>
      </c>
      <c r="E2" s="133" t="s">
        <v>299</v>
      </c>
      <c r="F2" s="133" t="s">
        <v>339</v>
      </c>
      <c r="G2" s="132" t="s">
        <v>285</v>
      </c>
      <c r="H2" s="133" t="s">
        <v>252</v>
      </c>
      <c r="I2" s="133" t="s">
        <v>286</v>
      </c>
      <c r="J2" s="133" t="s">
        <v>12</v>
      </c>
      <c r="O2" s="137"/>
      <c r="P2" s="137"/>
    </row>
    <row r="3" spans="1:16" x14ac:dyDescent="0.35">
      <c r="B3" s="133" t="s">
        <v>327</v>
      </c>
      <c r="C3" s="152">
        <f>SUM(F65:F84)/20</f>
        <v>174768.30218770946</v>
      </c>
      <c r="D3" s="152">
        <f>SUM(O65:O84)/20</f>
        <v>385216.8934901309</v>
      </c>
      <c r="E3" s="152">
        <f>SUM(X65:X84)/20</f>
        <v>-500124.9023947441</v>
      </c>
      <c r="F3" s="152"/>
      <c r="G3" s="152">
        <f>SUM(AJ65:AJ84)/20</f>
        <v>88954.307161438584</v>
      </c>
      <c r="H3" s="152">
        <f>SUM(AS65:AS84)/20</f>
        <v>-98580.248442575554</v>
      </c>
      <c r="I3" s="152">
        <f>SUM(BB65:BB84)/20</f>
        <v>0</v>
      </c>
      <c r="J3" s="152"/>
      <c r="O3" s="137"/>
      <c r="P3" s="137"/>
    </row>
    <row r="4" spans="1:16" x14ac:dyDescent="0.35">
      <c r="B4" s="133" t="s">
        <v>328</v>
      </c>
      <c r="C4" s="152">
        <f>SUM(G65:G84)/20</f>
        <v>0</v>
      </c>
      <c r="D4" s="152">
        <f>SUM(P65:P85)/20</f>
        <v>61119790.231386699</v>
      </c>
      <c r="E4" s="152">
        <f>SUM(Y65:Y84)/20</f>
        <v>0</v>
      </c>
      <c r="F4" s="152"/>
      <c r="G4" s="152">
        <f>SUM(AK65:AK84)/20</f>
        <v>0</v>
      </c>
      <c r="H4" s="152">
        <f>SUM(AT65:AT84)/20</f>
        <v>0</v>
      </c>
      <c r="I4" s="152">
        <f>SUM(BC65:BC84)/20</f>
        <v>-186000.52411415524</v>
      </c>
      <c r="J4" s="152"/>
      <c r="O4" s="137"/>
      <c r="P4" s="137"/>
    </row>
    <row r="5" spans="1:16" x14ac:dyDescent="0.35">
      <c r="B5" s="133" t="s">
        <v>329</v>
      </c>
      <c r="C5" s="152">
        <f>C3+C4</f>
        <v>174768.30218770946</v>
      </c>
      <c r="D5" s="152">
        <f>D3+D4</f>
        <v>61505007.124876827</v>
      </c>
      <c r="E5" s="152">
        <f>E3+E4</f>
        <v>-500124.9023947441</v>
      </c>
      <c r="F5" s="152">
        <f>C5+D5+E5</f>
        <v>61179650.524669796</v>
      </c>
      <c r="G5" s="152">
        <f>G3+G4</f>
        <v>88954.307161438584</v>
      </c>
      <c r="H5" s="152">
        <f>H3+H4</f>
        <v>-98580.248442575554</v>
      </c>
      <c r="I5" s="152">
        <f>I3+I4</f>
        <v>-186000.52411415524</v>
      </c>
      <c r="J5" s="152">
        <f>F5+G5+H5</f>
        <v>61170024.583388656</v>
      </c>
      <c r="O5" s="137"/>
      <c r="P5" s="137"/>
    </row>
    <row r="6" spans="1:16" x14ac:dyDescent="0.35">
      <c r="B6" s="133" t="s">
        <v>253</v>
      </c>
      <c r="C6" s="152">
        <f>'Appendix M'!K4</f>
        <v>0</v>
      </c>
      <c r="D6" s="152">
        <f>'Appendix M'!J4</f>
        <v>99922.043951821644</v>
      </c>
      <c r="E6" s="152">
        <f>'Appendix M'!L4</f>
        <v>132699.16756706743</v>
      </c>
      <c r="F6" s="152">
        <f>D6+E6+C6</f>
        <v>232621.21151888906</v>
      </c>
      <c r="G6" s="152">
        <f>'Appendix M'!R4</f>
        <v>314154.0336968046</v>
      </c>
      <c r="H6" s="150">
        <f>'Appendix M'!B17*('Appendix L'!H27*60*60+'Appendix L'!H35*60*60)/(1000*60*60)</f>
        <v>2.6553287799126825E-4</v>
      </c>
      <c r="I6" s="152">
        <f>'Appendix M'!Q4*1000/3600</f>
        <v>310894.93917451426</v>
      </c>
      <c r="J6" s="152">
        <f>F6+G6+H6+I6</f>
        <v>857670.18465574086</v>
      </c>
      <c r="O6" s="137"/>
      <c r="P6" s="137"/>
    </row>
    <row r="7" spans="1:16" x14ac:dyDescent="0.35">
      <c r="B7" s="133" t="s">
        <v>254</v>
      </c>
      <c r="C7" s="152">
        <v>0</v>
      </c>
      <c r="D7" s="152">
        <v>0</v>
      </c>
      <c r="E7" s="152">
        <f>E6-E5</f>
        <v>632824.06996181153</v>
      </c>
      <c r="F7" s="152">
        <f>D7+E7+C7</f>
        <v>632824.06996181153</v>
      </c>
      <c r="G7" s="152">
        <f>G6-G5</f>
        <v>225199.72653536603</v>
      </c>
      <c r="H7" s="152">
        <f>H6-H5</f>
        <v>98580.248708108425</v>
      </c>
      <c r="I7" s="152">
        <f>I6-I5</f>
        <v>496895.46328866947</v>
      </c>
      <c r="J7" s="152">
        <f>SUM(F7:I7)</f>
        <v>1453499.5084939555</v>
      </c>
      <c r="O7" s="137"/>
      <c r="P7" s="138"/>
    </row>
    <row r="8" spans="1:16" x14ac:dyDescent="0.35">
      <c r="B8" s="133" t="s">
        <v>245</v>
      </c>
      <c r="C8" s="153"/>
      <c r="D8" s="153"/>
      <c r="E8" s="153"/>
      <c r="F8" s="153">
        <f>F7/$J$7</f>
        <v>0.43537962432303307</v>
      </c>
      <c r="G8" s="153">
        <f>G7/$J$7</f>
        <v>0.15493622475917235</v>
      </c>
      <c r="H8" s="153">
        <f>H7/$J$7</f>
        <v>6.7822691464307694E-2</v>
      </c>
      <c r="I8" s="153">
        <f>I7/$J$7</f>
        <v>0.34186145945348689</v>
      </c>
      <c r="J8" s="136"/>
      <c r="O8" s="137"/>
      <c r="P8" s="139"/>
    </row>
    <row r="9" spans="1:16" x14ac:dyDescent="0.35">
      <c r="B9" s="133" t="s">
        <v>246</v>
      </c>
      <c r="C9" s="136"/>
      <c r="D9" s="136"/>
      <c r="E9" s="136"/>
      <c r="F9" s="136">
        <f>F5/F6</f>
        <v>263.00116883237001</v>
      </c>
      <c r="G9" s="136">
        <f>G3/G6</f>
        <v>0.28315506923361644</v>
      </c>
      <c r="H9" s="136">
        <f>H3/H6</f>
        <v>-371254396.77499092</v>
      </c>
      <c r="I9" s="136">
        <f>I3/I6</f>
        <v>0</v>
      </c>
      <c r="J9" s="136"/>
      <c r="O9" s="137"/>
      <c r="P9" s="137"/>
    </row>
    <row r="10" spans="1:16" x14ac:dyDescent="0.35">
      <c r="O10" s="137"/>
      <c r="P10" s="137"/>
    </row>
    <row r="11" spans="1:16" x14ac:dyDescent="0.35">
      <c r="B11" s="170"/>
      <c r="C11" s="171"/>
      <c r="D11" s="171"/>
      <c r="E11" s="171"/>
      <c r="F11" s="171"/>
      <c r="G11" s="171"/>
      <c r="H11" s="171"/>
      <c r="I11" s="171"/>
      <c r="O11" s="137"/>
      <c r="P11" s="137"/>
    </row>
    <row r="12" spans="1:16" x14ac:dyDescent="0.35">
      <c r="B12" s="170"/>
      <c r="C12" s="171"/>
      <c r="D12" s="171"/>
      <c r="E12" s="171"/>
      <c r="F12" s="171"/>
      <c r="G12" s="171"/>
      <c r="H12" s="171"/>
      <c r="I12" s="171"/>
      <c r="J12" s="179"/>
    </row>
    <row r="13" spans="1:16" x14ac:dyDescent="0.35">
      <c r="B13" s="170"/>
    </row>
    <row r="14" spans="1:16" x14ac:dyDescent="0.35">
      <c r="B14" s="170"/>
      <c r="F14" s="180"/>
      <c r="G14" s="180"/>
    </row>
    <row r="15" spans="1:16" x14ac:dyDescent="0.35">
      <c r="B15" s="170"/>
    </row>
    <row r="17" spans="1:11" ht="19" thickBot="1" x14ac:dyDescent="0.5">
      <c r="A17" s="318" t="s">
        <v>410</v>
      </c>
      <c r="B17" s="318"/>
      <c r="C17" s="318"/>
      <c r="D17" s="318"/>
      <c r="E17" s="318"/>
      <c r="F17" s="318"/>
      <c r="G17" s="318"/>
      <c r="H17" s="318"/>
      <c r="I17" s="318"/>
      <c r="J17" s="318"/>
      <c r="K17" s="154"/>
    </row>
    <row r="18" spans="1:11" x14ac:dyDescent="0.35">
      <c r="A18" s="314" t="s">
        <v>300</v>
      </c>
      <c r="B18" s="141" t="s">
        <v>248</v>
      </c>
      <c r="C18" s="142">
        <v>101325</v>
      </c>
      <c r="D18" s="142">
        <v>101325</v>
      </c>
      <c r="E18" s="142">
        <v>101325</v>
      </c>
      <c r="F18" s="142"/>
      <c r="G18" s="142">
        <v>101325</v>
      </c>
      <c r="H18" s="142">
        <v>101325</v>
      </c>
      <c r="I18" s="143">
        <v>101325</v>
      </c>
    </row>
    <row r="19" spans="1:11" x14ac:dyDescent="0.35">
      <c r="A19" s="315"/>
      <c r="B19" s="144" t="s">
        <v>287</v>
      </c>
      <c r="C19" s="134">
        <v>101325</v>
      </c>
      <c r="D19" s="134">
        <v>14000000</v>
      </c>
      <c r="E19" s="134">
        <v>14000000</v>
      </c>
      <c r="F19" s="134"/>
      <c r="G19" s="134">
        <v>101325</v>
      </c>
      <c r="H19" s="134">
        <v>101325</v>
      </c>
      <c r="I19" s="145">
        <v>101325</v>
      </c>
    </row>
    <row r="20" spans="1:11" x14ac:dyDescent="0.35">
      <c r="A20" s="315"/>
      <c r="B20" s="144" t="s">
        <v>288</v>
      </c>
      <c r="C20" s="134">
        <v>14000000</v>
      </c>
      <c r="D20" s="134">
        <v>14000000</v>
      </c>
      <c r="E20" s="134">
        <v>101325</v>
      </c>
      <c r="F20" s="134"/>
      <c r="G20" s="134">
        <v>101325</v>
      </c>
      <c r="H20" s="134">
        <v>101325</v>
      </c>
      <c r="I20" s="145">
        <v>101325</v>
      </c>
    </row>
    <row r="21" spans="1:11" x14ac:dyDescent="0.35">
      <c r="A21" s="315"/>
      <c r="B21" s="144" t="s">
        <v>247</v>
      </c>
      <c r="C21" s="134">
        <v>298.14999999999998</v>
      </c>
      <c r="D21" s="134">
        <v>298.14999999999998</v>
      </c>
      <c r="E21" s="134">
        <v>298.14999999999998</v>
      </c>
      <c r="F21" s="134"/>
      <c r="G21" s="134">
        <v>298.14999999999998</v>
      </c>
      <c r="H21" s="134">
        <v>298.14999999999998</v>
      </c>
      <c r="I21" s="145">
        <v>298.14999999999998</v>
      </c>
    </row>
    <row r="22" spans="1:11" x14ac:dyDescent="0.35">
      <c r="A22" s="315"/>
      <c r="B22" s="144" t="s">
        <v>249</v>
      </c>
      <c r="C22" s="134">
        <v>298.14999999999998</v>
      </c>
      <c r="D22" s="134">
        <v>328.15</v>
      </c>
      <c r="E22" s="134">
        <v>328.15</v>
      </c>
      <c r="F22" s="134"/>
      <c r="G22" s="134">
        <v>328.15</v>
      </c>
      <c r="H22" s="134">
        <v>348.15</v>
      </c>
      <c r="I22" s="145">
        <v>298.14999999999998</v>
      </c>
    </row>
    <row r="23" spans="1:11" ht="15" thickBot="1" x14ac:dyDescent="0.4">
      <c r="A23" s="316"/>
      <c r="B23" s="146" t="s">
        <v>250</v>
      </c>
      <c r="C23" s="147">
        <v>328.15</v>
      </c>
      <c r="D23" s="147">
        <v>328.15</v>
      </c>
      <c r="E23" s="147">
        <v>328.15</v>
      </c>
      <c r="F23" s="147"/>
      <c r="G23" s="147">
        <v>348.15</v>
      </c>
      <c r="H23" s="147">
        <v>298.14999999999998</v>
      </c>
      <c r="I23" s="148">
        <v>298.14999999999998</v>
      </c>
    </row>
    <row r="24" spans="1:11" x14ac:dyDescent="0.35">
      <c r="A24" s="169"/>
      <c r="B24" s="177" t="s">
        <v>326</v>
      </c>
      <c r="C24" s="176">
        <v>48000000</v>
      </c>
      <c r="D24" s="176">
        <v>48000000</v>
      </c>
      <c r="E24" s="176">
        <v>48000000</v>
      </c>
      <c r="F24" s="176"/>
      <c r="G24" s="176">
        <v>48000000</v>
      </c>
      <c r="H24" s="176">
        <v>48000000</v>
      </c>
      <c r="I24" s="176">
        <v>48000000</v>
      </c>
    </row>
    <row r="25" spans="1:11" x14ac:dyDescent="0.35">
      <c r="A25" s="169"/>
      <c r="B25" s="177" t="s">
        <v>325</v>
      </c>
      <c r="C25" s="255">
        <v>52000000</v>
      </c>
      <c r="D25" s="176">
        <v>52000000</v>
      </c>
      <c r="E25" s="176">
        <v>52000000</v>
      </c>
      <c r="F25" s="176"/>
      <c r="G25" s="176">
        <v>52000000</v>
      </c>
      <c r="H25" s="176">
        <v>52000000</v>
      </c>
      <c r="I25" s="176">
        <v>52000000</v>
      </c>
    </row>
    <row r="26" spans="1:11" ht="14.5" customHeight="1" thickBot="1" x14ac:dyDescent="0.4">
      <c r="B26" s="177" t="s">
        <v>421</v>
      </c>
      <c r="C26" s="256">
        <v>24712000</v>
      </c>
      <c r="D26" s="256">
        <v>24712000</v>
      </c>
      <c r="E26" s="256">
        <v>24712000</v>
      </c>
      <c r="F26" s="256"/>
      <c r="G26" s="256">
        <v>24712000</v>
      </c>
      <c r="H26" s="256">
        <v>24712000</v>
      </c>
      <c r="I26" s="256">
        <v>24712000</v>
      </c>
    </row>
    <row r="27" spans="1:11" x14ac:dyDescent="0.35">
      <c r="A27" s="304" t="s">
        <v>301</v>
      </c>
      <c r="B27" s="141" t="s">
        <v>267</v>
      </c>
      <c r="C27" s="142">
        <v>0</v>
      </c>
      <c r="D27" s="149">
        <f>'Waterflood equipment'!L6*'Appendix J'!B10</f>
        <v>7.3611111111111107</v>
      </c>
      <c r="E27" s="149">
        <f>'Waterflood equipment'!$L$6*'Appendix J'!$B$10</f>
        <v>7.3611111111111107</v>
      </c>
      <c r="F27" s="142"/>
      <c r="G27" s="142">
        <f>E27*'Appendix M'!B16</f>
        <v>0.36805555555555558</v>
      </c>
      <c r="H27" s="142">
        <f>E27*'Appendix M'!B16</f>
        <v>0.36805555555555558</v>
      </c>
      <c r="I27" s="143">
        <v>7.36</v>
      </c>
    </row>
    <row r="28" spans="1:11" x14ac:dyDescent="0.35">
      <c r="A28" s="305"/>
      <c r="B28" s="144" t="s">
        <v>268</v>
      </c>
      <c r="C28" s="140">
        <f>'Waterflood equipment'!L6*'Appendix J'!B10</f>
        <v>7.3611111111111107</v>
      </c>
      <c r="D28" s="134">
        <v>7.36</v>
      </c>
      <c r="E28" s="140">
        <f>'Waterflood equipment'!$L$6*'Appendix J'!$B$10</f>
        <v>7.3611111111111107</v>
      </c>
      <c r="F28" s="134"/>
      <c r="G28" s="134">
        <f>G27</f>
        <v>0.36805555555555558</v>
      </c>
      <c r="H28" s="134">
        <f>H27</f>
        <v>0.36805555555555558</v>
      </c>
      <c r="I28" s="145">
        <v>7.36</v>
      </c>
    </row>
    <row r="29" spans="1:11" x14ac:dyDescent="0.35">
      <c r="A29" s="305"/>
      <c r="B29" s="144" t="s">
        <v>255</v>
      </c>
      <c r="C29" s="134">
        <v>-2537080</v>
      </c>
      <c r="D29" s="134">
        <f>C29</f>
        <v>-2537080</v>
      </c>
      <c r="E29" s="134">
        <f>C29</f>
        <v>-2537080</v>
      </c>
      <c r="F29" s="134"/>
      <c r="G29" s="134">
        <f>E29</f>
        <v>-2537080</v>
      </c>
      <c r="H29" s="134">
        <f>G29</f>
        <v>-2537080</v>
      </c>
      <c r="I29" s="145">
        <f>H29</f>
        <v>-2537080</v>
      </c>
    </row>
    <row r="30" spans="1:11" x14ac:dyDescent="0.35">
      <c r="A30" s="305"/>
      <c r="B30" s="144" t="s">
        <v>256</v>
      </c>
      <c r="C30" s="134">
        <f>C29</f>
        <v>-2537080</v>
      </c>
      <c r="D30" s="134">
        <f>C31</f>
        <v>-2389180</v>
      </c>
      <c r="E30" s="134">
        <f>D31</f>
        <v>-2389180</v>
      </c>
      <c r="F30" s="134"/>
      <c r="G30" s="134">
        <f>E31</f>
        <v>-2401860</v>
      </c>
      <c r="H30" s="134">
        <f>G31</f>
        <v>-2243160</v>
      </c>
      <c r="I30" s="145">
        <f>H31</f>
        <v>-2537080</v>
      </c>
    </row>
    <row r="31" spans="1:11" x14ac:dyDescent="0.35">
      <c r="A31" s="305"/>
      <c r="B31" s="144" t="s">
        <v>257</v>
      </c>
      <c r="C31" s="134">
        <v>-2389180</v>
      </c>
      <c r="D31" s="134">
        <f>D30</f>
        <v>-2389180</v>
      </c>
      <c r="E31" s="134">
        <v>-2401860</v>
      </c>
      <c r="F31" s="134"/>
      <c r="G31" s="134">
        <v>-2243160</v>
      </c>
      <c r="H31" s="134">
        <f>C30</f>
        <v>-2537080</v>
      </c>
      <c r="I31" s="145">
        <f>I29</f>
        <v>-2537080</v>
      </c>
    </row>
    <row r="32" spans="1:11" x14ac:dyDescent="0.35">
      <c r="A32" s="305"/>
      <c r="B32" s="144" t="s">
        <v>258</v>
      </c>
      <c r="C32" s="134">
        <v>-6834</v>
      </c>
      <c r="D32" s="134">
        <f>C32</f>
        <v>-6834</v>
      </c>
      <c r="E32" s="134">
        <f>D32</f>
        <v>-6834</v>
      </c>
      <c r="F32" s="134"/>
      <c r="G32" s="134">
        <f>E32</f>
        <v>-6834</v>
      </c>
      <c r="H32" s="134">
        <f>G32</f>
        <v>-6834</v>
      </c>
      <c r="I32" s="145">
        <f>H32</f>
        <v>-6834</v>
      </c>
    </row>
    <row r="33" spans="1:9" x14ac:dyDescent="0.35">
      <c r="A33" s="305"/>
      <c r="B33" s="144" t="s">
        <v>259</v>
      </c>
      <c r="C33" s="134">
        <f>C32</f>
        <v>-6834</v>
      </c>
      <c r="D33" s="134">
        <f>C34</f>
        <v>-6414</v>
      </c>
      <c r="E33" s="134">
        <f>D34</f>
        <v>-6414</v>
      </c>
      <c r="F33" s="134"/>
      <c r="G33" s="134">
        <f>E34</f>
        <v>-6402</v>
      </c>
      <c r="H33" s="134">
        <f>G34</f>
        <v>-5942</v>
      </c>
      <c r="I33" s="145">
        <f>H34</f>
        <v>-6834</v>
      </c>
    </row>
    <row r="34" spans="1:9" ht="15" thickBot="1" x14ac:dyDescent="0.4">
      <c r="A34" s="306"/>
      <c r="B34" s="146" t="s">
        <v>260</v>
      </c>
      <c r="C34" s="147">
        <v>-6414</v>
      </c>
      <c r="D34" s="147">
        <f>D33</f>
        <v>-6414</v>
      </c>
      <c r="E34" s="147">
        <v>-6402</v>
      </c>
      <c r="F34" s="147"/>
      <c r="G34" s="147">
        <v>-5942</v>
      </c>
      <c r="H34" s="147">
        <f>H32</f>
        <v>-6834</v>
      </c>
      <c r="I34" s="148">
        <f>I32</f>
        <v>-6834</v>
      </c>
    </row>
    <row r="35" spans="1:9" x14ac:dyDescent="0.35">
      <c r="A35" s="304" t="s">
        <v>302</v>
      </c>
      <c r="B35" s="141" t="s">
        <v>269</v>
      </c>
      <c r="C35" s="142">
        <v>0</v>
      </c>
      <c r="D35" s="142">
        <v>0</v>
      </c>
      <c r="E35" s="142">
        <f>D36</f>
        <v>0.72019394440865858</v>
      </c>
      <c r="F35" s="142"/>
      <c r="G35" s="142">
        <f>E35</f>
        <v>0.72019394440865858</v>
      </c>
      <c r="H35" s="142">
        <f>G35</f>
        <v>0.72019394440865858</v>
      </c>
      <c r="I35" s="143">
        <v>0</v>
      </c>
    </row>
    <row r="36" spans="1:9" x14ac:dyDescent="0.35">
      <c r="A36" s="305"/>
      <c r="B36" s="144" t="s">
        <v>270</v>
      </c>
      <c r="C36" s="134">
        <v>0</v>
      </c>
      <c r="D36" s="134">
        <f>'Waterflood equipment'!$O$7</f>
        <v>0.72019394440865858</v>
      </c>
      <c r="E36" s="134">
        <f>D36</f>
        <v>0.72019394440865858</v>
      </c>
      <c r="F36" s="134"/>
      <c r="G36" s="134">
        <f>E36</f>
        <v>0.72019394440865858</v>
      </c>
      <c r="H36" s="134">
        <f>G36</f>
        <v>0.72019394440865858</v>
      </c>
      <c r="I36" s="145">
        <v>0</v>
      </c>
    </row>
    <row r="37" spans="1:9" x14ac:dyDescent="0.35">
      <c r="A37" s="305"/>
      <c r="B37" s="144" t="s">
        <v>264</v>
      </c>
      <c r="C37" s="134">
        <v>0</v>
      </c>
      <c r="D37" s="134">
        <f>-359439</f>
        <v>-359439</v>
      </c>
      <c r="E37" s="134">
        <f>D37</f>
        <v>-359439</v>
      </c>
      <c r="F37" s="134"/>
      <c r="G37" s="134">
        <f>E37</f>
        <v>-359439</v>
      </c>
      <c r="H37" s="134">
        <f>G37</f>
        <v>-359439</v>
      </c>
      <c r="I37" s="145">
        <v>0</v>
      </c>
    </row>
    <row r="38" spans="1:9" x14ac:dyDescent="0.35">
      <c r="A38" s="305"/>
      <c r="B38" s="144" t="s">
        <v>265</v>
      </c>
      <c r="C38" s="134">
        <v>0</v>
      </c>
      <c r="D38" s="134">
        <v>0</v>
      </c>
      <c r="E38" s="134">
        <f>D39</f>
        <v>-279305</v>
      </c>
      <c r="F38" s="134"/>
      <c r="G38" s="134">
        <f>E39</f>
        <v>-293130</v>
      </c>
      <c r="H38" s="134">
        <f>G39</f>
        <v>209986</v>
      </c>
      <c r="I38" s="145">
        <v>0</v>
      </c>
    </row>
    <row r="39" spans="1:9" x14ac:dyDescent="0.35">
      <c r="A39" s="305"/>
      <c r="B39" s="144" t="s">
        <v>266</v>
      </c>
      <c r="C39" s="134">
        <v>0</v>
      </c>
      <c r="D39" s="134">
        <f>-279305</f>
        <v>-279305</v>
      </c>
      <c r="E39" s="134">
        <v>-293130</v>
      </c>
      <c r="F39" s="134"/>
      <c r="G39" s="134">
        <v>209986</v>
      </c>
      <c r="H39" s="134">
        <f>H37</f>
        <v>-359439</v>
      </c>
      <c r="I39" s="145">
        <v>0</v>
      </c>
    </row>
    <row r="40" spans="1:9" x14ac:dyDescent="0.35">
      <c r="A40" s="305"/>
      <c r="B40" s="144" t="s">
        <v>261</v>
      </c>
      <c r="C40" s="134">
        <v>0</v>
      </c>
      <c r="D40" s="134">
        <v>-974.76</v>
      </c>
      <c r="E40" s="134">
        <f>D40</f>
        <v>-974.76</v>
      </c>
      <c r="F40" s="134"/>
      <c r="G40" s="134">
        <f>E40</f>
        <v>-974.76</v>
      </c>
      <c r="H40" s="134">
        <f>G40</f>
        <v>-974.76</v>
      </c>
      <c r="I40" s="145">
        <v>0</v>
      </c>
    </row>
    <row r="41" spans="1:9" x14ac:dyDescent="0.35">
      <c r="A41" s="305"/>
      <c r="B41" s="144" t="s">
        <v>262</v>
      </c>
      <c r="C41" s="134">
        <v>0</v>
      </c>
      <c r="D41" s="134">
        <v>0</v>
      </c>
      <c r="E41" s="134">
        <f>D42</f>
        <v>-785</v>
      </c>
      <c r="F41" s="134"/>
      <c r="G41" s="134">
        <f>E42</f>
        <v>-762.96</v>
      </c>
      <c r="H41" s="134">
        <f>G42</f>
        <v>522.37</v>
      </c>
      <c r="I41" s="145">
        <v>0</v>
      </c>
    </row>
    <row r="42" spans="1:9" ht="15" thickBot="1" x14ac:dyDescent="0.4">
      <c r="A42" s="306"/>
      <c r="B42" s="146" t="s">
        <v>263</v>
      </c>
      <c r="C42" s="147">
        <v>0</v>
      </c>
      <c r="D42" s="147">
        <v>-785</v>
      </c>
      <c r="E42" s="147">
        <v>-762.96</v>
      </c>
      <c r="F42" s="147"/>
      <c r="G42" s="147">
        <v>522.37</v>
      </c>
      <c r="H42" s="147">
        <f>H40</f>
        <v>-974.76</v>
      </c>
      <c r="I42" s="148">
        <v>0</v>
      </c>
    </row>
    <row r="43" spans="1:9" x14ac:dyDescent="0.35">
      <c r="A43" s="304" t="s">
        <v>303</v>
      </c>
      <c r="B43" s="141" t="s">
        <v>271</v>
      </c>
      <c r="C43" s="142">
        <v>0</v>
      </c>
      <c r="D43" s="142">
        <v>0</v>
      </c>
      <c r="E43" s="142">
        <f>D44</f>
        <v>0.47993727613558207</v>
      </c>
      <c r="F43" s="142"/>
      <c r="G43" s="142">
        <f>E43</f>
        <v>0.47993727613558207</v>
      </c>
      <c r="H43" s="142">
        <v>0</v>
      </c>
      <c r="I43" s="143">
        <v>0</v>
      </c>
    </row>
    <row r="44" spans="1:9" x14ac:dyDescent="0.35">
      <c r="A44" s="305"/>
      <c r="B44" s="144" t="s">
        <v>272</v>
      </c>
      <c r="C44" s="134">
        <v>0</v>
      </c>
      <c r="D44" s="134">
        <f>'Waterflood equipment'!P7</f>
        <v>0.47993727613558207</v>
      </c>
      <c r="E44" s="134">
        <f>D44</f>
        <v>0.47993727613558207</v>
      </c>
      <c r="F44" s="134"/>
      <c r="G44" s="134">
        <f>E44</f>
        <v>0.47993727613558207</v>
      </c>
      <c r="H44" s="134">
        <v>0</v>
      </c>
      <c r="I44" s="145">
        <v>0</v>
      </c>
    </row>
    <row r="45" spans="1:9" x14ac:dyDescent="0.35">
      <c r="A45" s="305"/>
      <c r="B45" s="144" t="s">
        <v>273</v>
      </c>
      <c r="C45" s="134">
        <v>0</v>
      </c>
      <c r="D45" s="134">
        <v>-1146</v>
      </c>
      <c r="E45" s="134">
        <f>D45</f>
        <v>-1146</v>
      </c>
      <c r="F45" s="134"/>
      <c r="G45" s="134">
        <f>E45</f>
        <v>-1146</v>
      </c>
      <c r="H45" s="134">
        <v>0</v>
      </c>
      <c r="I45" s="145">
        <v>0</v>
      </c>
    </row>
    <row r="46" spans="1:9" x14ac:dyDescent="0.35">
      <c r="A46" s="305"/>
      <c r="B46" s="144" t="s">
        <v>274</v>
      </c>
      <c r="C46" s="134">
        <v>0</v>
      </c>
      <c r="D46" s="134">
        <v>0</v>
      </c>
      <c r="E46" s="134">
        <f>D47</f>
        <v>-53199</v>
      </c>
      <c r="F46" s="134"/>
      <c r="G46" s="134">
        <f>E47</f>
        <v>-67090</v>
      </c>
      <c r="H46" s="134">
        <v>0</v>
      </c>
      <c r="I46" s="145">
        <v>0</v>
      </c>
    </row>
    <row r="47" spans="1:9" x14ac:dyDescent="0.35">
      <c r="A47" s="305"/>
      <c r="B47" s="144" t="s">
        <v>275</v>
      </c>
      <c r="C47" s="134">
        <v>0</v>
      </c>
      <c r="D47" s="134">
        <v>-53199</v>
      </c>
      <c r="E47" s="134">
        <v>-67090</v>
      </c>
      <c r="F47" s="134"/>
      <c r="G47" s="134">
        <v>-142109</v>
      </c>
      <c r="H47" s="134">
        <v>0</v>
      </c>
      <c r="I47" s="145">
        <v>0</v>
      </c>
    </row>
    <row r="48" spans="1:9" x14ac:dyDescent="0.35">
      <c r="A48" s="305"/>
      <c r="B48" s="144" t="s">
        <v>276</v>
      </c>
      <c r="C48" s="134">
        <v>0</v>
      </c>
      <c r="D48" s="134">
        <v>-2.67</v>
      </c>
      <c r="E48" s="134">
        <f>D48</f>
        <v>-2.67</v>
      </c>
      <c r="F48" s="134"/>
      <c r="G48" s="134">
        <f>E48</f>
        <v>-2.67</v>
      </c>
      <c r="H48" s="134">
        <v>0</v>
      </c>
      <c r="I48" s="145">
        <v>0</v>
      </c>
    </row>
    <row r="49" spans="1:68" x14ac:dyDescent="0.35">
      <c r="A49" s="305"/>
      <c r="B49" s="144" t="s">
        <v>277</v>
      </c>
      <c r="C49" s="134">
        <v>0</v>
      </c>
      <c r="D49" s="134">
        <v>0</v>
      </c>
      <c r="E49" s="134">
        <f>D50</f>
        <v>-2612</v>
      </c>
      <c r="F49" s="134"/>
      <c r="G49" s="134">
        <f>E50</f>
        <v>-215.33</v>
      </c>
      <c r="H49" s="134">
        <v>0</v>
      </c>
      <c r="I49" s="145">
        <v>0</v>
      </c>
    </row>
    <row r="50" spans="1:68" ht="15" thickBot="1" x14ac:dyDescent="0.4">
      <c r="A50" s="306"/>
      <c r="B50" s="146" t="s">
        <v>278</v>
      </c>
      <c r="C50" s="147">
        <v>0</v>
      </c>
      <c r="D50" s="147">
        <v>-2612</v>
      </c>
      <c r="E50" s="147">
        <v>-215.33</v>
      </c>
      <c r="F50" s="147"/>
      <c r="G50" s="147">
        <v>-433.46</v>
      </c>
      <c r="H50" s="147">
        <v>0</v>
      </c>
      <c r="I50" s="148">
        <v>0</v>
      </c>
    </row>
    <row r="51" spans="1:68" x14ac:dyDescent="0.35">
      <c r="A51" s="304" t="s">
        <v>420</v>
      </c>
      <c r="B51" s="141" t="s">
        <v>422</v>
      </c>
      <c r="C51" s="142">
        <v>0</v>
      </c>
      <c r="D51" s="142">
        <v>0</v>
      </c>
      <c r="E51" s="142">
        <f>D52</f>
        <v>0</v>
      </c>
      <c r="F51" s="142"/>
      <c r="G51" s="142">
        <f>E51</f>
        <v>0</v>
      </c>
      <c r="H51" s="142">
        <v>0</v>
      </c>
      <c r="I51" s="143">
        <f>SUM(E65:E84)/20</f>
        <v>7.5267288812785379E-3</v>
      </c>
    </row>
    <row r="52" spans="1:68" x14ac:dyDescent="0.35">
      <c r="A52" s="305"/>
      <c r="B52" s="144" t="s">
        <v>423</v>
      </c>
      <c r="C52" s="134">
        <v>0</v>
      </c>
      <c r="D52" s="134">
        <f>'Waterflood equipment'!P15</f>
        <v>0</v>
      </c>
      <c r="E52" s="134">
        <f>D52</f>
        <v>0</v>
      </c>
      <c r="F52" s="134"/>
      <c r="G52" s="134">
        <f>E52</f>
        <v>0</v>
      </c>
      <c r="H52" s="134">
        <v>0</v>
      </c>
      <c r="I52" s="145">
        <v>0</v>
      </c>
    </row>
    <row r="53" spans="1:68" x14ac:dyDescent="0.35">
      <c r="A53" s="305"/>
      <c r="B53" s="144" t="s">
        <v>424</v>
      </c>
      <c r="C53" s="134">
        <f>D37</f>
        <v>-359439</v>
      </c>
      <c r="D53" s="134">
        <f t="shared" ref="D53" si="0">E37</f>
        <v>-359439</v>
      </c>
      <c r="E53" s="134">
        <f>D53</f>
        <v>-359439</v>
      </c>
      <c r="F53" s="134"/>
      <c r="G53" s="134">
        <v>0</v>
      </c>
      <c r="H53" s="134">
        <f>G53</f>
        <v>0</v>
      </c>
      <c r="I53" s="145">
        <f>E53</f>
        <v>-359439</v>
      </c>
    </row>
    <row r="54" spans="1:68" x14ac:dyDescent="0.35">
      <c r="A54" s="305"/>
      <c r="B54" s="144" t="s">
        <v>425</v>
      </c>
      <c r="C54" s="134">
        <f>C53</f>
        <v>-359439</v>
      </c>
      <c r="D54" s="134">
        <f>C55</f>
        <v>-279305</v>
      </c>
      <c r="E54" s="134">
        <f>D55</f>
        <v>-279305</v>
      </c>
      <c r="F54" s="134"/>
      <c r="G54" s="134">
        <v>0</v>
      </c>
      <c r="H54" s="134">
        <v>0</v>
      </c>
      <c r="I54" s="145">
        <f>I53</f>
        <v>-359439</v>
      </c>
    </row>
    <row r="55" spans="1:68" x14ac:dyDescent="0.35">
      <c r="A55" s="305"/>
      <c r="B55" s="144" t="s">
        <v>426</v>
      </c>
      <c r="C55" s="134">
        <f>D39</f>
        <v>-279305</v>
      </c>
      <c r="D55" s="134">
        <f>D54</f>
        <v>-279305</v>
      </c>
      <c r="E55" s="134">
        <f>E39</f>
        <v>-293130</v>
      </c>
      <c r="F55" s="134"/>
      <c r="G55" s="134">
        <v>0</v>
      </c>
      <c r="H55" s="134">
        <v>0</v>
      </c>
      <c r="I55" s="145">
        <f>I54</f>
        <v>-359439</v>
      </c>
    </row>
    <row r="56" spans="1:68" x14ac:dyDescent="0.35">
      <c r="A56" s="305"/>
      <c r="B56" s="144" t="s">
        <v>427</v>
      </c>
      <c r="C56" s="134">
        <f>D40</f>
        <v>-974.76</v>
      </c>
      <c r="D56" s="134">
        <f>C56</f>
        <v>-974.76</v>
      </c>
      <c r="E56" s="134">
        <f>D56</f>
        <v>-974.76</v>
      </c>
      <c r="F56" s="134"/>
      <c r="G56" s="134">
        <v>0</v>
      </c>
      <c r="H56" s="134">
        <v>0</v>
      </c>
      <c r="I56" s="145">
        <f>E56</f>
        <v>-974.76</v>
      </c>
    </row>
    <row r="57" spans="1:68" x14ac:dyDescent="0.35">
      <c r="A57" s="305"/>
      <c r="B57" s="144" t="s">
        <v>428</v>
      </c>
      <c r="C57" s="134">
        <f>C56</f>
        <v>-974.76</v>
      </c>
      <c r="D57" s="134">
        <f>C58</f>
        <v>-785</v>
      </c>
      <c r="E57" s="134">
        <f>D58</f>
        <v>-785</v>
      </c>
      <c r="F57" s="134"/>
      <c r="G57" s="134">
        <v>0</v>
      </c>
      <c r="H57" s="134">
        <v>0</v>
      </c>
      <c r="I57" s="145">
        <f>I56</f>
        <v>-974.76</v>
      </c>
    </row>
    <row r="58" spans="1:68" ht="15" thickBot="1" x14ac:dyDescent="0.4">
      <c r="A58" s="306"/>
      <c r="B58" s="146" t="s">
        <v>429</v>
      </c>
      <c r="C58" s="147">
        <f>D42</f>
        <v>-785</v>
      </c>
      <c r="D58" s="147">
        <f>D57</f>
        <v>-785</v>
      </c>
      <c r="E58" s="147">
        <f>E42</f>
        <v>-762.96</v>
      </c>
      <c r="F58" s="147"/>
      <c r="G58" s="147">
        <v>0</v>
      </c>
      <c r="H58" s="147">
        <v>0</v>
      </c>
      <c r="I58" s="148">
        <f>I57</f>
        <v>-974.76</v>
      </c>
    </row>
    <row r="59" spans="1:68" x14ac:dyDescent="0.35">
      <c r="A59" s="237"/>
      <c r="B59" s="237"/>
      <c r="C59" s="238"/>
      <c r="D59" s="238"/>
      <c r="E59" s="238"/>
      <c r="F59" s="238"/>
      <c r="G59" s="238"/>
      <c r="H59" s="238"/>
      <c r="I59" s="238"/>
    </row>
    <row r="61" spans="1:68" ht="19" thickBot="1" x14ac:dyDescent="0.5">
      <c r="A61" s="313" t="s">
        <v>314</v>
      </c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182"/>
      <c r="N61" s="310"/>
      <c r="O61" s="311"/>
      <c r="P61" s="311"/>
      <c r="Q61" s="311"/>
      <c r="R61" s="311"/>
      <c r="S61" s="311"/>
      <c r="T61" s="311"/>
      <c r="U61" s="311"/>
      <c r="V61" s="311"/>
      <c r="W61" s="311"/>
      <c r="X61" s="311"/>
      <c r="Y61" s="311"/>
      <c r="Z61" s="311"/>
      <c r="AA61" s="311"/>
      <c r="AB61" s="311"/>
      <c r="AC61" s="311"/>
      <c r="AD61" s="311"/>
      <c r="AE61" s="311"/>
      <c r="AF61" s="311"/>
      <c r="AG61" s="311"/>
      <c r="AH61" s="311"/>
      <c r="AI61" s="311"/>
      <c r="AJ61" s="311"/>
      <c r="AK61" s="311"/>
      <c r="AL61" s="311"/>
      <c r="AM61" s="312"/>
      <c r="AN61" s="181"/>
    </row>
    <row r="62" spans="1:68" ht="29" customHeight="1" x14ac:dyDescent="0.35">
      <c r="A62" s="155"/>
      <c r="B62" s="307" t="s">
        <v>297</v>
      </c>
      <c r="C62" s="308"/>
      <c r="D62" s="308"/>
      <c r="E62" s="308"/>
      <c r="F62" s="308"/>
      <c r="G62" s="308"/>
      <c r="H62" s="308"/>
      <c r="I62" s="308"/>
      <c r="J62" s="309"/>
      <c r="K62" s="307" t="s">
        <v>298</v>
      </c>
      <c r="L62" s="308"/>
      <c r="M62" s="308"/>
      <c r="N62" s="308"/>
      <c r="O62" s="308"/>
      <c r="P62" s="308"/>
      <c r="Q62" s="308"/>
      <c r="R62" s="308"/>
      <c r="S62" s="309"/>
      <c r="T62" s="307" t="s">
        <v>299</v>
      </c>
      <c r="U62" s="308"/>
      <c r="V62" s="308"/>
      <c r="W62" s="308"/>
      <c r="X62" s="308"/>
      <c r="Y62" s="308"/>
      <c r="Z62" s="308"/>
      <c r="AA62" s="308"/>
      <c r="AB62" s="309"/>
      <c r="AC62" s="307" t="s">
        <v>322</v>
      </c>
      <c r="AD62" s="308"/>
      <c r="AE62" s="309"/>
      <c r="AF62" s="291" t="s">
        <v>285</v>
      </c>
      <c r="AG62" s="292"/>
      <c r="AH62" s="292"/>
      <c r="AI62" s="292"/>
      <c r="AJ62" s="292"/>
      <c r="AK62" s="292"/>
      <c r="AL62" s="292"/>
      <c r="AM62" s="292"/>
      <c r="AN62" s="293"/>
      <c r="AO62" s="291" t="s">
        <v>252</v>
      </c>
      <c r="AP62" s="292"/>
      <c r="AQ62" s="292"/>
      <c r="AR62" s="292"/>
      <c r="AS62" s="292"/>
      <c r="AT62" s="292"/>
      <c r="AU62" s="292"/>
      <c r="AV62" s="292"/>
      <c r="AW62" s="293"/>
      <c r="AX62" s="301" t="s">
        <v>286</v>
      </c>
      <c r="AY62" s="302"/>
      <c r="AZ62" s="302"/>
      <c r="BA62" s="302"/>
      <c r="BB62" s="302"/>
      <c r="BC62" s="302"/>
      <c r="BD62" s="302"/>
      <c r="BE62" s="302"/>
      <c r="BF62" s="303"/>
      <c r="BG62" s="301" t="s">
        <v>12</v>
      </c>
      <c r="BH62" s="302"/>
      <c r="BI62" s="302"/>
      <c r="BJ62" s="302"/>
      <c r="BK62" s="302"/>
      <c r="BL62" s="303"/>
      <c r="BN62" s="69" t="s">
        <v>354</v>
      </c>
    </row>
    <row r="63" spans="1:68" ht="43.5" x14ac:dyDescent="0.35">
      <c r="A63" s="156" t="s">
        <v>108</v>
      </c>
      <c r="B63" s="144" t="s">
        <v>268</v>
      </c>
      <c r="C63" s="133" t="s">
        <v>318</v>
      </c>
      <c r="D63" s="133" t="s">
        <v>317</v>
      </c>
      <c r="E63" s="239" t="s">
        <v>430</v>
      </c>
      <c r="F63" s="225" t="s">
        <v>431</v>
      </c>
      <c r="G63" s="239" t="s">
        <v>432</v>
      </c>
      <c r="H63" s="239" t="s">
        <v>319</v>
      </c>
      <c r="I63" s="225" t="s">
        <v>320</v>
      </c>
      <c r="J63" s="91" t="s">
        <v>336</v>
      </c>
      <c r="K63" s="144" t="s">
        <v>268</v>
      </c>
      <c r="L63" s="133" t="s">
        <v>270</v>
      </c>
      <c r="M63" s="133" t="s">
        <v>272</v>
      </c>
      <c r="N63" s="239" t="s">
        <v>430</v>
      </c>
      <c r="O63" s="225" t="s">
        <v>431</v>
      </c>
      <c r="P63" s="239" t="s">
        <v>432</v>
      </c>
      <c r="Q63" s="239" t="s">
        <v>319</v>
      </c>
      <c r="R63" s="225" t="s">
        <v>320</v>
      </c>
      <c r="S63" s="91" t="s">
        <v>336</v>
      </c>
      <c r="T63" s="144" t="s">
        <v>268</v>
      </c>
      <c r="U63" s="133" t="s">
        <v>270</v>
      </c>
      <c r="V63" s="133" t="s">
        <v>272</v>
      </c>
      <c r="W63" s="239" t="s">
        <v>430</v>
      </c>
      <c r="X63" s="225" t="s">
        <v>431</v>
      </c>
      <c r="Y63" s="239" t="s">
        <v>432</v>
      </c>
      <c r="Z63" s="27" t="s">
        <v>319</v>
      </c>
      <c r="AA63" s="225" t="s">
        <v>320</v>
      </c>
      <c r="AB63" s="91" t="s">
        <v>336</v>
      </c>
      <c r="AC63" s="83" t="s">
        <v>319</v>
      </c>
      <c r="AD63" s="225" t="s">
        <v>320</v>
      </c>
      <c r="AE63" s="91" t="s">
        <v>336</v>
      </c>
      <c r="AF63" s="144" t="s">
        <v>268</v>
      </c>
      <c r="AG63" s="133" t="s">
        <v>270</v>
      </c>
      <c r="AH63" s="133" t="s">
        <v>272</v>
      </c>
      <c r="AI63" s="239" t="s">
        <v>430</v>
      </c>
      <c r="AJ63" s="225" t="s">
        <v>431</v>
      </c>
      <c r="AK63" s="27" t="s">
        <v>432</v>
      </c>
      <c r="AL63" s="225" t="s">
        <v>319</v>
      </c>
      <c r="AM63" s="225" t="s">
        <v>320</v>
      </c>
      <c r="AN63" s="91" t="s">
        <v>336</v>
      </c>
      <c r="AO63" s="144" t="s">
        <v>268</v>
      </c>
      <c r="AP63" s="133" t="s">
        <v>270</v>
      </c>
      <c r="AQ63" s="133" t="s">
        <v>272</v>
      </c>
      <c r="AR63" s="239" t="s">
        <v>430</v>
      </c>
      <c r="AS63" s="225" t="s">
        <v>431</v>
      </c>
      <c r="AT63" s="27" t="s">
        <v>432</v>
      </c>
      <c r="AU63" s="225" t="s">
        <v>319</v>
      </c>
      <c r="AV63" s="225" t="s">
        <v>320</v>
      </c>
      <c r="AW63" s="91" t="s">
        <v>336</v>
      </c>
      <c r="AX63" s="144" t="s">
        <v>268</v>
      </c>
      <c r="AY63" s="133" t="s">
        <v>270</v>
      </c>
      <c r="AZ63" s="133" t="s">
        <v>272</v>
      </c>
      <c r="BA63" s="239" t="s">
        <v>430</v>
      </c>
      <c r="BB63" s="225" t="s">
        <v>431</v>
      </c>
      <c r="BC63" s="27" t="s">
        <v>432</v>
      </c>
      <c r="BD63" s="225" t="s">
        <v>319</v>
      </c>
      <c r="BE63" s="225" t="s">
        <v>320</v>
      </c>
      <c r="BF63" s="91" t="s">
        <v>335</v>
      </c>
      <c r="BG63" s="83" t="s">
        <v>431</v>
      </c>
      <c r="BH63" s="27" t="s">
        <v>432</v>
      </c>
      <c r="BI63" s="225" t="s">
        <v>319</v>
      </c>
      <c r="BJ63" s="225" t="s">
        <v>320</v>
      </c>
      <c r="BK63" s="27" t="s">
        <v>330</v>
      </c>
      <c r="BL63" s="184" t="s">
        <v>335</v>
      </c>
      <c r="BN63" s="61" t="s">
        <v>320</v>
      </c>
      <c r="BO63" s="61" t="s">
        <v>330</v>
      </c>
      <c r="BP63" s="61" t="s">
        <v>341</v>
      </c>
    </row>
    <row r="64" spans="1:68" x14ac:dyDescent="0.35">
      <c r="A64" s="156">
        <v>0</v>
      </c>
      <c r="B64" s="144"/>
      <c r="C64" s="133"/>
      <c r="D64" s="133"/>
      <c r="E64" s="12"/>
      <c r="F64" s="225"/>
      <c r="G64" s="12"/>
      <c r="H64" s="12">
        <f>F64+G64</f>
        <v>0</v>
      </c>
      <c r="I64" s="225"/>
      <c r="J64" s="91"/>
      <c r="K64" s="144"/>
      <c r="L64" s="133"/>
      <c r="M64" s="133"/>
      <c r="N64" s="12"/>
      <c r="O64" s="225"/>
      <c r="P64" s="12"/>
      <c r="Q64" s="12"/>
      <c r="R64" s="225"/>
      <c r="S64" s="91"/>
      <c r="T64" s="144"/>
      <c r="U64" s="133"/>
      <c r="V64" s="133"/>
      <c r="W64" s="12"/>
      <c r="X64" s="225"/>
      <c r="Y64" s="12"/>
      <c r="Z64" s="12"/>
      <c r="AA64" s="225"/>
      <c r="AB64" s="91"/>
      <c r="AC64" s="83"/>
      <c r="AD64" s="225"/>
      <c r="AE64" s="91"/>
      <c r="AF64" s="144"/>
      <c r="AG64" s="133"/>
      <c r="AH64" s="133"/>
      <c r="AI64" s="12"/>
      <c r="AJ64" s="225"/>
      <c r="AK64" s="12"/>
      <c r="AL64" s="12"/>
      <c r="AM64" s="225"/>
      <c r="AN64" s="91"/>
      <c r="AO64" s="144"/>
      <c r="AP64" s="133"/>
      <c r="AQ64" s="133"/>
      <c r="AR64" s="12"/>
      <c r="AS64" s="225"/>
      <c r="AT64" s="12"/>
      <c r="AU64" s="12"/>
      <c r="AV64" s="225"/>
      <c r="AW64" s="91"/>
      <c r="AX64" s="144"/>
      <c r="AY64" s="133"/>
      <c r="AZ64" s="133"/>
      <c r="BA64" s="12"/>
      <c r="BB64" s="225"/>
      <c r="BC64" s="12"/>
      <c r="BD64" s="12"/>
      <c r="BE64" s="225"/>
      <c r="BF64" s="91"/>
      <c r="BG64" s="83">
        <v>0</v>
      </c>
      <c r="BH64" s="12">
        <v>0</v>
      </c>
      <c r="BI64" s="12">
        <v>0</v>
      </c>
      <c r="BJ64" s="225">
        <v>0</v>
      </c>
      <c r="BK64" s="27">
        <v>0</v>
      </c>
      <c r="BL64" s="184">
        <v>0</v>
      </c>
      <c r="BN64" s="61">
        <v>0</v>
      </c>
      <c r="BO64" s="61">
        <v>0</v>
      </c>
      <c r="BP64">
        <f>BN64-BO64</f>
        <v>0</v>
      </c>
    </row>
    <row r="65" spans="1:68" x14ac:dyDescent="0.35">
      <c r="A65" s="156">
        <v>1</v>
      </c>
      <c r="B65" s="157">
        <f>'Appendix M'!G4*1000*'Appendix M'!$B$5/(365*24*60*60)</f>
        <v>7.0980579720208743</v>
      </c>
      <c r="C65" s="140">
        <v>0</v>
      </c>
      <c r="D65" s="140">
        <v>0</v>
      </c>
      <c r="E65" s="240">
        <f>'Appendix K'!O5/(365*24*60*60)</f>
        <v>0</v>
      </c>
      <c r="F65" s="135">
        <f t="shared" ref="F65:F85" si="1">((B65*((C$31-C$29)-(C$21*(C$34-C$32))))+(C65*((C$39-C$37)-(C$21*(C$42-C$40))))+(D65*((C$47-C$45)-(C$21*(C$50-C$48))))+(E65*((C$55-C$53)-(C$21*(C$58-C$56)))))-((C$27*((C$30-C$29)-(C$21*(C$33-C$32))))+(C$35*((C$38-C$37)-(C$21*(C$41-C$40))))+(C$43*((C$46-C$45)-(C$21*(C$49-C$48))))+(E65*((C$54-C$53)-(C$21*(C$57-C$32)))))</f>
        <v>160962.66063151747</v>
      </c>
      <c r="G65" s="12">
        <f>($C$24*C65+$C$25*D65+$C$26*E65)-($C$24*C65+$C$25*D65+$C$26*E65)</f>
        <v>0</v>
      </c>
      <c r="H65" s="172">
        <f t="shared" ref="H65:H85" si="2">F65+G65</f>
        <v>160962.66063151747</v>
      </c>
      <c r="I65" s="135">
        <f>H65*365*24*60*60/(3.6*1000000)</f>
        <v>1410032.9071320931</v>
      </c>
      <c r="J65" s="158">
        <v>0</v>
      </c>
      <c r="K65" s="157">
        <f>'Appendix K'!$M5*'Appendix J'!$B$10*1000/(365*24*60*60)</f>
        <v>7.0980579720208743</v>
      </c>
      <c r="L65" s="140">
        <f>'Appendix K'!$B5*1000*'Appendix J'!$B$11/(365*24*60*60)</f>
        <v>3.5029402838618875</v>
      </c>
      <c r="M65" s="140">
        <f>'Waterflood equipment'!$B$25*'Appendix K'!$C5*1000*0.0283168*'Appendix J'!$B$9/(365*24*60*60)</f>
        <v>2.4673995642057491</v>
      </c>
      <c r="N65" s="240">
        <f>E65</f>
        <v>0</v>
      </c>
      <c r="O65" s="135">
        <f>((K65*((D$31-D$29)-(C$21*(D$34-D$32))))+(L65*((D$39-D$37)-(C$21*(D$42-D$40))))+(M65*((D$47-D$45)-(C$21*(D$50-D$48))))+(N65*((D$55-D$53)-(C$21*(D$58-D$56)))))-((B65*((D$30-D$29)-(C$21*(D$33-D$32))))+(C65*((D$38-D$37)-(C$21*(D$41-D$40))))+(D65*((D$46-D$45)-(C$21*(D$49-D$48))))+(N65*((D$54-D$53)-(C$21*(D$57-D$56)))))</f>
        <v>1873650.5419226768</v>
      </c>
      <c r="P65" s="172">
        <f>($C$24*L65+$C$25*M65+$C$26*N65)-($C$24*C65+$C$25*D65+$C$26*E65)</f>
        <v>296445910.96406955</v>
      </c>
      <c r="Q65" s="172">
        <f>O65+P65</f>
        <v>298319561.50599223</v>
      </c>
      <c r="R65" s="135">
        <f>Q65*365*24*60*60/(3.6*1000000)</f>
        <v>2613279358.7924924</v>
      </c>
      <c r="S65" s="158">
        <v>0</v>
      </c>
      <c r="T65" s="157">
        <f>K65</f>
        <v>7.0980579720208743</v>
      </c>
      <c r="U65" s="140">
        <f>L65</f>
        <v>3.5029402838618875</v>
      </c>
      <c r="V65" s="140">
        <f>M65</f>
        <v>2.4673995642057491</v>
      </c>
      <c r="W65" s="240">
        <f>N65</f>
        <v>0</v>
      </c>
      <c r="X65" s="135">
        <f>((T65*((E$31-E$29)-(C$21*(E$34-E$32))))+(U65*((E$39-E$37)-(C$21*(E$42-E$40))))+(V65*((E$47-E$45)-(C$21*(E$50-E$48))))+(W65*((E$55-E$53)-(C$21*(E$58-E$56)))))-((K65*((E$30-E$29)-(C$21*(E$33-E$32))))+(L65*((E$38-E$37)-(C$21*(E$41-E$40))))+(M65*((E$46-E$45)-(C$21*(E$49-E$48))))+(W65*((E$54-E$53)-(C$21*(E$57-E$56)))))</f>
        <v>-1984242.9163514934</v>
      </c>
      <c r="Y65" s="242">
        <f>($C$24*U65+$C$25*V65+$C$26*W65)-($C$24*L65+$C$25*M65+$C$26*N65)</f>
        <v>0</v>
      </c>
      <c r="Z65" s="172">
        <f>X65+Y65</f>
        <v>-1984242.9163514934</v>
      </c>
      <c r="AA65" s="135">
        <f>Z65*365*24*60*60/(3.6*1000000)</f>
        <v>-17381967.947239082</v>
      </c>
      <c r="AB65" s="158">
        <f>'Appendix M'!P4-'Appendix L'!AA65</f>
        <v>19419729.76014455</v>
      </c>
      <c r="AC65" s="162">
        <f>H65+Q65+Z65</f>
        <v>296496281.25027227</v>
      </c>
      <c r="AD65" s="135">
        <f>AC65*365*24*60*60/(3.6*1000000)</f>
        <v>2597307423.7523856</v>
      </c>
      <c r="AE65" s="158">
        <f t="shared" ref="AE65:AE85" si="3">J65+S65+AB65</f>
        <v>19419729.76014455</v>
      </c>
      <c r="AF65" s="157">
        <f>B65*'Appendix M'!$B$16</f>
        <v>0.35490289860104374</v>
      </c>
      <c r="AG65" s="140">
        <f t="shared" ref="AG65:AG85" si="4">U65</f>
        <v>3.5029402838618875</v>
      </c>
      <c r="AH65" s="140">
        <f t="shared" ref="AH65:AH85" si="5">V65</f>
        <v>2.4673995642057491</v>
      </c>
      <c r="AI65" s="12">
        <v>0</v>
      </c>
      <c r="AJ65" s="135">
        <f>((AF65*((G$31-G$29)-(C$21*(G$34-G$32))))+(AG65*((G$39-G$37)-(C$21*(G$42-G$40))))+(AH65*((G$47-G$45)-(C$21*(G$50-G$48))))+(AI65*((G$55-G$53)-(C$21*(G$58-G$56)))))-((AF65*((G$30-G$29)-(C$21*(G$33-G$32))))+(U65*((G$38-G$37)-(C$21*(G$41-G$40))))+(V65*((G$46-G$45)-(C$21*(G$49-G$48))))+(AI65*((G$54-G$53)-(C$21*(G$57-G$56)))))</f>
        <v>402999.66556227196</v>
      </c>
      <c r="AK65" s="12">
        <f>($C$24*AG65+$C$25*AH65+$C$26*AI65)-($C$24*AG65+$C$25*AH65+$C$26*AI65)</f>
        <v>0</v>
      </c>
      <c r="AL65" s="172">
        <f>AJ65+AK65</f>
        <v>402999.66556227196</v>
      </c>
      <c r="AM65" s="135">
        <f>AL65*365*24*60*60/(3.6*1000000)</f>
        <v>3530277.0703255022</v>
      </c>
      <c r="AN65" s="158">
        <f>'Appendix M'!S4-'Appendix L'!AM65</f>
        <v>-778287.73514149385</v>
      </c>
      <c r="AO65" s="241">
        <f>T65*'Appendix M'!$B$16</f>
        <v>0.35490289860104374</v>
      </c>
      <c r="AP65" s="140">
        <f t="shared" ref="AP65:AP85" si="6">AG65</f>
        <v>3.5029402838618875</v>
      </c>
      <c r="AQ65" s="140">
        <v>0</v>
      </c>
      <c r="AR65" s="12">
        <v>0</v>
      </c>
      <c r="AS65" s="135">
        <f>((AO65*((H$31-H$29)-(C$21*(H$34-H$32))))+(AP65*((H$39-H$37)-(C$21*(H$42-H$40))))+(AQ65*((H$47-H$45)-(C$21*(H$50-H$48))))+(AQ65*((H$55-H$53)-(C$21*(H$58-H$56)))))-((AO65*((H$30-H$29)-(C$21*(H$33-H$32))))+(AG65*((H$38-H$37)-(C$21*(H$41-H$40))))+(AQ65*((H$46-H$45)-(C$21*(H$49-H$48))))+(AQ65*((H$54-H$53)-(C$21*(H$57-H$56)))))</f>
        <v>-440983.44046534155</v>
      </c>
      <c r="AT65" s="12">
        <f>($C$24*AG65+$C$25*AH65+$C$26*AI65)-($C$24*AG65+$C$25*AH65+$C$26*AI65)</f>
        <v>0</v>
      </c>
      <c r="AU65" s="172">
        <f>AS65+AT65</f>
        <v>-440983.44046534155</v>
      </c>
      <c r="AV65" s="135">
        <f>AU65*365*24*60*60/(3.6*1000000)</f>
        <v>-3863014.9384763916</v>
      </c>
      <c r="AW65" s="158">
        <f>'Appendix M'!U4-AV65</f>
        <v>3863095.1986508225</v>
      </c>
      <c r="AX65" s="157">
        <f t="shared" ref="AX65:AX85" si="7">T65</f>
        <v>7.0980579720208743</v>
      </c>
      <c r="AY65" s="140">
        <v>0</v>
      </c>
      <c r="AZ65" s="140">
        <v>0</v>
      </c>
      <c r="BA65" s="12">
        <v>0</v>
      </c>
      <c r="BB65" s="134">
        <f>((AX65*((I$31-I$29)-(C$21*(I$34-I$32))))+(AY65*((I$39-I$37)-(C$21*(I$42-I$40))))+(AZ65*((I$47-I$45)-(C$21*(I$50-I$48))))+(BA65*((I$55-I$53)-(C$21*(I$58-I$56)))))-((T65*((I$30-I$29)-(C$21*(I$33-I$32))))+(AY65*((I$38-I$37)-(C$21*(I$41-I$40))))+(AZ65*((I$46-I$45)-(C$21*(I$49-I$48))))+(BA65*((I$54-I$53)-(C$21*(I$57-I$56)))))</f>
        <v>0</v>
      </c>
      <c r="BC65" s="12">
        <f>($C$24*AY65+$C$25*AZ65+$C$26*BA65)-($C$24*AY65+$C$25*AZ65+$C$26*W65)</f>
        <v>0</v>
      </c>
      <c r="BD65" s="12">
        <f>BB65+BC65</f>
        <v>0</v>
      </c>
      <c r="BE65" s="134">
        <f>BD65*365*24*60*60/(3.6*1000000)</f>
        <v>0</v>
      </c>
      <c r="BF65" s="158">
        <f>'Appendix M'!Q4-'Appendix L'!BE65</f>
        <v>1119221.7810282514</v>
      </c>
      <c r="BG65" s="164">
        <f>F65+O65+X65+AJ65+AS65+BB65</f>
        <v>12386.511299631209</v>
      </c>
      <c r="BH65" s="172">
        <f>G65+P65+Y65+AK65+AT65+BC65</f>
        <v>296445910.96406955</v>
      </c>
      <c r="BI65" s="172">
        <f>BG65+BH65</f>
        <v>296458297.47536916</v>
      </c>
      <c r="BJ65" s="172">
        <f>BI65*365*24*60*60/(3.6*1000000)</f>
        <v>2596974685.8842335</v>
      </c>
      <c r="BK65" s="172">
        <f>'Appendix M'!W4</f>
        <v>6795411.1676859828</v>
      </c>
      <c r="BL65" s="165">
        <f t="shared" ref="BL65:BL85" si="8">AE65+AN65+AW65+BF65</f>
        <v>23623759.004682131</v>
      </c>
      <c r="BN65" s="180">
        <f>BJ65</f>
        <v>2596974685.8842335</v>
      </c>
      <c r="BO65" s="180">
        <f>BO64+BK65</f>
        <v>6795411.1676859828</v>
      </c>
      <c r="BP65">
        <f t="shared" ref="BP65:BP85" si="9">BN65-BO65</f>
        <v>2590179274.7165475</v>
      </c>
    </row>
    <row r="66" spans="1:68" x14ac:dyDescent="0.35">
      <c r="A66" s="156">
        <v>2</v>
      </c>
      <c r="B66" s="157">
        <f>'Appendix M'!G5*1000*'Appendix M'!$B$5/(365*24*60*60)</f>
        <v>7.3812785388127828</v>
      </c>
      <c r="C66" s="140">
        <v>0</v>
      </c>
      <c r="D66" s="140">
        <v>0</v>
      </c>
      <c r="E66" s="240">
        <f>'Appendix K'!O6/(365*24*60*60)</f>
        <v>0</v>
      </c>
      <c r="F66" s="135">
        <f t="shared" si="1"/>
        <v>167385.2534246576</v>
      </c>
      <c r="G66" s="12">
        <f t="shared" ref="G66:G85" si="10">($C$24*C66+$C$25*D66+$C$26*E66)-($C$24*C66+$C$25*D66+$C$26*E66)</f>
        <v>0</v>
      </c>
      <c r="H66" s="172">
        <f t="shared" si="2"/>
        <v>167385.2534246576</v>
      </c>
      <c r="I66" s="135">
        <f t="shared" ref="I66:I85" si="11">H66*365*24*60*60/(3.6*1000000)</f>
        <v>1466294.8200000005</v>
      </c>
      <c r="J66" s="158">
        <v>0</v>
      </c>
      <c r="K66" s="157">
        <f>'Appendix K'!$M6*'Appendix J'!$B$10*1000/(365*24*60*60)</f>
        <v>7.3812785388127828</v>
      </c>
      <c r="L66" s="140">
        <f>'Appendix K'!$B6*1000*'Appendix J'!$B$11/(365*24*60*60)</f>
        <v>1.3637883675799085</v>
      </c>
      <c r="M66" s="140">
        <f>'Waterflood equipment'!$B$25*'Appendix K'!$C6*1000*0.0283168*'Appendix J'!$B$9/(365*24*60*60)</f>
        <v>0.96062466132757252</v>
      </c>
      <c r="N66" s="240">
        <f t="shared" ref="N66:N85" si="12">E66</f>
        <v>0</v>
      </c>
      <c r="O66" s="135">
        <f t="shared" ref="O66:O85" si="13">((K66*((D$31-D$29)-(C$21*(D$34-D$32))))+(L66*((D$39-D$37)-(C$21*(D$42-D$40))))+(M66*((D$47-D$45)-(C$21*(D$50-D$48))))+(N66*((D$55-D$53)-(C$21*(D$58-D$56)))))-((B66*((D$30-D$29)-(C$21*(D$33-D$32))))+(C66*((D$38-D$37)-(C$21*(D$41-D$40))))+(D66*((D$46-D$45)-(C$21*(D$49-D$48))))+(N66*((D$54-D$53)-(C$21*(D$57-D$56)))))</f>
        <v>729462.28223075427</v>
      </c>
      <c r="P66" s="172">
        <f t="shared" ref="P66:P85" si="14">($C$24*L66+$C$25*M66+$C$26*N66)-($C$24*C66+$C$25*D66+$C$26*E66)</f>
        <v>115414324.03286938</v>
      </c>
      <c r="Q66" s="172">
        <f t="shared" ref="Q66:Q85" si="15">O66+P66</f>
        <v>116143786.31510013</v>
      </c>
      <c r="R66" s="135">
        <f t="shared" ref="R66:R85" si="16">Q66*365*24*60*60/(3.6*1000000)</f>
        <v>1017419568.1202772</v>
      </c>
      <c r="S66" s="158">
        <v>0</v>
      </c>
      <c r="T66" s="157">
        <f t="shared" ref="T66:T85" si="17">K66</f>
        <v>7.3812785388127828</v>
      </c>
      <c r="U66" s="140">
        <f t="shared" ref="U66:U85" si="18">L66</f>
        <v>1.3637883675799085</v>
      </c>
      <c r="V66" s="140">
        <f t="shared" ref="V66:V85" si="19">M66</f>
        <v>0.96062466132757252</v>
      </c>
      <c r="W66" s="240">
        <f t="shared" ref="W66:W85" si="20">N66</f>
        <v>0</v>
      </c>
      <c r="X66" s="135">
        <f t="shared" ref="X66:X85" si="21">((T66*((E$31-E$29)-(C$21*(E$34-E$32))))+(U66*((E$39-E$37)-(C$21*(E$42-E$40))))+(V66*((E$47-E$45)-(C$21*(E$50-E$48))))+(W66*((E$55-E$53)-(C$21*(E$58-E$56)))))-((K66*((E$30-E$29)-(C$21*(E$33-E$32))))+(L66*((E$38-E$37)-(C$21*(E$41-E$40))))+(M66*((E$46-E$45)-(C$21*(E$49-E$48))))+(W66*((E$54-E$53)-(C$21*(E$57-E$56)))))</f>
        <v>-847594.3597112603</v>
      </c>
      <c r="Y66" s="242">
        <f t="shared" ref="Y66:Y85" si="22">($C$24*U66+$C$25*V66+$C$26*W66)-($C$24*L66+$C$25*M66+$C$26*N66)</f>
        <v>0</v>
      </c>
      <c r="Z66" s="172">
        <f t="shared" ref="Z66:Z85" si="23">X66+Y66</f>
        <v>-847594.3597112603</v>
      </c>
      <c r="AA66" s="135">
        <f t="shared" ref="AA66:AA85" si="24">Z66*365*24*60*60/(3.6*1000000)</f>
        <v>-7424926.5910706399</v>
      </c>
      <c r="AB66" s="158">
        <f>'Appendix M'!P5-'Appendix L'!AA66</f>
        <v>9518103.635519715</v>
      </c>
      <c r="AC66" s="162">
        <f t="shared" ref="AC66:AC85" si="25">H66+Q66+Z66</f>
        <v>115463577.20881353</v>
      </c>
      <c r="AD66" s="135">
        <f t="shared" ref="AD66:AD85" si="26">AC66*365*24*60*60/(3.6*1000000)</f>
        <v>1011460936.3492066</v>
      </c>
      <c r="AE66" s="158">
        <f t="shared" si="3"/>
        <v>9518103.635519715</v>
      </c>
      <c r="AF66" s="157">
        <f>B66*'Appendix M'!$B$16</f>
        <v>0.36906392694063916</v>
      </c>
      <c r="AG66" s="140">
        <f t="shared" si="4"/>
        <v>1.3637883675799085</v>
      </c>
      <c r="AH66" s="140">
        <f t="shared" si="5"/>
        <v>0.96062466132757252</v>
      </c>
      <c r="AI66" s="12">
        <v>0</v>
      </c>
      <c r="AJ66" s="135">
        <f t="shared" ref="AJ66:AJ85" si="27">((AF66*((G$31-G$29)-(C$21*(G$34-G$32))))+(AG66*((G$39-G$37)-(C$21*(G$42-G$40))))+(AH66*((G$47-G$45)-(C$21*(G$50-G$48))))+(AI66*((G$55-G$53)-(C$21*(G$58-G$56)))))-((AF66*((G$30-G$29)-(C$21*(G$33-G$32))))+(U66*((G$38-G$37)-(C$21*(G$41-G$40))))+(V66*((G$46-G$45)-(C$21*(G$49-G$48))))+(AI66*((G$54-G$53)-(C$21*(G$57-G$56)))))</f>
        <v>161874.47756035096</v>
      </c>
      <c r="AK66" s="12">
        <f t="shared" ref="AK66:AK85" si="28">($C$24*AG66+$C$25*AH66+$C$26*AI66)-($C$24*AG66+$C$25*AH66+$C$26*AI66)</f>
        <v>0</v>
      </c>
      <c r="AL66" s="172">
        <f t="shared" ref="AL66:AL85" si="29">AJ66+AK66</f>
        <v>161874.47756035096</v>
      </c>
      <c r="AM66" s="135">
        <f t="shared" ref="AM66:AM85" si="30">AL66*365*24*60*60/(3.6*1000000)</f>
        <v>1418020.4234286747</v>
      </c>
      <c r="AN66" s="158">
        <f>'Appendix M'!S5-'Appendix L'!AM66</f>
        <v>-346597.35055510583</v>
      </c>
      <c r="AO66" s="241">
        <f>T66*'Appendix M'!$B$16</f>
        <v>0.36906392694063916</v>
      </c>
      <c r="AP66" s="140">
        <f t="shared" si="6"/>
        <v>1.3637883675799085</v>
      </c>
      <c r="AQ66" s="140">
        <v>0</v>
      </c>
      <c r="AR66" s="12">
        <v>0</v>
      </c>
      <c r="AS66" s="135">
        <f t="shared" ref="AS66:AS85" si="31">((AO66*((H$31-H$29)-(C$21*(H$34-H$32))))+(AP66*((H$39-H$37)-(C$21*(H$42-H$40))))+(AQ66*((H$47-H$45)-(C$21*(H$50-H$48))))+(AQ66*((H$55-H$53)-(C$21*(H$58-H$56)))))-((AO66*((H$30-H$29)-(C$21*(H$33-H$32))))+(AG66*((H$38-H$37)-(C$21*(H$41-H$40))))+(AQ66*((H$46-H$45)-(C$21*(H$49-H$48))))+(AQ66*((H$54-H$53)-(C$21*(H$57-H$56)))))</f>
        <v>-178144.71111772858</v>
      </c>
      <c r="AT66" s="12">
        <f t="shared" ref="AT66:AT85" si="32">($C$24*AG66+$C$25*AH66+$C$26*AI66)-($C$24*AG66+$C$25*AH66+$C$26*AI66)</f>
        <v>0</v>
      </c>
      <c r="AU66" s="172">
        <f t="shared" ref="AU66:AU85" si="33">AS66+AT66</f>
        <v>-178144.71111772858</v>
      </c>
      <c r="AV66" s="135">
        <f t="shared" ref="AV66:AV85" si="34">AU66*365*24*60*60/(3.6*1000000)</f>
        <v>-1560547.6693913024</v>
      </c>
      <c r="AW66" s="158">
        <f>'Appendix M'!U5-AV66</f>
        <v>1560583.7203713041</v>
      </c>
      <c r="AX66" s="157">
        <f t="shared" si="7"/>
        <v>7.3812785388127828</v>
      </c>
      <c r="AY66" s="140">
        <v>0</v>
      </c>
      <c r="AZ66" s="140">
        <v>0</v>
      </c>
      <c r="BA66" s="12">
        <v>0</v>
      </c>
      <c r="BB66" s="134">
        <f t="shared" ref="BB66:BB85" si="35">((AX66*((I$31-I$29)-(C$21*(I$34-I$32))))+(AY66*((I$39-I$37)-(C$21*(I$42-I$40))))+(AZ66*((I$47-I$45)-(C$21*(I$50-I$48))))+(BA66*((I$55-I$53)-(C$21*(I$58-I$56)))))-((T66*((I$30-I$29)-(C$21*(I$33-I$32))))+(AY66*((I$38-I$37)-(C$21*(I$41-I$40))))+(AZ66*((I$46-I$45)-(C$21*(I$49-I$48))))+(BA66*((I$54-I$53)-(C$21*(I$57-I$56)))))</f>
        <v>0</v>
      </c>
      <c r="BC66" s="12">
        <f t="shared" ref="BC66:BC85" si="36">($C$24*AY66+$C$25*AZ66+$C$26*BA66)-($C$24*AY66+$C$25*AZ66+$C$26*W66)</f>
        <v>0</v>
      </c>
      <c r="BD66" s="12">
        <f t="shared" ref="BD66:BD85" si="37">BB66+BC66</f>
        <v>0</v>
      </c>
      <c r="BE66" s="134">
        <f t="shared" ref="BE66:BE85" si="38">BD66*365*24*60*60/(3.6*1000000)</f>
        <v>0</v>
      </c>
      <c r="BF66" s="158">
        <f>'Appendix M'!Q5-'Appendix L'!BE66</f>
        <v>1163879.9999999995</v>
      </c>
      <c r="BG66" s="164">
        <f t="shared" ref="BG66:BG85" si="39">F66+O66+X66+AJ66+AS66+BB66</f>
        <v>32982.942386773968</v>
      </c>
      <c r="BH66" s="172">
        <f t="shared" ref="BH66:BH85" si="40">G66+P66+Y66+AK66+AT66+BC66</f>
        <v>115414324.03286938</v>
      </c>
      <c r="BI66" s="172">
        <f t="shared" ref="BI66:BI85" si="41">BG66+BH66</f>
        <v>115447306.97525616</v>
      </c>
      <c r="BJ66" s="172">
        <f t="shared" ref="BJ66:BJ85" si="42">BI66*365*24*60*60/(3.6*1000000)</f>
        <v>1011318409.1032439</v>
      </c>
      <c r="BK66" s="172">
        <f>'Appendix M'!W5</f>
        <v>4977793.5935480427</v>
      </c>
      <c r="BL66" s="165">
        <f t="shared" si="8"/>
        <v>11895970.005335914</v>
      </c>
      <c r="BN66" s="180">
        <f>BJ66+BN65</f>
        <v>3608293094.9874773</v>
      </c>
      <c r="BO66" s="180">
        <f t="shared" ref="BO66:BO85" si="43">BO65+BK66</f>
        <v>11773204.761234026</v>
      </c>
      <c r="BP66">
        <f t="shared" si="9"/>
        <v>3596519890.2262435</v>
      </c>
    </row>
    <row r="67" spans="1:68" x14ac:dyDescent="0.35">
      <c r="A67" s="156">
        <v>3</v>
      </c>
      <c r="B67" s="157">
        <f>'Appendix M'!G6*1000*'Appendix M'!$B$5/(365*24*60*60)</f>
        <v>7.3812886225266334</v>
      </c>
      <c r="C67" s="140">
        <v>0</v>
      </c>
      <c r="D67" s="140">
        <v>0</v>
      </c>
      <c r="E67" s="240">
        <f>'Appendix K'!O7/(365*24*60*60)</f>
        <v>1.3264554794520549E-3</v>
      </c>
      <c r="F67" s="135">
        <f t="shared" si="1"/>
        <v>169733.95754121858</v>
      </c>
      <c r="G67" s="12">
        <f t="shared" si="10"/>
        <v>0</v>
      </c>
      <c r="H67" s="172">
        <f t="shared" si="2"/>
        <v>169733.95754121858</v>
      </c>
      <c r="I67" s="135">
        <f t="shared" si="11"/>
        <v>1486869.4680610748</v>
      </c>
      <c r="J67" s="158">
        <v>0</v>
      </c>
      <c r="K67" s="157">
        <f>'Appendix K'!$M7*'Appendix J'!$B$10*1000/(365*24*60*60)</f>
        <v>7.3812886225266334</v>
      </c>
      <c r="L67" s="140">
        <f>'Appendix K'!$B7*1000*'Appendix J'!$B$11/(365*24*60*60)</f>
        <v>0.75641595048706289</v>
      </c>
      <c r="M67" s="140">
        <f>'Waterflood equipment'!$B$25*'Appendix K'!$C7*1000*0.0283168*'Appendix J'!$B$9/(365*24*60*60)</f>
        <v>0.53280394050349833</v>
      </c>
      <c r="N67" s="240">
        <f t="shared" si="12"/>
        <v>1.3264554794520549E-3</v>
      </c>
      <c r="O67" s="135">
        <f t="shared" si="13"/>
        <v>404591.29779584944</v>
      </c>
      <c r="P67" s="172">
        <f t="shared" si="14"/>
        <v>64013770.529560938</v>
      </c>
      <c r="Q67" s="172">
        <f t="shared" si="15"/>
        <v>64418361.827356786</v>
      </c>
      <c r="R67" s="135">
        <f t="shared" si="16"/>
        <v>564304849.60764539</v>
      </c>
      <c r="S67" s="158">
        <v>0</v>
      </c>
      <c r="T67" s="157">
        <f t="shared" si="17"/>
        <v>7.3812886225266334</v>
      </c>
      <c r="U67" s="140">
        <f t="shared" si="18"/>
        <v>0.75641595048706289</v>
      </c>
      <c r="V67" s="140">
        <f t="shared" si="19"/>
        <v>0.53280394050349833</v>
      </c>
      <c r="W67" s="240">
        <f t="shared" si="20"/>
        <v>1.3264554794520549E-3</v>
      </c>
      <c r="X67" s="135">
        <f t="shared" si="21"/>
        <v>-523583.97793552012</v>
      </c>
      <c r="Y67" s="242">
        <f t="shared" si="22"/>
        <v>0</v>
      </c>
      <c r="Z67" s="172">
        <f t="shared" si="23"/>
        <v>-523583.97793552012</v>
      </c>
      <c r="AA67" s="135">
        <f t="shared" si="24"/>
        <v>-4586595.6467151577</v>
      </c>
      <c r="AB67" s="158">
        <f>'Appendix M'!P6-'Appendix L'!AA67</f>
        <v>6676933.7626402136</v>
      </c>
      <c r="AC67" s="162">
        <f t="shared" si="25"/>
        <v>64064511.806962483</v>
      </c>
      <c r="AD67" s="135">
        <f t="shared" si="26"/>
        <v>561205123.42899132</v>
      </c>
      <c r="AE67" s="158">
        <f t="shared" si="3"/>
        <v>6676933.7626402136</v>
      </c>
      <c r="AF67" s="157">
        <f>B67*'Appendix M'!$B$16</f>
        <v>0.36906443112633169</v>
      </c>
      <c r="AG67" s="140">
        <f t="shared" si="4"/>
        <v>0.75641595048706289</v>
      </c>
      <c r="AH67" s="140">
        <f t="shared" si="5"/>
        <v>0.53280394050349833</v>
      </c>
      <c r="AI67" s="12">
        <v>0</v>
      </c>
      <c r="AJ67" s="135">
        <f t="shared" si="27"/>
        <v>93324.822700248638</v>
      </c>
      <c r="AK67" s="12">
        <f t="shared" si="28"/>
        <v>0</v>
      </c>
      <c r="AL67" s="172">
        <f t="shared" si="29"/>
        <v>93324.822700248638</v>
      </c>
      <c r="AM67" s="135">
        <f t="shared" si="30"/>
        <v>817525.4468541781</v>
      </c>
      <c r="AN67" s="158">
        <f>'Appendix M'!S6-'Appendix L'!AM67</f>
        <v>-223267.92031464039</v>
      </c>
      <c r="AO67" s="241">
        <f>T67*'Appendix M'!$B$16</f>
        <v>0.36906443112633169</v>
      </c>
      <c r="AP67" s="140">
        <f t="shared" si="6"/>
        <v>0.75641595048706289</v>
      </c>
      <c r="AQ67" s="140">
        <v>0</v>
      </c>
      <c r="AR67" s="12">
        <v>0</v>
      </c>
      <c r="AS67" s="135">
        <f t="shared" si="31"/>
        <v>-103404.09304388909</v>
      </c>
      <c r="AT67" s="12">
        <f t="shared" si="32"/>
        <v>0</v>
      </c>
      <c r="AU67" s="172">
        <f t="shared" si="33"/>
        <v>-103404.09304388909</v>
      </c>
      <c r="AV67" s="135">
        <f t="shared" si="34"/>
        <v>-905819.85506446834</v>
      </c>
      <c r="AW67" s="158">
        <f>'Appendix M'!U6-AV67</f>
        <v>905843.27002652723</v>
      </c>
      <c r="AX67" s="157">
        <f t="shared" si="7"/>
        <v>7.3812886225266334</v>
      </c>
      <c r="AY67" s="140">
        <v>0</v>
      </c>
      <c r="AZ67" s="140">
        <v>0</v>
      </c>
      <c r="BA67" s="12">
        <v>0</v>
      </c>
      <c r="BB67" s="134">
        <f t="shared" si="35"/>
        <v>0</v>
      </c>
      <c r="BC67" s="12">
        <f t="shared" si="36"/>
        <v>-32779.367808219184</v>
      </c>
      <c r="BD67" s="12">
        <f t="shared" si="37"/>
        <v>-32779.367808219184</v>
      </c>
      <c r="BE67" s="134">
        <f t="shared" si="38"/>
        <v>-287147.26200000005</v>
      </c>
      <c r="BF67" s="158">
        <f>'Appendix M'!Q6-'Appendix L'!BE67</f>
        <v>1451028.8519999997</v>
      </c>
      <c r="BG67" s="164">
        <f t="shared" si="39"/>
        <v>40662.007057907409</v>
      </c>
      <c r="BH67" s="172">
        <f t="shared" si="40"/>
        <v>63980991.161752716</v>
      </c>
      <c r="BI67" s="172">
        <f t="shared" si="41"/>
        <v>64021653.168810621</v>
      </c>
      <c r="BJ67" s="172">
        <f t="shared" si="42"/>
        <v>560829681.75878096</v>
      </c>
      <c r="BK67" s="172">
        <f>'Appendix M'!W6</f>
        <v>4425775.7445406504</v>
      </c>
      <c r="BL67" s="165">
        <f t="shared" si="8"/>
        <v>8810537.9643520992</v>
      </c>
      <c r="BN67" s="180">
        <f t="shared" ref="BN67:BN85" si="44">BJ67+BN66</f>
        <v>4169122776.7462583</v>
      </c>
      <c r="BO67" s="180">
        <f t="shared" si="43"/>
        <v>16198980.505774677</v>
      </c>
      <c r="BP67">
        <f t="shared" si="9"/>
        <v>4152923796.2404838</v>
      </c>
    </row>
    <row r="68" spans="1:68" x14ac:dyDescent="0.35">
      <c r="A68" s="156">
        <v>4</v>
      </c>
      <c r="B68" s="157">
        <f>'Appendix M'!G7*1000*'Appendix M'!$B$5/(365*24*60*60)</f>
        <v>6.8862401065449124</v>
      </c>
      <c r="C68" s="140">
        <v>0</v>
      </c>
      <c r="D68" s="140">
        <v>0</v>
      </c>
      <c r="E68" s="240">
        <f>'Appendix K'!O8/(365*24*60*60)</f>
        <v>8.5348325722983277E-3</v>
      </c>
      <c r="F68" s="135">
        <f t="shared" si="1"/>
        <v>171270.09802530761</v>
      </c>
      <c r="G68" s="12">
        <f t="shared" si="10"/>
        <v>0</v>
      </c>
      <c r="H68" s="172">
        <f t="shared" si="2"/>
        <v>171270.09802530761</v>
      </c>
      <c r="I68" s="135">
        <f t="shared" si="11"/>
        <v>1500326.0587016949</v>
      </c>
      <c r="J68" s="158">
        <v>0</v>
      </c>
      <c r="K68" s="157">
        <f>'Appendix K'!$M8*'Appendix J'!$B$10*1000/(365*24*60*60)</f>
        <v>6.8862401065449124</v>
      </c>
      <c r="L68" s="140">
        <f>'Appendix K'!$B8*1000*'Appendix J'!$B$11/(365*24*60*60)</f>
        <v>1.4318318350456614</v>
      </c>
      <c r="M68" s="140">
        <f>'Waterflood equipment'!$B$25*'Appendix K'!$C8*1000*0.0283168*'Appendix J'!$B$9/(365*24*60*60)</f>
        <v>1.0085530895527184</v>
      </c>
      <c r="N68" s="240">
        <f t="shared" si="12"/>
        <v>8.5348325722983277E-3</v>
      </c>
      <c r="O68" s="135">
        <f t="shared" si="13"/>
        <v>765857.33020769327</v>
      </c>
      <c r="P68" s="172">
        <f t="shared" si="14"/>
        <v>121172688.73893312</v>
      </c>
      <c r="Q68" s="172">
        <f t="shared" si="15"/>
        <v>121938546.06914081</v>
      </c>
      <c r="R68" s="135">
        <f t="shared" si="16"/>
        <v>1068181663.5656736</v>
      </c>
      <c r="S68" s="158">
        <v>0</v>
      </c>
      <c r="T68" s="157">
        <f t="shared" si="17"/>
        <v>6.8862401065449124</v>
      </c>
      <c r="U68" s="140">
        <f t="shared" si="18"/>
        <v>1.4318318350456614</v>
      </c>
      <c r="V68" s="140">
        <f t="shared" si="19"/>
        <v>1.0085530895527184</v>
      </c>
      <c r="W68" s="240">
        <f t="shared" si="20"/>
        <v>8.5348325722983277E-3</v>
      </c>
      <c r="X68" s="135">
        <f t="shared" si="21"/>
        <v>-876021.88686195354</v>
      </c>
      <c r="Y68" s="242">
        <f t="shared" si="22"/>
        <v>0</v>
      </c>
      <c r="Z68" s="172">
        <f t="shared" si="23"/>
        <v>-876021.88686195354</v>
      </c>
      <c r="AA68" s="135">
        <f t="shared" si="24"/>
        <v>-7673951.7289107144</v>
      </c>
      <c r="AB68" s="158">
        <f>'Appendix M'!P7-'Appendix L'!AA68</f>
        <v>9404283.6979938261</v>
      </c>
      <c r="AC68" s="162">
        <f t="shared" si="25"/>
        <v>121233794.28030416</v>
      </c>
      <c r="AD68" s="135">
        <f t="shared" si="26"/>
        <v>1062008037.8954644</v>
      </c>
      <c r="AE68" s="158">
        <f t="shared" si="3"/>
        <v>9404283.6979938261</v>
      </c>
      <c r="AF68" s="157">
        <f>B68*'Appendix M'!$B$16</f>
        <v>0.34431200532724565</v>
      </c>
      <c r="AG68" s="140">
        <f t="shared" si="4"/>
        <v>1.4318318350456614</v>
      </c>
      <c r="AH68" s="140">
        <f t="shared" si="5"/>
        <v>1.0085530895527184</v>
      </c>
      <c r="AI68" s="12">
        <v>0</v>
      </c>
      <c r="AJ68" s="135">
        <f t="shared" si="27"/>
        <v>169020.61553311633</v>
      </c>
      <c r="AK68" s="12">
        <f t="shared" si="28"/>
        <v>0</v>
      </c>
      <c r="AL68" s="172">
        <f t="shared" si="29"/>
        <v>169020.61553311633</v>
      </c>
      <c r="AM68" s="135">
        <f t="shared" si="30"/>
        <v>1480620.592070099</v>
      </c>
      <c r="AN68" s="158">
        <f>'Appendix M'!S7-'Appendix L'!AM68</f>
        <v>-355741.02790052397</v>
      </c>
      <c r="AO68" s="241">
        <f>T68*'Appendix M'!$B$16</f>
        <v>0.34431200532724565</v>
      </c>
      <c r="AP68" s="140">
        <f t="shared" si="6"/>
        <v>1.4318318350456614</v>
      </c>
      <c r="AQ68" s="140">
        <v>0</v>
      </c>
      <c r="AR68" s="12">
        <v>0</v>
      </c>
      <c r="AS68" s="135">
        <f t="shared" si="31"/>
        <v>-185825.5307928301</v>
      </c>
      <c r="AT68" s="12">
        <f t="shared" si="32"/>
        <v>0</v>
      </c>
      <c r="AU68" s="172">
        <f t="shared" si="33"/>
        <v>-185825.5307928301</v>
      </c>
      <c r="AV68" s="135">
        <f t="shared" si="34"/>
        <v>-1627831.6497451914</v>
      </c>
      <c r="AW68" s="158">
        <f>'Appendix M'!U7-AV68</f>
        <v>1627868.6013805224</v>
      </c>
      <c r="AX68" s="157">
        <f t="shared" si="7"/>
        <v>6.8862401065449124</v>
      </c>
      <c r="AY68" s="140">
        <v>0</v>
      </c>
      <c r="AZ68" s="140">
        <v>0</v>
      </c>
      <c r="BA68" s="12">
        <v>0</v>
      </c>
      <c r="BB68" s="134">
        <f t="shared" si="35"/>
        <v>0</v>
      </c>
      <c r="BC68" s="12">
        <f t="shared" si="36"/>
        <v>-210912.78252663626</v>
      </c>
      <c r="BD68" s="12">
        <f t="shared" si="37"/>
        <v>-210912.78252663626</v>
      </c>
      <c r="BE68" s="134">
        <f t="shared" si="38"/>
        <v>-1847595.9749333332</v>
      </c>
      <c r="BF68" s="158">
        <f>'Appendix M'!Q7-'Appendix L'!BE68</f>
        <v>2933418.3149333349</v>
      </c>
      <c r="BG68" s="164">
        <f t="shared" si="39"/>
        <v>44300.626111333608</v>
      </c>
      <c r="BH68" s="172">
        <f t="shared" si="40"/>
        <v>120961775.95640647</v>
      </c>
      <c r="BI68" s="172">
        <f t="shared" si="41"/>
        <v>121006076.5825178</v>
      </c>
      <c r="BJ68" s="172">
        <f t="shared" si="42"/>
        <v>1060013230.862856</v>
      </c>
      <c r="BK68" s="172">
        <f>'Appendix M'!W7</f>
        <v>4532231.4486212227</v>
      </c>
      <c r="BL68" s="165">
        <f t="shared" si="8"/>
        <v>13609829.58640716</v>
      </c>
      <c r="BN68" s="180">
        <f t="shared" si="44"/>
        <v>5229136007.6091146</v>
      </c>
      <c r="BO68" s="180">
        <f t="shared" si="43"/>
        <v>20731211.954395898</v>
      </c>
      <c r="BP68">
        <f t="shared" si="9"/>
        <v>5208404795.6547184</v>
      </c>
    </row>
    <row r="69" spans="1:68" x14ac:dyDescent="0.35">
      <c r="A69" s="156">
        <v>5</v>
      </c>
      <c r="B69" s="157">
        <f>'Appendix M'!G8*1000*'Appendix M'!$B$5/(365*24*60*60)</f>
        <v>6.2648481735159844</v>
      </c>
      <c r="C69" s="140">
        <v>0</v>
      </c>
      <c r="D69" s="140">
        <v>0</v>
      </c>
      <c r="E69" s="240">
        <f>'Appendix K'!O9/(365*24*60*60)</f>
        <v>7.7557743531202449E-3</v>
      </c>
      <c r="F69" s="135">
        <f t="shared" si="1"/>
        <v>155799.47879267132</v>
      </c>
      <c r="G69" s="12">
        <f t="shared" si="10"/>
        <v>0</v>
      </c>
      <c r="H69" s="172">
        <f t="shared" si="2"/>
        <v>155799.47879267132</v>
      </c>
      <c r="I69" s="135">
        <f t="shared" si="11"/>
        <v>1364803.4342238007</v>
      </c>
      <c r="J69" s="158">
        <v>0</v>
      </c>
      <c r="K69" s="157">
        <f>'Appendix K'!$M9*'Appendix J'!$B$10*1000/(365*24*60*60)</f>
        <v>6.2648481735159844</v>
      </c>
      <c r="L69" s="140">
        <f>'Appendix K'!$B9*1000*'Appendix J'!$B$11/(365*24*60*60)</f>
        <v>1.9099178938356134</v>
      </c>
      <c r="M69" s="140">
        <f>'Waterflood equipment'!$B$25*'Appendix K'!$C9*1000*0.0283168*'Appendix J'!$B$9/(365*24*60*60)</f>
        <v>1.3453071411549531</v>
      </c>
      <c r="N69" s="240">
        <f t="shared" si="12"/>
        <v>7.7557743531202449E-3</v>
      </c>
      <c r="O69" s="135">
        <f t="shared" si="13"/>
        <v>1021575.7069280397</v>
      </c>
      <c r="P69" s="172">
        <f t="shared" si="14"/>
        <v>161632030.24416703</v>
      </c>
      <c r="Q69" s="172">
        <f t="shared" si="15"/>
        <v>162653605.95109507</v>
      </c>
      <c r="R69" s="135">
        <f t="shared" si="16"/>
        <v>1424845588.1315928</v>
      </c>
      <c r="S69" s="158">
        <v>0</v>
      </c>
      <c r="T69" s="157">
        <f t="shared" si="17"/>
        <v>6.2648481735159844</v>
      </c>
      <c r="U69" s="140">
        <f t="shared" si="18"/>
        <v>1.9099178938356134</v>
      </c>
      <c r="V69" s="140">
        <f t="shared" si="19"/>
        <v>1.3453071411549531</v>
      </c>
      <c r="W69" s="240">
        <f t="shared" si="20"/>
        <v>7.7557743531202449E-3</v>
      </c>
      <c r="X69" s="135">
        <f t="shared" si="21"/>
        <v>-1120965.9195192654</v>
      </c>
      <c r="Y69" s="242">
        <f t="shared" si="22"/>
        <v>0</v>
      </c>
      <c r="Z69" s="172">
        <f t="shared" si="23"/>
        <v>-1120965.9195192654</v>
      </c>
      <c r="AA69" s="135">
        <f t="shared" si="24"/>
        <v>-9819661.4549887646</v>
      </c>
      <c r="AB69" s="158">
        <f>'Appendix M'!P8-'Appendix L'!AA69</f>
        <v>11575172.709279874</v>
      </c>
      <c r="AC69" s="162">
        <f t="shared" si="25"/>
        <v>161688439.51036847</v>
      </c>
      <c r="AD69" s="135">
        <f t="shared" si="26"/>
        <v>1416390730.1108277</v>
      </c>
      <c r="AE69" s="158">
        <f t="shared" si="3"/>
        <v>11575172.709279874</v>
      </c>
      <c r="AF69" s="157">
        <f>B69*'Appendix M'!$B$16</f>
        <v>0.31324240867579922</v>
      </c>
      <c r="AG69" s="140">
        <f t="shared" si="4"/>
        <v>1.9099178938356134</v>
      </c>
      <c r="AH69" s="140">
        <f t="shared" si="5"/>
        <v>1.3453071411549531</v>
      </c>
      <c r="AI69" s="12">
        <v>0</v>
      </c>
      <c r="AJ69" s="135">
        <f t="shared" si="27"/>
        <v>222309.09826858714</v>
      </c>
      <c r="AK69" s="12">
        <f t="shared" si="28"/>
        <v>0</v>
      </c>
      <c r="AL69" s="172">
        <f t="shared" si="29"/>
        <v>222309.09826858714</v>
      </c>
      <c r="AM69" s="135">
        <f t="shared" si="30"/>
        <v>1947427.7008328231</v>
      </c>
      <c r="AN69" s="158">
        <f>'Appendix M'!S8-'Appendix L'!AM69</f>
        <v>-446952.88568180799</v>
      </c>
      <c r="AO69" s="241">
        <f>T69*'Appendix M'!$B$16</f>
        <v>0.31324240867579922</v>
      </c>
      <c r="AP69" s="140">
        <f t="shared" si="6"/>
        <v>1.9099178938356134</v>
      </c>
      <c r="AQ69" s="140">
        <v>0</v>
      </c>
      <c r="AR69" s="12">
        <v>0</v>
      </c>
      <c r="AS69" s="135">
        <f t="shared" si="31"/>
        <v>-243787.71804339101</v>
      </c>
      <c r="AT69" s="12">
        <f t="shared" si="32"/>
        <v>0</v>
      </c>
      <c r="AU69" s="172">
        <f t="shared" si="33"/>
        <v>-243787.71804339101</v>
      </c>
      <c r="AV69" s="135">
        <f t="shared" si="34"/>
        <v>-2135580.4100601054</v>
      </c>
      <c r="AW69" s="158">
        <f>'Appendix M'!U8-AV69</f>
        <v>2135626.6616118737</v>
      </c>
      <c r="AX69" s="157">
        <f t="shared" si="7"/>
        <v>6.2648481735159844</v>
      </c>
      <c r="AY69" s="140">
        <v>0</v>
      </c>
      <c r="AZ69" s="140">
        <v>0</v>
      </c>
      <c r="BA69" s="12">
        <v>0</v>
      </c>
      <c r="BB69" s="134">
        <f t="shared" si="35"/>
        <v>0</v>
      </c>
      <c r="BC69" s="12">
        <f t="shared" si="36"/>
        <v>-191660.69581430749</v>
      </c>
      <c r="BD69" s="12">
        <f t="shared" si="37"/>
        <v>-191660.69581430749</v>
      </c>
      <c r="BE69" s="134">
        <f t="shared" si="38"/>
        <v>-1678947.6953333339</v>
      </c>
      <c r="BF69" s="158">
        <f>'Appendix M'!Q8-'Appendix L'!BE69</f>
        <v>2666788.9553333344</v>
      </c>
      <c r="BG69" s="164">
        <f t="shared" si="39"/>
        <v>34930.646426641732</v>
      </c>
      <c r="BH69" s="172">
        <f t="shared" si="40"/>
        <v>161440369.54835272</v>
      </c>
      <c r="BI69" s="172">
        <f t="shared" si="41"/>
        <v>161475300.19477937</v>
      </c>
      <c r="BJ69" s="172">
        <f t="shared" si="42"/>
        <v>1414523629.7062671</v>
      </c>
      <c r="BK69" s="172">
        <f>'Appendix M'!W8</f>
        <v>4880454.6181429774</v>
      </c>
      <c r="BL69" s="165">
        <f t="shared" si="8"/>
        <v>15930635.440543275</v>
      </c>
      <c r="BN69" s="180">
        <f t="shared" si="44"/>
        <v>6643659637.315382</v>
      </c>
      <c r="BO69" s="180">
        <f t="shared" si="43"/>
        <v>25611666.572538875</v>
      </c>
      <c r="BP69">
        <f t="shared" si="9"/>
        <v>6618047970.7428427</v>
      </c>
    </row>
    <row r="70" spans="1:68" x14ac:dyDescent="0.35">
      <c r="A70" s="156">
        <v>6</v>
      </c>
      <c r="B70" s="157">
        <f>'Appendix M'!G9*1000*'Appendix M'!$B$5/(365*24*60*60)</f>
        <v>6.4203749999999999</v>
      </c>
      <c r="C70" s="140">
        <v>0</v>
      </c>
      <c r="D70" s="140">
        <v>0</v>
      </c>
      <c r="E70" s="240">
        <f>'Appendix K'!O10/(365*24*60*60)</f>
        <v>7.9463926940639262E-3</v>
      </c>
      <c r="F70" s="135">
        <f t="shared" si="1"/>
        <v>159663.84840075404</v>
      </c>
      <c r="G70" s="12">
        <f t="shared" si="10"/>
        <v>0</v>
      </c>
      <c r="H70" s="172">
        <f t="shared" si="2"/>
        <v>159663.84840075404</v>
      </c>
      <c r="I70" s="135">
        <f t="shared" si="11"/>
        <v>1398655.3119906054</v>
      </c>
      <c r="J70" s="158">
        <v>0</v>
      </c>
      <c r="K70" s="157">
        <f>'Appendix K'!$M10*'Appendix J'!$B$10*1000/(365*24*60*60)</f>
        <v>6.4203749999999999</v>
      </c>
      <c r="L70" s="140">
        <f>'Appendix K'!$B10*1000*'Appendix J'!$B$11/(365*24*60*60)</f>
        <v>1.2412983732876726</v>
      </c>
      <c r="M70" s="140">
        <f>'Waterflood equipment'!$B$25*'Appendix K'!$C10*1000*0.0283168*'Appendix J'!$B$9/(365*24*60*60)</f>
        <v>0.87434521205216931</v>
      </c>
      <c r="N70" s="240">
        <f t="shared" si="12"/>
        <v>7.9463926940639262E-3</v>
      </c>
      <c r="O70" s="135">
        <f t="shared" si="13"/>
        <v>663944.90951301751</v>
      </c>
      <c r="P70" s="172">
        <f t="shared" si="14"/>
        <v>105048272.94452108</v>
      </c>
      <c r="Q70" s="172">
        <f t="shared" si="15"/>
        <v>105712217.8540341</v>
      </c>
      <c r="R70" s="135">
        <f t="shared" si="16"/>
        <v>926039028.40133858</v>
      </c>
      <c r="S70" s="158">
        <v>0</v>
      </c>
      <c r="T70" s="157">
        <f t="shared" si="17"/>
        <v>6.4203749999999999</v>
      </c>
      <c r="U70" s="140">
        <f t="shared" si="18"/>
        <v>1.2412983732876726</v>
      </c>
      <c r="V70" s="140">
        <f t="shared" si="19"/>
        <v>0.87434521205216931</v>
      </c>
      <c r="W70" s="240">
        <f t="shared" si="20"/>
        <v>7.9463926940639262E-3</v>
      </c>
      <c r="X70" s="135">
        <f t="shared" si="21"/>
        <v>-766784.95606478618</v>
      </c>
      <c r="Y70" s="242">
        <f t="shared" si="22"/>
        <v>0</v>
      </c>
      <c r="Z70" s="172">
        <f t="shared" si="23"/>
        <v>-766784.95606478618</v>
      </c>
      <c r="AA70" s="135">
        <f t="shared" si="24"/>
        <v>-6717036.2151275268</v>
      </c>
      <c r="AB70" s="158">
        <f>'Appendix M'!P9-'Appendix L'!AA70</f>
        <v>8526727.2610351834</v>
      </c>
      <c r="AC70" s="162">
        <f t="shared" si="25"/>
        <v>105105096.74637006</v>
      </c>
      <c r="AD70" s="135">
        <f t="shared" si="26"/>
        <v>920720647.49820161</v>
      </c>
      <c r="AE70" s="158">
        <f t="shared" si="3"/>
        <v>8526727.2610351834</v>
      </c>
      <c r="AF70" s="157">
        <f>B70*'Appendix M'!$B$16</f>
        <v>0.32101875000000002</v>
      </c>
      <c r="AG70" s="140">
        <f t="shared" si="4"/>
        <v>1.2412983732876726</v>
      </c>
      <c r="AH70" s="140">
        <f t="shared" si="5"/>
        <v>0.87434521205216931</v>
      </c>
      <c r="AI70" s="12">
        <v>0</v>
      </c>
      <c r="AJ70" s="135">
        <f t="shared" si="27"/>
        <v>147014.5095499485</v>
      </c>
      <c r="AK70" s="12">
        <f t="shared" si="28"/>
        <v>0</v>
      </c>
      <c r="AL70" s="172">
        <f t="shared" si="29"/>
        <v>147014.5095499485</v>
      </c>
      <c r="AM70" s="135">
        <f t="shared" si="30"/>
        <v>1287847.103657549</v>
      </c>
      <c r="AN70" s="158">
        <f>'Appendix M'!S9-'Appendix L'!AM70</f>
        <v>-312654.94842535933</v>
      </c>
      <c r="AO70" s="241">
        <f>T70*'Appendix M'!$B$16</f>
        <v>0.32101875000000002</v>
      </c>
      <c r="AP70" s="140">
        <f t="shared" si="6"/>
        <v>1.2412983732876726</v>
      </c>
      <c r="AQ70" s="140">
        <v>0</v>
      </c>
      <c r="AR70" s="12">
        <v>0</v>
      </c>
      <c r="AS70" s="135">
        <f t="shared" si="31"/>
        <v>-161727.78708269133</v>
      </c>
      <c r="AT70" s="12">
        <f t="shared" si="32"/>
        <v>0</v>
      </c>
      <c r="AU70" s="172">
        <f t="shared" si="33"/>
        <v>-161727.78708269133</v>
      </c>
      <c r="AV70" s="135">
        <f t="shared" si="34"/>
        <v>-1416735.414844376</v>
      </c>
      <c r="AW70" s="158">
        <f>'Appendix M'!U9-AV70</f>
        <v>1416767.9179397328</v>
      </c>
      <c r="AX70" s="157">
        <f t="shared" si="7"/>
        <v>6.4203749999999999</v>
      </c>
      <c r="AY70" s="140">
        <v>0</v>
      </c>
      <c r="AZ70" s="140">
        <v>0</v>
      </c>
      <c r="BA70" s="12">
        <v>0</v>
      </c>
      <c r="BB70" s="134">
        <f t="shared" si="35"/>
        <v>0</v>
      </c>
      <c r="BC70" s="12">
        <f t="shared" si="36"/>
        <v>-196371.25625570773</v>
      </c>
      <c r="BD70" s="12">
        <f t="shared" si="37"/>
        <v>-196371.25625570773</v>
      </c>
      <c r="BE70" s="134">
        <f t="shared" si="38"/>
        <v>-1720212.2047999997</v>
      </c>
      <c r="BF70" s="158">
        <f>'Appendix M'!Q9-'Appendix L'!BE70</f>
        <v>2732576.9347999999</v>
      </c>
      <c r="BG70" s="164">
        <f t="shared" si="39"/>
        <v>42110.524316242547</v>
      </c>
      <c r="BH70" s="172">
        <f t="shared" si="40"/>
        <v>104851901.68826538</v>
      </c>
      <c r="BI70" s="172">
        <f t="shared" si="41"/>
        <v>104894012.21258162</v>
      </c>
      <c r="BJ70" s="172">
        <f t="shared" si="42"/>
        <v>918871546.98221517</v>
      </c>
      <c r="BK70" s="172">
        <f>'Appendix M'!W9</f>
        <v>4366872.4993704828</v>
      </c>
      <c r="BL70" s="165">
        <f t="shared" si="8"/>
        <v>12363417.165349558</v>
      </c>
      <c r="BN70" s="180">
        <f t="shared" si="44"/>
        <v>7562531184.2975969</v>
      </c>
      <c r="BO70" s="180">
        <f t="shared" si="43"/>
        <v>29978539.071909357</v>
      </c>
      <c r="BP70">
        <f t="shared" si="9"/>
        <v>7532552645.225688</v>
      </c>
    </row>
    <row r="71" spans="1:68" x14ac:dyDescent="0.35">
      <c r="A71" s="156">
        <v>7</v>
      </c>
      <c r="B71" s="157">
        <f>'Appendix M'!G10*1000*'Appendix M'!$B$5/(365*24*60*60)</f>
        <v>6.6227387747336284</v>
      </c>
      <c r="C71" s="140">
        <v>0</v>
      </c>
      <c r="D71" s="140">
        <v>0</v>
      </c>
      <c r="E71" s="240">
        <f>'Appendix K'!O11/(365*24*60*60)</f>
        <v>8.1966057838660563E-3</v>
      </c>
      <c r="F71" s="135">
        <f t="shared" si="1"/>
        <v>164695.85135913768</v>
      </c>
      <c r="G71" s="12">
        <f t="shared" si="10"/>
        <v>0</v>
      </c>
      <c r="H71" s="172">
        <f t="shared" si="2"/>
        <v>164695.85135913768</v>
      </c>
      <c r="I71" s="135">
        <f t="shared" si="11"/>
        <v>1442735.6579060459</v>
      </c>
      <c r="J71" s="158">
        <v>0</v>
      </c>
      <c r="K71" s="157">
        <f>'Appendix K'!$M11*'Appendix J'!$B$10*1000/(365*24*60*60)</f>
        <v>6.6227387747336284</v>
      </c>
      <c r="L71" s="140">
        <f>'Appendix K'!$B11*1000*'Appendix J'!$B$11/(365*24*60*60)</f>
        <v>0.86717489440639228</v>
      </c>
      <c r="M71" s="140">
        <f>'Waterflood equipment'!$B$25*'Appendix K'!$C11*1000*0.0283168*'Appendix J'!$B$9/(365*24*60*60)</f>
        <v>0.61082027758394453</v>
      </c>
      <c r="N71" s="240">
        <f t="shared" si="12"/>
        <v>8.1966057838660563E-3</v>
      </c>
      <c r="O71" s="135">
        <f t="shared" si="13"/>
        <v>463833.97351410257</v>
      </c>
      <c r="P71" s="172">
        <f t="shared" si="14"/>
        <v>73387049.365871936</v>
      </c>
      <c r="Q71" s="172">
        <f t="shared" si="15"/>
        <v>73850883.339386046</v>
      </c>
      <c r="R71" s="135">
        <f t="shared" si="16"/>
        <v>646933738.05302179</v>
      </c>
      <c r="S71" s="158">
        <v>0</v>
      </c>
      <c r="T71" s="157">
        <f t="shared" si="17"/>
        <v>6.6227387747336284</v>
      </c>
      <c r="U71" s="140">
        <f t="shared" si="18"/>
        <v>0.86717489440639228</v>
      </c>
      <c r="V71" s="140">
        <f t="shared" si="19"/>
        <v>0.61082027758394453</v>
      </c>
      <c r="W71" s="240">
        <f t="shared" si="20"/>
        <v>8.1966057838660563E-3</v>
      </c>
      <c r="X71" s="135">
        <f t="shared" si="21"/>
        <v>-570482.45320860355</v>
      </c>
      <c r="Y71" s="242">
        <f t="shared" si="22"/>
        <v>0</v>
      </c>
      <c r="Z71" s="172">
        <f t="shared" si="23"/>
        <v>-570482.45320860355</v>
      </c>
      <c r="AA71" s="135">
        <f t="shared" si="24"/>
        <v>-4997426.2901073666</v>
      </c>
      <c r="AB71" s="158">
        <f>'Appendix M'!P10-'Appendix L'!AA71</f>
        <v>6862948.2972711613</v>
      </c>
      <c r="AC71" s="162">
        <f t="shared" si="25"/>
        <v>73445096.737536579</v>
      </c>
      <c r="AD71" s="135">
        <f t="shared" si="26"/>
        <v>643379047.42082047</v>
      </c>
      <c r="AE71" s="158">
        <f t="shared" si="3"/>
        <v>6862948.2972711613</v>
      </c>
      <c r="AF71" s="157">
        <f>B71*'Appendix M'!$B$16</f>
        <v>0.33113693873668143</v>
      </c>
      <c r="AG71" s="140">
        <f t="shared" si="4"/>
        <v>0.86717489440639228</v>
      </c>
      <c r="AH71" s="140">
        <f t="shared" si="5"/>
        <v>0.61082027758394453</v>
      </c>
      <c r="AI71" s="12">
        <v>0</v>
      </c>
      <c r="AJ71" s="135">
        <f t="shared" si="27"/>
        <v>105007.9961811903</v>
      </c>
      <c r="AK71" s="12">
        <f t="shared" si="28"/>
        <v>0</v>
      </c>
      <c r="AL71" s="172">
        <f t="shared" si="29"/>
        <v>105007.9961811903</v>
      </c>
      <c r="AM71" s="135">
        <f t="shared" si="30"/>
        <v>919870.04654722696</v>
      </c>
      <c r="AN71" s="158">
        <f>'Appendix M'!S10-'Appendix L'!AM71</f>
        <v>-238597.78160449921</v>
      </c>
      <c r="AO71" s="241">
        <f>T71*'Appendix M'!$B$16</f>
        <v>0.33113693873668143</v>
      </c>
      <c r="AP71" s="140">
        <f t="shared" si="6"/>
        <v>0.86717489440639228</v>
      </c>
      <c r="AQ71" s="140">
        <v>0</v>
      </c>
      <c r="AR71" s="12">
        <v>0</v>
      </c>
      <c r="AS71" s="135">
        <f t="shared" si="31"/>
        <v>-115972.77181929594</v>
      </c>
      <c r="AT71" s="12">
        <f t="shared" si="32"/>
        <v>0</v>
      </c>
      <c r="AU71" s="172">
        <f t="shared" si="33"/>
        <v>-115972.77181929594</v>
      </c>
      <c r="AV71" s="135">
        <f t="shared" si="34"/>
        <v>-1015921.4811370326</v>
      </c>
      <c r="AW71" s="158">
        <f>'Appendix M'!U10-AV71</f>
        <v>1015946.411314907</v>
      </c>
      <c r="AX71" s="157">
        <f t="shared" si="7"/>
        <v>6.6227387747336284</v>
      </c>
      <c r="AY71" s="140">
        <v>0</v>
      </c>
      <c r="AZ71" s="140">
        <v>0</v>
      </c>
      <c r="BA71" s="12">
        <v>0</v>
      </c>
      <c r="BB71" s="134">
        <f t="shared" si="35"/>
        <v>0</v>
      </c>
      <c r="BC71" s="12">
        <f t="shared" si="36"/>
        <v>-202554.522130898</v>
      </c>
      <c r="BD71" s="12">
        <f t="shared" si="37"/>
        <v>-202554.522130898</v>
      </c>
      <c r="BE71" s="134">
        <f t="shared" si="38"/>
        <v>-1774377.6138666666</v>
      </c>
      <c r="BF71" s="158">
        <f>'Appendix M'!Q10-'Appendix L'!BE71</f>
        <v>2818651.0638666651</v>
      </c>
      <c r="BG71" s="164">
        <f t="shared" si="39"/>
        <v>47082.596026531013</v>
      </c>
      <c r="BH71" s="172">
        <f t="shared" si="40"/>
        <v>73184494.843741044</v>
      </c>
      <c r="BI71" s="172">
        <f t="shared" si="41"/>
        <v>73231577.439767569</v>
      </c>
      <c r="BJ71" s="172">
        <f t="shared" si="42"/>
        <v>641508618.37236392</v>
      </c>
      <c r="BK71" s="172">
        <f>'Appendix M'!W10</f>
        <v>4129756.5501270546</v>
      </c>
      <c r="BL71" s="165">
        <f t="shared" si="8"/>
        <v>10458947.990848234</v>
      </c>
      <c r="BN71" s="180">
        <f t="shared" si="44"/>
        <v>8204039802.669961</v>
      </c>
      <c r="BO71" s="180">
        <f t="shared" si="43"/>
        <v>34108295.622036412</v>
      </c>
      <c r="BP71">
        <f t="shared" si="9"/>
        <v>8169931507.047925</v>
      </c>
    </row>
    <row r="72" spans="1:68" x14ac:dyDescent="0.35">
      <c r="A72" s="156">
        <v>8</v>
      </c>
      <c r="B72" s="157">
        <f>'Appendix M'!G11*1000*'Appendix M'!$B$5/(365*24*60*60)</f>
        <v>6.8199611872146146</v>
      </c>
      <c r="C72" s="140">
        <v>0</v>
      </c>
      <c r="D72" s="140">
        <v>0</v>
      </c>
      <c r="E72" s="240">
        <f>'Appendix K'!O12/(365*24*60*60)</f>
        <v>8.440977929984779E-3</v>
      </c>
      <c r="F72" s="135">
        <f t="shared" si="1"/>
        <v>169600.92231647854</v>
      </c>
      <c r="G72" s="12">
        <f t="shared" si="10"/>
        <v>0</v>
      </c>
      <c r="H72" s="172">
        <f t="shared" si="2"/>
        <v>169600.92231647854</v>
      </c>
      <c r="I72" s="135">
        <f t="shared" si="11"/>
        <v>1485704.0794923522</v>
      </c>
      <c r="J72" s="158">
        <v>0</v>
      </c>
      <c r="K72" s="157">
        <f>'Appendix K'!$M12*'Appendix J'!$B$10*1000/(365*24*60*60)</f>
        <v>6.8199611872146146</v>
      </c>
      <c r="L72" s="140">
        <f>'Appendix K'!$B12*1000*'Appendix J'!$B$11/(365*24*60*60)</f>
        <v>0.62799657248858654</v>
      </c>
      <c r="M72" s="140">
        <f>'Waterflood equipment'!$B$25*'Appendix K'!$C12*1000*0.0283168*'Appendix J'!$B$9/(365*24*60*60)</f>
        <v>0.44234795449402997</v>
      </c>
      <c r="N72" s="240">
        <f t="shared" si="12"/>
        <v>8.440977929984779E-3</v>
      </c>
      <c r="O72" s="135">
        <f t="shared" si="13"/>
        <v>335902.41997263127</v>
      </c>
      <c r="P72" s="172">
        <f t="shared" si="14"/>
        <v>53145929.113141716</v>
      </c>
      <c r="Q72" s="172">
        <f t="shared" si="15"/>
        <v>53481831.533114344</v>
      </c>
      <c r="R72" s="135">
        <f t="shared" si="16"/>
        <v>468500844.23008168</v>
      </c>
      <c r="S72" s="158">
        <v>0</v>
      </c>
      <c r="T72" s="157">
        <f t="shared" si="17"/>
        <v>6.8199611872146146</v>
      </c>
      <c r="U72" s="140">
        <f t="shared" si="18"/>
        <v>0.62799657248858654</v>
      </c>
      <c r="V72" s="140">
        <f t="shared" si="19"/>
        <v>0.44234795449402997</v>
      </c>
      <c r="W72" s="240">
        <f t="shared" si="20"/>
        <v>8.440977929984779E-3</v>
      </c>
      <c r="X72" s="135">
        <f t="shared" si="21"/>
        <v>-446090.46633438015</v>
      </c>
      <c r="Y72" s="242">
        <f t="shared" si="22"/>
        <v>0</v>
      </c>
      <c r="Z72" s="172">
        <f t="shared" si="23"/>
        <v>-446090.46633438015</v>
      </c>
      <c r="AA72" s="135">
        <f t="shared" si="24"/>
        <v>-3907752.4850891703</v>
      </c>
      <c r="AB72" s="158">
        <f>'Appendix M'!P11-'Appendix L'!AA72</f>
        <v>5818955.317708048</v>
      </c>
      <c r="AC72" s="162">
        <f t="shared" si="25"/>
        <v>53205341.98909644</v>
      </c>
      <c r="AD72" s="135">
        <f t="shared" si="26"/>
        <v>466078795.82448488</v>
      </c>
      <c r="AE72" s="158">
        <f t="shared" si="3"/>
        <v>5818955.317708048</v>
      </c>
      <c r="AF72" s="157">
        <f>B72*'Appendix M'!$B$16</f>
        <v>0.34099805936073074</v>
      </c>
      <c r="AG72" s="140">
        <f t="shared" si="4"/>
        <v>0.62799657248858654</v>
      </c>
      <c r="AH72" s="140">
        <f t="shared" si="5"/>
        <v>0.44234795449402997</v>
      </c>
      <c r="AI72" s="12">
        <v>0</v>
      </c>
      <c r="AJ72" s="135">
        <f t="shared" si="27"/>
        <v>78226.211911497041</v>
      </c>
      <c r="AK72" s="12">
        <f t="shared" si="28"/>
        <v>0</v>
      </c>
      <c r="AL72" s="172">
        <f t="shared" si="29"/>
        <v>78226.211911497041</v>
      </c>
      <c r="AM72" s="135">
        <f t="shared" si="30"/>
        <v>685261.61634471407</v>
      </c>
      <c r="AN72" s="158">
        <f>'Appendix M'!S11-'Appendix L'!AM72</f>
        <v>-191893.26576713362</v>
      </c>
      <c r="AO72" s="241">
        <f>T72*'Appendix M'!$B$16</f>
        <v>0.34099805936073074</v>
      </c>
      <c r="AP72" s="140">
        <f t="shared" si="6"/>
        <v>0.62799657248858654</v>
      </c>
      <c r="AQ72" s="140">
        <v>0</v>
      </c>
      <c r="AR72" s="12">
        <v>0</v>
      </c>
      <c r="AS72" s="135">
        <f t="shared" si="31"/>
        <v>-86816.335779147863</v>
      </c>
      <c r="AT72" s="12">
        <f t="shared" si="32"/>
        <v>0</v>
      </c>
      <c r="AU72" s="172">
        <f t="shared" si="33"/>
        <v>-86816.335779147863</v>
      </c>
      <c r="AV72" s="135">
        <f t="shared" si="34"/>
        <v>-760511.10142533528</v>
      </c>
      <c r="AW72" s="158">
        <f>'Appendix M'!U11-AV72</f>
        <v>760531.26079275808</v>
      </c>
      <c r="AX72" s="157">
        <f t="shared" si="7"/>
        <v>6.8199611872146146</v>
      </c>
      <c r="AY72" s="140">
        <v>0</v>
      </c>
      <c r="AZ72" s="140">
        <v>0</v>
      </c>
      <c r="BA72" s="12">
        <v>0</v>
      </c>
      <c r="BB72" s="134">
        <f t="shared" si="35"/>
        <v>0</v>
      </c>
      <c r="BC72" s="12">
        <f t="shared" si="36"/>
        <v>-208593.44660578386</v>
      </c>
      <c r="BD72" s="12">
        <f t="shared" si="37"/>
        <v>-208593.44660578386</v>
      </c>
      <c r="BE72" s="134">
        <f t="shared" si="38"/>
        <v>-1827278.5922666667</v>
      </c>
      <c r="BF72" s="158">
        <f>'Appendix M'!Q11-'Appendix L'!BE72</f>
        <v>2902650.0722666671</v>
      </c>
      <c r="BG72" s="164">
        <f t="shared" si="39"/>
        <v>50822.752087078872</v>
      </c>
      <c r="BH72" s="172">
        <f t="shared" si="40"/>
        <v>52937335.666535929</v>
      </c>
      <c r="BI72" s="172">
        <f t="shared" si="41"/>
        <v>52988158.418623008</v>
      </c>
      <c r="BJ72" s="172">
        <f t="shared" si="42"/>
        <v>464176267.74713755</v>
      </c>
      <c r="BK72" s="172">
        <f>'Appendix M'!W11</f>
        <v>4001957.2459484637</v>
      </c>
      <c r="BL72" s="165">
        <f t="shared" si="8"/>
        <v>9290243.3850003406</v>
      </c>
      <c r="BN72" s="180">
        <f t="shared" si="44"/>
        <v>8668216070.417099</v>
      </c>
      <c r="BO72" s="180">
        <f t="shared" si="43"/>
        <v>38110252.867984876</v>
      </c>
      <c r="BP72">
        <f t="shared" si="9"/>
        <v>8630105817.5491142</v>
      </c>
    </row>
    <row r="73" spans="1:68" x14ac:dyDescent="0.35">
      <c r="A73" s="156">
        <v>9</v>
      </c>
      <c r="B73" s="157">
        <f>'Appendix M'!G12*1000*'Appendix M'!$B$5/(365*24*60*60)</f>
        <v>6.9882595129375984</v>
      </c>
      <c r="C73" s="140">
        <v>0</v>
      </c>
      <c r="D73" s="140">
        <v>0</v>
      </c>
      <c r="E73" s="240">
        <f>'Appendix K'!O13/(365*24*60*60)</f>
        <v>8.6496328006088249E-3</v>
      </c>
      <c r="F73" s="135">
        <f t="shared" si="1"/>
        <v>173786.8446985335</v>
      </c>
      <c r="G73" s="12">
        <f t="shared" si="10"/>
        <v>0</v>
      </c>
      <c r="H73" s="172">
        <f t="shared" si="2"/>
        <v>173786.8446985335</v>
      </c>
      <c r="I73" s="135">
        <f t="shared" si="11"/>
        <v>1522372.7595591533</v>
      </c>
      <c r="J73" s="158">
        <v>0</v>
      </c>
      <c r="K73" s="157">
        <f>'Appendix K'!$M13*'Appendix J'!$B$10*1000/(365*24*60*60)</f>
        <v>6.9882595129375984</v>
      </c>
      <c r="L73" s="140">
        <f>'Appendix K'!$B13*1000*'Appendix J'!$B$11/(365*24*60*60)</f>
        <v>0.48413844178083631</v>
      </c>
      <c r="M73" s="140">
        <f>'Waterflood equipment'!$B$25*'Appendix K'!$C13*1000*0.0283168*'Appendix J'!$B$9/(365*24*60*60)</f>
        <v>0.34101722651929312</v>
      </c>
      <c r="N73" s="240">
        <f t="shared" si="12"/>
        <v>8.6496328006088249E-3</v>
      </c>
      <c r="O73" s="135">
        <f t="shared" si="13"/>
        <v>258955.67160745512</v>
      </c>
      <c r="P73" s="172">
        <f t="shared" si="14"/>
        <v>40971540.984483384</v>
      </c>
      <c r="Q73" s="172">
        <f t="shared" si="15"/>
        <v>41230496.656090841</v>
      </c>
      <c r="R73" s="135">
        <f t="shared" si="16"/>
        <v>361179150.70735568</v>
      </c>
      <c r="S73" s="158">
        <v>0</v>
      </c>
      <c r="T73" s="157">
        <f t="shared" si="17"/>
        <v>6.9882595129375984</v>
      </c>
      <c r="U73" s="140">
        <f t="shared" si="18"/>
        <v>0.48413844178083631</v>
      </c>
      <c r="V73" s="140">
        <f t="shared" si="19"/>
        <v>0.34101722651929312</v>
      </c>
      <c r="W73" s="240">
        <f t="shared" si="20"/>
        <v>8.6496328006088249E-3</v>
      </c>
      <c r="X73" s="135">
        <f t="shared" si="21"/>
        <v>-372081.52397776098</v>
      </c>
      <c r="Y73" s="242">
        <f t="shared" si="22"/>
        <v>0</v>
      </c>
      <c r="Z73" s="172">
        <f t="shared" si="23"/>
        <v>-372081.52397776098</v>
      </c>
      <c r="AA73" s="135">
        <f t="shared" si="24"/>
        <v>-3259434.1500451863</v>
      </c>
      <c r="AB73" s="158">
        <f>'Appendix M'!P12-'Appendix L'!AA73</f>
        <v>5206209.5946788481</v>
      </c>
      <c r="AC73" s="162">
        <f t="shared" si="25"/>
        <v>41032201.97681161</v>
      </c>
      <c r="AD73" s="135">
        <f t="shared" si="26"/>
        <v>359442089.31686968</v>
      </c>
      <c r="AE73" s="158">
        <f t="shared" si="3"/>
        <v>5206209.5946788481</v>
      </c>
      <c r="AF73" s="157">
        <f>B73*'Appendix M'!$B$16</f>
        <v>0.34941297564687995</v>
      </c>
      <c r="AG73" s="140">
        <f t="shared" si="4"/>
        <v>0.48413844178083631</v>
      </c>
      <c r="AH73" s="140">
        <f t="shared" si="5"/>
        <v>0.34101722651929312</v>
      </c>
      <c r="AI73" s="12">
        <v>0</v>
      </c>
      <c r="AJ73" s="135">
        <f t="shared" si="27"/>
        <v>62171.350686013604</v>
      </c>
      <c r="AK73" s="12">
        <f t="shared" si="28"/>
        <v>0</v>
      </c>
      <c r="AL73" s="172">
        <f t="shared" si="29"/>
        <v>62171.350686013604</v>
      </c>
      <c r="AM73" s="135">
        <f t="shared" si="30"/>
        <v>544621.03200947912</v>
      </c>
      <c r="AN73" s="158">
        <f>'Appendix M'!S12-'Appendix L'!AM73</f>
        <v>-164270.89167976857</v>
      </c>
      <c r="AO73" s="241">
        <f>T73*'Appendix M'!$B$16</f>
        <v>0.34941297564687995</v>
      </c>
      <c r="AP73" s="140">
        <f t="shared" si="6"/>
        <v>0.48413844178083631</v>
      </c>
      <c r="AQ73" s="140">
        <v>0</v>
      </c>
      <c r="AR73" s="12">
        <v>0</v>
      </c>
      <c r="AS73" s="135">
        <f t="shared" si="31"/>
        <v>-69349.141062373237</v>
      </c>
      <c r="AT73" s="12">
        <f t="shared" si="32"/>
        <v>0</v>
      </c>
      <c r="AU73" s="172">
        <f t="shared" si="33"/>
        <v>-69349.141062373237</v>
      </c>
      <c r="AV73" s="135">
        <f t="shared" si="34"/>
        <v>-607498.47570638952</v>
      </c>
      <c r="AW73" s="158">
        <f>'Appendix M'!U12-AV73</f>
        <v>607515.81725683506</v>
      </c>
      <c r="AX73" s="157">
        <f t="shared" si="7"/>
        <v>6.9882595129375984</v>
      </c>
      <c r="AY73" s="140">
        <v>0</v>
      </c>
      <c r="AZ73" s="140">
        <v>0</v>
      </c>
      <c r="BA73" s="12">
        <v>0</v>
      </c>
      <c r="BB73" s="134">
        <f t="shared" si="35"/>
        <v>0</v>
      </c>
      <c r="BC73" s="12">
        <f t="shared" si="36"/>
        <v>-213749.72576864529</v>
      </c>
      <c r="BD73" s="12">
        <f t="shared" si="37"/>
        <v>-213749.72576864529</v>
      </c>
      <c r="BE73" s="134">
        <f t="shared" si="38"/>
        <v>-1872447.5977333325</v>
      </c>
      <c r="BF73" s="158">
        <f>'Appendix M'!Q12-'Appendix L'!BE73</f>
        <v>2974356.357733333</v>
      </c>
      <c r="BG73" s="164">
        <f t="shared" si="39"/>
        <v>53483.201951868046</v>
      </c>
      <c r="BH73" s="172">
        <f t="shared" si="40"/>
        <v>40757791.258714736</v>
      </c>
      <c r="BI73" s="172">
        <f t="shared" si="41"/>
        <v>40811274.460666604</v>
      </c>
      <c r="BJ73" s="172">
        <f t="shared" si="42"/>
        <v>357506764.27543944</v>
      </c>
      <c r="BK73" s="172">
        <f>'Appendix M'!W12</f>
        <v>3943409.4394908915</v>
      </c>
      <c r="BL73" s="165">
        <f t="shared" si="8"/>
        <v>8623810.8779892474</v>
      </c>
      <c r="BN73" s="180">
        <f t="shared" si="44"/>
        <v>9025722834.6925392</v>
      </c>
      <c r="BO73" s="180">
        <f t="shared" si="43"/>
        <v>42053662.307475768</v>
      </c>
      <c r="BP73">
        <f t="shared" si="9"/>
        <v>8983669172.3850632</v>
      </c>
    </row>
    <row r="74" spans="1:68" x14ac:dyDescent="0.35">
      <c r="A74" s="156">
        <v>10</v>
      </c>
      <c r="B74" s="157">
        <f>'Appendix M'!G13*1000*'Appendix M'!$B$5/(365*24*60*60)</f>
        <v>7.0134421613394444</v>
      </c>
      <c r="C74" s="140">
        <v>0</v>
      </c>
      <c r="D74" s="140">
        <v>0</v>
      </c>
      <c r="E74" s="240">
        <f>'Appendix K'!O14/(365*24*60*60)</f>
        <v>8.6833751902587533E-3</v>
      </c>
      <c r="F74" s="135">
        <f t="shared" si="1"/>
        <v>174417.65216164003</v>
      </c>
      <c r="G74" s="12">
        <f t="shared" si="10"/>
        <v>0</v>
      </c>
      <c r="H74" s="172">
        <f t="shared" si="2"/>
        <v>174417.65216164003</v>
      </c>
      <c r="I74" s="135">
        <f t="shared" si="11"/>
        <v>1527898.6329359668</v>
      </c>
      <c r="J74" s="158">
        <v>0</v>
      </c>
      <c r="K74" s="157">
        <f>'Appendix K'!$M14*'Appendix J'!$B$10*1000/(365*24*60*60)</f>
        <v>7.0134421613394444</v>
      </c>
      <c r="L74" s="140">
        <f>'Appendix K'!$B14*1000*'Appendix J'!$B$11/(365*24*60*60)</f>
        <v>0.39006745433790152</v>
      </c>
      <c r="M74" s="140">
        <f>'Waterflood equipment'!$B$25*'Appendix K'!$C14*1000*0.0283168*'Appendix J'!$B$9/(365*24*60*60)</f>
        <v>0.27475554501406152</v>
      </c>
      <c r="N74" s="240">
        <f t="shared" si="12"/>
        <v>8.6833751902587533E-3</v>
      </c>
      <c r="O74" s="135">
        <f t="shared" si="13"/>
        <v>208639.03977285846</v>
      </c>
      <c r="P74" s="172">
        <f t="shared" si="14"/>
        <v>33010526.148950472</v>
      </c>
      <c r="Q74" s="172">
        <f t="shared" si="15"/>
        <v>33219165.188723329</v>
      </c>
      <c r="R74" s="135">
        <f t="shared" si="16"/>
        <v>290999887.0532164</v>
      </c>
      <c r="S74" s="158">
        <v>0</v>
      </c>
      <c r="T74" s="157">
        <f t="shared" si="17"/>
        <v>7.0134421613394444</v>
      </c>
      <c r="U74" s="140">
        <f t="shared" si="18"/>
        <v>0.39006745433790152</v>
      </c>
      <c r="V74" s="140">
        <f t="shared" si="19"/>
        <v>0.27475554501406152</v>
      </c>
      <c r="W74" s="240">
        <f t="shared" si="20"/>
        <v>8.6833751902587533E-3</v>
      </c>
      <c r="X74" s="135">
        <f t="shared" si="21"/>
        <v>-322304.07091548649</v>
      </c>
      <c r="Y74" s="242">
        <f t="shared" si="22"/>
        <v>0</v>
      </c>
      <c r="Z74" s="172">
        <f t="shared" si="23"/>
        <v>-322304.07091548649</v>
      </c>
      <c r="AA74" s="135">
        <f t="shared" si="24"/>
        <v>-2823383.6612196616</v>
      </c>
      <c r="AB74" s="158">
        <f>'Appendix M'!P13-'Appendix L'!AA74</f>
        <v>4798180.2299590996</v>
      </c>
      <c r="AC74" s="162">
        <f t="shared" si="25"/>
        <v>33071278.769969482</v>
      </c>
      <c r="AD74" s="135">
        <f t="shared" si="26"/>
        <v>289704402.02493262</v>
      </c>
      <c r="AE74" s="158">
        <f t="shared" si="3"/>
        <v>4798180.2299590996</v>
      </c>
      <c r="AF74" s="157">
        <f>B74*'Appendix M'!$B$16</f>
        <v>0.35067210806697224</v>
      </c>
      <c r="AG74" s="140">
        <f t="shared" si="4"/>
        <v>0.39006745433790152</v>
      </c>
      <c r="AH74" s="140">
        <f t="shared" si="5"/>
        <v>0.27475554501406152</v>
      </c>
      <c r="AI74" s="12">
        <v>0</v>
      </c>
      <c r="AJ74" s="135">
        <f t="shared" si="27"/>
        <v>51581.384513136683</v>
      </c>
      <c r="AK74" s="12">
        <f t="shared" si="28"/>
        <v>0</v>
      </c>
      <c r="AL74" s="172">
        <f t="shared" si="29"/>
        <v>51581.384513136683</v>
      </c>
      <c r="AM74" s="135">
        <f t="shared" si="30"/>
        <v>451852.92833507736</v>
      </c>
      <c r="AN74" s="158">
        <f>'Appendix M'!S13-'Appendix L'!AM74</f>
        <v>-145407.08931071911</v>
      </c>
      <c r="AO74" s="241">
        <f>T74*'Appendix M'!$B$16</f>
        <v>0.35067210806697224</v>
      </c>
      <c r="AP74" s="140">
        <f t="shared" si="6"/>
        <v>0.39006745433790152</v>
      </c>
      <c r="AQ74" s="140">
        <v>0</v>
      </c>
      <c r="AR74" s="12">
        <v>0</v>
      </c>
      <c r="AS74" s="135">
        <f t="shared" si="31"/>
        <v>-57808.388932182534</v>
      </c>
      <c r="AT74" s="12">
        <f t="shared" si="32"/>
        <v>0</v>
      </c>
      <c r="AU74" s="172">
        <f t="shared" si="33"/>
        <v>-57808.388932182534</v>
      </c>
      <c r="AV74" s="135">
        <f t="shared" si="34"/>
        <v>-506401.48704591906</v>
      </c>
      <c r="AW74" s="158">
        <f>'Appendix M'!U13-AV74</f>
        <v>506416.89769992296</v>
      </c>
      <c r="AX74" s="157">
        <f t="shared" si="7"/>
        <v>7.0134421613394444</v>
      </c>
      <c r="AY74" s="140">
        <v>0</v>
      </c>
      <c r="AZ74" s="140">
        <v>0</v>
      </c>
      <c r="BA74" s="12">
        <v>0</v>
      </c>
      <c r="BB74" s="134">
        <f t="shared" si="35"/>
        <v>0</v>
      </c>
      <c r="BC74" s="12">
        <f t="shared" si="36"/>
        <v>-214583.5677016743</v>
      </c>
      <c r="BD74" s="12">
        <f t="shared" si="37"/>
        <v>-214583.5677016743</v>
      </c>
      <c r="BE74" s="134">
        <f t="shared" si="38"/>
        <v>-1879752.0530666667</v>
      </c>
      <c r="BF74" s="158">
        <f>'Appendix M'!Q13-'Appendix L'!BE74</f>
        <v>2985631.6130666705</v>
      </c>
      <c r="BG74" s="164">
        <f t="shared" si="39"/>
        <v>54525.616599966153</v>
      </c>
      <c r="BH74" s="172">
        <f t="shared" si="40"/>
        <v>32795942.581248797</v>
      </c>
      <c r="BI74" s="172">
        <f t="shared" si="41"/>
        <v>32850468.197848763</v>
      </c>
      <c r="BJ74" s="172">
        <f t="shared" si="42"/>
        <v>287770101.41315514</v>
      </c>
      <c r="BK74" s="172">
        <f>'Appendix M'!W13</f>
        <v>3895207.9851804739</v>
      </c>
      <c r="BL74" s="165">
        <f t="shared" si="8"/>
        <v>8144821.6514149746</v>
      </c>
      <c r="BN74" s="180">
        <f t="shared" si="44"/>
        <v>9313492936.1056938</v>
      </c>
      <c r="BO74" s="180">
        <f t="shared" si="43"/>
        <v>45948870.292656243</v>
      </c>
      <c r="BP74">
        <f t="shared" si="9"/>
        <v>9267544065.8130379</v>
      </c>
    </row>
    <row r="75" spans="1:68" x14ac:dyDescent="0.35">
      <c r="A75" s="156">
        <v>11</v>
      </c>
      <c r="B75" s="157">
        <f>'Appendix M'!G14*1000*'Appendix M'!$B$5/(365*24*60*60)</f>
        <v>7.2510839041095458</v>
      </c>
      <c r="C75" s="140">
        <v>0</v>
      </c>
      <c r="D75" s="140">
        <v>0</v>
      </c>
      <c r="E75" s="240">
        <f>'Appendix K'!O15/(365*24*60*60)</f>
        <v>8.975452815829529E-3</v>
      </c>
      <c r="F75" s="135">
        <f t="shared" si="1"/>
        <v>180323.77432059668</v>
      </c>
      <c r="G75" s="12">
        <f t="shared" si="10"/>
        <v>0</v>
      </c>
      <c r="H75" s="172">
        <f t="shared" si="2"/>
        <v>180323.77432059668</v>
      </c>
      <c r="I75" s="135">
        <f t="shared" si="11"/>
        <v>1579636.2630484269</v>
      </c>
      <c r="J75" s="158">
        <v>0</v>
      </c>
      <c r="K75" s="157">
        <f>'Appendix K'!$M15*'Appendix J'!$B$10*1000/(365*24*60*60)</f>
        <v>7.2510839041095458</v>
      </c>
      <c r="L75" s="140">
        <f>'Appendix K'!$B15*1000*'Appendix J'!$B$11/(365*24*60*60)</f>
        <v>0.33354212043379211</v>
      </c>
      <c r="M75" s="140">
        <f>'Waterflood equipment'!$B$25*'Appendix K'!$C15*1000*0.0283168*'Appendix J'!$B$9/(365*24*60*60)</f>
        <v>0.2349402547323152</v>
      </c>
      <c r="N75" s="240">
        <f t="shared" si="12"/>
        <v>8.975452815829529E-3</v>
      </c>
      <c r="O75" s="135">
        <f t="shared" si="13"/>
        <v>178404.80398250872</v>
      </c>
      <c r="P75" s="172">
        <f t="shared" si="14"/>
        <v>28226915.026902415</v>
      </c>
      <c r="Q75" s="172">
        <f t="shared" si="15"/>
        <v>28405319.830884922</v>
      </c>
      <c r="R75" s="135">
        <f t="shared" si="16"/>
        <v>248830601.71855193</v>
      </c>
      <c r="S75" s="158">
        <v>0</v>
      </c>
      <c r="T75" s="157">
        <f t="shared" si="17"/>
        <v>7.2510839041095458</v>
      </c>
      <c r="U75" s="140">
        <f t="shared" si="18"/>
        <v>0.33354212043379211</v>
      </c>
      <c r="V75" s="140">
        <f t="shared" si="19"/>
        <v>0.2349402547323152</v>
      </c>
      <c r="W75" s="240">
        <f t="shared" si="20"/>
        <v>8.975452815829529E-3</v>
      </c>
      <c r="X75" s="135">
        <f t="shared" si="21"/>
        <v>-296016.88351890672</v>
      </c>
      <c r="Y75" s="242">
        <f t="shared" si="22"/>
        <v>0</v>
      </c>
      <c r="Z75" s="172">
        <f t="shared" si="23"/>
        <v>-296016.88351890672</v>
      </c>
      <c r="AA75" s="135">
        <f t="shared" si="24"/>
        <v>-2593107.8996256227</v>
      </c>
      <c r="AB75" s="158">
        <f>'Appendix M'!P14-'Appendix L'!AA75</f>
        <v>4587591.8306366522</v>
      </c>
      <c r="AC75" s="162">
        <f t="shared" si="25"/>
        <v>28289626.721686609</v>
      </c>
      <c r="AD75" s="135">
        <f t="shared" si="26"/>
        <v>247817130.08197471</v>
      </c>
      <c r="AE75" s="158">
        <f t="shared" si="3"/>
        <v>4587591.8306366522</v>
      </c>
      <c r="AF75" s="157">
        <f>B75*'Appendix M'!$B$16</f>
        <v>0.36255419520547733</v>
      </c>
      <c r="AG75" s="140">
        <f t="shared" si="4"/>
        <v>0.33354212043379211</v>
      </c>
      <c r="AH75" s="140">
        <f t="shared" si="5"/>
        <v>0.2349402547323152</v>
      </c>
      <c r="AI75" s="12">
        <v>0</v>
      </c>
      <c r="AJ75" s="135">
        <f t="shared" si="27"/>
        <v>45457.855912956562</v>
      </c>
      <c r="AK75" s="12">
        <f t="shared" si="28"/>
        <v>0</v>
      </c>
      <c r="AL75" s="172">
        <f t="shared" si="29"/>
        <v>45457.855912956562</v>
      </c>
      <c r="AM75" s="135">
        <f t="shared" si="30"/>
        <v>398210.81779749948</v>
      </c>
      <c r="AN75" s="158">
        <f>'Appendix M'!S14-'Appendix L'!AM75</f>
        <v>-136172.56310693029</v>
      </c>
      <c r="AO75" s="241">
        <f>T75*'Appendix M'!$B$16</f>
        <v>0.36255419520547733</v>
      </c>
      <c r="AP75" s="140">
        <f t="shared" si="6"/>
        <v>0.33354212043379211</v>
      </c>
      <c r="AQ75" s="140">
        <v>0</v>
      </c>
      <c r="AR75" s="12">
        <v>0</v>
      </c>
      <c r="AS75" s="135">
        <f t="shared" si="31"/>
        <v>-51184.969291550704</v>
      </c>
      <c r="AT75" s="12">
        <f t="shared" si="32"/>
        <v>0</v>
      </c>
      <c r="AU75" s="172">
        <f t="shared" si="33"/>
        <v>-51184.969291550704</v>
      </c>
      <c r="AV75" s="135">
        <f t="shared" si="34"/>
        <v>-448380.33099398424</v>
      </c>
      <c r="AW75" s="158">
        <f>'Appendix M'!U14-AV75</f>
        <v>448394.81287131086</v>
      </c>
      <c r="AX75" s="157">
        <f t="shared" si="7"/>
        <v>7.2510839041095458</v>
      </c>
      <c r="AY75" s="140">
        <v>0</v>
      </c>
      <c r="AZ75" s="140">
        <v>0</v>
      </c>
      <c r="BA75" s="12">
        <v>0</v>
      </c>
      <c r="BB75" s="134">
        <f t="shared" si="35"/>
        <v>0</v>
      </c>
      <c r="BC75" s="12">
        <f t="shared" si="36"/>
        <v>-221801.38998477932</v>
      </c>
      <c r="BD75" s="12">
        <f t="shared" si="37"/>
        <v>-221801.38998477932</v>
      </c>
      <c r="BE75" s="134">
        <f t="shared" si="38"/>
        <v>-1942980.176266667</v>
      </c>
      <c r="BF75" s="158">
        <f>'Appendix M'!Q14-'Appendix L'!BE75</f>
        <v>3086331.0862666601</v>
      </c>
      <c r="BG75" s="164">
        <f t="shared" si="39"/>
        <v>56984.581405604564</v>
      </c>
      <c r="BH75" s="172">
        <f t="shared" si="40"/>
        <v>28005113.636917636</v>
      </c>
      <c r="BI75" s="172">
        <f t="shared" si="41"/>
        <v>28062098.218323242</v>
      </c>
      <c r="BJ75" s="172">
        <f t="shared" si="42"/>
        <v>245823980.39251161</v>
      </c>
      <c r="BK75" s="172">
        <f>'Appendix M'!W14</f>
        <v>3909870.7142157569</v>
      </c>
      <c r="BL75" s="165">
        <f t="shared" si="8"/>
        <v>7986145.1666676933</v>
      </c>
      <c r="BN75" s="180">
        <f t="shared" si="44"/>
        <v>9559316916.4982052</v>
      </c>
      <c r="BO75" s="180">
        <f t="shared" si="43"/>
        <v>49858741.006871998</v>
      </c>
      <c r="BP75">
        <f t="shared" si="9"/>
        <v>9509458175.491333</v>
      </c>
    </row>
    <row r="76" spans="1:68" x14ac:dyDescent="0.35">
      <c r="A76" s="156">
        <v>12</v>
      </c>
      <c r="B76" s="157">
        <f>'Appendix M'!G15*1000*'Appendix M'!$B$5/(365*24*60*60)</f>
        <v>7.3315481354641889</v>
      </c>
      <c r="C76" s="140">
        <v>0</v>
      </c>
      <c r="D76" s="140">
        <v>0</v>
      </c>
      <c r="E76" s="240">
        <f>'Appendix K'!O16/(365*24*60*60)</f>
        <v>9.0755384322678857E-3</v>
      </c>
      <c r="F76" s="135">
        <f t="shared" si="1"/>
        <v>182325.66222422782</v>
      </c>
      <c r="G76" s="12">
        <f t="shared" si="10"/>
        <v>0</v>
      </c>
      <c r="H76" s="172">
        <f t="shared" si="2"/>
        <v>182325.66222422782</v>
      </c>
      <c r="I76" s="135">
        <f t="shared" si="11"/>
        <v>1597172.8010842355</v>
      </c>
      <c r="J76" s="158">
        <v>0</v>
      </c>
      <c r="K76" s="157">
        <f>'Appendix K'!$M16*'Appendix J'!$B$10*1000/(365*24*60*60)</f>
        <v>7.3315481354641889</v>
      </c>
      <c r="L76" s="140">
        <f>'Appendix K'!$B16*1000*'Appendix J'!$B$11/(365*24*60*60)</f>
        <v>0.2806397973744254</v>
      </c>
      <c r="M76" s="140">
        <f>'Waterflood equipment'!$B$25*'Appendix K'!$C16*1000*0.0283168*'Appendix J'!$B$9/(365*24*60*60)</f>
        <v>0.19767693926458857</v>
      </c>
      <c r="N76" s="240">
        <f t="shared" si="12"/>
        <v>9.0755384322678857E-3</v>
      </c>
      <c r="O76" s="135">
        <f t="shared" si="13"/>
        <v>150108.44200174621</v>
      </c>
      <c r="P76" s="172">
        <f t="shared" si="14"/>
        <v>23749911.115731023</v>
      </c>
      <c r="Q76" s="172">
        <f t="shared" si="15"/>
        <v>23900019.557732768</v>
      </c>
      <c r="R76" s="135">
        <f t="shared" si="16"/>
        <v>209364171.32573903</v>
      </c>
      <c r="S76" s="158">
        <v>0</v>
      </c>
      <c r="T76" s="157">
        <f t="shared" si="17"/>
        <v>7.3315481354641889</v>
      </c>
      <c r="U76" s="140">
        <f t="shared" si="18"/>
        <v>0.2806397973744254</v>
      </c>
      <c r="V76" s="140">
        <f t="shared" si="19"/>
        <v>0.19767693926458857</v>
      </c>
      <c r="W76" s="240">
        <f t="shared" si="20"/>
        <v>9.0755384322678857E-3</v>
      </c>
      <c r="X76" s="135">
        <f t="shared" si="21"/>
        <v>-269103.32229148137</v>
      </c>
      <c r="Y76" s="242">
        <f t="shared" si="22"/>
        <v>0</v>
      </c>
      <c r="Z76" s="172">
        <f t="shared" si="23"/>
        <v>-269103.32229148137</v>
      </c>
      <c r="AA76" s="135">
        <f t="shared" si="24"/>
        <v>-2357345.1032733768</v>
      </c>
      <c r="AB76" s="158">
        <f>'Appendix M'!P15-'Appendix L'!AA76</f>
        <v>4359791.2103472054</v>
      </c>
      <c r="AC76" s="162">
        <f t="shared" si="25"/>
        <v>23813241.897665516</v>
      </c>
      <c r="AD76" s="135">
        <f t="shared" si="26"/>
        <v>208603999.02354994</v>
      </c>
      <c r="AE76" s="158">
        <f t="shared" si="3"/>
        <v>4359791.2103472054</v>
      </c>
      <c r="AF76" s="157">
        <f>B76*'Appendix M'!$B$16</f>
        <v>0.36657740677320949</v>
      </c>
      <c r="AG76" s="140">
        <f t="shared" si="4"/>
        <v>0.2806397973744254</v>
      </c>
      <c r="AH76" s="140">
        <f t="shared" si="5"/>
        <v>0.19767693926458857</v>
      </c>
      <c r="AI76" s="12">
        <v>0</v>
      </c>
      <c r="AJ76" s="135">
        <f t="shared" si="27"/>
        <v>39573.863321260375</v>
      </c>
      <c r="AK76" s="12">
        <f t="shared" si="28"/>
        <v>0</v>
      </c>
      <c r="AL76" s="172">
        <f t="shared" si="29"/>
        <v>39573.863321260375</v>
      </c>
      <c r="AM76" s="135">
        <f t="shared" si="30"/>
        <v>346667.04269424087</v>
      </c>
      <c r="AN76" s="158">
        <f>'Appendix M'!S15-'Appendix L'!AM76</f>
        <v>-126190.0528463973</v>
      </c>
      <c r="AO76" s="241">
        <f>T76*'Appendix M'!$B$16</f>
        <v>0.36657740677320949</v>
      </c>
      <c r="AP76" s="140">
        <f t="shared" si="6"/>
        <v>0.2806397973744254</v>
      </c>
      <c r="AQ76" s="140">
        <v>0</v>
      </c>
      <c r="AR76" s="12">
        <v>0</v>
      </c>
      <c r="AS76" s="135">
        <f t="shared" si="31"/>
        <v>-44787.567430618037</v>
      </c>
      <c r="AT76" s="12">
        <f t="shared" si="32"/>
        <v>0</v>
      </c>
      <c r="AU76" s="172">
        <f t="shared" si="33"/>
        <v>-44787.567430618037</v>
      </c>
      <c r="AV76" s="135">
        <f t="shared" si="34"/>
        <v>-392339.09069221403</v>
      </c>
      <c r="AW76" s="158">
        <f>'Appendix M'!U15-AV76</f>
        <v>392352.5556681715</v>
      </c>
      <c r="AX76" s="157">
        <f t="shared" si="7"/>
        <v>7.3315481354641889</v>
      </c>
      <c r="AY76" s="140">
        <v>0</v>
      </c>
      <c r="AZ76" s="140">
        <v>0</v>
      </c>
      <c r="BA76" s="12">
        <v>0</v>
      </c>
      <c r="BB76" s="134">
        <f t="shared" si="35"/>
        <v>0</v>
      </c>
      <c r="BC76" s="12">
        <f t="shared" si="36"/>
        <v>-224274.70573820398</v>
      </c>
      <c r="BD76" s="12">
        <f t="shared" si="37"/>
        <v>-224274.70573820398</v>
      </c>
      <c r="BE76" s="134">
        <f t="shared" si="38"/>
        <v>-1964646.422266667</v>
      </c>
      <c r="BF76" s="158">
        <f>'Appendix M'!Q15-'Appendix L'!BE76</f>
        <v>3120684.93226666</v>
      </c>
      <c r="BG76" s="164">
        <f t="shared" si="39"/>
        <v>58117.077825135035</v>
      </c>
      <c r="BH76" s="172">
        <f t="shared" si="40"/>
        <v>23525636.409992818</v>
      </c>
      <c r="BI76" s="172">
        <f t="shared" si="41"/>
        <v>23583753.487817954</v>
      </c>
      <c r="BJ76" s="172">
        <f t="shared" si="42"/>
        <v>206593680.55328527</v>
      </c>
      <c r="BK76" s="172">
        <f>'Appendix M'!W15</f>
        <v>3885821.3326822654</v>
      </c>
      <c r="BL76" s="165">
        <f t="shared" si="8"/>
        <v>7746638.6454356397</v>
      </c>
      <c r="BN76" s="180">
        <f t="shared" si="44"/>
        <v>9765910597.0514908</v>
      </c>
      <c r="BO76" s="180">
        <f t="shared" si="43"/>
        <v>53744562.339554265</v>
      </c>
      <c r="BP76">
        <f t="shared" si="9"/>
        <v>9712166034.711937</v>
      </c>
    </row>
    <row r="77" spans="1:68" x14ac:dyDescent="0.35">
      <c r="A77" s="156">
        <v>13</v>
      </c>
      <c r="B77" s="157">
        <f>'Appendix M'!G16*1000*'Appendix M'!$B$5/(365*24*60*60)</f>
        <v>7.3771175799086839</v>
      </c>
      <c r="C77" s="140">
        <v>0</v>
      </c>
      <c r="D77" s="140">
        <v>0</v>
      </c>
      <c r="E77" s="240">
        <f>'Appendix K'!O17/(365*24*60*60)</f>
        <v>9.1322926179604243E-3</v>
      </c>
      <c r="F77" s="135">
        <f t="shared" si="1"/>
        <v>183459.52320358864</v>
      </c>
      <c r="G77" s="12">
        <f t="shared" si="10"/>
        <v>0</v>
      </c>
      <c r="H77" s="172">
        <f t="shared" si="2"/>
        <v>183459.52320358864</v>
      </c>
      <c r="I77" s="135">
        <f t="shared" si="11"/>
        <v>1607105.4232634364</v>
      </c>
      <c r="J77" s="158">
        <v>0</v>
      </c>
      <c r="K77" s="157">
        <f>'Appendix K'!$M17*'Appendix J'!$B$10*1000/(365*24*60*60)</f>
        <v>7.3771175799086839</v>
      </c>
      <c r="L77" s="140">
        <f>'Appendix K'!$B17*1000*'Appendix J'!$B$11/(365*24*60*60)</f>
        <v>0.236649269406392</v>
      </c>
      <c r="M77" s="140">
        <f>'Waterflood equipment'!$B$25*'Appendix K'!$C17*1000*0.0283168*'Appendix J'!$B$9/(365*24*60*60)</f>
        <v>0.16669091017423771</v>
      </c>
      <c r="N77" s="240">
        <f t="shared" si="12"/>
        <v>9.1322926179604243E-3</v>
      </c>
      <c r="O77" s="135">
        <f t="shared" si="13"/>
        <v>126578.81549155584</v>
      </c>
      <c r="P77" s="172">
        <f t="shared" si="14"/>
        <v>20027092.260567177</v>
      </c>
      <c r="Q77" s="172">
        <f t="shared" si="15"/>
        <v>20153671.076058734</v>
      </c>
      <c r="R77" s="135">
        <f t="shared" si="16"/>
        <v>176546158.62627456</v>
      </c>
      <c r="S77" s="158">
        <v>0</v>
      </c>
      <c r="T77" s="157">
        <f t="shared" si="17"/>
        <v>7.3771175799086839</v>
      </c>
      <c r="U77" s="140">
        <f t="shared" si="18"/>
        <v>0.236649269406392</v>
      </c>
      <c r="V77" s="140">
        <f t="shared" si="19"/>
        <v>0.16669091017423771</v>
      </c>
      <c r="W77" s="240">
        <f t="shared" si="20"/>
        <v>9.1322926179604243E-3</v>
      </c>
      <c r="X77" s="135">
        <f t="shared" si="21"/>
        <v>-246376.07227391709</v>
      </c>
      <c r="Y77" s="242">
        <f t="shared" si="22"/>
        <v>0</v>
      </c>
      <c r="Z77" s="172">
        <f t="shared" si="23"/>
        <v>-246376.07227391709</v>
      </c>
      <c r="AA77" s="135">
        <f t="shared" si="24"/>
        <v>-2158254.393119514</v>
      </c>
      <c r="AB77" s="158">
        <f>'Appendix M'!P16-'Appendix L'!AA77</f>
        <v>4157400.6214517038</v>
      </c>
      <c r="AC77" s="162">
        <f t="shared" si="25"/>
        <v>20090754.526988406</v>
      </c>
      <c r="AD77" s="135">
        <f t="shared" si="26"/>
        <v>175995009.65641844</v>
      </c>
      <c r="AE77" s="158">
        <f t="shared" si="3"/>
        <v>4157400.6214517038</v>
      </c>
      <c r="AF77" s="157">
        <f>B77*'Appendix M'!$B$16</f>
        <v>0.36885587899543421</v>
      </c>
      <c r="AG77" s="140">
        <f t="shared" si="4"/>
        <v>0.236649269406392</v>
      </c>
      <c r="AH77" s="140">
        <f t="shared" si="5"/>
        <v>0.16669091017423771</v>
      </c>
      <c r="AI77" s="12">
        <v>0</v>
      </c>
      <c r="AJ77" s="135">
        <f t="shared" si="27"/>
        <v>34658.078738430529</v>
      </c>
      <c r="AK77" s="12">
        <f t="shared" si="28"/>
        <v>0</v>
      </c>
      <c r="AL77" s="172">
        <f t="shared" si="29"/>
        <v>34658.078738430529</v>
      </c>
      <c r="AM77" s="135">
        <f t="shared" si="30"/>
        <v>303604.76974865142</v>
      </c>
      <c r="AN77" s="158">
        <f>'Appendix M'!S16-'Appendix L'!AM77</f>
        <v>-117687.7363964621</v>
      </c>
      <c r="AO77" s="241">
        <f>T77*'Appendix M'!$B$16</f>
        <v>0.36885587899543421</v>
      </c>
      <c r="AP77" s="140">
        <f t="shared" si="6"/>
        <v>0.236649269406392</v>
      </c>
      <c r="AQ77" s="140">
        <v>0</v>
      </c>
      <c r="AR77" s="12">
        <v>0</v>
      </c>
      <c r="AS77" s="135">
        <f t="shared" si="31"/>
        <v>-39438.011959802199</v>
      </c>
      <c r="AT77" s="12">
        <f t="shared" si="32"/>
        <v>0</v>
      </c>
      <c r="AU77" s="172">
        <f t="shared" si="33"/>
        <v>-39438.011959802199</v>
      </c>
      <c r="AV77" s="135">
        <f t="shared" si="34"/>
        <v>-345476.98476786731</v>
      </c>
      <c r="AW77" s="158">
        <f>'Appendix M'!U16-AV77</f>
        <v>345489.5819488648</v>
      </c>
      <c r="AX77" s="157">
        <f t="shared" si="7"/>
        <v>7.3771175799086839</v>
      </c>
      <c r="AY77" s="140">
        <v>0</v>
      </c>
      <c r="AZ77" s="140">
        <v>0</v>
      </c>
      <c r="BA77" s="12">
        <v>0</v>
      </c>
      <c r="BB77" s="134">
        <f t="shared" si="35"/>
        <v>0</v>
      </c>
      <c r="BC77" s="12">
        <f t="shared" si="36"/>
        <v>-225677.215175038</v>
      </c>
      <c r="BD77" s="12">
        <f t="shared" si="37"/>
        <v>-225677.215175038</v>
      </c>
      <c r="BE77" s="134">
        <f t="shared" si="38"/>
        <v>-1976932.4049333327</v>
      </c>
      <c r="BF77" s="158">
        <f>'Appendix M'!Q16-'Appendix L'!BE77</f>
        <v>3140156.3049333338</v>
      </c>
      <c r="BG77" s="164">
        <f t="shared" si="39"/>
        <v>58882.333199855755</v>
      </c>
      <c r="BH77" s="172">
        <f t="shared" si="40"/>
        <v>19801415.045392141</v>
      </c>
      <c r="BI77" s="172">
        <f t="shared" si="41"/>
        <v>19860297.378591996</v>
      </c>
      <c r="BJ77" s="172">
        <f t="shared" si="42"/>
        <v>173976205.03646591</v>
      </c>
      <c r="BK77" s="172">
        <f>'Appendix M'!W16</f>
        <v>3850544.7226951844</v>
      </c>
      <c r="BL77" s="165">
        <f t="shared" si="8"/>
        <v>7525358.7719374401</v>
      </c>
      <c r="BN77" s="180">
        <f t="shared" si="44"/>
        <v>9939886802.0879574</v>
      </c>
      <c r="BO77" s="180">
        <f t="shared" si="43"/>
        <v>57595107.062249452</v>
      </c>
      <c r="BP77">
        <f t="shared" si="9"/>
        <v>9882291695.0257072</v>
      </c>
    </row>
    <row r="78" spans="1:68" x14ac:dyDescent="0.35">
      <c r="A78" s="156">
        <v>14</v>
      </c>
      <c r="B78" s="157">
        <f>'Appendix M'!G17*1000*'Appendix M'!$B$5/(365*24*60*60)</f>
        <v>7.3812785388127855</v>
      </c>
      <c r="C78" s="140">
        <v>0</v>
      </c>
      <c r="D78" s="140">
        <v>0</v>
      </c>
      <c r="E78" s="240">
        <f>'Appendix K'!O18/(365*24*60*60)</f>
        <v>9.1378044140030413E-3</v>
      </c>
      <c r="F78" s="135">
        <f t="shared" si="1"/>
        <v>183563.63984546711</v>
      </c>
      <c r="G78" s="12">
        <f t="shared" si="10"/>
        <v>0</v>
      </c>
      <c r="H78" s="172">
        <f t="shared" si="2"/>
        <v>183563.63984546711</v>
      </c>
      <c r="I78" s="135">
        <f t="shared" si="11"/>
        <v>1608017.485046292</v>
      </c>
      <c r="J78" s="158">
        <v>0</v>
      </c>
      <c r="K78" s="157">
        <f>'Appendix K'!$M18*'Appendix J'!$B$10*1000/(365*24*60*60)</f>
        <v>7.3812785388127855</v>
      </c>
      <c r="L78" s="140">
        <f>'Appendix K'!$B18*1000*'Appendix J'!$B$11/(365*24*60*60)</f>
        <v>0.20083320490867829</v>
      </c>
      <c r="M78" s="140">
        <f>'Waterflood equipment'!$B$25*'Appendix K'!$C18*1000*0.0283168*'Appendix J'!$B$9/(365*24*60*60)</f>
        <v>0.14146280613251089</v>
      </c>
      <c r="N78" s="240">
        <f t="shared" si="12"/>
        <v>9.1378044140030413E-3</v>
      </c>
      <c r="O78" s="135">
        <f t="shared" si="13"/>
        <v>107421.54096853838</v>
      </c>
      <c r="P78" s="172">
        <f t="shared" si="14"/>
        <v>16996059.754507124</v>
      </c>
      <c r="Q78" s="172">
        <f t="shared" si="15"/>
        <v>17103481.295475662</v>
      </c>
      <c r="R78" s="135">
        <f t="shared" si="16"/>
        <v>149826496.14836681</v>
      </c>
      <c r="S78" s="158">
        <v>0</v>
      </c>
      <c r="T78" s="157">
        <f t="shared" si="17"/>
        <v>7.3812785388127855</v>
      </c>
      <c r="U78" s="140">
        <f t="shared" si="18"/>
        <v>0.20083320490867829</v>
      </c>
      <c r="V78" s="140">
        <f t="shared" si="19"/>
        <v>0.14146280613251089</v>
      </c>
      <c r="W78" s="240">
        <f t="shared" si="20"/>
        <v>9.1378044140030413E-3</v>
      </c>
      <c r="X78" s="135">
        <f t="shared" si="21"/>
        <v>-227335.70192236104</v>
      </c>
      <c r="Y78" s="242">
        <f t="shared" si="22"/>
        <v>0</v>
      </c>
      <c r="Z78" s="172">
        <f t="shared" si="23"/>
        <v>-227335.70192236104</v>
      </c>
      <c r="AA78" s="135">
        <f t="shared" si="24"/>
        <v>-1991460.7488398829</v>
      </c>
      <c r="AB78" s="158">
        <f>'Appendix M'!P17-'Appendix L'!AA78</f>
        <v>3981434.4081036029</v>
      </c>
      <c r="AC78" s="162">
        <f t="shared" si="25"/>
        <v>17059709.233398769</v>
      </c>
      <c r="AD78" s="135">
        <f t="shared" si="26"/>
        <v>149443052.88457322</v>
      </c>
      <c r="AE78" s="158">
        <f t="shared" si="3"/>
        <v>3981434.4081036029</v>
      </c>
      <c r="AF78" s="157">
        <f>B78*'Appendix M'!$B$16</f>
        <v>0.36906392694063928</v>
      </c>
      <c r="AG78" s="140">
        <f t="shared" si="4"/>
        <v>0.20083320490867829</v>
      </c>
      <c r="AH78" s="140">
        <f t="shared" si="5"/>
        <v>0.14146280613251089</v>
      </c>
      <c r="AI78" s="12">
        <v>0</v>
      </c>
      <c r="AJ78" s="135">
        <f t="shared" si="27"/>
        <v>30620.26612152404</v>
      </c>
      <c r="AK78" s="12">
        <f t="shared" si="28"/>
        <v>0</v>
      </c>
      <c r="AL78" s="172">
        <f t="shared" si="29"/>
        <v>30620.26612152404</v>
      </c>
      <c r="AM78" s="135">
        <f t="shared" si="30"/>
        <v>268233.53122455062</v>
      </c>
      <c r="AN78" s="158">
        <f>'Appendix M'!S17-'Appendix L'!AM78</f>
        <v>-110454.41046540884</v>
      </c>
      <c r="AO78" s="241">
        <f>T78*'Appendix M'!$B$16</f>
        <v>0.36906392694063928</v>
      </c>
      <c r="AP78" s="140">
        <f t="shared" si="6"/>
        <v>0.20083320490867829</v>
      </c>
      <c r="AQ78" s="140">
        <v>0</v>
      </c>
      <c r="AR78" s="12">
        <v>0</v>
      </c>
      <c r="AS78" s="135">
        <f t="shared" si="31"/>
        <v>-35036.460554680474</v>
      </c>
      <c r="AT78" s="12">
        <f t="shared" si="32"/>
        <v>0</v>
      </c>
      <c r="AU78" s="172">
        <f t="shared" si="33"/>
        <v>-35036.460554680474</v>
      </c>
      <c r="AV78" s="135">
        <f t="shared" si="34"/>
        <v>-306919.39445900096</v>
      </c>
      <c r="AW78" s="158">
        <f>'Appendix M'!U17-AV78</f>
        <v>306931.25083600916</v>
      </c>
      <c r="AX78" s="157">
        <f t="shared" si="7"/>
        <v>7.3812785388127855</v>
      </c>
      <c r="AY78" s="140">
        <v>0</v>
      </c>
      <c r="AZ78" s="140">
        <v>0</v>
      </c>
      <c r="BA78" s="12">
        <v>0</v>
      </c>
      <c r="BB78" s="134">
        <f t="shared" si="35"/>
        <v>0</v>
      </c>
      <c r="BC78" s="12">
        <f t="shared" si="36"/>
        <v>-225813.42267884317</v>
      </c>
      <c r="BD78" s="12">
        <f t="shared" si="37"/>
        <v>-225813.42267884317</v>
      </c>
      <c r="BE78" s="134">
        <f t="shared" si="38"/>
        <v>-1978125.582666666</v>
      </c>
      <c r="BF78" s="158">
        <f>'Appendix M'!Q17-'Appendix L'!BE78</f>
        <v>3142005.5826666662</v>
      </c>
      <c r="BG78" s="164">
        <f t="shared" si="39"/>
        <v>59233.284458488015</v>
      </c>
      <c r="BH78" s="172">
        <f t="shared" si="40"/>
        <v>16770246.331828281</v>
      </c>
      <c r="BI78" s="172">
        <f t="shared" si="41"/>
        <v>16829479.61628677</v>
      </c>
      <c r="BJ78" s="172">
        <f t="shared" si="42"/>
        <v>147426241.4386721</v>
      </c>
      <c r="BK78" s="172">
        <f>'Appendix M'!W17</f>
        <v>3808391.3318598503</v>
      </c>
      <c r="BL78" s="165">
        <f t="shared" si="8"/>
        <v>7319916.8311408693</v>
      </c>
      <c r="BN78" s="180">
        <f t="shared" si="44"/>
        <v>10087313043.52663</v>
      </c>
      <c r="BO78" s="180">
        <f t="shared" si="43"/>
        <v>61403498.394109301</v>
      </c>
      <c r="BP78">
        <f t="shared" si="9"/>
        <v>10025909545.132521</v>
      </c>
    </row>
    <row r="79" spans="1:68" x14ac:dyDescent="0.35">
      <c r="A79" s="156">
        <v>15</v>
      </c>
      <c r="B79" s="157">
        <f>'Appendix M'!G18*1000*'Appendix M'!$B$5/(365*24*60*60)</f>
        <v>7.3812785388127855</v>
      </c>
      <c r="C79" s="140">
        <v>0</v>
      </c>
      <c r="D79" s="140">
        <v>0</v>
      </c>
      <c r="E79" s="240">
        <f>'Appendix K'!O19/(365*24*60*60)</f>
        <v>9.1378044140030413E-3</v>
      </c>
      <c r="F79" s="135">
        <f t="shared" si="1"/>
        <v>183563.63984546711</v>
      </c>
      <c r="G79" s="12">
        <f t="shared" si="10"/>
        <v>0</v>
      </c>
      <c r="H79" s="172">
        <f t="shared" si="2"/>
        <v>183563.63984546711</v>
      </c>
      <c r="I79" s="135">
        <f t="shared" si="11"/>
        <v>1608017.485046292</v>
      </c>
      <c r="J79" s="158">
        <v>0</v>
      </c>
      <c r="K79" s="157">
        <f>'Appendix K'!$M19*'Appendix J'!$B$10*1000/(365*24*60*60)</f>
        <v>7.3812785388127855</v>
      </c>
      <c r="L79" s="140">
        <f>'Appendix K'!$B19*1000*'Appendix J'!$B$11/(365*24*60*60)</f>
        <v>0.17274657819634434</v>
      </c>
      <c r="M79" s="140">
        <f>'Waterflood equipment'!$B$25*'Appendix K'!$C19*1000*0.0283168*'Appendix J'!$B$9/(365*24*60*60)</f>
        <v>0.12167916013965933</v>
      </c>
      <c r="N79" s="240">
        <f t="shared" si="12"/>
        <v>9.1378044140030413E-3</v>
      </c>
      <c r="O79" s="135">
        <f t="shared" si="13"/>
        <v>92398.583368379826</v>
      </c>
      <c r="P79" s="172">
        <f t="shared" si="14"/>
        <v>14619152.080686813</v>
      </c>
      <c r="Q79" s="172">
        <f t="shared" si="15"/>
        <v>14711550.664055193</v>
      </c>
      <c r="R79" s="135">
        <f t="shared" si="16"/>
        <v>128873183.81712347</v>
      </c>
      <c r="S79" s="158">
        <v>0</v>
      </c>
      <c r="T79" s="157">
        <f t="shared" si="17"/>
        <v>7.3812785388127855</v>
      </c>
      <c r="U79" s="140">
        <f t="shared" si="18"/>
        <v>0.17274657819634434</v>
      </c>
      <c r="V79" s="140">
        <f t="shared" si="19"/>
        <v>0.12167916013965933</v>
      </c>
      <c r="W79" s="240">
        <f t="shared" si="20"/>
        <v>9.1378044140030413E-3</v>
      </c>
      <c r="X79" s="135">
        <f t="shared" si="21"/>
        <v>-212351.28236842281</v>
      </c>
      <c r="Y79" s="242">
        <f t="shared" si="22"/>
        <v>0</v>
      </c>
      <c r="Z79" s="172">
        <f t="shared" si="23"/>
        <v>-212351.28236842281</v>
      </c>
      <c r="AA79" s="135">
        <f t="shared" si="24"/>
        <v>-1860197.2335473839</v>
      </c>
      <c r="AB79" s="158">
        <f>'Appendix M'!P18-'Appendix L'!AA79</f>
        <v>3840982.332934293</v>
      </c>
      <c r="AC79" s="162">
        <f t="shared" si="25"/>
        <v>14682763.021532236</v>
      </c>
      <c r="AD79" s="135">
        <f t="shared" si="26"/>
        <v>128621004.0686224</v>
      </c>
      <c r="AE79" s="158">
        <f t="shared" si="3"/>
        <v>3840982.332934293</v>
      </c>
      <c r="AF79" s="157">
        <f>B79*'Appendix M'!$B$16</f>
        <v>0.36906392694063928</v>
      </c>
      <c r="AG79" s="140">
        <f t="shared" si="4"/>
        <v>0.17274657819634434</v>
      </c>
      <c r="AH79" s="140">
        <f t="shared" si="5"/>
        <v>0.12167916013965933</v>
      </c>
      <c r="AI79" s="12">
        <v>0</v>
      </c>
      <c r="AJ79" s="135">
        <f t="shared" si="27"/>
        <v>27450.334760940488</v>
      </c>
      <c r="AK79" s="12">
        <f t="shared" si="28"/>
        <v>0</v>
      </c>
      <c r="AL79" s="172">
        <f t="shared" si="29"/>
        <v>27450.334760940488</v>
      </c>
      <c r="AM79" s="135">
        <f t="shared" si="30"/>
        <v>240464.93250583869</v>
      </c>
      <c r="AN79" s="158">
        <f>'Appendix M'!S18-'Appendix L'!AM79</f>
        <v>-104751.30270859905</v>
      </c>
      <c r="AO79" s="241">
        <f>T79*'Appendix M'!$B$16</f>
        <v>0.36906392694063928</v>
      </c>
      <c r="AP79" s="140">
        <f t="shared" si="6"/>
        <v>0.17274657819634434</v>
      </c>
      <c r="AQ79" s="140">
        <v>0</v>
      </c>
      <c r="AR79" s="12">
        <v>0</v>
      </c>
      <c r="AS79" s="135">
        <f t="shared" si="31"/>
        <v>-31580.241310778474</v>
      </c>
      <c r="AT79" s="12">
        <f t="shared" si="32"/>
        <v>0</v>
      </c>
      <c r="AU79" s="172">
        <f t="shared" si="33"/>
        <v>-31580.241310778474</v>
      </c>
      <c r="AV79" s="135">
        <f t="shared" si="34"/>
        <v>-276642.91388241947</v>
      </c>
      <c r="AW79" s="158">
        <f>'Appendix M'!U18-AV79</f>
        <v>276654.18593356153</v>
      </c>
      <c r="AX79" s="157">
        <f t="shared" si="7"/>
        <v>7.3812785388127855</v>
      </c>
      <c r="AY79" s="140">
        <v>0</v>
      </c>
      <c r="AZ79" s="140">
        <v>0</v>
      </c>
      <c r="BA79" s="12">
        <v>0</v>
      </c>
      <c r="BB79" s="134">
        <f t="shared" si="35"/>
        <v>0</v>
      </c>
      <c r="BC79" s="12">
        <f t="shared" si="36"/>
        <v>-225813.42267884317</v>
      </c>
      <c r="BD79" s="12">
        <f t="shared" si="37"/>
        <v>-225813.42267884317</v>
      </c>
      <c r="BE79" s="134">
        <f t="shared" si="38"/>
        <v>-1978125.582666666</v>
      </c>
      <c r="BF79" s="158">
        <f>'Appendix M'!Q18-'Appendix L'!BE79</f>
        <v>3142005.5826666662</v>
      </c>
      <c r="BG79" s="164">
        <f t="shared" si="39"/>
        <v>59481.03429558612</v>
      </c>
      <c r="BH79" s="172">
        <f t="shared" si="40"/>
        <v>14393338.65800797</v>
      </c>
      <c r="BI79" s="172">
        <f t="shared" si="41"/>
        <v>14452819.692303557</v>
      </c>
      <c r="BJ79" s="172">
        <f t="shared" si="42"/>
        <v>126606700.50457917</v>
      </c>
      <c r="BK79" s="172">
        <f>'Appendix M'!W18</f>
        <v>3772448.5014205845</v>
      </c>
      <c r="BL79" s="165">
        <f t="shared" si="8"/>
        <v>7154890.7988259215</v>
      </c>
      <c r="BN79" s="180">
        <f t="shared" si="44"/>
        <v>10213919744.03121</v>
      </c>
      <c r="BO79" s="180">
        <f t="shared" si="43"/>
        <v>65175946.895529889</v>
      </c>
      <c r="BP79">
        <f t="shared" si="9"/>
        <v>10148743797.135679</v>
      </c>
    </row>
    <row r="80" spans="1:68" x14ac:dyDescent="0.35">
      <c r="A80" s="156">
        <v>16</v>
      </c>
      <c r="B80" s="157">
        <f>'Appendix M'!G19*1000*'Appendix M'!$B$5/(365*24*60*60)</f>
        <v>7.2602739726027394</v>
      </c>
      <c r="C80" s="140">
        <v>0</v>
      </c>
      <c r="D80" s="140">
        <v>0</v>
      </c>
      <c r="E80" s="240">
        <f>'Appendix K'!O20/(365*24*60*60)</f>
        <v>8.9904204718417018E-3</v>
      </c>
      <c r="F80" s="135">
        <f t="shared" si="1"/>
        <v>180558.67758105724</v>
      </c>
      <c r="G80" s="12">
        <f t="shared" si="10"/>
        <v>0</v>
      </c>
      <c r="H80" s="172">
        <f t="shared" si="2"/>
        <v>180558.67758105724</v>
      </c>
      <c r="I80" s="135">
        <f t="shared" si="11"/>
        <v>1581694.0156100614</v>
      </c>
      <c r="J80" s="158">
        <v>0</v>
      </c>
      <c r="K80" s="157">
        <f>'Appendix K'!$M20*'Appendix J'!$B$10*1000/(365*24*60*60)</f>
        <v>7.2602739726027394</v>
      </c>
      <c r="L80" s="140">
        <f>'Appendix K'!$B20*1000*'Appendix J'!$B$11/(365*24*60*60)</f>
        <v>0.14835199771688806</v>
      </c>
      <c r="M80" s="140">
        <f>'Waterflood equipment'!$B$25*'Appendix K'!$C20*1000*0.0283168*'Appendix J'!$B$9/(365*24*60*60)</f>
        <v>0.10449611607770536</v>
      </c>
      <c r="N80" s="240">
        <f t="shared" si="12"/>
        <v>8.9904204718417018E-3</v>
      </c>
      <c r="O80" s="135">
        <f t="shared" si="13"/>
        <v>79350.425183702173</v>
      </c>
      <c r="P80" s="172">
        <f t="shared" si="14"/>
        <v>12554693.926451307</v>
      </c>
      <c r="Q80" s="172">
        <f t="shared" si="15"/>
        <v>12634044.351635009</v>
      </c>
      <c r="R80" s="135">
        <f t="shared" si="16"/>
        <v>110674228.52032265</v>
      </c>
      <c r="S80" s="158">
        <v>0</v>
      </c>
      <c r="T80" s="157">
        <f t="shared" si="17"/>
        <v>7.2602739726027394</v>
      </c>
      <c r="U80" s="140">
        <f t="shared" si="18"/>
        <v>0.14835199771688806</v>
      </c>
      <c r="V80" s="140">
        <f t="shared" si="19"/>
        <v>0.10449611607770536</v>
      </c>
      <c r="W80" s="240">
        <f t="shared" si="20"/>
        <v>8.9904204718417018E-3</v>
      </c>
      <c r="X80" s="135">
        <f t="shared" si="21"/>
        <v>-197366.32220990444</v>
      </c>
      <c r="Y80" s="242">
        <f t="shared" si="22"/>
        <v>0</v>
      </c>
      <c r="Z80" s="172">
        <f t="shared" si="23"/>
        <v>-197366.32220990444</v>
      </c>
      <c r="AA80" s="135">
        <f t="shared" si="24"/>
        <v>-1728928.9825587631</v>
      </c>
      <c r="AB80" s="158">
        <f>'Appendix M'!P19-'Appendix L'!AA80</f>
        <v>3700481.9270870937</v>
      </c>
      <c r="AC80" s="162">
        <f t="shared" si="25"/>
        <v>12617236.707006162</v>
      </c>
      <c r="AD80" s="135">
        <f t="shared" si="26"/>
        <v>110526993.55337398</v>
      </c>
      <c r="AE80" s="158">
        <f t="shared" si="3"/>
        <v>3700481.9270870937</v>
      </c>
      <c r="AF80" s="157">
        <f>B80*'Appendix M'!$B$16</f>
        <v>0.36301369863013699</v>
      </c>
      <c r="AG80" s="140">
        <f t="shared" si="4"/>
        <v>0.14835199771688806</v>
      </c>
      <c r="AH80" s="140">
        <f t="shared" si="5"/>
        <v>0.10449611607770536</v>
      </c>
      <c r="AI80" s="12">
        <v>0</v>
      </c>
      <c r="AJ80" s="135">
        <f t="shared" si="27"/>
        <v>24566.709083386217</v>
      </c>
      <c r="AK80" s="12">
        <f t="shared" si="28"/>
        <v>0</v>
      </c>
      <c r="AL80" s="172">
        <f t="shared" si="29"/>
        <v>24566.709083386217</v>
      </c>
      <c r="AM80" s="135">
        <f t="shared" si="30"/>
        <v>215204.37157046326</v>
      </c>
      <c r="AN80" s="158">
        <f>'Appendix M'!S19-'Appendix L'!AM80</f>
        <v>-98655.677477391146</v>
      </c>
      <c r="AO80" s="241">
        <f>T80*'Appendix M'!$B$16</f>
        <v>0.36301369863013699</v>
      </c>
      <c r="AP80" s="140">
        <f t="shared" si="6"/>
        <v>0.14835199771688806</v>
      </c>
      <c r="AQ80" s="140">
        <v>0</v>
      </c>
      <c r="AR80" s="12">
        <v>0</v>
      </c>
      <c r="AS80" s="135">
        <f t="shared" si="31"/>
        <v>-28409.123269530748</v>
      </c>
      <c r="AT80" s="12">
        <f t="shared" si="32"/>
        <v>0</v>
      </c>
      <c r="AU80" s="172">
        <f t="shared" si="33"/>
        <v>-28409.123269530748</v>
      </c>
      <c r="AV80" s="135">
        <f t="shared" si="34"/>
        <v>-248863.91984108937</v>
      </c>
      <c r="AW80" s="158">
        <f>'Appendix M'!U19-AV80</f>
        <v>248874.55850576432</v>
      </c>
      <c r="AX80" s="157">
        <f t="shared" si="7"/>
        <v>7.2602739726027394</v>
      </c>
      <c r="AY80" s="140">
        <v>0</v>
      </c>
      <c r="AZ80" s="140">
        <v>0</v>
      </c>
      <c r="BA80" s="12">
        <v>0</v>
      </c>
      <c r="BB80" s="134">
        <f t="shared" si="35"/>
        <v>0</v>
      </c>
      <c r="BC80" s="12">
        <f t="shared" si="36"/>
        <v>-222171.27070015215</v>
      </c>
      <c r="BD80" s="12">
        <f t="shared" si="37"/>
        <v>-222171.27070015215</v>
      </c>
      <c r="BE80" s="134">
        <f t="shared" si="38"/>
        <v>-1946220.3313333332</v>
      </c>
      <c r="BF80" s="158">
        <f>'Appendix M'!Q19-'Appendix L'!BE80</f>
        <v>3091020.3313333332</v>
      </c>
      <c r="BG80" s="164">
        <f t="shared" si="39"/>
        <v>58700.366368710449</v>
      </c>
      <c r="BH80" s="172">
        <f t="shared" si="40"/>
        <v>12332522.655751154</v>
      </c>
      <c r="BI80" s="172">
        <f t="shared" si="41"/>
        <v>12391223.022119865</v>
      </c>
      <c r="BJ80" s="172">
        <f t="shared" si="42"/>
        <v>108547113.67377001</v>
      </c>
      <c r="BK80" s="172">
        <f>'Appendix M'!W19</f>
        <v>3717849.1188789895</v>
      </c>
      <c r="BL80" s="165">
        <f t="shared" si="8"/>
        <v>6941721.1394488001</v>
      </c>
      <c r="BN80" s="180">
        <f t="shared" si="44"/>
        <v>10322466857.704981</v>
      </c>
      <c r="BO80" s="180">
        <f t="shared" si="43"/>
        <v>68893796.014408872</v>
      </c>
      <c r="BP80">
        <f t="shared" si="9"/>
        <v>10253573061.690573</v>
      </c>
    </row>
    <row r="81" spans="1:68" x14ac:dyDescent="0.35">
      <c r="A81" s="156">
        <v>17</v>
      </c>
      <c r="B81" s="157">
        <f>'Appendix M'!G20*1000*'Appendix M'!$B$5/(365*24*60*60)</f>
        <v>7.3812785388127855</v>
      </c>
      <c r="C81" s="140">
        <v>0</v>
      </c>
      <c r="D81" s="140">
        <v>0</v>
      </c>
      <c r="E81" s="240">
        <f>'Appendix K'!O21/(365*24*60*60)</f>
        <v>9.1378044140030413E-3</v>
      </c>
      <c r="F81" s="135">
        <f t="shared" si="1"/>
        <v>183563.63984546711</v>
      </c>
      <c r="G81" s="12">
        <f t="shared" si="10"/>
        <v>0</v>
      </c>
      <c r="H81" s="172">
        <f t="shared" si="2"/>
        <v>183563.63984546711</v>
      </c>
      <c r="I81" s="135">
        <f t="shared" si="11"/>
        <v>1608017.485046292</v>
      </c>
      <c r="J81" s="158">
        <v>0</v>
      </c>
      <c r="K81" s="157">
        <f>'Appendix K'!$M21*'Appendix J'!$B$10*1000/(365*24*60*60)</f>
        <v>7.3812785388127855</v>
      </c>
      <c r="L81" s="140">
        <f>'Appendix K'!$B21*1000*'Appendix J'!$B$11/(365*24*60*60)</f>
        <v>0.13328157248858788</v>
      </c>
      <c r="M81" s="140">
        <f>'Waterflood equipment'!$B$25*'Appendix K'!$C21*1000*0.0283168*'Appendix J'!$B$9/(365*24*60*60)</f>
        <v>9.3880816464402148E-2</v>
      </c>
      <c r="N81" s="240">
        <f t="shared" si="12"/>
        <v>9.1378044140030413E-3</v>
      </c>
      <c r="O81" s="135">
        <f t="shared" si="13"/>
        <v>71289.565417951351</v>
      </c>
      <c r="P81" s="172">
        <f t="shared" si="14"/>
        <v>11279317.93560113</v>
      </c>
      <c r="Q81" s="172">
        <f t="shared" si="15"/>
        <v>11350607.501019081</v>
      </c>
      <c r="R81" s="135">
        <f t="shared" si="16"/>
        <v>99431321.708927155</v>
      </c>
      <c r="S81" s="158">
        <v>0</v>
      </c>
      <c r="T81" s="157">
        <f t="shared" si="17"/>
        <v>7.3812785388127855</v>
      </c>
      <c r="U81" s="140">
        <f t="shared" si="18"/>
        <v>0.13328157248858788</v>
      </c>
      <c r="V81" s="140">
        <f t="shared" si="19"/>
        <v>9.3880816464402148E-2</v>
      </c>
      <c r="W81" s="240">
        <f t="shared" si="20"/>
        <v>9.1378044140030413E-3</v>
      </c>
      <c r="X81" s="135">
        <f t="shared" si="21"/>
        <v>-191296.41489429143</v>
      </c>
      <c r="Y81" s="242">
        <f t="shared" si="22"/>
        <v>0</v>
      </c>
      <c r="Z81" s="172">
        <f t="shared" si="23"/>
        <v>-191296.41489429143</v>
      </c>
      <c r="AA81" s="135">
        <f t="shared" si="24"/>
        <v>-1675756.5944739929</v>
      </c>
      <c r="AB81" s="158">
        <f>'Appendix M'!P20-'Appendix L'!AA81</f>
        <v>3638036.6937148352</v>
      </c>
      <c r="AC81" s="162">
        <f t="shared" si="25"/>
        <v>11342874.725970255</v>
      </c>
      <c r="AD81" s="135">
        <f t="shared" si="26"/>
        <v>99363582.599499434</v>
      </c>
      <c r="AE81" s="158">
        <f t="shared" si="3"/>
        <v>3638036.6937148352</v>
      </c>
      <c r="AF81" s="157">
        <f>B81*'Appendix M'!$B$16</f>
        <v>0.36906392694063928</v>
      </c>
      <c r="AG81" s="140">
        <f t="shared" si="4"/>
        <v>0.13328157248858788</v>
      </c>
      <c r="AH81" s="140">
        <f t="shared" si="5"/>
        <v>9.3880816464402148E-2</v>
      </c>
      <c r="AI81" s="12">
        <v>0</v>
      </c>
      <c r="AJ81" s="135">
        <f t="shared" si="27"/>
        <v>22996.209296892175</v>
      </c>
      <c r="AK81" s="12">
        <f t="shared" si="28"/>
        <v>0</v>
      </c>
      <c r="AL81" s="172">
        <f t="shared" si="29"/>
        <v>22996.209296892175</v>
      </c>
      <c r="AM81" s="135">
        <f t="shared" si="30"/>
        <v>201446.79344077545</v>
      </c>
      <c r="AN81" s="158">
        <f>'Appendix M'!S20-'Appendix L'!AM81</f>
        <v>-96737.767210738341</v>
      </c>
      <c r="AO81" s="241">
        <f>T81*'Appendix M'!$B$16</f>
        <v>0.36906392694063928</v>
      </c>
      <c r="AP81" s="140">
        <f t="shared" si="6"/>
        <v>0.13328157248858788</v>
      </c>
      <c r="AQ81" s="140">
        <v>0</v>
      </c>
      <c r="AR81" s="12">
        <v>0</v>
      </c>
      <c r="AS81" s="135">
        <f t="shared" si="31"/>
        <v>-26723.847782824065</v>
      </c>
      <c r="AT81" s="12">
        <f t="shared" si="32"/>
        <v>0</v>
      </c>
      <c r="AU81" s="172">
        <f t="shared" si="33"/>
        <v>-26723.847782824065</v>
      </c>
      <c r="AV81" s="135">
        <f t="shared" si="34"/>
        <v>-234100.90657753879</v>
      </c>
      <c r="AW81" s="158">
        <f>'Appendix M'!U20-AV81</f>
        <v>234111.35758228463</v>
      </c>
      <c r="AX81" s="157">
        <f t="shared" si="7"/>
        <v>7.3812785388127855</v>
      </c>
      <c r="AY81" s="140">
        <v>0</v>
      </c>
      <c r="AZ81" s="140">
        <v>0</v>
      </c>
      <c r="BA81" s="12">
        <v>0</v>
      </c>
      <c r="BB81" s="134">
        <f t="shared" si="35"/>
        <v>0</v>
      </c>
      <c r="BC81" s="12">
        <f t="shared" si="36"/>
        <v>-225813.42267884317</v>
      </c>
      <c r="BD81" s="12">
        <f t="shared" si="37"/>
        <v>-225813.42267884317</v>
      </c>
      <c r="BE81" s="134">
        <f t="shared" si="38"/>
        <v>-1978125.582666666</v>
      </c>
      <c r="BF81" s="158">
        <f>'Appendix M'!Q20-'Appendix L'!BE81</f>
        <v>3142005.5826666662</v>
      </c>
      <c r="BG81" s="164">
        <f t="shared" si="39"/>
        <v>59829.151883195147</v>
      </c>
      <c r="BH81" s="172">
        <f t="shared" si="40"/>
        <v>11053504.512922287</v>
      </c>
      <c r="BI81" s="172">
        <f t="shared" si="41"/>
        <v>11113333.664805481</v>
      </c>
      <c r="BJ81" s="172">
        <f t="shared" si="42"/>
        <v>97352802.903696001</v>
      </c>
      <c r="BK81" s="172">
        <f>'Appendix M'!W20</f>
        <v>3715511.5129469689</v>
      </c>
      <c r="BL81" s="165">
        <f t="shared" si="8"/>
        <v>6917415.8667530473</v>
      </c>
      <c r="BN81" s="180">
        <f t="shared" si="44"/>
        <v>10419819660.608677</v>
      </c>
      <c r="BO81" s="180">
        <f t="shared" si="43"/>
        <v>72609307.527355835</v>
      </c>
      <c r="BP81">
        <f t="shared" si="9"/>
        <v>10347210353.081322</v>
      </c>
    </row>
    <row r="82" spans="1:68" x14ac:dyDescent="0.35">
      <c r="A82" s="156">
        <v>18</v>
      </c>
      <c r="B82" s="157">
        <f>'Appendix M'!G21*1000*'Appendix M'!$B$5/(365*24*60*60)</f>
        <v>7.3812785388127855</v>
      </c>
      <c r="C82" s="140">
        <v>0</v>
      </c>
      <c r="D82" s="140">
        <v>0</v>
      </c>
      <c r="E82" s="240">
        <f>'Appendix K'!O22/(365*24*60*60)</f>
        <v>9.1378044140030413E-3</v>
      </c>
      <c r="F82" s="135">
        <f t="shared" si="1"/>
        <v>183563.63984546711</v>
      </c>
      <c r="G82" s="12">
        <f t="shared" si="10"/>
        <v>0</v>
      </c>
      <c r="H82" s="172">
        <f t="shared" si="2"/>
        <v>183563.63984546711</v>
      </c>
      <c r="I82" s="135">
        <f t="shared" si="11"/>
        <v>1608017.485046292</v>
      </c>
      <c r="J82" s="158">
        <v>0</v>
      </c>
      <c r="K82" s="157">
        <f>'Appendix K'!$M22*'Appendix J'!$B$10*1000/(365*24*60*60)</f>
        <v>7.3812785388127855</v>
      </c>
      <c r="L82" s="140">
        <f>'Appendix K'!$B22*1000*'Appendix J'!$B$11/(365*24*60*60)</f>
        <v>0.11881663812786107</v>
      </c>
      <c r="M82" s="140">
        <f>'Waterflood equipment'!$B$25*'Appendix K'!$C22*1000*0.0283168*'Appendix J'!$B$9/(365*24*60*60)</f>
        <v>8.3692012246885203E-2</v>
      </c>
      <c r="N82" s="240">
        <f t="shared" si="12"/>
        <v>9.1378044140030413E-3</v>
      </c>
      <c r="O82" s="135">
        <f t="shared" si="13"/>
        <v>63552.570234587212</v>
      </c>
      <c r="P82" s="172">
        <f t="shared" si="14"/>
        <v>10055183.266975362</v>
      </c>
      <c r="Q82" s="172">
        <f t="shared" si="15"/>
        <v>10118735.837209949</v>
      </c>
      <c r="R82" s="135">
        <f t="shared" si="16"/>
        <v>88640125.933959171</v>
      </c>
      <c r="S82" s="158">
        <v>0</v>
      </c>
      <c r="T82" s="157">
        <f t="shared" si="17"/>
        <v>7.3812785388127855</v>
      </c>
      <c r="U82" s="140">
        <f t="shared" si="18"/>
        <v>0.11881663812786107</v>
      </c>
      <c r="V82" s="140">
        <f t="shared" si="19"/>
        <v>8.3692012246885203E-2</v>
      </c>
      <c r="W82" s="240">
        <f t="shared" si="20"/>
        <v>9.1378044140030413E-3</v>
      </c>
      <c r="X82" s="135">
        <f t="shared" si="21"/>
        <v>-183579.26724600786</v>
      </c>
      <c r="Y82" s="242">
        <f t="shared" si="22"/>
        <v>0</v>
      </c>
      <c r="Z82" s="172">
        <f t="shared" si="23"/>
        <v>-183579.26724600786</v>
      </c>
      <c r="AA82" s="135">
        <f t="shared" si="24"/>
        <v>-1608154.381075029</v>
      </c>
      <c r="AB82" s="158">
        <f>'Appendix M'!P21-'Appendix L'!AA82</f>
        <v>3561179.8242680691</v>
      </c>
      <c r="AC82" s="162">
        <f t="shared" si="25"/>
        <v>10118720.209809408</v>
      </c>
      <c r="AD82" s="135">
        <f t="shared" si="26"/>
        <v>88639989.037930414</v>
      </c>
      <c r="AE82" s="158">
        <f t="shared" si="3"/>
        <v>3561179.8242680691</v>
      </c>
      <c r="AF82" s="157">
        <f>B82*'Appendix M'!$B$16</f>
        <v>0.36906392694063928</v>
      </c>
      <c r="AG82" s="140">
        <f t="shared" si="4"/>
        <v>0.11881663812786107</v>
      </c>
      <c r="AH82" s="140">
        <f t="shared" si="5"/>
        <v>8.3692012246885203E-2</v>
      </c>
      <c r="AI82" s="12">
        <v>0</v>
      </c>
      <c r="AJ82" s="135">
        <f t="shared" si="27"/>
        <v>21363.658349123329</v>
      </c>
      <c r="AK82" s="12">
        <f t="shared" si="28"/>
        <v>0</v>
      </c>
      <c r="AL82" s="172">
        <f t="shared" si="29"/>
        <v>21363.658349123329</v>
      </c>
      <c r="AM82" s="135">
        <f t="shared" si="30"/>
        <v>187145.64713832035</v>
      </c>
      <c r="AN82" s="158">
        <f>'Appendix M'!S21-'Appendix L'!AM82</f>
        <v>-93800.601412960983</v>
      </c>
      <c r="AO82" s="241">
        <f>T82*'Appendix M'!$B$16</f>
        <v>0.36906392694063928</v>
      </c>
      <c r="AP82" s="140">
        <f t="shared" si="6"/>
        <v>0.11881663812786107</v>
      </c>
      <c r="AQ82" s="140">
        <v>0</v>
      </c>
      <c r="AR82" s="12">
        <v>0</v>
      </c>
      <c r="AS82" s="135">
        <f t="shared" si="31"/>
        <v>-24943.855297027651</v>
      </c>
      <c r="AT82" s="12">
        <f t="shared" si="32"/>
        <v>0</v>
      </c>
      <c r="AU82" s="172">
        <f t="shared" si="33"/>
        <v>-24943.855297027651</v>
      </c>
      <c r="AV82" s="135">
        <f t="shared" si="34"/>
        <v>-218508.17240196222</v>
      </c>
      <c r="AW82" s="158">
        <f>'Appendix M'!U21-AV82</f>
        <v>218518.32247219622</v>
      </c>
      <c r="AX82" s="157">
        <f t="shared" si="7"/>
        <v>7.3812785388127855</v>
      </c>
      <c r="AY82" s="140">
        <v>0</v>
      </c>
      <c r="AZ82" s="140">
        <v>0</v>
      </c>
      <c r="BA82" s="12">
        <v>0</v>
      </c>
      <c r="BB82" s="134">
        <f t="shared" si="35"/>
        <v>0</v>
      </c>
      <c r="BC82" s="12">
        <f t="shared" si="36"/>
        <v>-225813.42267884317</v>
      </c>
      <c r="BD82" s="12">
        <f t="shared" si="37"/>
        <v>-225813.42267884317</v>
      </c>
      <c r="BE82" s="134">
        <f t="shared" si="38"/>
        <v>-1978125.582666666</v>
      </c>
      <c r="BF82" s="158">
        <f>'Appendix M'!Q21-'Appendix L'!BE82</f>
        <v>3142005.5826666662</v>
      </c>
      <c r="BG82" s="164">
        <f t="shared" si="39"/>
        <v>59956.745886142147</v>
      </c>
      <c r="BH82" s="172">
        <f t="shared" si="40"/>
        <v>9829369.8442965187</v>
      </c>
      <c r="BI82" s="172">
        <f t="shared" si="41"/>
        <v>9889326.5901826601</v>
      </c>
      <c r="BJ82" s="172">
        <f t="shared" si="42"/>
        <v>86630500.930000111</v>
      </c>
      <c r="BK82" s="172">
        <f>'Appendix M'!W21</f>
        <v>3691799.7348369285</v>
      </c>
      <c r="BL82" s="165">
        <f t="shared" si="8"/>
        <v>6827903.1279939711</v>
      </c>
      <c r="BN82" s="180">
        <f t="shared" si="44"/>
        <v>10506450161.538677</v>
      </c>
      <c r="BO82" s="180">
        <f t="shared" si="43"/>
        <v>76301107.262192756</v>
      </c>
      <c r="BP82">
        <f t="shared" si="9"/>
        <v>10430149054.276484</v>
      </c>
    </row>
    <row r="83" spans="1:68" x14ac:dyDescent="0.35">
      <c r="A83" s="156">
        <v>19</v>
      </c>
      <c r="B83" s="157">
        <f>'Appendix M'!G22*1000*'Appendix M'!$B$5/(365*24*60*60)</f>
        <v>7.3812785388127704</v>
      </c>
      <c r="C83" s="140">
        <v>0</v>
      </c>
      <c r="D83" s="140">
        <v>0</v>
      </c>
      <c r="E83" s="240">
        <f>'Appendix K'!O23/(365*24*60*60)</f>
        <v>9.1378044140030413E-3</v>
      </c>
      <c r="F83" s="135">
        <f t="shared" si="1"/>
        <v>183563.63984546677</v>
      </c>
      <c r="G83" s="12">
        <f t="shared" si="10"/>
        <v>0</v>
      </c>
      <c r="H83" s="172">
        <f t="shared" si="2"/>
        <v>183563.63984546677</v>
      </c>
      <c r="I83" s="135">
        <f t="shared" si="11"/>
        <v>1608017.4850462887</v>
      </c>
      <c r="J83" s="158">
        <v>0</v>
      </c>
      <c r="K83" s="157">
        <f>'Appendix K'!$M23*'Appendix J'!$B$10*1000/(365*24*60*60)</f>
        <v>7.3812785388127704</v>
      </c>
      <c r="L83" s="140">
        <f>'Appendix K'!$B23*1000*'Appendix J'!$B$11/(365*24*60*60)</f>
        <v>0.10679533761415837</v>
      </c>
      <c r="M83" s="140">
        <f>'Waterflood equipment'!$B$25*'Appendix K'!$C23*1000*0.0283168*'Appendix J'!$B$9/(365*24*60*60)</f>
        <v>7.5224453783114972E-2</v>
      </c>
      <c r="N83" s="240">
        <f t="shared" si="12"/>
        <v>9.1378044140030413E-3</v>
      </c>
      <c r="O83" s="135">
        <f t="shared" si="13"/>
        <v>57122.624418530439</v>
      </c>
      <c r="P83" s="172">
        <f t="shared" si="14"/>
        <v>9037847.8022015803</v>
      </c>
      <c r="Q83" s="172">
        <f t="shared" si="15"/>
        <v>9094970.4266201109</v>
      </c>
      <c r="R83" s="135">
        <f t="shared" si="16"/>
        <v>79671940.937192172</v>
      </c>
      <c r="S83" s="158">
        <v>0</v>
      </c>
      <c r="T83" s="157">
        <f t="shared" si="17"/>
        <v>7.3812785388127704</v>
      </c>
      <c r="U83" s="140">
        <f t="shared" si="18"/>
        <v>0.10679533761415837</v>
      </c>
      <c r="V83" s="140">
        <f t="shared" si="19"/>
        <v>7.5224453783114972E-2</v>
      </c>
      <c r="W83" s="240">
        <f t="shared" si="20"/>
        <v>9.1378044140030413E-3</v>
      </c>
      <c r="X83" s="135">
        <f t="shared" si="21"/>
        <v>-177165.81602147192</v>
      </c>
      <c r="Y83" s="242">
        <f t="shared" si="22"/>
        <v>0</v>
      </c>
      <c r="Z83" s="172">
        <f t="shared" si="23"/>
        <v>-177165.81602147192</v>
      </c>
      <c r="AA83" s="135">
        <f t="shared" si="24"/>
        <v>-1551972.5483480939</v>
      </c>
      <c r="AB83" s="158">
        <f>'Appendix M'!P22-'Appendix L'!AA83</f>
        <v>3495837.6683117729</v>
      </c>
      <c r="AC83" s="162">
        <f t="shared" si="25"/>
        <v>9101368.2504441049</v>
      </c>
      <c r="AD83" s="135">
        <f t="shared" si="26"/>
        <v>79727985.87389037</v>
      </c>
      <c r="AE83" s="158">
        <f t="shared" si="3"/>
        <v>3495837.6683117729</v>
      </c>
      <c r="AF83" s="157">
        <f>B83*'Appendix M'!$B$16</f>
        <v>0.36906392694063855</v>
      </c>
      <c r="AG83" s="140">
        <f t="shared" si="4"/>
        <v>0.10679533761415837</v>
      </c>
      <c r="AH83" s="140">
        <f t="shared" si="5"/>
        <v>7.5224453783114972E-2</v>
      </c>
      <c r="AI83" s="12">
        <v>0</v>
      </c>
      <c r="AJ83" s="135">
        <f t="shared" si="27"/>
        <v>20006.902413863518</v>
      </c>
      <c r="AK83" s="12">
        <f t="shared" si="28"/>
        <v>0</v>
      </c>
      <c r="AL83" s="172">
        <f t="shared" si="29"/>
        <v>20006.902413863518</v>
      </c>
      <c r="AM83" s="135">
        <f t="shared" si="30"/>
        <v>175260.46514544444</v>
      </c>
      <c r="AN83" s="158">
        <f>'Appendix M'!S22-'Appendix L'!AM83</f>
        <v>-91359.625751881118</v>
      </c>
      <c r="AO83" s="241">
        <f>T83*'Appendix M'!$B$16</f>
        <v>0.36906392694063855</v>
      </c>
      <c r="AP83" s="140">
        <f t="shared" si="6"/>
        <v>0.10679533761415837</v>
      </c>
      <c r="AQ83" s="140">
        <v>0</v>
      </c>
      <c r="AR83" s="12">
        <v>0</v>
      </c>
      <c r="AS83" s="135">
        <f t="shared" si="31"/>
        <v>-23464.565861605937</v>
      </c>
      <c r="AT83" s="12">
        <f t="shared" si="32"/>
        <v>0</v>
      </c>
      <c r="AU83" s="172">
        <f t="shared" si="33"/>
        <v>-23464.565861605937</v>
      </c>
      <c r="AV83" s="135">
        <f t="shared" si="34"/>
        <v>-205549.596947668</v>
      </c>
      <c r="AW83" s="158">
        <f>'Appendix M'!U22-AV83</f>
        <v>205559.49692176527</v>
      </c>
      <c r="AX83" s="157">
        <f t="shared" si="7"/>
        <v>7.3812785388127704</v>
      </c>
      <c r="AY83" s="140">
        <v>0</v>
      </c>
      <c r="AZ83" s="140">
        <v>0</v>
      </c>
      <c r="BA83" s="12">
        <v>0</v>
      </c>
      <c r="BB83" s="134">
        <f t="shared" si="35"/>
        <v>0</v>
      </c>
      <c r="BC83" s="12">
        <f t="shared" si="36"/>
        <v>-225813.42267884317</v>
      </c>
      <c r="BD83" s="12">
        <f t="shared" si="37"/>
        <v>-225813.42267884317</v>
      </c>
      <c r="BE83" s="134">
        <f t="shared" si="38"/>
        <v>-1978125.582666666</v>
      </c>
      <c r="BF83" s="158">
        <f>'Appendix M'!Q22-'Appendix L'!BE83</f>
        <v>3142005.5826666635</v>
      </c>
      <c r="BG83" s="164">
        <f t="shared" si="39"/>
        <v>60062.784794782856</v>
      </c>
      <c r="BH83" s="172">
        <f t="shared" si="40"/>
        <v>8812034.3795227371</v>
      </c>
      <c r="BI83" s="172">
        <f t="shared" si="41"/>
        <v>8872097.1643175203</v>
      </c>
      <c r="BJ83" s="172">
        <f t="shared" si="42"/>
        <v>77719571.159421489</v>
      </c>
      <c r="BK83" s="172">
        <f>'Appendix M'!W22</f>
        <v>3670404.2382310373</v>
      </c>
      <c r="BL83" s="165">
        <f t="shared" si="8"/>
        <v>6752043.1221483201</v>
      </c>
      <c r="BN83" s="180">
        <f t="shared" si="44"/>
        <v>10584169732.698099</v>
      </c>
      <c r="BO83" s="180">
        <f t="shared" si="43"/>
        <v>79971511.500423789</v>
      </c>
      <c r="BP83">
        <f t="shared" si="9"/>
        <v>10504198221.197676</v>
      </c>
    </row>
    <row r="84" spans="1:68" x14ac:dyDescent="0.35">
      <c r="A84" s="156">
        <v>20</v>
      </c>
      <c r="B84" s="157">
        <f>'Appendix M'!G23*1000*'Appendix M'!$B$5/(365*24*60*60)</f>
        <v>7.3812785388127855</v>
      </c>
      <c r="C84" s="140">
        <v>0</v>
      </c>
      <c r="D84" s="140">
        <v>0</v>
      </c>
      <c r="E84" s="240">
        <f>'Appendix K'!O24/(365*24*60*60)</f>
        <v>9.1378044140030413E-3</v>
      </c>
      <c r="F84" s="135">
        <f t="shared" si="1"/>
        <v>183563.63984546711</v>
      </c>
      <c r="G84" s="12">
        <f t="shared" si="10"/>
        <v>0</v>
      </c>
      <c r="H84" s="172">
        <f t="shared" si="2"/>
        <v>183563.63984546711</v>
      </c>
      <c r="I84" s="135">
        <f t="shared" si="11"/>
        <v>1608017.485046292</v>
      </c>
      <c r="J84" s="158">
        <v>0</v>
      </c>
      <c r="K84" s="157">
        <f>'Appendix K'!$M24*'Appendix J'!$B$10*1000/(365*24*60*60)</f>
        <v>7.3812785388127855</v>
      </c>
      <c r="L84" s="140">
        <f>'Appendix K'!$B24*1000*'Appendix J'!$B$11/(365*24*60*60)</f>
        <v>9.6652304794522664E-2</v>
      </c>
      <c r="M84" s="140">
        <f>'Waterflood equipment'!$B$25*'Appendix K'!$C24*1000*0.0283168*'Appendix J'!$B$9/(365*24*60*60)</f>
        <v>6.807990870645661E-2</v>
      </c>
      <c r="N84" s="240">
        <f t="shared" si="12"/>
        <v>9.1378044140030413E-3</v>
      </c>
      <c r="O84" s="135">
        <f t="shared" si="13"/>
        <v>51697.325270039699</v>
      </c>
      <c r="P84" s="172">
        <f t="shared" si="14"/>
        <v>8179465.8828728311</v>
      </c>
      <c r="Q84" s="172">
        <f t="shared" si="15"/>
        <v>8231163.208142871</v>
      </c>
      <c r="R84" s="135">
        <f t="shared" si="16"/>
        <v>72104989.703331545</v>
      </c>
      <c r="S84" s="158">
        <v>0</v>
      </c>
      <c r="T84" s="157">
        <f t="shared" si="17"/>
        <v>7.3812785388127855</v>
      </c>
      <c r="U84" s="140">
        <f t="shared" si="18"/>
        <v>9.6652304794522664E-2</v>
      </c>
      <c r="V84" s="140">
        <f t="shared" si="19"/>
        <v>6.807990870645661E-2</v>
      </c>
      <c r="W84" s="240">
        <f t="shared" si="20"/>
        <v>9.1378044140030413E-3</v>
      </c>
      <c r="X84" s="135">
        <f t="shared" si="21"/>
        <v>-171754.4342676056</v>
      </c>
      <c r="Y84" s="242">
        <f t="shared" si="22"/>
        <v>0</v>
      </c>
      <c r="Z84" s="172">
        <f t="shared" si="23"/>
        <v>-171754.4342676056</v>
      </c>
      <c r="AA84" s="135">
        <f t="shared" si="24"/>
        <v>-1504568.844184225</v>
      </c>
      <c r="AB84" s="158">
        <f>'Appendix M'!P23-'Appendix L'!AA84</f>
        <v>3439399.652575912</v>
      </c>
      <c r="AC84" s="162">
        <f t="shared" si="25"/>
        <v>8242972.4137207316</v>
      </c>
      <c r="AD84" s="135">
        <f t="shared" si="26"/>
        <v>72208438.344193608</v>
      </c>
      <c r="AE84" s="158">
        <f t="shared" si="3"/>
        <v>3439399.652575912</v>
      </c>
      <c r="AF84" s="157">
        <f>B84*'Appendix M'!$B$16</f>
        <v>0.36906392694063928</v>
      </c>
      <c r="AG84" s="140">
        <f t="shared" si="4"/>
        <v>9.6652304794522664E-2</v>
      </c>
      <c r="AH84" s="140">
        <f t="shared" si="5"/>
        <v>6.807990870645661E-2</v>
      </c>
      <c r="AI84" s="12">
        <v>0</v>
      </c>
      <c r="AJ84" s="135">
        <f t="shared" si="27"/>
        <v>18862.132764033282</v>
      </c>
      <c r="AK84" s="12">
        <f t="shared" si="28"/>
        <v>0</v>
      </c>
      <c r="AL84" s="172">
        <f t="shared" si="29"/>
        <v>18862.132764033282</v>
      </c>
      <c r="AM84" s="135">
        <f t="shared" si="30"/>
        <v>165232.28301293158</v>
      </c>
      <c r="AN84" s="158">
        <f>'Appendix M'!S23-'Appendix L'!AM84</f>
        <v>-89300.040250791571</v>
      </c>
      <c r="AO84" s="241">
        <f>T84*'Appendix M'!$B$16</f>
        <v>0.36906392694063928</v>
      </c>
      <c r="AP84" s="140">
        <f t="shared" si="6"/>
        <v>9.6652304794522664E-2</v>
      </c>
      <c r="AQ84" s="140">
        <v>0</v>
      </c>
      <c r="AR84" s="12">
        <v>0</v>
      </c>
      <c r="AS84" s="135">
        <f t="shared" si="31"/>
        <v>-22216.407954221526</v>
      </c>
      <c r="AT84" s="12">
        <f t="shared" si="32"/>
        <v>0</v>
      </c>
      <c r="AU84" s="172">
        <f t="shared" si="33"/>
        <v>-22216.407954221526</v>
      </c>
      <c r="AV84" s="135">
        <f t="shared" si="34"/>
        <v>-194615.73367898058</v>
      </c>
      <c r="AW84" s="158">
        <f>'Appendix M'!U23-AV84</f>
        <v>194625.42263320356</v>
      </c>
      <c r="AX84" s="157">
        <f t="shared" si="7"/>
        <v>7.3812785388127855</v>
      </c>
      <c r="AY84" s="140">
        <v>0</v>
      </c>
      <c r="AZ84" s="140">
        <v>0</v>
      </c>
      <c r="BA84" s="12">
        <v>0</v>
      </c>
      <c r="BB84" s="134">
        <f t="shared" si="35"/>
        <v>0</v>
      </c>
      <c r="BC84" s="12">
        <f t="shared" si="36"/>
        <v>-225813.42267884317</v>
      </c>
      <c r="BD84" s="12">
        <f t="shared" si="37"/>
        <v>-225813.42267884317</v>
      </c>
      <c r="BE84" s="134">
        <f t="shared" si="38"/>
        <v>-1978125.582666666</v>
      </c>
      <c r="BF84" s="158">
        <f>'Appendix M'!Q23-'Appendix L'!BE84</f>
        <v>3142005.5826666662</v>
      </c>
      <c r="BG84" s="164">
        <f t="shared" si="39"/>
        <v>60152.255657712965</v>
      </c>
      <c r="BH84" s="172">
        <f t="shared" si="40"/>
        <v>7953652.4601939879</v>
      </c>
      <c r="BI84" s="172">
        <f t="shared" si="41"/>
        <v>8013804.7158517009</v>
      </c>
      <c r="BJ84" s="172">
        <f t="shared" si="42"/>
        <v>70200929.310860902</v>
      </c>
      <c r="BK84" s="172">
        <f>'Appendix M'!W23</f>
        <v>3650850.6511242576</v>
      </c>
      <c r="BL84" s="165">
        <f t="shared" si="8"/>
        <v>6686730.6176249906</v>
      </c>
      <c r="BN84" s="180">
        <f t="shared" si="44"/>
        <v>10654370662.008961</v>
      </c>
      <c r="BO84" s="180">
        <f t="shared" si="43"/>
        <v>83622362.151548043</v>
      </c>
      <c r="BP84">
        <f t="shared" si="9"/>
        <v>10570748299.857412</v>
      </c>
    </row>
    <row r="85" spans="1:68" ht="15" thickBot="1" x14ac:dyDescent="0.4">
      <c r="A85" s="156">
        <v>21</v>
      </c>
      <c r="B85" s="159">
        <f>'Appendix M'!G24*1000*'Appendix M'!$B$5/(365*24*60*60)</f>
        <v>3.3151621004566079</v>
      </c>
      <c r="C85" s="160">
        <v>0</v>
      </c>
      <c r="D85" s="160">
        <v>0</v>
      </c>
      <c r="E85" s="243">
        <f>'Appendix K'!O25/(365*24*60*60)</f>
        <v>4.1852618055555442E-3</v>
      </c>
      <c r="F85" s="183">
        <f t="shared" si="1"/>
        <v>82587.892874501733</v>
      </c>
      <c r="G85" s="244">
        <f t="shared" si="10"/>
        <v>0</v>
      </c>
      <c r="H85" s="185">
        <f t="shared" si="2"/>
        <v>82587.892874501733</v>
      </c>
      <c r="I85" s="183">
        <f t="shared" si="11"/>
        <v>723469.94158063515</v>
      </c>
      <c r="J85" s="161">
        <v>0</v>
      </c>
      <c r="K85" s="159">
        <f>'Appendix K'!$M25*'Appendix J'!$B$10*1000/(365*24*60*60)</f>
        <v>3.3151621004566079</v>
      </c>
      <c r="L85" s="160">
        <f>'Appendix K'!$B25*1000*'Appendix J'!$B$11/(365*24*60*60)</f>
        <v>4.0508261337041315E-2</v>
      </c>
      <c r="M85" s="160">
        <f>'Waterflood equipment'!$B$25*'Appendix K'!$C25*1000*0.0283168*'Appendix J'!$B$9/(365*24*60*60)</f>
        <v>2.8533191624824501E-2</v>
      </c>
      <c r="N85" s="243">
        <f t="shared" si="12"/>
        <v>4.1852618055555442E-3</v>
      </c>
      <c r="O85" s="183">
        <f t="shared" si="13"/>
        <v>21667.033878983872</v>
      </c>
      <c r="P85" s="185">
        <f t="shared" si="14"/>
        <v>3428122.5086688572</v>
      </c>
      <c r="Q85" s="185">
        <f t="shared" si="15"/>
        <v>3449789.5425478411</v>
      </c>
      <c r="R85" s="183">
        <f t="shared" si="16"/>
        <v>30220156.39271909</v>
      </c>
      <c r="S85" s="161">
        <v>0</v>
      </c>
      <c r="T85" s="159">
        <f t="shared" si="17"/>
        <v>3.3151621004566079</v>
      </c>
      <c r="U85" s="160">
        <f t="shared" si="18"/>
        <v>4.0508261337041315E-2</v>
      </c>
      <c r="V85" s="160">
        <f t="shared" si="19"/>
        <v>2.8533191624824501E-2</v>
      </c>
      <c r="W85" s="243">
        <f t="shared" si="20"/>
        <v>4.1852618055555442E-3</v>
      </c>
      <c r="X85" s="183">
        <f t="shared" si="21"/>
        <v>-75594.057879769738</v>
      </c>
      <c r="Y85" s="245">
        <f t="shared" si="22"/>
        <v>0</v>
      </c>
      <c r="Z85" s="185">
        <f t="shared" si="23"/>
        <v>-75594.057879769738</v>
      </c>
      <c r="AA85" s="183">
        <f t="shared" si="24"/>
        <v>-662203.94702678302</v>
      </c>
      <c r="AB85" s="161">
        <f>'Appendix M'!P24-'Appendix L'!AA85</f>
        <v>2588070.3584386683</v>
      </c>
      <c r="AC85" s="163">
        <f t="shared" si="25"/>
        <v>3456783.377542573</v>
      </c>
      <c r="AD85" s="183">
        <f t="shared" si="26"/>
        <v>30281422.387272939</v>
      </c>
      <c r="AE85" s="161">
        <f t="shared" si="3"/>
        <v>2588070.3584386683</v>
      </c>
      <c r="AF85" s="157">
        <f>B85*'Appendix M'!$B$16</f>
        <v>0.16575810502283039</v>
      </c>
      <c r="AG85" s="160">
        <f t="shared" si="4"/>
        <v>4.0508261337041315E-2</v>
      </c>
      <c r="AH85" s="160">
        <f t="shared" si="5"/>
        <v>2.8533191624824501E-2</v>
      </c>
      <c r="AI85" s="244">
        <v>0</v>
      </c>
      <c r="AJ85" s="183">
        <f t="shared" si="27"/>
        <v>8144.1229892684314</v>
      </c>
      <c r="AK85" s="244">
        <f t="shared" si="28"/>
        <v>0</v>
      </c>
      <c r="AL85" s="185">
        <f t="shared" si="29"/>
        <v>8144.1229892684314</v>
      </c>
      <c r="AM85" s="183">
        <f t="shared" si="30"/>
        <v>71342.51738599145</v>
      </c>
      <c r="AN85" s="161">
        <f>'Appendix M'!S24-'Appendix L'!AM85</f>
        <v>-39518.308534939366</v>
      </c>
      <c r="AO85" s="246">
        <f>T85*'Appendix M'!$B$16</f>
        <v>0.16575810502283039</v>
      </c>
      <c r="AP85" s="160">
        <f t="shared" si="6"/>
        <v>4.0508261337041315E-2</v>
      </c>
      <c r="AQ85" s="160">
        <v>0</v>
      </c>
      <c r="AR85" s="244">
        <v>0</v>
      </c>
      <c r="AS85" s="183">
        <f t="shared" si="31"/>
        <v>-9621.0594188936448</v>
      </c>
      <c r="AT85" s="244">
        <f t="shared" si="32"/>
        <v>0</v>
      </c>
      <c r="AU85" s="185">
        <f t="shared" si="33"/>
        <v>-9621.0594188936448</v>
      </c>
      <c r="AV85" s="183">
        <f t="shared" si="34"/>
        <v>-84280.480509508328</v>
      </c>
      <c r="AW85" s="161">
        <f>'Appendix M'!U24-AV85</f>
        <v>84284.771760800882</v>
      </c>
      <c r="AX85" s="159">
        <f t="shared" si="7"/>
        <v>3.3151621004566079</v>
      </c>
      <c r="AY85" s="160">
        <v>0</v>
      </c>
      <c r="AZ85" s="160">
        <v>0</v>
      </c>
      <c r="BA85" s="244">
        <v>0</v>
      </c>
      <c r="BB85" s="147">
        <f t="shared" si="35"/>
        <v>0</v>
      </c>
      <c r="BC85" s="244">
        <f t="shared" si="36"/>
        <v>-103426.18973888861</v>
      </c>
      <c r="BD85" s="244">
        <f t="shared" si="37"/>
        <v>-103426.18973888861</v>
      </c>
      <c r="BE85" s="147">
        <f t="shared" si="38"/>
        <v>-906013.42211266421</v>
      </c>
      <c r="BF85" s="161">
        <f>'Appendix M'!Q24-'Appendix L'!BE85</f>
        <v>1428748.1821126621</v>
      </c>
      <c r="BG85" s="166">
        <f t="shared" si="39"/>
        <v>27183.932444090657</v>
      </c>
      <c r="BH85" s="185">
        <f t="shared" si="40"/>
        <v>3324696.3189299684</v>
      </c>
      <c r="BI85" s="185">
        <f t="shared" si="41"/>
        <v>3351880.2513740589</v>
      </c>
      <c r="BJ85" s="185">
        <f t="shared" si="42"/>
        <v>29362471.002036758</v>
      </c>
      <c r="BK85" s="185">
        <f>'Appendix M'!W24</f>
        <v>2852494.1222413615</v>
      </c>
      <c r="BL85" s="247">
        <f t="shared" si="8"/>
        <v>4061585.003777192</v>
      </c>
      <c r="BN85" s="180">
        <f t="shared" si="44"/>
        <v>10683733133.010998</v>
      </c>
      <c r="BO85" s="180">
        <f t="shared" si="43"/>
        <v>86474856.273789406</v>
      </c>
      <c r="BP85">
        <f t="shared" si="9"/>
        <v>10597258276.737209</v>
      </c>
    </row>
    <row r="87" spans="1:68" x14ac:dyDescent="0.35">
      <c r="F87" s="257"/>
      <c r="BL87" s="180">
        <f>SUM(BL65:BL84)</f>
        <v>194610737.15989959</v>
      </c>
    </row>
    <row r="88" spans="1:68" x14ac:dyDescent="0.35">
      <c r="F88" s="257"/>
    </row>
    <row r="89" spans="1:68" x14ac:dyDescent="0.35">
      <c r="F89" s="257"/>
      <c r="BJ89" s="137">
        <f>BJ65/1000</f>
        <v>2596974.6858842336</v>
      </c>
      <c r="BK89" s="137">
        <f>BK65/1000</f>
        <v>6795.4111676859829</v>
      </c>
      <c r="BL89" s="137">
        <f>BL65/1000</f>
        <v>23623.759004682131</v>
      </c>
    </row>
    <row r="90" spans="1:68" x14ac:dyDescent="0.35">
      <c r="F90" s="257"/>
      <c r="BJ90" s="137">
        <f t="shared" ref="BJ90:BJ108" si="45">BJ66/1000</f>
        <v>1011318.409103244</v>
      </c>
      <c r="BK90" s="137">
        <f t="shared" ref="BK90:BK108" si="46">BK66/1000</f>
        <v>4977.7935935480427</v>
      </c>
      <c r="BL90" s="137">
        <f t="shared" ref="BL90:BL105" si="47">BL66/1000</f>
        <v>11895.970005335914</v>
      </c>
    </row>
    <row r="91" spans="1:68" x14ac:dyDescent="0.35">
      <c r="F91" s="257"/>
      <c r="BJ91" s="137">
        <f t="shared" si="45"/>
        <v>560829.68175878096</v>
      </c>
      <c r="BK91" s="137">
        <f t="shared" si="46"/>
        <v>4425.7757445406505</v>
      </c>
      <c r="BL91" s="137">
        <f t="shared" si="47"/>
        <v>8810.5379643520992</v>
      </c>
    </row>
    <row r="92" spans="1:68" x14ac:dyDescent="0.35">
      <c r="F92" s="257"/>
      <c r="BJ92" s="137">
        <f t="shared" si="45"/>
        <v>1060013.2308628561</v>
      </c>
      <c r="BK92" s="137">
        <f t="shared" si="46"/>
        <v>4532.2314486212226</v>
      </c>
      <c r="BL92" s="137">
        <f t="shared" si="47"/>
        <v>13609.829586407161</v>
      </c>
    </row>
    <row r="93" spans="1:68" x14ac:dyDescent="0.35">
      <c r="F93" s="257"/>
      <c r="BJ93" s="137">
        <f t="shared" si="45"/>
        <v>1414523.629706267</v>
      </c>
      <c r="BK93" s="137">
        <f t="shared" si="46"/>
        <v>4880.4546181429778</v>
      </c>
      <c r="BL93" s="137">
        <f t="shared" si="47"/>
        <v>15930.635440543276</v>
      </c>
    </row>
    <row r="94" spans="1:68" x14ac:dyDescent="0.35">
      <c r="F94" s="257"/>
      <c r="BJ94" s="137">
        <f t="shared" si="45"/>
        <v>918871.54698221514</v>
      </c>
      <c r="BK94" s="137">
        <f t="shared" si="46"/>
        <v>4366.8724993704827</v>
      </c>
      <c r="BL94" s="137">
        <f t="shared" si="47"/>
        <v>12363.417165349558</v>
      </c>
    </row>
    <row r="95" spans="1:68" x14ac:dyDescent="0.35">
      <c r="F95" s="257"/>
      <c r="BJ95" s="137">
        <f t="shared" si="45"/>
        <v>641508.61837236397</v>
      </c>
      <c r="BK95" s="137">
        <f t="shared" si="46"/>
        <v>4129.7565501270547</v>
      </c>
      <c r="BL95" s="137">
        <f t="shared" si="47"/>
        <v>10458.947990848234</v>
      </c>
    </row>
    <row r="96" spans="1:68" x14ac:dyDescent="0.35">
      <c r="F96" s="257"/>
      <c r="BJ96" s="137">
        <f t="shared" si="45"/>
        <v>464176.26774713752</v>
      </c>
      <c r="BK96" s="137">
        <f t="shared" si="46"/>
        <v>4001.9572459484639</v>
      </c>
      <c r="BL96" s="137">
        <f t="shared" si="47"/>
        <v>9290.2433850003399</v>
      </c>
    </row>
    <row r="97" spans="6:64" x14ac:dyDescent="0.35">
      <c r="F97" s="257"/>
      <c r="BJ97" s="137">
        <f t="shared" si="45"/>
        <v>357506.76427543943</v>
      </c>
      <c r="BK97" s="137">
        <f t="shared" si="46"/>
        <v>3943.4094394908916</v>
      </c>
      <c r="BL97" s="137">
        <f t="shared" si="47"/>
        <v>8623.8108779892482</v>
      </c>
    </row>
    <row r="98" spans="6:64" x14ac:dyDescent="0.35">
      <c r="BJ98" s="137">
        <f t="shared" si="45"/>
        <v>287770.10141315515</v>
      </c>
      <c r="BK98" s="137">
        <f t="shared" si="46"/>
        <v>3895.2079851804738</v>
      </c>
      <c r="BL98" s="137">
        <f t="shared" si="47"/>
        <v>8144.8216514149744</v>
      </c>
    </row>
    <row r="99" spans="6:64" x14ac:dyDescent="0.35">
      <c r="BJ99" s="137">
        <f t="shared" si="45"/>
        <v>245823.98039251161</v>
      </c>
      <c r="BK99" s="137">
        <f t="shared" si="46"/>
        <v>3909.8707142157568</v>
      </c>
      <c r="BL99" s="137">
        <f t="shared" si="47"/>
        <v>7986.145166667693</v>
      </c>
    </row>
    <row r="100" spans="6:64" x14ac:dyDescent="0.35">
      <c r="BJ100" s="137">
        <f t="shared" si="45"/>
        <v>206593.68055328526</v>
      </c>
      <c r="BK100" s="137">
        <f t="shared" si="46"/>
        <v>3885.8213326822656</v>
      </c>
      <c r="BL100" s="137">
        <f>BL76/1000</f>
        <v>7746.6386454356398</v>
      </c>
    </row>
    <row r="101" spans="6:64" x14ac:dyDescent="0.35">
      <c r="BJ101" s="137">
        <f t="shared" si="45"/>
        <v>173976.20503646592</v>
      </c>
      <c r="BK101" s="137">
        <f t="shared" si="46"/>
        <v>3850.5447226951842</v>
      </c>
      <c r="BL101" s="137">
        <f t="shared" si="47"/>
        <v>7525.35877193744</v>
      </c>
    </row>
    <row r="102" spans="6:64" x14ac:dyDescent="0.35">
      <c r="BJ102" s="137">
        <f t="shared" si="45"/>
        <v>147426.24143867209</v>
      </c>
      <c r="BK102" s="137">
        <f t="shared" si="46"/>
        <v>3808.3913318598502</v>
      </c>
      <c r="BL102" s="137">
        <f t="shared" si="47"/>
        <v>7319.9168311408694</v>
      </c>
    </row>
    <row r="103" spans="6:64" x14ac:dyDescent="0.35">
      <c r="BJ103" s="137">
        <f t="shared" si="45"/>
        <v>126606.70050457917</v>
      </c>
      <c r="BK103" s="137">
        <f t="shared" si="46"/>
        <v>3772.4485014205843</v>
      </c>
      <c r="BL103" s="137">
        <f t="shared" si="47"/>
        <v>7154.8907988259216</v>
      </c>
    </row>
    <row r="104" spans="6:64" x14ac:dyDescent="0.35">
      <c r="BJ104" s="137">
        <f t="shared" si="45"/>
        <v>108547.11367377001</v>
      </c>
      <c r="BK104" s="137">
        <f t="shared" si="46"/>
        <v>3717.8491188789894</v>
      </c>
      <c r="BL104" s="137">
        <f t="shared" si="47"/>
        <v>6941.7211394488004</v>
      </c>
    </row>
    <row r="105" spans="6:64" x14ac:dyDescent="0.35">
      <c r="BJ105" s="137">
        <f t="shared" si="45"/>
        <v>97352.802903696007</v>
      </c>
      <c r="BK105" s="137">
        <f t="shared" si="46"/>
        <v>3715.5115129469691</v>
      </c>
      <c r="BL105" s="137">
        <f t="shared" si="47"/>
        <v>6917.4158667530473</v>
      </c>
    </row>
    <row r="106" spans="6:64" x14ac:dyDescent="0.35">
      <c r="BJ106" s="137">
        <f t="shared" si="45"/>
        <v>86630.500930000111</v>
      </c>
      <c r="BK106" s="137">
        <f t="shared" si="46"/>
        <v>3691.7997348369286</v>
      </c>
      <c r="BL106" s="137">
        <f>BL82/1000</f>
        <v>6827.9031279939709</v>
      </c>
    </row>
    <row r="107" spans="6:64" x14ac:dyDescent="0.35">
      <c r="BJ107" s="137">
        <f t="shared" si="45"/>
        <v>77719.571159421495</v>
      </c>
      <c r="BK107" s="137">
        <f t="shared" si="46"/>
        <v>3670.4042382310372</v>
      </c>
      <c r="BL107" s="137">
        <f>BL83/1000</f>
        <v>6752.0431221483204</v>
      </c>
    </row>
    <row r="108" spans="6:64" x14ac:dyDescent="0.35">
      <c r="BJ108" s="137">
        <f t="shared" si="45"/>
        <v>70200.929310860898</v>
      </c>
      <c r="BK108" s="137">
        <f t="shared" si="46"/>
        <v>3650.8506511242576</v>
      </c>
      <c r="BL108" s="137">
        <f>BL84/1000</f>
        <v>6686.7306176249904</v>
      </c>
    </row>
  </sheetData>
  <mergeCells count="17">
    <mergeCell ref="A18:A23"/>
    <mergeCell ref="A27:A34"/>
    <mergeCell ref="A35:A42"/>
    <mergeCell ref="A43:A50"/>
    <mergeCell ref="A1:J1"/>
    <mergeCell ref="A17:J17"/>
    <mergeCell ref="AX62:BF62"/>
    <mergeCell ref="BG62:BL62"/>
    <mergeCell ref="A51:A58"/>
    <mergeCell ref="B62:J62"/>
    <mergeCell ref="K62:S62"/>
    <mergeCell ref="T62:AB62"/>
    <mergeCell ref="AC62:AE62"/>
    <mergeCell ref="N61:AM61"/>
    <mergeCell ref="A61:L61"/>
    <mergeCell ref="AF62:AN62"/>
    <mergeCell ref="AO62:AW62"/>
  </mergeCells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64"/>
  <sheetViews>
    <sheetView zoomScale="60" zoomScaleNormal="60" workbookViewId="0">
      <selection activeCell="B2" sqref="B2"/>
    </sheetView>
  </sheetViews>
  <sheetFormatPr defaultRowHeight="14.5" x14ac:dyDescent="0.35"/>
  <cols>
    <col min="1" max="1" width="14.6328125" customWidth="1"/>
    <col min="2" max="2" width="13.54296875" bestFit="1" customWidth="1"/>
    <col min="3" max="3" width="18.453125" bestFit="1" customWidth="1"/>
    <col min="4" max="4" width="16.1796875" bestFit="1" customWidth="1"/>
    <col min="5" max="5" width="15.81640625" bestFit="1" customWidth="1"/>
    <col min="6" max="6" width="12.54296875" customWidth="1"/>
    <col min="7" max="7" width="14.36328125" customWidth="1"/>
    <col min="8" max="8" width="15.453125" bestFit="1" customWidth="1"/>
    <col min="9" max="9" width="15.81640625" bestFit="1" customWidth="1"/>
    <col min="10" max="11" width="13.6328125" bestFit="1" customWidth="1"/>
    <col min="12" max="12" width="14.1796875" bestFit="1" customWidth="1"/>
    <col min="13" max="13" width="13.6328125" style="122" bestFit="1" customWidth="1"/>
    <col min="14" max="14" width="11.7265625" style="120" customWidth="1"/>
    <col min="15" max="15" width="15.6328125" bestFit="1" customWidth="1"/>
    <col min="16" max="16" width="12.08984375" bestFit="1" customWidth="1"/>
    <col min="17" max="17" width="13.6328125" bestFit="1" customWidth="1"/>
    <col min="18" max="18" width="13.6328125" customWidth="1"/>
    <col min="19" max="20" width="13" customWidth="1"/>
    <col min="21" max="21" width="12" bestFit="1" customWidth="1"/>
    <col min="22" max="23" width="18.6328125" customWidth="1"/>
    <col min="24" max="24" width="17.6328125" bestFit="1" customWidth="1"/>
    <col min="25" max="25" width="11.81640625" bestFit="1" customWidth="1"/>
  </cols>
  <sheetData>
    <row r="1" spans="1:25" ht="15.5" x14ac:dyDescent="0.35">
      <c r="A1" s="319" t="s">
        <v>310</v>
      </c>
      <c r="B1" s="319"/>
      <c r="C1" s="319"/>
      <c r="D1" s="319"/>
      <c r="E1" s="319"/>
      <c r="F1" s="319"/>
      <c r="G1" s="319"/>
      <c r="H1" s="319"/>
      <c r="I1" s="319"/>
      <c r="J1" s="319"/>
    </row>
    <row r="2" spans="1:25" ht="57.65" customHeight="1" x14ac:dyDescent="0.35">
      <c r="A2" s="2" t="s">
        <v>242</v>
      </c>
      <c r="B2" s="7">
        <f>'Appendix J'!B17</f>
        <v>48000</v>
      </c>
      <c r="C2" t="s">
        <v>96</v>
      </c>
      <c r="D2" s="186">
        <f>(B2/3600)*B4/6.29</f>
        <v>1875.993640699523</v>
      </c>
      <c r="E2" s="26" t="s">
        <v>108</v>
      </c>
      <c r="F2" s="26" t="s">
        <v>118</v>
      </c>
      <c r="G2" s="26" t="s">
        <v>121</v>
      </c>
      <c r="H2" s="26" t="s">
        <v>131</v>
      </c>
      <c r="I2" s="27" t="s">
        <v>126</v>
      </c>
      <c r="J2" s="27" t="s">
        <v>125</v>
      </c>
      <c r="K2" s="27" t="s">
        <v>127</v>
      </c>
      <c r="L2" s="27" t="s">
        <v>128</v>
      </c>
      <c r="M2" s="121" t="s">
        <v>129</v>
      </c>
      <c r="N2" s="119" t="s">
        <v>307</v>
      </c>
      <c r="O2" s="27" t="s">
        <v>308</v>
      </c>
      <c r="P2" s="119" t="s">
        <v>304</v>
      </c>
      <c r="Q2" s="27" t="s">
        <v>305</v>
      </c>
      <c r="R2" s="27" t="s">
        <v>306</v>
      </c>
      <c r="S2" s="27" t="s">
        <v>309</v>
      </c>
      <c r="T2" s="27" t="s">
        <v>311</v>
      </c>
      <c r="U2" s="27" t="s">
        <v>312</v>
      </c>
      <c r="V2" s="27" t="s">
        <v>402</v>
      </c>
      <c r="W2" s="27" t="s">
        <v>313</v>
      </c>
      <c r="X2" s="27" t="s">
        <v>316</v>
      </c>
      <c r="Y2" s="27" t="s">
        <v>445</v>
      </c>
    </row>
    <row r="3" spans="1:25" ht="17.5" customHeight="1" x14ac:dyDescent="0.35">
      <c r="A3" s="2"/>
      <c r="B3" s="7"/>
      <c r="D3" t="s">
        <v>340</v>
      </c>
      <c r="E3" s="72">
        <v>0</v>
      </c>
      <c r="F3" s="72">
        <v>0</v>
      </c>
      <c r="G3" s="72">
        <v>0</v>
      </c>
      <c r="H3" s="72">
        <v>0</v>
      </c>
      <c r="I3" s="27">
        <v>0</v>
      </c>
      <c r="J3" s="27">
        <v>0</v>
      </c>
      <c r="K3" s="27">
        <v>0</v>
      </c>
      <c r="L3" s="27">
        <v>0</v>
      </c>
      <c r="M3" s="121">
        <v>0</v>
      </c>
      <c r="N3" s="119">
        <v>0</v>
      </c>
      <c r="O3" s="27">
        <v>0</v>
      </c>
      <c r="P3" s="119">
        <v>0</v>
      </c>
      <c r="Q3" s="27">
        <v>0</v>
      </c>
      <c r="R3" s="27">
        <v>0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12">
        <v>0</v>
      </c>
      <c r="Y3" s="128">
        <v>1</v>
      </c>
    </row>
    <row r="4" spans="1:25" x14ac:dyDescent="0.35">
      <c r="A4" s="2" t="s">
        <v>120</v>
      </c>
      <c r="B4" s="7">
        <f>'Appendix J'!B11</f>
        <v>885</v>
      </c>
      <c r="C4" t="s">
        <v>19</v>
      </c>
      <c r="E4" s="15">
        <v>1</v>
      </c>
      <c r="F4" s="16">
        <f>'Appendix K'!B5</f>
        <v>124.82341784391919</v>
      </c>
      <c r="G4" s="16">
        <f>'Appendix K'!M5</f>
        <v>223.84435620565029</v>
      </c>
      <c r="H4" s="23">
        <f>'Appendix J'!H75</f>
        <v>0.67179999999999995</v>
      </c>
      <c r="I4" s="28">
        <f>SUM('Appendix J'!T5:AA5)/(24*60*60)</f>
        <v>7.2295717592592594E-3</v>
      </c>
      <c r="J4" s="54">
        <f>I4*(((AVERAGE('Appendix J'!K5:R75))*100000)-$B$6)/$B$10</f>
        <v>99922.043951821644</v>
      </c>
      <c r="K4" s="124">
        <v>0</v>
      </c>
      <c r="L4" s="54">
        <f>I4*9.81*$B$8*((H4*$B$5)+((1-H4)*$B$4))/$B$10</f>
        <v>132699.16756706743</v>
      </c>
      <c r="M4" s="123">
        <f>K4+L4</f>
        <v>132699.16756706743</v>
      </c>
      <c r="N4" s="38">
        <f>J4+M4</f>
        <v>232621.21151888906</v>
      </c>
      <c r="O4" s="12">
        <f>N4*E4*365*24*60*60</f>
        <v>7335942526459.6846</v>
      </c>
      <c r="P4" s="38">
        <f>O4/(3.6*1000000)</f>
        <v>2037761.812905468</v>
      </c>
      <c r="Q4" s="38">
        <f>G4*1000*$B$9</f>
        <v>1119221.7810282514</v>
      </c>
      <c r="R4" s="38">
        <f>(((F4*1000*$B$4/(365*24*60*60))*'Appendix M'!$B$13*('Appendix L'!$G$23-'Appendix L'!$G$22))+(('Appendix L'!AH65))*'Appendix M'!$B$14*('Appendix L'!$G$23-'Appendix L'!$G$22))/$B$15</f>
        <v>314154.0336968046</v>
      </c>
      <c r="S4" s="38">
        <f>R4*365*24*60*60/(3.6*1000000)</f>
        <v>2751989.3351840083</v>
      </c>
      <c r="T4" s="151">
        <f>('Appendix M'!$B$17*((G4*1000*$B$5*$B$16)+(F4*1000*$B$4)))/(1000*60*60*$B$18)</f>
        <v>9.1621203688039632</v>
      </c>
      <c r="U4" s="151">
        <f>T4*365*24*60*60/(3.6*1000000)</f>
        <v>80.260174430722714</v>
      </c>
      <c r="V4" s="38">
        <f t="shared" ref="V4:V24" si="0">(U4+S4+Q4+P4)*$B$19</f>
        <v>886357.97839382384</v>
      </c>
      <c r="W4" s="38">
        <f t="shared" ref="W4:W24" si="1">P4+Q4+S4+U4+V4</f>
        <v>6795411.1676859828</v>
      </c>
      <c r="X4" s="178">
        <f>'Appendix L'!BJ65</f>
        <v>2596974685.8842335</v>
      </c>
      <c r="Y4" s="128">
        <f>(X4-W4-'Appendix L'!BL65)/X4</f>
        <v>0.98828668976339651</v>
      </c>
    </row>
    <row r="5" spans="1:25" x14ac:dyDescent="0.35">
      <c r="A5" s="2" t="s">
        <v>130</v>
      </c>
      <c r="B5" s="7">
        <f>'Appendix J'!B10</f>
        <v>1000</v>
      </c>
      <c r="C5" t="s">
        <v>19</v>
      </c>
      <c r="E5" s="15">
        <v>2</v>
      </c>
      <c r="F5" s="16">
        <f>'Appendix K'!B6</f>
        <v>48.597095999999993</v>
      </c>
      <c r="G5" s="16">
        <f>'Appendix K'!M6</f>
        <v>232.77599999999993</v>
      </c>
      <c r="H5" s="23">
        <f>'Appendix J'!H136</f>
        <v>0.85509999999999997</v>
      </c>
      <c r="I5" s="28">
        <f>SUM('Appendix J'!T137:AA137)/(24*60*60)</f>
        <v>7.3611111111111108E-3</v>
      </c>
      <c r="J5" s="54">
        <f>I5*(((AVERAGE('Appendix J'!K6:R76))*100000)-$B$6)/$B$10</f>
        <v>100873.73201399743</v>
      </c>
      <c r="K5" s="124">
        <v>0</v>
      </c>
      <c r="L5" s="54">
        <f t="shared" ref="L5:L24" si="2">I5*9.81*$B$8*((H5*$B$5)+((1-H5)*$B$4))/$B$10</f>
        <v>138073.41917881946</v>
      </c>
      <c r="M5" s="123">
        <f t="shared" ref="M5:M24" si="3">K5+L5</f>
        <v>138073.41917881946</v>
      </c>
      <c r="N5" s="38">
        <f t="shared" ref="N5:N24" si="4">J5+M5</f>
        <v>238947.15119281691</v>
      </c>
      <c r="O5" s="12">
        <f t="shared" ref="O5:O24" si="5">(N5*(E5-E4)*365*24*60*60)</f>
        <v>7535437360016.6729</v>
      </c>
      <c r="P5" s="38">
        <f t="shared" ref="P5:P24" si="6">O5/(3.6*1000000)</f>
        <v>2093177.0444490758</v>
      </c>
      <c r="Q5" s="38">
        <f t="shared" ref="Q5:Q24" si="7">G5*1000*$B$9</f>
        <v>1163879.9999999995</v>
      </c>
      <c r="R5" s="38">
        <f>(((F5*1000*$B$4/(365*24*60*60))*'Appendix M'!$B$13*('Appendix L'!$G$23-'Appendix L'!$G$22))+(('Appendix L'!AH66))*'Appendix M'!$B$14*('Appendix L'!$G$23-'Appendix L'!$G$22))/$B$15</f>
        <v>122308.56996273619</v>
      </c>
      <c r="S5" s="38">
        <f t="shared" ref="S5:S24" si="8">R5*365*24*60*60/(3.6*1000000)</f>
        <v>1071423.0728735689</v>
      </c>
      <c r="T5" s="151">
        <f>('Appendix M'!$B$17*((G5*1000*$B$5*$B$16)+(F5*1000*$B$4)))/(1000*60*60*$B$18)</f>
        <v>4.1154086759999995</v>
      </c>
      <c r="U5" s="151">
        <f t="shared" ref="U5:U24" si="9">T5*365*24*60*60/(3.6*1000000)</f>
        <v>36.050980001759996</v>
      </c>
      <c r="V5" s="38">
        <f t="shared" si="0"/>
        <v>649277.42524539691</v>
      </c>
      <c r="W5" s="38">
        <f t="shared" si="1"/>
        <v>4977793.5935480427</v>
      </c>
      <c r="X5" s="172">
        <f>'Appendix L'!BJ66</f>
        <v>1011318409.1032439</v>
      </c>
      <c r="Y5" s="128">
        <f>(X5-W5-'Appendix L'!BL66)/X5</f>
        <v>0.98331508311625981</v>
      </c>
    </row>
    <row r="6" spans="1:25" ht="27.65" customHeight="1" x14ac:dyDescent="0.35">
      <c r="A6" s="2" t="s">
        <v>124</v>
      </c>
      <c r="B6" s="7">
        <f>'Appendix J'!B13</f>
        <v>6500000</v>
      </c>
      <c r="C6" t="s">
        <v>123</v>
      </c>
      <c r="E6" s="15">
        <v>3</v>
      </c>
      <c r="F6" s="16">
        <f>'Appendix K'!B7</f>
        <v>26.954049056000017</v>
      </c>
      <c r="G6" s="16">
        <f>'Appendix K'!M7</f>
        <v>232.77631799999992</v>
      </c>
      <c r="H6" s="23">
        <f>'Appendix J'!H197</f>
        <v>0.8982</v>
      </c>
      <c r="I6" s="28">
        <f>SUM('Appendix J'!T198:AA198)/(24*60*60)</f>
        <v>7.3611111111111108E-3</v>
      </c>
      <c r="J6" s="54">
        <f>I6*(((AVERAGE('Appendix J'!K7:R77))*100000)-$B$6)/$B$10</f>
        <v>99853.695417101218</v>
      </c>
      <c r="K6" s="124">
        <v>0</v>
      </c>
      <c r="L6" s="54">
        <f t="shared" si="2"/>
        <v>138769.37717708334</v>
      </c>
      <c r="M6" s="123">
        <f t="shared" si="3"/>
        <v>138769.37717708334</v>
      </c>
      <c r="N6" s="38">
        <f t="shared" si="4"/>
        <v>238623.07259418454</v>
      </c>
      <c r="O6" s="12">
        <f t="shared" si="5"/>
        <v>7525217217330.2031</v>
      </c>
      <c r="P6" s="38">
        <f t="shared" si="6"/>
        <v>2090338.1159250564</v>
      </c>
      <c r="Q6" s="38">
        <f t="shared" si="7"/>
        <v>1163881.5899999996</v>
      </c>
      <c r="R6" s="38">
        <f>(((F6*1000*$B$4/(365*24*60*60))*'Appendix M'!$B$13*('Appendix L'!$G$23-'Appendix L'!$G$22))+(('Appendix L'!AH67))*'Appendix M'!$B$14*('Appendix L'!$G$23-'Appendix L'!$G$22))/$B$15</f>
        <v>67837.617184878734</v>
      </c>
      <c r="S6" s="38">
        <f t="shared" si="8"/>
        <v>594257.52653953771</v>
      </c>
      <c r="T6" s="151">
        <f>('Appendix M'!$B$17*((G6*1000*$B$5*$B$16)+(F6*1000*$B$4)))/(1000*60*60*$B$18)</f>
        <v>2.6729408743063714</v>
      </c>
      <c r="U6" s="151">
        <f t="shared" si="9"/>
        <v>23.414962058923816</v>
      </c>
      <c r="V6" s="38">
        <f t="shared" si="0"/>
        <v>577275.09711399791</v>
      </c>
      <c r="W6" s="38">
        <f t="shared" si="1"/>
        <v>4425775.7445406504</v>
      </c>
      <c r="X6" s="172">
        <f>'Appendix L'!BJ67</f>
        <v>560829681.75878096</v>
      </c>
      <c r="Y6" s="128">
        <f>(X6-W6-'Appendix L'!BL67)/X6</f>
        <v>0.97639869261665446</v>
      </c>
    </row>
    <row r="7" spans="1:25" x14ac:dyDescent="0.35">
      <c r="A7" s="2" t="s">
        <v>133</v>
      </c>
      <c r="B7" s="7">
        <f>'Appendix J'!B7</f>
        <v>50</v>
      </c>
      <c r="C7" t="s">
        <v>1</v>
      </c>
      <c r="E7" s="15">
        <v>4</v>
      </c>
      <c r="F7" s="16">
        <f>'Appendix K'!B8</f>
        <v>51.021749999999969</v>
      </c>
      <c r="G7" s="16">
        <f>'Appendix K'!M8</f>
        <v>217.16446800000034</v>
      </c>
      <c r="H7" s="23">
        <f>'Appendix J'!H257</f>
        <v>0.58860000000000001</v>
      </c>
      <c r="I7" s="28">
        <f>SUM('Appendix J'!T258:AA258)/(24*60*60)</f>
        <v>6.2528009259259255E-3</v>
      </c>
      <c r="J7" s="54">
        <f>I7*(((AVERAGE('Appendix J'!K8:R78))*100000)-$B$6)/$B$10</f>
        <v>83897.188824271376</v>
      </c>
      <c r="K7" s="124">
        <v>0</v>
      </c>
      <c r="L7" s="54">
        <f t="shared" si="2"/>
        <v>113629.29166466843</v>
      </c>
      <c r="M7" s="123">
        <f t="shared" si="3"/>
        <v>113629.29166466843</v>
      </c>
      <c r="N7" s="38">
        <f t="shared" si="4"/>
        <v>197526.48048893979</v>
      </c>
      <c r="O7" s="12">
        <f t="shared" si="5"/>
        <v>6229195088699.2051</v>
      </c>
      <c r="P7" s="38">
        <f t="shared" si="6"/>
        <v>1730331.9690831124</v>
      </c>
      <c r="Q7" s="38">
        <f t="shared" si="7"/>
        <v>1085822.3400000017</v>
      </c>
      <c r="R7" s="38">
        <f>(((F7*1000*$B$4/(365*24*60*60))*'Appendix M'!$B$13*('Appendix L'!$G$23-'Appendix L'!$G$22))+(('Appendix L'!AH68))*'Appendix M'!$B$14*('Appendix L'!$G$23-'Appendix L'!$G$22))/$B$15</f>
        <v>128410.90915177797</v>
      </c>
      <c r="S7" s="38">
        <f t="shared" si="8"/>
        <v>1124879.564169575</v>
      </c>
      <c r="T7" s="151">
        <f>('Appendix M'!$B$17*((G7*1000*$B$5*$B$16)+(F7*1000*$B$4)))/(1000*60*60*$B$18)</f>
        <v>4.2182232112962961</v>
      </c>
      <c r="U7" s="151">
        <f t="shared" si="9"/>
        <v>36.951635330955561</v>
      </c>
      <c r="V7" s="38">
        <f t="shared" si="0"/>
        <v>591160.62373320293</v>
      </c>
      <c r="W7" s="38">
        <f t="shared" si="1"/>
        <v>4532231.4486212227</v>
      </c>
      <c r="X7" s="172">
        <f>'Appendix L'!BJ68</f>
        <v>1060013230.862856</v>
      </c>
      <c r="Y7" s="128">
        <f>(X7-W7-'Appendix L'!BL68)/X7</f>
        <v>0.98288506170789891</v>
      </c>
    </row>
    <row r="8" spans="1:25" x14ac:dyDescent="0.35">
      <c r="A8" s="2" t="s">
        <v>0</v>
      </c>
      <c r="B8" s="7">
        <f>'Appendix J'!B8</f>
        <v>700</v>
      </c>
      <c r="C8" t="s">
        <v>1</v>
      </c>
      <c r="E8" s="15">
        <v>5</v>
      </c>
      <c r="F8" s="16">
        <f>'Appendix K'!B9</f>
        <v>68.057819999999893</v>
      </c>
      <c r="G8" s="16">
        <f>'Appendix K'!M9</f>
        <v>197.56825200000009</v>
      </c>
      <c r="H8" s="23">
        <f>'Appendix J'!H318</f>
        <v>0.73080000000000001</v>
      </c>
      <c r="I8" s="28">
        <f>SUM('Appendix J'!T319:AA319)/(24*60*60)</f>
        <v>6.3117361111111117E-3</v>
      </c>
      <c r="J8" s="54">
        <f>I8*(((AVERAGE('Appendix J'!K9:R79))*100000)-$B$6)/$B$10</f>
        <v>83731.692504496386</v>
      </c>
      <c r="K8" s="124">
        <v>0</v>
      </c>
      <c r="L8" s="54">
        <f t="shared" si="2"/>
        <v>116669.1356109271</v>
      </c>
      <c r="M8" s="123">
        <f t="shared" si="3"/>
        <v>116669.1356109271</v>
      </c>
      <c r="N8" s="38">
        <f t="shared" si="4"/>
        <v>200400.8281154235</v>
      </c>
      <c r="O8" s="12">
        <f t="shared" si="5"/>
        <v>6319840515447.9951</v>
      </c>
      <c r="P8" s="38">
        <f t="shared" si="6"/>
        <v>1755511.2542911097</v>
      </c>
      <c r="Q8" s="38">
        <f t="shared" si="7"/>
        <v>987841.26000000047</v>
      </c>
      <c r="R8" s="38">
        <f>(((F8*1000*$B$4/(365*24*60*60))*'Appendix M'!$B$13*('Appendix L'!$G$23-'Appendix L'!$G$22))+(('Appendix L'!AH69))*'Appendix M'!$B$14*('Appendix L'!$G$23-'Appendix L'!$G$22))/$B$15</f>
        <v>171287.07935513873</v>
      </c>
      <c r="S8" s="38">
        <f t="shared" si="8"/>
        <v>1500474.8151510151</v>
      </c>
      <c r="T8" s="151">
        <f>('Appendix M'!$B$17*((G8*1000*$B$5*$B$16)+(F8*1000*$B$4)))/(1000*60*60*$B$18)</f>
        <v>5.2798575077777707</v>
      </c>
      <c r="U8" s="151">
        <f t="shared" si="9"/>
        <v>46.251551768133268</v>
      </c>
      <c r="V8" s="38">
        <f t="shared" si="0"/>
        <v>636581.03714908403</v>
      </c>
      <c r="W8" s="38">
        <f t="shared" si="1"/>
        <v>4880454.6181429774</v>
      </c>
      <c r="X8" s="172">
        <f>'Appendix L'!BJ69</f>
        <v>1414523629.7062671</v>
      </c>
      <c r="Y8" s="128">
        <f>(X8-W8-'Appendix L'!BL69)/X8</f>
        <v>0.98528756280797669</v>
      </c>
    </row>
    <row r="9" spans="1:25" ht="29" x14ac:dyDescent="0.35">
      <c r="A9" s="2" t="s">
        <v>132</v>
      </c>
      <c r="B9" s="7">
        <f>'Appendix J'!C16</f>
        <v>5</v>
      </c>
      <c r="C9" t="s">
        <v>134</v>
      </c>
      <c r="E9" s="15">
        <v>6</v>
      </c>
      <c r="F9" s="16">
        <f>'Appendix K'!B10</f>
        <v>44.232300000000045</v>
      </c>
      <c r="G9" s="16">
        <f>'Appendix K'!M10</f>
        <v>202.47294600000001</v>
      </c>
      <c r="H9" s="23">
        <f>'Appendix J'!H379</f>
        <v>0.8196</v>
      </c>
      <c r="I9" s="28">
        <f>SUM('Appendix J'!T380:AA380)/(24*60*60)</f>
        <v>6.4983912037037041E-3</v>
      </c>
      <c r="J9" s="54">
        <f>I9*(((AVERAGE('Appendix J'!K10:R80))*100000)-$B$6)/$B$10</f>
        <v>85200.531649681245</v>
      </c>
      <c r="K9" s="124">
        <v>0</v>
      </c>
      <c r="L9" s="54">
        <f t="shared" si="2"/>
        <v>121385.20418452608</v>
      </c>
      <c r="M9" s="123">
        <f t="shared" si="3"/>
        <v>121385.20418452608</v>
      </c>
      <c r="N9" s="38">
        <f t="shared" si="4"/>
        <v>206585.73583420733</v>
      </c>
      <c r="O9" s="12">
        <f t="shared" si="5"/>
        <v>6514887765267.5615</v>
      </c>
      <c r="P9" s="38">
        <f t="shared" si="6"/>
        <v>1809691.045907656</v>
      </c>
      <c r="Q9" s="38">
        <f t="shared" si="7"/>
        <v>1012364.73</v>
      </c>
      <c r="R9" s="38">
        <f>(((F9*1000*$B$4/(365*24*60*60))*'Appendix M'!$B$13*('Appendix L'!$G$23-'Appendix L'!$G$22))+(('Appendix L'!AH70))*'Appendix M'!$B$14*('Appendix L'!$G$23-'Appendix L'!$G$22))/$B$15</f>
        <v>111323.30539180247</v>
      </c>
      <c r="S9" s="38">
        <f t="shared" si="8"/>
        <v>975192.15523218969</v>
      </c>
      <c r="T9" s="151">
        <f>('Appendix M'!$B$17*((G9*1000*$B$5*$B$16)+(F9*1000*$B$4)))/(1000*60*60*$B$18)</f>
        <v>3.7103990133333364</v>
      </c>
      <c r="U9" s="151">
        <f t="shared" si="9"/>
        <v>32.503095356800031</v>
      </c>
      <c r="V9" s="38">
        <f t="shared" si="0"/>
        <v>569592.06513528025</v>
      </c>
      <c r="W9" s="38">
        <f t="shared" si="1"/>
        <v>4366872.4993704828</v>
      </c>
      <c r="X9" s="172">
        <f>'Appendix L'!BJ70</f>
        <v>918871546.98221517</v>
      </c>
      <c r="Y9" s="128">
        <f>(X9-W9-'Appendix L'!BL70)/X9</f>
        <v>0.98179256967998829</v>
      </c>
    </row>
    <row r="10" spans="1:25" ht="29" x14ac:dyDescent="0.35">
      <c r="A10" s="2" t="s">
        <v>240</v>
      </c>
      <c r="B10" s="7">
        <v>0.36</v>
      </c>
      <c r="E10" s="15">
        <v>7</v>
      </c>
      <c r="F10" s="16">
        <f>'Appendix K'!B11</f>
        <v>30.900821999999984</v>
      </c>
      <c r="G10" s="16">
        <f>'Appendix K'!M11</f>
        <v>208.85468999999972</v>
      </c>
      <c r="H10" s="23">
        <f>'Appendix J'!H440</f>
        <v>0.87670000000000003</v>
      </c>
      <c r="I10" s="28">
        <f>SUM('Appendix J'!T441:AA441)/(24*60*60)</f>
        <v>6.7057986111111112E-3</v>
      </c>
      <c r="J10" s="54">
        <f>I10*(((AVERAGE('Appendix J'!K11:R81))*100000)-$B$6)/$B$10</f>
        <v>86859.768653005842</v>
      </c>
      <c r="K10" s="124">
        <v>0</v>
      </c>
      <c r="L10" s="54">
        <f t="shared" si="2"/>
        <v>126099.36458487026</v>
      </c>
      <c r="M10" s="123">
        <f t="shared" si="3"/>
        <v>126099.36458487026</v>
      </c>
      <c r="N10" s="38">
        <f t="shared" si="4"/>
        <v>212959.13323787611</v>
      </c>
      <c r="O10" s="12">
        <f t="shared" si="5"/>
        <v>6715879225789.6602</v>
      </c>
      <c r="P10" s="38">
        <f t="shared" si="6"/>
        <v>1865522.0071637945</v>
      </c>
      <c r="Q10" s="38">
        <f t="shared" si="7"/>
        <v>1044273.4499999986</v>
      </c>
      <c r="R10" s="38">
        <f>(((F10*1000*$B$4/(365*24*60*60))*'Appendix M'!$B$13*('Appendix L'!$G$23-'Appendix L'!$G$22))+(('Appendix L'!AH71))*'Appendix M'!$B$14*('Appendix L'!$G$23-'Appendix L'!$G$22))/$B$15</f>
        <v>77770.806500311388</v>
      </c>
      <c r="S10" s="38">
        <f t="shared" si="8"/>
        <v>681272.26494272775</v>
      </c>
      <c r="T10" s="151">
        <f>('Appendix M'!$B$17*((G10*1000*$B$5*$B$16)+(F10*1000*$B$4)))/(1000*60*60*$B$18)</f>
        <v>2.8459107162592572</v>
      </c>
      <c r="U10" s="151">
        <f t="shared" si="9"/>
        <v>24.930177874431095</v>
      </c>
      <c r="V10" s="38">
        <f t="shared" si="0"/>
        <v>538663.89784265927</v>
      </c>
      <c r="W10" s="38">
        <f t="shared" si="1"/>
        <v>4129756.5501270546</v>
      </c>
      <c r="X10" s="172">
        <f>'Appendix L'!BJ71</f>
        <v>641508618.37236392</v>
      </c>
      <c r="Y10" s="128">
        <f>(X10-W10-'Appendix L'!BL71)/X10</f>
        <v>0.97725875518556604</v>
      </c>
    </row>
    <row r="11" spans="1:25" ht="43.5" x14ac:dyDescent="0.35">
      <c r="A11" s="131" t="s">
        <v>241</v>
      </c>
      <c r="B11" s="7">
        <v>0.8</v>
      </c>
      <c r="E11" s="15">
        <v>8</v>
      </c>
      <c r="F11" s="16">
        <f>'Appendix K'!B12</f>
        <v>22.377966000000072</v>
      </c>
      <c r="G11" s="16">
        <f>'Appendix K'!M12</f>
        <v>215.07429600000009</v>
      </c>
      <c r="H11" s="23">
        <f>'Appendix J'!H501</f>
        <v>0.91049999999999998</v>
      </c>
      <c r="I11" s="28">
        <f>SUM('Appendix J'!T502:AA502)/(24*60*60)</f>
        <v>6.8886342592592593E-3</v>
      </c>
      <c r="J11" s="54">
        <f>I11*(((AVERAGE('Appendix J'!K12:R82))*100000)-$B$6)/$B$10</f>
        <v>88125.58253394776</v>
      </c>
      <c r="K11" s="124">
        <v>0</v>
      </c>
      <c r="L11" s="54">
        <f t="shared" si="2"/>
        <v>130048.25680610679</v>
      </c>
      <c r="M11" s="123">
        <f t="shared" si="3"/>
        <v>130048.25680610679</v>
      </c>
      <c r="N11" s="38">
        <f t="shared" si="4"/>
        <v>218173.83934005455</v>
      </c>
      <c r="O11" s="12">
        <f t="shared" si="5"/>
        <v>6880330197427.9609</v>
      </c>
      <c r="P11" s="38">
        <f t="shared" si="6"/>
        <v>1911202.832618878</v>
      </c>
      <c r="Q11" s="38">
        <f t="shared" si="7"/>
        <v>1075371.4800000004</v>
      </c>
      <c r="R11" s="38">
        <f>(((F11*1000*$B$4/(365*24*60*60))*'Appendix M'!$B$13*('Appendix L'!$G$23-'Appendix L'!$G$22))+(('Appendix L'!AH72))*'Appendix M'!$B$14*('Appendix L'!$G$23-'Appendix L'!$G$22))/$B$15</f>
        <v>56320.587965477214</v>
      </c>
      <c r="S11" s="38">
        <f t="shared" si="8"/>
        <v>493368.35057758045</v>
      </c>
      <c r="T11" s="151">
        <f>('Appendix M'!$B$17*((G11*1000*$B$5*$B$16)+(F11*1000*$B$4)))/(1000*60*60*$B$18)</f>
        <v>2.3012976510000049</v>
      </c>
      <c r="U11" s="151">
        <f t="shared" si="9"/>
        <v>20.159367422760042</v>
      </c>
      <c r="V11" s="38">
        <f t="shared" si="0"/>
        <v>521994.42338458227</v>
      </c>
      <c r="W11" s="38">
        <f t="shared" si="1"/>
        <v>4001957.2459484637</v>
      </c>
      <c r="X11" s="172">
        <f>'Appendix L'!BJ72</f>
        <v>464176267.74713755</v>
      </c>
      <c r="Y11" s="128">
        <f>(X11-W11-'Appendix L'!BL72)/X11</f>
        <v>0.9713638943768883</v>
      </c>
    </row>
    <row r="12" spans="1:25" ht="29" x14ac:dyDescent="0.35">
      <c r="A12" s="2" t="s">
        <v>289</v>
      </c>
      <c r="B12" s="7">
        <v>3934</v>
      </c>
      <c r="C12" t="s">
        <v>292</v>
      </c>
      <c r="E12" s="15">
        <v>9</v>
      </c>
      <c r="F12" s="16">
        <f>'Appendix K'!B13</f>
        <v>17.251740000000513</v>
      </c>
      <c r="G12" s="16">
        <f>'Appendix K'!M13</f>
        <v>220.38175200000009</v>
      </c>
      <c r="H12" s="23">
        <f>'Appendix J'!H562</f>
        <v>0.93020000000000003</v>
      </c>
      <c r="I12" s="28">
        <f>SUM('Appendix J'!T563:AA563)/(24*60*60)</f>
        <v>7.0427083333333331E-3</v>
      </c>
      <c r="J12" s="54">
        <f>I12*(((AVERAGE('Appendix J'!K13:R83))*100000)-$B$6)/$B$10</f>
        <v>88973.322802555951</v>
      </c>
      <c r="K12" s="124">
        <v>0</v>
      </c>
      <c r="L12" s="54">
        <f t="shared" si="2"/>
        <v>133261.31699580731</v>
      </c>
      <c r="M12" s="123">
        <f t="shared" si="3"/>
        <v>133261.31699580731</v>
      </c>
      <c r="N12" s="38">
        <f t="shared" si="4"/>
        <v>222234.63979836326</v>
      </c>
      <c r="O12" s="12">
        <f t="shared" si="5"/>
        <v>7008391600681.1836</v>
      </c>
      <c r="P12" s="38">
        <f t="shared" si="6"/>
        <v>1946775.444633662</v>
      </c>
      <c r="Q12" s="38">
        <f t="shared" si="7"/>
        <v>1101908.7600000005</v>
      </c>
      <c r="R12" s="38">
        <f>(((F12*1000*$B$4/(365*24*60*60))*'Appendix M'!$B$13*('Appendix L'!$G$23-'Appendix L'!$G$22))+(('Appendix L'!AH73))*'Appendix M'!$B$14*('Appendix L'!$G$23-'Appendix L'!$G$22))/$B$15</f>
        <v>43418.965791062852</v>
      </c>
      <c r="S12" s="38">
        <f t="shared" si="8"/>
        <v>380350.14032971056</v>
      </c>
      <c r="T12" s="151">
        <f>('Appendix M'!$B$17*((G12*1000*$B$5*$B$16)+(F12*1000*$B$4)))/(1000*60*60*$B$18)</f>
        <v>1.9796290462963311</v>
      </c>
      <c r="U12" s="151">
        <f t="shared" si="9"/>
        <v>17.341550445555864</v>
      </c>
      <c r="V12" s="38">
        <f t="shared" si="0"/>
        <v>514357.75297707279</v>
      </c>
      <c r="W12" s="38">
        <f t="shared" si="1"/>
        <v>3943409.4394908915</v>
      </c>
      <c r="X12" s="172">
        <f>'Appendix L'!BJ73</f>
        <v>357506764.27543944</v>
      </c>
      <c r="Y12" s="128">
        <f>(X12-W12-'Appendix L'!BL73)/X12</f>
        <v>0.96484760129518055</v>
      </c>
    </row>
    <row r="13" spans="1:25" ht="29" x14ac:dyDescent="0.35">
      <c r="A13" s="2" t="s">
        <v>290</v>
      </c>
      <c r="B13" s="7">
        <v>2183</v>
      </c>
      <c r="C13" t="s">
        <v>292</v>
      </c>
      <c r="E13" s="15">
        <v>10</v>
      </c>
      <c r="F13" s="16">
        <f>'Appendix K'!B14</f>
        <v>13.899624000000069</v>
      </c>
      <c r="G13" s="16">
        <f>'Appendix K'!M14</f>
        <v>221.17591200000072</v>
      </c>
      <c r="H13" s="23">
        <f>'Appendix J'!H622</f>
        <v>0.94279999999999997</v>
      </c>
      <c r="I13" s="28">
        <f>SUM('Appendix J'!T623:AA623)/(24*60*60)</f>
        <v>7.1739699074074076E-3</v>
      </c>
      <c r="J13" s="54">
        <f>I13*(((AVERAGE('Appendix J'!K14:R84))*100000)-$B$6)/$B$10</f>
        <v>89490.078659151812</v>
      </c>
      <c r="K13" s="124">
        <v>0</v>
      </c>
      <c r="L13" s="54">
        <f t="shared" si="2"/>
        <v>135943.31959877489</v>
      </c>
      <c r="M13" s="123">
        <f t="shared" si="3"/>
        <v>135943.31959877489</v>
      </c>
      <c r="N13" s="38">
        <f t="shared" si="4"/>
        <v>225433.39825792669</v>
      </c>
      <c r="O13" s="12">
        <f t="shared" si="5"/>
        <v>7109267647461.9756</v>
      </c>
      <c r="P13" s="38">
        <f t="shared" si="6"/>
        <v>1974796.5687394377</v>
      </c>
      <c r="Q13" s="38">
        <f t="shared" si="7"/>
        <v>1105879.5600000035</v>
      </c>
      <c r="R13" s="38">
        <f>(((F13*1000*$B$4/(365*24*60*60))*'Appendix M'!$B$13*('Appendix L'!$G$23-'Appendix L'!$G$22))+(('Appendix L'!AH74))*'Appendix M'!$B$14*('Appendix L'!$G$23-'Appendix L'!$G$22))/$B$15</f>
        <v>34982.401715109394</v>
      </c>
      <c r="S13" s="38">
        <f t="shared" si="8"/>
        <v>306445.83902435825</v>
      </c>
      <c r="T13" s="151">
        <f>('Appendix M'!$B$17*((G13*1000*$B$5*$B$16)+(F13*1000*$B$4)))/(1000*60*60*$B$18)</f>
        <v>1.7592070780740816</v>
      </c>
      <c r="U13" s="151">
        <f t="shared" si="9"/>
        <v>15.410654003928956</v>
      </c>
      <c r="V13" s="38">
        <f t="shared" si="0"/>
        <v>508070.6067626705</v>
      </c>
      <c r="W13" s="38">
        <f t="shared" si="1"/>
        <v>3895207.9851804739</v>
      </c>
      <c r="X13" s="172">
        <f>'Appendix L'!BJ74</f>
        <v>287770101.41315514</v>
      </c>
      <c r="Y13" s="128">
        <f>(X13-W13-'Appendix L'!BL74)/X13</f>
        <v>0.95816094313665523</v>
      </c>
    </row>
    <row r="14" spans="1:25" ht="29" x14ac:dyDescent="0.35">
      <c r="A14" s="2" t="s">
        <v>291</v>
      </c>
      <c r="B14" s="7">
        <v>2312</v>
      </c>
      <c r="C14" t="s">
        <v>292</v>
      </c>
      <c r="E14" s="15">
        <v>11</v>
      </c>
      <c r="F14" s="16">
        <f>'Appendix K'!B15</f>
        <v>11.885406000000076</v>
      </c>
      <c r="G14" s="16">
        <f>'Appendix K'!M15</f>
        <v>228.67018199999865</v>
      </c>
      <c r="H14" s="23">
        <f>'Appendix J'!H683</f>
        <v>0.95250000000000001</v>
      </c>
      <c r="I14" s="28">
        <f>SUM('Appendix J'!T684:AA684)/(24*60*60)</f>
        <v>7.2775462962962958E-3</v>
      </c>
      <c r="J14" s="54">
        <f>I14*(((AVERAGE('Appendix J'!K15:R85))*100000)-$B$6)/$B$10</f>
        <v>89619.918296478252</v>
      </c>
      <c r="K14" s="124">
        <v>0</v>
      </c>
      <c r="L14" s="54">
        <f t="shared" si="2"/>
        <v>138060.89574587674</v>
      </c>
      <c r="M14" s="123">
        <f t="shared" si="3"/>
        <v>138060.89574587674</v>
      </c>
      <c r="N14" s="38">
        <f t="shared" si="4"/>
        <v>227680.81404235499</v>
      </c>
      <c r="O14" s="12">
        <f t="shared" si="5"/>
        <v>7180142151639.707</v>
      </c>
      <c r="P14" s="38">
        <f t="shared" si="6"/>
        <v>1994483.9310110298</v>
      </c>
      <c r="Q14" s="38">
        <f t="shared" si="7"/>
        <v>1143350.9099999932</v>
      </c>
      <c r="R14" s="38">
        <f>(((F14*1000*$B$4/(365*24*60*60))*'Appendix M'!$B$13*('Appendix L'!$G$23-'Appendix L'!$G$22))+(('Appendix L'!AH75))*'Appendix M'!$B$14*('Appendix L'!$G$23-'Appendix L'!$G$22))/$B$15</f>
        <v>29913.042772896024</v>
      </c>
      <c r="S14" s="38">
        <f t="shared" si="8"/>
        <v>262038.25469056919</v>
      </c>
      <c r="T14" s="151">
        <f>('Appendix M'!$B$17*((G14*1000*$B$5*$B$16)+(F14*1000*$B$4)))/(1000*60*60*$B$18)</f>
        <v>1.6531823432222221</v>
      </c>
      <c r="U14" s="151">
        <f t="shared" si="9"/>
        <v>14.481877326626666</v>
      </c>
      <c r="V14" s="38">
        <f t="shared" si="0"/>
        <v>509983.13663683785</v>
      </c>
      <c r="W14" s="38">
        <f t="shared" si="1"/>
        <v>3909870.7142157569</v>
      </c>
      <c r="X14" s="172">
        <f>'Appendix L'!BJ75</f>
        <v>245823980.39251161</v>
      </c>
      <c r="Y14" s="128">
        <f>(X14-W14-'Appendix L'!BL75)/X14</f>
        <v>0.95160758579415694</v>
      </c>
    </row>
    <row r="15" spans="1:25" ht="43.5" x14ac:dyDescent="0.35">
      <c r="A15" s="2" t="s">
        <v>323</v>
      </c>
      <c r="B15" s="7">
        <v>0.85</v>
      </c>
      <c r="E15" s="15">
        <v>12</v>
      </c>
      <c r="F15" s="16">
        <f>'Appendix K'!B16</f>
        <v>10.000289999999863</v>
      </c>
      <c r="G15" s="16">
        <f>'Appendix K'!M16</f>
        <v>231.20770199999865</v>
      </c>
      <c r="H15" s="23">
        <f>'Appendix J'!H744</f>
        <v>0.96040000000000003</v>
      </c>
      <c r="I15" s="28">
        <f>SUM('Appendix J'!T745:AA745)/(24*60*60)</f>
        <v>7.3396180555555558E-3</v>
      </c>
      <c r="J15" s="54">
        <f>I15*(((AVERAGE('Appendix J'!K16:R86))*100000)-$B$6)/$B$10</f>
        <v>89224.098479136694</v>
      </c>
      <c r="K15" s="124">
        <v>0</v>
      </c>
      <c r="L15" s="54">
        <f t="shared" si="2"/>
        <v>139365.63977130034</v>
      </c>
      <c r="M15" s="123">
        <f t="shared" si="3"/>
        <v>139365.63977130034</v>
      </c>
      <c r="N15" s="38">
        <f t="shared" si="4"/>
        <v>228589.73825043702</v>
      </c>
      <c r="O15" s="12">
        <f t="shared" si="5"/>
        <v>7208805985465.7813</v>
      </c>
      <c r="P15" s="38">
        <f t="shared" si="6"/>
        <v>2002446.1070738281</v>
      </c>
      <c r="Q15" s="38">
        <f t="shared" si="7"/>
        <v>1156038.5099999933</v>
      </c>
      <c r="R15" s="38">
        <f>(((F15*1000*$B$4/(365*24*60*60))*'Appendix M'!$B$13*('Appendix L'!$G$23-'Appendix L'!$G$22))+(('Appendix L'!AH76))*'Appendix M'!$B$14*('Appendix L'!$G$23-'Appendix L'!$G$22))/$B$15</f>
        <v>25168.606147014107</v>
      </c>
      <c r="S15" s="38">
        <f t="shared" si="8"/>
        <v>220476.98984784356</v>
      </c>
      <c r="T15" s="151">
        <f>('Appendix M'!$B$17*((G15*1000*$B$5*$B$16)+(F15*1000*$B$4)))/(1000*60*60*$B$18)</f>
        <v>1.5370977120370231</v>
      </c>
      <c r="U15" s="151">
        <f t="shared" si="9"/>
        <v>13.464975957444322</v>
      </c>
      <c r="V15" s="38">
        <f t="shared" si="0"/>
        <v>506846.26078464329</v>
      </c>
      <c r="W15" s="38">
        <f t="shared" si="1"/>
        <v>3885821.3326822654</v>
      </c>
      <c r="X15" s="172">
        <f>'Appendix L'!BJ76</f>
        <v>206593680.55328527</v>
      </c>
      <c r="Y15" s="128">
        <f>(X15-W15-'Appendix L'!BL76)/X15</f>
        <v>0.94369401838931077</v>
      </c>
    </row>
    <row r="16" spans="1:25" ht="29" x14ac:dyDescent="0.35">
      <c r="A16" s="2" t="s">
        <v>293</v>
      </c>
      <c r="B16" s="8">
        <v>0.05</v>
      </c>
      <c r="C16" t="s">
        <v>295</v>
      </c>
      <c r="E16" s="15">
        <v>13</v>
      </c>
      <c r="F16" s="16">
        <f>'Appendix K'!B17</f>
        <v>8.4327359999999754</v>
      </c>
      <c r="G16" s="16">
        <f>'Appendix K'!M17</f>
        <v>232.64478000000025</v>
      </c>
      <c r="H16" s="23">
        <f>'Appendix J'!H805</f>
        <v>0.96660000000000001</v>
      </c>
      <c r="I16" s="28">
        <f>SUM('Appendix J'!T806:AA806)/(24*60*60)</f>
        <v>7.3611111111111108E-3</v>
      </c>
      <c r="J16" s="54">
        <f>I16*(((AVERAGE('Appendix J'!K17:R87))*100000)-$B$6)/$B$10</f>
        <v>88339.172399365299</v>
      </c>
      <c r="K16" s="124">
        <v>0</v>
      </c>
      <c r="L16" s="54">
        <f t="shared" si="2"/>
        <v>139873.86736458333</v>
      </c>
      <c r="M16" s="123">
        <f t="shared" si="3"/>
        <v>139873.86736458333</v>
      </c>
      <c r="N16" s="38">
        <f t="shared" si="4"/>
        <v>228213.03976394865</v>
      </c>
      <c r="O16" s="12">
        <f t="shared" si="5"/>
        <v>7196926421995.8838</v>
      </c>
      <c r="P16" s="38">
        <f t="shared" si="6"/>
        <v>1999146.2283321898</v>
      </c>
      <c r="Q16" s="38">
        <f t="shared" si="7"/>
        <v>1163223.9000000013</v>
      </c>
      <c r="R16" s="38">
        <f>(((F16*1000*$B$4/(365*24*60*60))*'Appendix M'!$B$13*('Appendix L'!$G$23-'Appendix L'!$G$22))+(('Appendix L'!AH77))*'Appendix M'!$B$14*('Appendix L'!$G$23-'Appendix L'!$G$22))/$B$15</f>
        <v>21223.405633811562</v>
      </c>
      <c r="S16" s="38">
        <f t="shared" si="8"/>
        <v>185917.03335218932</v>
      </c>
      <c r="T16" s="151">
        <f>('Appendix M'!$B$17*((G16*1000*$B$5*$B$16)+(F16*1000*$B$4)))/(1000*60*60*$B$18)</f>
        <v>1.4380343604444437</v>
      </c>
      <c r="U16" s="151">
        <f t="shared" si="9"/>
        <v>12.597180997493327</v>
      </c>
      <c r="V16" s="38">
        <f t="shared" si="0"/>
        <v>502244.96382980666</v>
      </c>
      <c r="W16" s="38">
        <f t="shared" si="1"/>
        <v>3850544.7226951844</v>
      </c>
      <c r="X16" s="172">
        <f>'Appendix L'!BJ77</f>
        <v>173976205.03646591</v>
      </c>
      <c r="Y16" s="128">
        <f>(X16-W16-'Appendix L'!BL77)/X16</f>
        <v>0.93461230234187387</v>
      </c>
    </row>
    <row r="17" spans="1:25" x14ac:dyDescent="0.35">
      <c r="A17" s="2"/>
      <c r="B17" s="7">
        <v>0.24399999999999999</v>
      </c>
      <c r="C17" t="s">
        <v>294</v>
      </c>
      <c r="E17" s="15">
        <v>14</v>
      </c>
      <c r="F17" s="16">
        <f>'Appendix K'!B18</f>
        <v>7.1564700000000885</v>
      </c>
      <c r="G17" s="16">
        <f>'Appendix K'!M18</f>
        <v>232.77600000000001</v>
      </c>
      <c r="H17" s="23">
        <f>'Appendix J'!H866</f>
        <v>0.97150000000000003</v>
      </c>
      <c r="I17" s="28">
        <f>SUM('Appendix J'!T867:AA867)/(24*60*60)</f>
        <v>7.3611111111111108E-3</v>
      </c>
      <c r="J17" s="54">
        <f>I17*(((AVERAGE('Appendix J'!K18:R88))*100000)-$B$6)/$B$10</f>
        <v>87212.952638671442</v>
      </c>
      <c r="K17" s="124">
        <v>0</v>
      </c>
      <c r="L17" s="54">
        <f t="shared" si="2"/>
        <v>139952.99019965279</v>
      </c>
      <c r="M17" s="123">
        <f t="shared" si="3"/>
        <v>139952.99019965279</v>
      </c>
      <c r="N17" s="38">
        <f t="shared" si="4"/>
        <v>227165.94283832423</v>
      </c>
      <c r="O17" s="12">
        <f t="shared" si="5"/>
        <v>7163905173349.3916</v>
      </c>
      <c r="P17" s="38">
        <f t="shared" si="6"/>
        <v>1989973.6592637198</v>
      </c>
      <c r="Q17" s="38">
        <f t="shared" si="7"/>
        <v>1163880</v>
      </c>
      <c r="R17" s="38">
        <f>(((F17*1000*$B$4/(365*24*60*60))*'Appendix M'!$B$13*('Appendix L'!$G$23-'Appendix L'!$G$22))+(('Appendix L'!AH78))*'Appendix M'!$B$14*('Appendix L'!$G$23-'Appendix L'!$G$22))/$B$15</f>
        <v>18011.315155153174</v>
      </c>
      <c r="S17" s="38">
        <f t="shared" si="8"/>
        <v>157779.12075914178</v>
      </c>
      <c r="T17" s="151">
        <f>('Appendix M'!$B$17*((G17*1000*$B$5*$B$16)+(F17*1000*$B$4)))/(1000*60*60*$B$18)</f>
        <v>1.3534676950000057</v>
      </c>
      <c r="U17" s="151">
        <f t="shared" si="9"/>
        <v>11.856377008200051</v>
      </c>
      <c r="V17" s="38">
        <f t="shared" si="0"/>
        <v>496746.69545998046</v>
      </c>
      <c r="W17" s="38">
        <f t="shared" si="1"/>
        <v>3808391.3318598503</v>
      </c>
      <c r="X17" s="172">
        <f>'Appendix L'!BJ78</f>
        <v>147426241.4386721</v>
      </c>
      <c r="Y17" s="128">
        <f>(X17-W17-'Appendix L'!BL78)/X17</f>
        <v>0.92451609662971701</v>
      </c>
    </row>
    <row r="18" spans="1:25" ht="29" x14ac:dyDescent="0.35">
      <c r="A18" s="2" t="s">
        <v>324</v>
      </c>
      <c r="B18" s="167">
        <v>0.9</v>
      </c>
      <c r="E18" s="15">
        <v>15</v>
      </c>
      <c r="F18" s="16">
        <f>'Appendix K'!B19</f>
        <v>6.1556339999999032</v>
      </c>
      <c r="G18" s="16">
        <f>'Appendix K'!M19</f>
        <v>232.77600000000001</v>
      </c>
      <c r="H18" s="23">
        <f>'Appendix J'!H927</f>
        <v>0.97529999999999994</v>
      </c>
      <c r="I18" s="28">
        <f>SUM('Appendix J'!T928:AA928)/(24*60*60)</f>
        <v>7.3611111111111108E-3</v>
      </c>
      <c r="J18" s="54">
        <f>I18*(((AVERAGE('Appendix J'!K19:R89))*100000)-$B$6)/$B$10</f>
        <v>86102.669712332659</v>
      </c>
      <c r="K18" s="124">
        <v>0</v>
      </c>
      <c r="L18" s="54">
        <f t="shared" si="2"/>
        <v>140014.35076562501</v>
      </c>
      <c r="M18" s="123">
        <f t="shared" si="3"/>
        <v>140014.35076562501</v>
      </c>
      <c r="N18" s="38">
        <f t="shared" si="4"/>
        <v>226117.02047795767</v>
      </c>
      <c r="O18" s="12">
        <f t="shared" si="5"/>
        <v>7130826357792.873</v>
      </c>
      <c r="P18" s="38">
        <f t="shared" si="6"/>
        <v>1980785.0993869093</v>
      </c>
      <c r="Q18" s="38">
        <f t="shared" si="7"/>
        <v>1163880</v>
      </c>
      <c r="R18" s="38">
        <f>(((F18*1000*$B$4/(365*24*60*60))*'Appendix M'!$B$13*('Appendix L'!$G$23-'Appendix L'!$G$22))+(('Appendix L'!AH79))*'Appendix M'!$B$14*('Appendix L'!$G$23-'Appendix L'!$G$22))/$B$15</f>
        <v>15492.42349283558</v>
      </c>
      <c r="S18" s="38">
        <f t="shared" si="8"/>
        <v>135713.62979723964</v>
      </c>
      <c r="T18" s="151">
        <f>('Appendix M'!$B$17*((G18*1000*$B$5*$B$16)+(F18*1000*$B$4)))/(1000*60*60*$B$18)</f>
        <v>1.2867638289999936</v>
      </c>
      <c r="U18" s="151">
        <f t="shared" si="9"/>
        <v>11.272051142039942</v>
      </c>
      <c r="V18" s="38">
        <f t="shared" si="0"/>
        <v>492058.50018529361</v>
      </c>
      <c r="W18" s="38">
        <f t="shared" si="1"/>
        <v>3772448.5014205845</v>
      </c>
      <c r="X18" s="172">
        <f>'Appendix L'!BJ79</f>
        <v>126606700.50457917</v>
      </c>
      <c r="Y18" s="128">
        <f>(X18-W18-'Appendix L'!BL79)/X18</f>
        <v>0.91369067153083827</v>
      </c>
    </row>
    <row r="19" spans="1:25" x14ac:dyDescent="0.35">
      <c r="A19" s="2" t="s">
        <v>403</v>
      </c>
      <c r="B19" s="220">
        <v>0.15</v>
      </c>
      <c r="E19" s="15">
        <v>16</v>
      </c>
      <c r="F19" s="16">
        <f>'Appendix K'!B20</f>
        <v>5.2863599999997533</v>
      </c>
      <c r="G19" s="16">
        <f>'Appendix K'!M20</f>
        <v>228.96</v>
      </c>
      <c r="H19" s="23">
        <f>'Appendix J'!H987</f>
        <v>0.97829999999999995</v>
      </c>
      <c r="I19" s="28">
        <f>SUM('Appendix J'!T988:AA988)/(24*60*60)</f>
        <v>7.3611111111111108E-3</v>
      </c>
      <c r="J19" s="54">
        <f>I19*(((AVERAGE('Appendix J'!K20:R90))*100000)-$B$6)/$B$10</f>
        <v>85000.328203790617</v>
      </c>
      <c r="K19" s="124">
        <v>0</v>
      </c>
      <c r="L19" s="54">
        <f t="shared" si="2"/>
        <v>140062.79331770833</v>
      </c>
      <c r="M19" s="123">
        <f t="shared" si="3"/>
        <v>140062.79331770833</v>
      </c>
      <c r="N19" s="38">
        <f t="shared" si="4"/>
        <v>225063.12152149895</v>
      </c>
      <c r="O19" s="12">
        <f t="shared" si="5"/>
        <v>7097590600301.9902</v>
      </c>
      <c r="P19" s="38">
        <f t="shared" si="6"/>
        <v>1971552.9445283306</v>
      </c>
      <c r="Q19" s="38">
        <f t="shared" si="7"/>
        <v>1144800</v>
      </c>
      <c r="R19" s="38">
        <f>(((F19*1000*$B$4/(365*24*60*60))*'Appendix M'!$B$13*('Appendix L'!$G$23-'Appendix L'!$G$22))+(('Appendix L'!AH80))*'Appendix M'!$B$14*('Appendix L'!$G$23-'Appendix L'!$G$22))/$B$15</f>
        <v>13304.645444414624</v>
      </c>
      <c r="S19" s="38">
        <f t="shared" si="8"/>
        <v>116548.69409307212</v>
      </c>
      <c r="T19" s="151">
        <f>('Appendix M'!$B$17*((G19*1000*$B$5*$B$16)+(F19*1000*$B$4)))/(1000*60*60*$B$18)</f>
        <v>1.2144594377777613</v>
      </c>
      <c r="U19" s="151">
        <f t="shared" si="9"/>
        <v>10.638664674933191</v>
      </c>
      <c r="V19" s="38">
        <f t="shared" si="0"/>
        <v>484936.84159291163</v>
      </c>
      <c r="W19" s="38">
        <f t="shared" si="1"/>
        <v>3717849.1188789895</v>
      </c>
      <c r="X19" s="172">
        <f>'Appendix L'!BJ80</f>
        <v>108547113.67377001</v>
      </c>
      <c r="Y19" s="128">
        <f>(X19-W19-'Appendix L'!BL80)/X19</f>
        <v>0.901797754932809</v>
      </c>
    </row>
    <row r="20" spans="1:25" ht="29" x14ac:dyDescent="0.35">
      <c r="A20" s="2" t="s">
        <v>101</v>
      </c>
      <c r="B20" s="221">
        <v>650</v>
      </c>
      <c r="C20" t="s">
        <v>102</v>
      </c>
      <c r="E20" s="15">
        <v>17</v>
      </c>
      <c r="F20" s="16">
        <f>'Appendix K'!B21</f>
        <v>4.7493420000001203</v>
      </c>
      <c r="G20" s="16">
        <f>'Appendix K'!M21</f>
        <v>232.77600000000001</v>
      </c>
      <c r="H20" s="23">
        <f>'Appendix J'!H1048</f>
        <v>0.98070000000000002</v>
      </c>
      <c r="I20" s="28">
        <f>SUM('Appendix J'!T1049:AA1049)/(24*60*60)</f>
        <v>7.3611111111111108E-3</v>
      </c>
      <c r="J20" s="54">
        <f>I20*(((AVERAGE('Appendix J'!K21:R91))*100000)-$B$6)/$B$10</f>
        <v>83903.030179533918</v>
      </c>
      <c r="K20" s="124">
        <v>0</v>
      </c>
      <c r="L20" s="54">
        <f t="shared" si="2"/>
        <v>140101.54735937502</v>
      </c>
      <c r="M20" s="123">
        <f t="shared" si="3"/>
        <v>140101.54735937502</v>
      </c>
      <c r="N20" s="38">
        <f t="shared" si="4"/>
        <v>224004.57753890892</v>
      </c>
      <c r="O20" s="12">
        <f t="shared" si="5"/>
        <v>7064208357267.0322</v>
      </c>
      <c r="P20" s="38">
        <f t="shared" si="6"/>
        <v>1962280.0992408423</v>
      </c>
      <c r="Q20" s="38">
        <f t="shared" si="7"/>
        <v>1163880</v>
      </c>
      <c r="R20" s="38">
        <f>(((F20*1000*$B$4/(365*24*60*60))*'Appendix M'!$B$13*('Appendix L'!$G$23-'Appendix L'!$G$22))+(('Appendix L'!AH81))*'Appendix M'!$B$14*('Appendix L'!$G$23-'Appendix L'!$G$22))/$B$15</f>
        <v>11953.085186077296</v>
      </c>
      <c r="S20" s="38">
        <f t="shared" si="8"/>
        <v>104709.02623003711</v>
      </c>
      <c r="T20" s="151">
        <f>('Appendix M'!$B$17*((G20*1000*$B$5*$B$16)+(F20*1000*$B$4)))/(1000*60*60*$B$18)</f>
        <v>1.1930370714444523</v>
      </c>
      <c r="U20" s="151">
        <f t="shared" si="9"/>
        <v>10.451004745853403</v>
      </c>
      <c r="V20" s="38">
        <f t="shared" si="0"/>
        <v>484631.93647134374</v>
      </c>
      <c r="W20" s="38">
        <f t="shared" si="1"/>
        <v>3715511.5129469689</v>
      </c>
      <c r="X20" s="172">
        <f>'Appendix L'!BJ81</f>
        <v>97352802.903696001</v>
      </c>
      <c r="Y20" s="128">
        <f>(X20-W20-'Appendix L'!BL81)/X20</f>
        <v>0.89077944278380583</v>
      </c>
    </row>
    <row r="21" spans="1:25" x14ac:dyDescent="0.35">
      <c r="E21" s="15">
        <v>18</v>
      </c>
      <c r="F21" s="16">
        <f>'Appendix K'!B22</f>
        <v>4.233900000000256</v>
      </c>
      <c r="G21" s="16">
        <f>'Appendix K'!M22</f>
        <v>232.77600000000001</v>
      </c>
      <c r="H21" s="23">
        <f>'Appendix J'!H1109</f>
        <v>0.98270000000000002</v>
      </c>
      <c r="I21" s="28">
        <f>SUM('Appendix J'!T1110:AA1110)/(24*60*60)</f>
        <v>7.3611111111111108E-3</v>
      </c>
      <c r="J21" s="54">
        <f>I21*(((AVERAGE('Appendix J'!K22:R92))*100000)-$B$6)/$B$10</f>
        <v>82814.267559446133</v>
      </c>
      <c r="K21" s="124">
        <v>0</v>
      </c>
      <c r="L21" s="54">
        <f t="shared" si="2"/>
        <v>140133.84239409721</v>
      </c>
      <c r="M21" s="123">
        <f t="shared" si="3"/>
        <v>140133.84239409721</v>
      </c>
      <c r="N21" s="38">
        <f t="shared" si="4"/>
        <v>222948.10995354335</v>
      </c>
      <c r="O21" s="12">
        <f t="shared" si="5"/>
        <v>7030891595494.9434</v>
      </c>
      <c r="P21" s="38">
        <f t="shared" si="6"/>
        <v>1953025.4431930399</v>
      </c>
      <c r="Q21" s="38">
        <f t="shared" si="7"/>
        <v>1163880</v>
      </c>
      <c r="R21" s="38">
        <f>(((F21*1000*$B$4/(365*24*60*60))*'Appendix M'!$B$13*('Appendix L'!$G$23-'Appendix L'!$G$22))+(('Appendix L'!AH82))*'Appendix M'!$B$14*('Appendix L'!$G$23-'Appendix L'!$G$22))/$B$15</f>
        <v>10655.8271375981</v>
      </c>
      <c r="S21" s="38">
        <f t="shared" si="8"/>
        <v>93345.045725359363</v>
      </c>
      <c r="T21" s="151">
        <f>('Appendix M'!$B$17*((G21*1000*$B$5*$B$16)+(F21*1000*$B$4)))/(1000*60*60*$B$18)</f>
        <v>1.1586838166666837</v>
      </c>
      <c r="U21" s="151">
        <f t="shared" si="9"/>
        <v>10.150070234000149</v>
      </c>
      <c r="V21" s="38">
        <f t="shared" si="0"/>
        <v>481539.09584829496</v>
      </c>
      <c r="W21" s="38">
        <f t="shared" si="1"/>
        <v>3691799.7348369285</v>
      </c>
      <c r="X21" s="172">
        <f>'Appendix L'!BJ82</f>
        <v>86630500.930000111</v>
      </c>
      <c r="Y21" s="128">
        <f>(X21-W21-'Appendix L'!BL82)/X21</f>
        <v>0.87856813997495975</v>
      </c>
    </row>
    <row r="22" spans="1:25" x14ac:dyDescent="0.35">
      <c r="A22" s="137">
        <f>(-1)*I4*$B$5*9.81*$B$7</f>
        <v>-3546.1049479166668</v>
      </c>
      <c r="E22" s="15">
        <v>19</v>
      </c>
      <c r="F22" s="16">
        <f>'Appendix K'!B23</f>
        <v>3.8055342000001109</v>
      </c>
      <c r="G22" s="16">
        <f>'Appendix K'!M23</f>
        <v>232.77599999999953</v>
      </c>
      <c r="H22" s="23">
        <f>'Appendix J'!H1170</f>
        <v>0.98440000000000005</v>
      </c>
      <c r="I22" s="28">
        <f>SUM('Appendix J'!T1171:AA1171)/(24*60*60)</f>
        <v>7.3611111111111108E-3</v>
      </c>
      <c r="J22" s="54">
        <f>I22*(((AVERAGE('Appendix J'!K23:R93))*100000)-$B$6)/$B$10</f>
        <v>81741.117781146779</v>
      </c>
      <c r="K22" s="124">
        <v>0</v>
      </c>
      <c r="L22" s="54">
        <f t="shared" si="2"/>
        <v>140161.29317361111</v>
      </c>
      <c r="M22" s="123">
        <f t="shared" si="3"/>
        <v>140161.29317361111</v>
      </c>
      <c r="N22" s="38">
        <f t="shared" si="4"/>
        <v>221902.41095475788</v>
      </c>
      <c r="O22" s="12">
        <f t="shared" si="5"/>
        <v>6997914431869.2432</v>
      </c>
      <c r="P22" s="38">
        <f t="shared" si="6"/>
        <v>1943865.1199636788</v>
      </c>
      <c r="Q22" s="38">
        <f t="shared" si="7"/>
        <v>1163879.9999999977</v>
      </c>
      <c r="R22" s="38">
        <f>(((F22*1000*$B$4/(365*24*60*60))*'Appendix M'!$B$13*('Appendix L'!$G$23-'Appendix L'!$G$22))+(('Appendix L'!AH83))*'Appendix M'!$B$14*('Appendix L'!$G$23-'Appendix L'!$G$22))/$B$15</f>
        <v>9577.7213919592832</v>
      </c>
      <c r="S22" s="38">
        <f t="shared" si="8"/>
        <v>83900.839393563321</v>
      </c>
      <c r="T22" s="151">
        <f>('Appendix M'!$B$17*((G22*1000*$B$5*$B$16)+(F22*1000*$B$4)))/(1000*60*60*$B$18)</f>
        <v>1.1301340293666724</v>
      </c>
      <c r="U22" s="151">
        <f t="shared" si="9"/>
        <v>9.899974097252052</v>
      </c>
      <c r="V22" s="38">
        <f t="shared" si="0"/>
        <v>478748.37889970047</v>
      </c>
      <c r="W22" s="38">
        <f t="shared" si="1"/>
        <v>3670404.2382310373</v>
      </c>
      <c r="X22" s="172">
        <f>'Appendix L'!BJ83</f>
        <v>77719571.159421489</v>
      </c>
      <c r="Y22" s="128">
        <f>(X22-W22-'Appendix L'!BL83)/X22</f>
        <v>0.86589674640637926</v>
      </c>
    </row>
    <row r="23" spans="1:25" x14ac:dyDescent="0.35">
      <c r="A23" s="137">
        <f>((G4*1000*$B$5/(365*24*60*60))*$B$12*('Appendix L'!$G$23-'Appendix L'!$G$22))+('Waterflood equipment'!$O$7*'Appendix M'!$B$13*('Appendix L'!$G$23-'Appendix L'!$G$22))+('Waterflood equipment'!$P$7*'Appendix M'!$B$14*('Appendix L'!$G$23-'Appendix L'!$G$22))</f>
        <v>612111.16849999374</v>
      </c>
      <c r="E23" s="15">
        <v>20</v>
      </c>
      <c r="F23" s="16">
        <f>'Appendix K'!B24</f>
        <v>3.4440984000000752</v>
      </c>
      <c r="G23" s="16">
        <f>'Appendix K'!M24</f>
        <v>232.77600000000001</v>
      </c>
      <c r="H23" s="23">
        <f>'Appendix J'!H1231</f>
        <v>0.9859</v>
      </c>
      <c r="I23" s="28">
        <f>SUM('Appendix J'!T1232:AA1232)/(24*60*60)</f>
        <v>7.3611111111111108E-3</v>
      </c>
      <c r="J23" s="54">
        <f>I23*(((AVERAGE('Appendix J'!K24:R94))*100000)-$B$6)/$B$10</f>
        <v>80685.582398713275</v>
      </c>
      <c r="K23" s="124">
        <v>0</v>
      </c>
      <c r="L23" s="54">
        <f t="shared" si="2"/>
        <v>140185.51444965278</v>
      </c>
      <c r="M23" s="123">
        <f t="shared" si="3"/>
        <v>140185.51444965278</v>
      </c>
      <c r="N23" s="38">
        <f t="shared" si="4"/>
        <v>220871.09684836605</v>
      </c>
      <c r="O23" s="12">
        <f t="shared" si="5"/>
        <v>6965390910210.0732</v>
      </c>
      <c r="P23" s="38">
        <f t="shared" si="6"/>
        <v>1934830.808391687</v>
      </c>
      <c r="Q23" s="38">
        <f t="shared" si="7"/>
        <v>1163880</v>
      </c>
      <c r="R23" s="38">
        <f>(((F23*1000*$B$4/(365*24*60*60))*'Appendix M'!$B$13*('Appendix L'!$G$23-'Appendix L'!$G$22))+(('Appendix L'!AH84))*'Appendix M'!$B$14*('Appendix L'!$G$23-'Appendix L'!$G$22))/$B$15</f>
        <v>8668.0642422534274</v>
      </c>
      <c r="S23" s="38">
        <f t="shared" si="8"/>
        <v>75932.242762140013</v>
      </c>
      <c r="T23" s="151">
        <f>('Appendix M'!$B$17*((G23*1000*$B$5*$B$16)+(F23*1000*$B$4)))/(1000*60*60*$B$18)</f>
        <v>1.1060450026222273</v>
      </c>
      <c r="U23" s="151">
        <f t="shared" si="9"/>
        <v>9.6889542229707128</v>
      </c>
      <c r="V23" s="38">
        <f t="shared" si="0"/>
        <v>476197.91101620748</v>
      </c>
      <c r="W23" s="38">
        <f t="shared" si="1"/>
        <v>3650850.6511242576</v>
      </c>
      <c r="X23" s="172">
        <f>'Appendix L'!BJ84</f>
        <v>70200929.310860902</v>
      </c>
      <c r="Y23" s="128">
        <f>(X23-W23-'Appendix L'!BL84)/X23</f>
        <v>0.85274295696325064</v>
      </c>
    </row>
    <row r="24" spans="1:25" x14ac:dyDescent="0.35">
      <c r="E24" s="15">
        <v>21</v>
      </c>
      <c r="F24" s="16">
        <f>'Appendix K'!B25</f>
        <v>1.4434672649999265</v>
      </c>
      <c r="G24" s="16">
        <f>'Appendix K'!M25</f>
        <v>104.54695199999958</v>
      </c>
      <c r="H24" s="23">
        <f>'Appendix J'!H1259</f>
        <v>0.98650000000000004</v>
      </c>
      <c r="I24" s="28">
        <f>SUM('Appendix J'!T1260:AA1260)/(24*60*60)</f>
        <v>7.3611111111111108E-3</v>
      </c>
      <c r="J24" s="54">
        <f>I24*(((AVERAGE('Appendix J'!K25:R95))*100000)-$B$6)/$B$10</f>
        <v>79652.560899734788</v>
      </c>
      <c r="K24" s="124">
        <v>0</v>
      </c>
      <c r="L24" s="54">
        <f t="shared" si="2"/>
        <v>140195.20296006944</v>
      </c>
      <c r="M24" s="123">
        <f t="shared" si="3"/>
        <v>140195.20296006944</v>
      </c>
      <c r="N24" s="38">
        <f t="shared" si="4"/>
        <v>219847.76385980422</v>
      </c>
      <c r="O24" s="12">
        <f t="shared" si="5"/>
        <v>6933119081082.7871</v>
      </c>
      <c r="P24" s="38">
        <f t="shared" si="6"/>
        <v>1925866.4114118854</v>
      </c>
      <c r="Q24" s="38">
        <f t="shared" si="7"/>
        <v>522734.75999999791</v>
      </c>
      <c r="R24" s="38">
        <f>(((F24*1000*$B$4/(365*24*60*60))*'Appendix M'!$B$13*('Appendix L'!$G$23-'Appendix L'!$G$22))+(('Appendix L'!AH85))*'Appendix M'!$B$14*('Appendix L'!$G$23-'Appendix L'!$G$22))/$B$15</f>
        <v>3632.9005537730691</v>
      </c>
      <c r="S24" s="38">
        <f t="shared" si="8"/>
        <v>31824.208851052084</v>
      </c>
      <c r="T24" s="151">
        <f>('Appendix M'!$B$17*((G24*1000*$B$5*$B$16)+(F24*1000*$B$4)))/(1000*60*60*$B$18)</f>
        <v>0.48986886901360466</v>
      </c>
      <c r="U24" s="151">
        <f t="shared" si="9"/>
        <v>4.2912512925591768</v>
      </c>
      <c r="V24" s="38">
        <f t="shared" si="0"/>
        <v>372064.45072713419</v>
      </c>
      <c r="W24" s="38">
        <f t="shared" si="1"/>
        <v>2852494.1222413615</v>
      </c>
      <c r="X24" s="172">
        <f>'Appendix L'!BJ85</f>
        <v>29362471.002036758</v>
      </c>
      <c r="Y24" s="128">
        <f>(X24-W24-'Appendix L'!BL85)/X24</f>
        <v>0.76452665970997635</v>
      </c>
    </row>
    <row r="26" spans="1:25" x14ac:dyDescent="0.35">
      <c r="F26" s="70">
        <f>SUM(F3:F23)</f>
        <v>513.26635549992</v>
      </c>
      <c r="N26" s="69" t="s">
        <v>243</v>
      </c>
      <c r="O26">
        <f>SUM(O3:O25)</f>
        <v>147144110211051.81</v>
      </c>
      <c r="P26" s="120">
        <f>SUM(P4:P23)</f>
        <v>38947497.536102504</v>
      </c>
      <c r="Q26" s="120">
        <f>SUM(Q3:Q23)</f>
        <v>22451138.271028243</v>
      </c>
      <c r="S26" s="219">
        <f>SUM(S3:S23)</f>
        <v>11316013.940675428</v>
      </c>
      <c r="U26" s="223">
        <f>SUM(U3:U23)</f>
        <v>447.77527910078521</v>
      </c>
      <c r="V26" s="219">
        <f>SUM(V3:V23)</f>
        <v>10907264.628462793</v>
      </c>
      <c r="W26" s="219">
        <f>SUM(W3:W23)</f>
        <v>83622362.151548043</v>
      </c>
      <c r="X26" s="254">
        <f>SUM(X4:X23)</f>
        <v>10654370662.008961</v>
      </c>
      <c r="Y26" s="259">
        <f>(X26-W26-'Appendix L'!BL87)/X26</f>
        <v>0.97388554348840495</v>
      </c>
    </row>
    <row r="27" spans="1:25" x14ac:dyDescent="0.35">
      <c r="P27" s="106"/>
      <c r="Q27" s="106"/>
      <c r="S27" s="11">
        <f>S26*3600</f>
        <v>40737650186.431541</v>
      </c>
    </row>
    <row r="28" spans="1:25" x14ac:dyDescent="0.35">
      <c r="P28" s="107"/>
      <c r="Q28" s="107"/>
      <c r="R28" s="107"/>
    </row>
    <row r="29" spans="1:25" x14ac:dyDescent="0.35">
      <c r="N29" s="218"/>
    </row>
    <row r="31" spans="1:25" ht="29" x14ac:dyDescent="0.35">
      <c r="A31" s="49" t="s">
        <v>108</v>
      </c>
      <c r="B31" s="49" t="s">
        <v>161</v>
      </c>
      <c r="C31" s="71" t="s">
        <v>315</v>
      </c>
      <c r="D31" s="73" t="s">
        <v>353</v>
      </c>
      <c r="E31" s="27" t="s">
        <v>202</v>
      </c>
      <c r="G31" s="27" t="s">
        <v>404</v>
      </c>
      <c r="H31" s="27" t="s">
        <v>405</v>
      </c>
      <c r="I31" s="27" t="s">
        <v>244</v>
      </c>
      <c r="N31"/>
    </row>
    <row r="32" spans="1:25" x14ac:dyDescent="0.35">
      <c r="A32" s="73">
        <v>0</v>
      </c>
      <c r="B32" s="73">
        <v>0</v>
      </c>
      <c r="C32" s="73">
        <v>0</v>
      </c>
      <c r="D32" s="73">
        <v>0</v>
      </c>
      <c r="E32" s="75">
        <f>'Appendix K'!W60</f>
        <v>-33594902.4440751</v>
      </c>
      <c r="G32" s="12">
        <f>0</f>
        <v>0</v>
      </c>
      <c r="H32" s="12">
        <v>0</v>
      </c>
      <c r="I32" s="187">
        <f>('Appendix J'!AF5*1000*$B$4*$B$2*1000/(3.6*1000000))/(C33*'Appendix J'!F5)</f>
        <v>395899.95051265147</v>
      </c>
      <c r="N32"/>
    </row>
    <row r="33" spans="1:14" x14ac:dyDescent="0.35">
      <c r="A33" s="15">
        <v>1</v>
      </c>
      <c r="B33" s="67">
        <f>'Appendix J'!J75</f>
        <v>0.14304015954157315</v>
      </c>
      <c r="C33" s="56">
        <f t="shared" ref="C33:C53" si="10">W4</f>
        <v>6795411.1676859828</v>
      </c>
      <c r="D33" s="56">
        <f>D32+C33</f>
        <v>6795411.1676859828</v>
      </c>
      <c r="E33" s="75">
        <f>'Appendix K'!W61</f>
        <v>34971064.972647361</v>
      </c>
      <c r="G33" s="38">
        <f>(C33/1000)*$B$20</f>
        <v>4417017.2589958888</v>
      </c>
      <c r="H33" s="58">
        <f t="shared" ref="H33:H53" si="11">G33/(F4*1000)</f>
        <v>35.386126540125538</v>
      </c>
      <c r="I33" s="53">
        <f>'Appendix L'!BJ65/C33</f>
        <v>382.16593842526413</v>
      </c>
      <c r="N33"/>
    </row>
    <row r="34" spans="1:14" x14ac:dyDescent="0.35">
      <c r="A34" s="15">
        <v>2</v>
      </c>
      <c r="B34" s="67">
        <f>'Appendix J'!J136</f>
        <v>0.2000833887082398</v>
      </c>
      <c r="C34" s="56">
        <f t="shared" si="10"/>
        <v>4977793.5935480427</v>
      </c>
      <c r="D34" s="56">
        <f t="shared" ref="D34:D53" si="12">D33+C34</f>
        <v>11773204.761234026</v>
      </c>
      <c r="E34" s="75">
        <f>'Appendix K'!W62</f>
        <v>11633690.359969636</v>
      </c>
      <c r="G34" s="38">
        <f t="shared" ref="G34:G53" si="13">(C34/1000)*$B$20</f>
        <v>3235565.8358062278</v>
      </c>
      <c r="H34" s="58">
        <f t="shared" si="11"/>
        <v>66.579407045355723</v>
      </c>
      <c r="I34" s="53">
        <f>'Appendix L'!BJ66/C34</f>
        <v>203.16599917161335</v>
      </c>
      <c r="N34"/>
    </row>
    <row r="35" spans="1:14" x14ac:dyDescent="0.35">
      <c r="A35" s="15">
        <v>3</v>
      </c>
      <c r="B35" s="67">
        <f>'Appendix J'!J197</f>
        <v>0.23146052418972127</v>
      </c>
      <c r="C35" s="56">
        <f t="shared" si="10"/>
        <v>4425775.7445406504</v>
      </c>
      <c r="D35" s="56">
        <f t="shared" si="12"/>
        <v>16198980.505774677</v>
      </c>
      <c r="E35" s="75">
        <f>'Appendix K'!W63</f>
        <v>5150700.9473465867</v>
      </c>
      <c r="G35" s="38">
        <f t="shared" si="13"/>
        <v>2876754.2339514229</v>
      </c>
      <c r="H35" s="58">
        <f t="shared" si="11"/>
        <v>106.72809224226934</v>
      </c>
      <c r="I35" s="53">
        <f>'Appendix L'!BJ67/C35</f>
        <v>126.7189559820296</v>
      </c>
      <c r="N35"/>
    </row>
    <row r="36" spans="1:14" x14ac:dyDescent="0.35">
      <c r="A36" s="15">
        <v>4</v>
      </c>
      <c r="B36" s="67">
        <f>'Appendix J'!J257</f>
        <v>0.28942253807861018</v>
      </c>
      <c r="C36" s="56">
        <f t="shared" si="10"/>
        <v>4532231.4486212227</v>
      </c>
      <c r="D36" s="56">
        <f t="shared" si="12"/>
        <v>20731211.954395898</v>
      </c>
      <c r="E36" s="75">
        <f>'Appendix K'!W64</f>
        <v>11517830.697110366</v>
      </c>
      <c r="G36" s="38">
        <f t="shared" si="13"/>
        <v>2945950.4416037947</v>
      </c>
      <c r="H36" s="58">
        <f t="shared" si="11"/>
        <v>57.739110116838333</v>
      </c>
      <c r="I36" s="53">
        <f>'Appendix L'!BJ68/C36</f>
        <v>233.88329631429767</v>
      </c>
      <c r="N36"/>
    </row>
    <row r="37" spans="1:14" x14ac:dyDescent="0.35">
      <c r="A37" s="15">
        <v>5</v>
      </c>
      <c r="B37" s="67">
        <f>'Appendix J'!J318</f>
        <v>0.36872614918972113</v>
      </c>
      <c r="C37" s="56">
        <f t="shared" si="10"/>
        <v>4880454.6181429774</v>
      </c>
      <c r="D37" s="56">
        <f t="shared" si="12"/>
        <v>25611666.572538875</v>
      </c>
      <c r="E37" s="75">
        <f>'Appendix K'!W65</f>
        <v>16001373.603570333</v>
      </c>
      <c r="G37" s="38">
        <f t="shared" si="13"/>
        <v>3172295.5017929357</v>
      </c>
      <c r="H37" s="58">
        <f t="shared" si="11"/>
        <v>46.611770723672031</v>
      </c>
      <c r="I37" s="53">
        <f>'Appendix L'!BJ69/C37</f>
        <v>289.83439871519511</v>
      </c>
      <c r="N37"/>
    </row>
    <row r="38" spans="1:14" x14ac:dyDescent="0.35">
      <c r="A38" s="15">
        <v>6</v>
      </c>
      <c r="B38" s="67">
        <f>'Appendix J'!J379</f>
        <v>0.42023441307861004</v>
      </c>
      <c r="C38" s="56">
        <f t="shared" si="10"/>
        <v>4366872.4993704828</v>
      </c>
      <c r="D38" s="56">
        <f t="shared" si="12"/>
        <v>29978539.071909357</v>
      </c>
      <c r="E38" s="75">
        <f>'Appendix K'!W66</f>
        <v>9307403.0863661431</v>
      </c>
      <c r="G38" s="38">
        <f t="shared" si="13"/>
        <v>2838467.1245908136</v>
      </c>
      <c r="H38" s="58">
        <f t="shared" si="11"/>
        <v>64.171818435641157</v>
      </c>
      <c r="I38" s="53">
        <f>'Appendix L'!BJ70/C38</f>
        <v>210.41867998543063</v>
      </c>
      <c r="N38"/>
    </row>
    <row r="39" spans="1:14" x14ac:dyDescent="0.35">
      <c r="A39" s="15">
        <v>7</v>
      </c>
      <c r="B39" s="67">
        <f>'Appendix J'!J440</f>
        <v>0.4562049964119434</v>
      </c>
      <c r="C39" s="56">
        <f t="shared" si="10"/>
        <v>4129756.5501270546</v>
      </c>
      <c r="D39" s="56">
        <f t="shared" si="12"/>
        <v>34108295.622036412</v>
      </c>
      <c r="E39" s="75">
        <f>'Appendix K'!W67</f>
        <v>5673579.9453827403</v>
      </c>
      <c r="G39" s="38">
        <f t="shared" si="13"/>
        <v>2684341.7575825853</v>
      </c>
      <c r="H39" s="58">
        <f t="shared" si="11"/>
        <v>86.869590640099688</v>
      </c>
      <c r="I39" s="53">
        <f>'Appendix L'!BJ71/C39</f>
        <v>155.33811995591543</v>
      </c>
      <c r="N39"/>
    </row>
    <row r="40" spans="1:14" x14ac:dyDescent="0.35">
      <c r="A40" s="15">
        <v>8</v>
      </c>
      <c r="B40" s="67">
        <f>'Appendix J'!J501</f>
        <v>0.48223028807861018</v>
      </c>
      <c r="C40" s="56">
        <f t="shared" si="10"/>
        <v>4001957.2459484637</v>
      </c>
      <c r="D40" s="56">
        <f t="shared" si="12"/>
        <v>38110252.867984876</v>
      </c>
      <c r="E40" s="75">
        <f>'Appendix K'!W68</f>
        <v>3453402.4335952089</v>
      </c>
      <c r="G40" s="38">
        <f t="shared" si="13"/>
        <v>2601272.2098665014</v>
      </c>
      <c r="H40" s="58">
        <f t="shared" si="11"/>
        <v>116.24256690114252</v>
      </c>
      <c r="I40" s="53">
        <f>'Appendix L'!BJ72/C40</f>
        <v>115.98731301216782</v>
      </c>
      <c r="N40"/>
    </row>
    <row r="41" spans="1:14" x14ac:dyDescent="0.35">
      <c r="A41" s="15">
        <v>9</v>
      </c>
      <c r="B41" s="67">
        <f>'Appendix J'!J562</f>
        <v>0.50227198946749962</v>
      </c>
      <c r="C41" s="56">
        <f t="shared" si="10"/>
        <v>3943409.4394908915</v>
      </c>
      <c r="D41" s="56">
        <f t="shared" si="12"/>
        <v>42053662.307475768</v>
      </c>
      <c r="E41" s="75">
        <f>'Appendix K'!W69</f>
        <v>2105869.1832628306</v>
      </c>
      <c r="G41" s="38">
        <f t="shared" si="13"/>
        <v>2563216.1356690796</v>
      </c>
      <c r="H41" s="58">
        <f t="shared" si="11"/>
        <v>148.57725282603397</v>
      </c>
      <c r="I41" s="53">
        <f>'Appendix L'!BJ73/C41</f>
        <v>90.659306308703989</v>
      </c>
      <c r="N41"/>
    </row>
    <row r="42" spans="1:14" x14ac:dyDescent="0.35">
      <c r="A42" s="15">
        <v>10</v>
      </c>
      <c r="B42" s="67">
        <f>'Appendix J'!J622</f>
        <v>0.51840779502305523</v>
      </c>
      <c r="C42" s="56">
        <f t="shared" si="10"/>
        <v>3895207.9851804739</v>
      </c>
      <c r="D42" s="56">
        <f t="shared" si="12"/>
        <v>45948870.292656243</v>
      </c>
      <c r="E42" s="75">
        <f>'Appendix K'!W70</f>
        <v>1313209.2824282404</v>
      </c>
      <c r="G42" s="38">
        <f t="shared" si="13"/>
        <v>2531885.190367308</v>
      </c>
      <c r="H42" s="58">
        <f t="shared" si="11"/>
        <v>182.15494105216771</v>
      </c>
      <c r="I42" s="53">
        <f>'Appendix L'!BJ74/C42</f>
        <v>73.877980972515928</v>
      </c>
      <c r="N42"/>
    </row>
    <row r="43" spans="1:14" x14ac:dyDescent="0.35">
      <c r="A43" s="15">
        <v>11</v>
      </c>
      <c r="B43" s="67">
        <f>'Appendix J'!J683</f>
        <v>0.53220273252305528</v>
      </c>
      <c r="C43" s="56">
        <f t="shared" si="10"/>
        <v>3909870.7142157569</v>
      </c>
      <c r="D43" s="56">
        <f t="shared" si="12"/>
        <v>49858741.006871998</v>
      </c>
      <c r="E43" s="75">
        <f>'Appendix K'!W71</f>
        <v>831206.20449056872</v>
      </c>
      <c r="G43" s="38">
        <f t="shared" si="13"/>
        <v>2541415.9642402418</v>
      </c>
      <c r="H43" s="58">
        <f t="shared" si="11"/>
        <v>213.82660081113139</v>
      </c>
      <c r="I43" s="53">
        <f>'Appendix L'!BJ75/C43</f>
        <v>62.87266213144315</v>
      </c>
      <c r="N43"/>
    </row>
    <row r="44" spans="1:14" x14ac:dyDescent="0.35">
      <c r="A44" s="15">
        <v>12</v>
      </c>
      <c r="B44" s="67">
        <f>'Appendix J'!J744</f>
        <v>0.54381001030083298</v>
      </c>
      <c r="C44" s="56">
        <f t="shared" si="10"/>
        <v>3885821.3326822654</v>
      </c>
      <c r="D44" s="56">
        <f t="shared" si="12"/>
        <v>53744562.339554265</v>
      </c>
      <c r="E44" s="75">
        <f>'Appendix K'!W72</f>
        <v>458292.42986771977</v>
      </c>
      <c r="G44" s="38">
        <f t="shared" si="13"/>
        <v>2525783.8662434728</v>
      </c>
      <c r="H44" s="58">
        <f t="shared" si="11"/>
        <v>252.5710620635509</v>
      </c>
      <c r="I44" s="53">
        <f>'Appendix L'!BJ76/C44</f>
        <v>53.166026655857557</v>
      </c>
      <c r="N44"/>
    </row>
    <row r="45" spans="1:14" x14ac:dyDescent="0.35">
      <c r="A45" s="15">
        <v>13</v>
      </c>
      <c r="B45" s="67">
        <f>'Appendix J'!J805</f>
        <v>0.5535970936341662</v>
      </c>
      <c r="C45" s="56">
        <f t="shared" si="10"/>
        <v>3850544.7226951844</v>
      </c>
      <c r="D45" s="56">
        <f t="shared" si="12"/>
        <v>57595107.062249452</v>
      </c>
      <c r="E45" s="75">
        <f>'Appendix K'!W73</f>
        <v>189681.21436372143</v>
      </c>
      <c r="G45" s="38">
        <f t="shared" si="13"/>
        <v>2502854.0697518699</v>
      </c>
      <c r="H45" s="58">
        <f t="shared" si="11"/>
        <v>296.80213749747145</v>
      </c>
      <c r="I45" s="53">
        <f>'Appendix L'!BJ77/C45</f>
        <v>45.182232012797265</v>
      </c>
      <c r="N45"/>
    </row>
    <row r="46" spans="1:14" x14ac:dyDescent="0.35">
      <c r="A46" s="15">
        <v>14</v>
      </c>
      <c r="B46" s="67">
        <f>'Appendix J'!J866</f>
        <v>0.56190151724527748</v>
      </c>
      <c r="C46" s="56">
        <f t="shared" si="10"/>
        <v>3808391.3318598503</v>
      </c>
      <c r="D46" s="56">
        <f t="shared" si="12"/>
        <v>61403498.394109301</v>
      </c>
      <c r="E46" s="75">
        <f>'Appendix K'!W74</f>
        <v>956.46368347830139</v>
      </c>
      <c r="G46" s="38">
        <f t="shared" si="13"/>
        <v>2475454.3657089025</v>
      </c>
      <c r="H46" s="58">
        <f t="shared" si="11"/>
        <v>345.90438661922315</v>
      </c>
      <c r="I46" s="53">
        <f>'Appendix L'!BJ78/C46</f>
        <v>38.710896174284592</v>
      </c>
      <c r="N46"/>
    </row>
    <row r="47" spans="1:14" x14ac:dyDescent="0.35">
      <c r="A47" s="15">
        <v>15</v>
      </c>
      <c r="B47" s="67">
        <f>'Appendix J'!J927</f>
        <v>0.56904288530083291</v>
      </c>
      <c r="C47" s="56">
        <f t="shared" si="10"/>
        <v>3772448.5014205845</v>
      </c>
      <c r="D47" s="56">
        <f t="shared" si="12"/>
        <v>65175946.895529889</v>
      </c>
      <c r="E47" s="75">
        <f>'Appendix K'!W75</f>
        <v>-122137.71918743476</v>
      </c>
      <c r="G47" s="38">
        <f t="shared" si="13"/>
        <v>2452091.5259233797</v>
      </c>
      <c r="H47" s="58">
        <f t="shared" si="11"/>
        <v>398.34914257790797</v>
      </c>
      <c r="I47" s="53">
        <f>'Appendix L'!BJ79/C47</f>
        <v>33.560882396910948</v>
      </c>
      <c r="N47"/>
    </row>
    <row r="48" spans="1:14" x14ac:dyDescent="0.35">
      <c r="A48" s="15">
        <v>16</v>
      </c>
      <c r="B48" s="67">
        <f>'Appendix J'!J987</f>
        <v>0.57517445474527706</v>
      </c>
      <c r="C48" s="56">
        <f t="shared" si="10"/>
        <v>3717849.1188789895</v>
      </c>
      <c r="D48" s="56">
        <f t="shared" si="12"/>
        <v>68893796.014408872</v>
      </c>
      <c r="E48" s="75">
        <f>'Appendix K'!W76</f>
        <v>-196428.87991087465</v>
      </c>
      <c r="G48" s="38">
        <f t="shared" si="13"/>
        <v>2416601.9272713433</v>
      </c>
      <c r="H48" s="58">
        <f t="shared" si="11"/>
        <v>457.13911411093005</v>
      </c>
      <c r="I48" s="53">
        <f>'Appendix L'!BJ80/C48</f>
        <v>29.19621270335448</v>
      </c>
      <c r="N48"/>
    </row>
    <row r="49" spans="1:22" x14ac:dyDescent="0.35">
      <c r="A49" s="15">
        <v>17</v>
      </c>
      <c r="B49" s="67">
        <f>'Appendix J'!J1048</f>
        <v>0.58068216307861054</v>
      </c>
      <c r="C49" s="56">
        <f t="shared" si="10"/>
        <v>3715511.5129469689</v>
      </c>
      <c r="D49" s="56">
        <f t="shared" si="12"/>
        <v>72609307.527355835</v>
      </c>
      <c r="E49" s="75">
        <f>'Appendix K'!W77</f>
        <v>-244895.74480093154</v>
      </c>
      <c r="G49" s="38">
        <f t="shared" si="13"/>
        <v>2415082.4834155301</v>
      </c>
      <c r="H49" s="58">
        <f t="shared" si="11"/>
        <v>508.50885941999309</v>
      </c>
      <c r="I49" s="53">
        <f>'Appendix L'!BJ81/C49</f>
        <v>26.201722848782222</v>
      </c>
      <c r="N49"/>
    </row>
    <row r="50" spans="1:22" x14ac:dyDescent="0.35">
      <c r="A50" s="15">
        <v>18</v>
      </c>
      <c r="B50" s="67">
        <f>'Appendix J'!J1109</f>
        <v>0.58559140613416638</v>
      </c>
      <c r="C50" s="56">
        <f t="shared" si="10"/>
        <v>3691799.7348369285</v>
      </c>
      <c r="D50" s="56">
        <f t="shared" si="12"/>
        <v>76301107.262192756</v>
      </c>
      <c r="E50" s="75">
        <f>'Appendix K'!W78</f>
        <v>-271112.14062353777</v>
      </c>
      <c r="G50" s="38">
        <f t="shared" si="13"/>
        <v>2399669.8276440036</v>
      </c>
      <c r="H50" s="58">
        <f t="shared" si="11"/>
        <v>566.77527283210713</v>
      </c>
      <c r="I50" s="53">
        <f>'Appendix L'!BJ82/C50</f>
        <v>23.465655548032235</v>
      </c>
      <c r="N50"/>
    </row>
    <row r="51" spans="1:22" x14ac:dyDescent="0.35">
      <c r="A51" s="15">
        <v>19</v>
      </c>
      <c r="B51" s="67">
        <f>'Appendix J'!J1170</f>
        <v>0.59000340960638875</v>
      </c>
      <c r="C51" s="56">
        <f t="shared" si="10"/>
        <v>3670404.2382310373</v>
      </c>
      <c r="D51" s="56">
        <f t="shared" si="12"/>
        <v>79971511.500423789</v>
      </c>
      <c r="E51" s="75">
        <f>'Appendix K'!W79</f>
        <v>-284108.00979854737</v>
      </c>
      <c r="G51" s="38">
        <f t="shared" si="13"/>
        <v>2385762.7548501743</v>
      </c>
      <c r="H51" s="58">
        <f t="shared" si="11"/>
        <v>626.91927846821204</v>
      </c>
      <c r="I51" s="53">
        <f>'Appendix L'!BJ83/C51</f>
        <v>21.174662548035492</v>
      </c>
      <c r="N51"/>
    </row>
    <row r="52" spans="1:22" x14ac:dyDescent="0.35">
      <c r="A52" s="15">
        <v>20</v>
      </c>
      <c r="B52" s="67">
        <f>'Appendix J'!J1231</f>
        <v>0.5939959672452777</v>
      </c>
      <c r="C52" s="56">
        <f t="shared" si="10"/>
        <v>3650850.6511242576</v>
      </c>
      <c r="D52" s="56">
        <f t="shared" si="12"/>
        <v>83622362.151548043</v>
      </c>
      <c r="E52" s="75">
        <f>'Appendix K'!W80</f>
        <v>-287321.89370552672</v>
      </c>
      <c r="G52" s="38">
        <f t="shared" si="13"/>
        <v>2373052.9232307673</v>
      </c>
      <c r="H52" s="58">
        <f t="shared" si="11"/>
        <v>689.02007074789594</v>
      </c>
      <c r="I52" s="53">
        <f>'Appendix L'!BJ84/C52</f>
        <v>19.228649983050648</v>
      </c>
      <c r="N52"/>
    </row>
    <row r="53" spans="1:22" x14ac:dyDescent="0.35">
      <c r="A53" s="15">
        <v>21</v>
      </c>
      <c r="B53" s="67">
        <f>'Appendix J'!J1259</f>
        <v>0.59570523113416651</v>
      </c>
      <c r="C53" s="56">
        <f t="shared" si="10"/>
        <v>2852494.1222413615</v>
      </c>
      <c r="D53" s="56">
        <f t="shared" si="12"/>
        <v>86474856.273789406</v>
      </c>
      <c r="E53" s="75">
        <f>'Appendix K'!W81</f>
        <v>-142857.01107971394</v>
      </c>
      <c r="G53" s="38">
        <f t="shared" si="13"/>
        <v>1854121.1794568847</v>
      </c>
      <c r="H53" s="58">
        <f t="shared" si="11"/>
        <v>1284.4913247526808</v>
      </c>
      <c r="I53" s="53">
        <f>'Appendix L'!BJ85/C53</f>
        <v>10.293613148259547</v>
      </c>
      <c r="N53"/>
    </row>
    <row r="54" spans="1:22" x14ac:dyDescent="0.35">
      <c r="N54"/>
    </row>
    <row r="55" spans="1:22" x14ac:dyDescent="0.35">
      <c r="F55" s="127" t="s">
        <v>243</v>
      </c>
      <c r="G55" s="219">
        <f>SUM(G32:G52)</f>
        <v>54354535.398506247</v>
      </c>
      <c r="H55" s="222">
        <f>G55/(F26*1000)</f>
        <v>105.89927591409159</v>
      </c>
      <c r="I55" s="68">
        <f>'Appendix L'!BN84/D52</f>
        <v>127.41054411617962</v>
      </c>
      <c r="O55" s="126"/>
      <c r="P55" s="126"/>
      <c r="Q55" s="174"/>
      <c r="R55" s="175"/>
      <c r="S55" s="125"/>
      <c r="T55" s="126"/>
      <c r="U55" s="125"/>
      <c r="V55" s="125"/>
    </row>
    <row r="56" spans="1:22" x14ac:dyDescent="0.35">
      <c r="G56" s="106"/>
      <c r="I56" s="106"/>
      <c r="S56" s="106"/>
      <c r="T56" s="106"/>
      <c r="U56" s="106"/>
    </row>
    <row r="57" spans="1:22" x14ac:dyDescent="0.35">
      <c r="H57" t="s">
        <v>440</v>
      </c>
      <c r="I57" s="68">
        <f>'Appendix L'!BL87/D52</f>
        <v>2.3272571134406408</v>
      </c>
    </row>
    <row r="58" spans="1:22" x14ac:dyDescent="0.35">
      <c r="M58"/>
      <c r="N58"/>
    </row>
    <row r="59" spans="1:22" x14ac:dyDescent="0.35">
      <c r="D59" s="195"/>
      <c r="E59" s="195"/>
      <c r="F59" s="195"/>
      <c r="G59" s="195"/>
      <c r="H59" s="195"/>
      <c r="I59" s="195"/>
      <c r="M59"/>
      <c r="N59"/>
    </row>
    <row r="60" spans="1:22" x14ac:dyDescent="0.35">
      <c r="C60" s="195"/>
      <c r="D60" s="125"/>
      <c r="E60" s="125"/>
      <c r="F60" s="224"/>
      <c r="G60" s="125"/>
      <c r="H60" s="125"/>
      <c r="M60"/>
      <c r="N60"/>
    </row>
    <row r="61" spans="1:22" x14ac:dyDescent="0.35">
      <c r="C61" s="195"/>
      <c r="D61" s="106"/>
      <c r="E61" s="106"/>
      <c r="F61" s="106"/>
      <c r="G61" s="106"/>
      <c r="H61" s="106"/>
      <c r="M61"/>
      <c r="N61"/>
    </row>
    <row r="62" spans="1:22" x14ac:dyDescent="0.35">
      <c r="M62"/>
      <c r="N62"/>
    </row>
    <row r="63" spans="1:22" x14ac:dyDescent="0.35">
      <c r="M63"/>
      <c r="N63"/>
    </row>
    <row r="64" spans="1:22" x14ac:dyDescent="0.35">
      <c r="M64"/>
      <c r="N64"/>
    </row>
  </sheetData>
  <mergeCells count="1">
    <mergeCell ref="A1:J1"/>
  </mergeCells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55"/>
  <sheetViews>
    <sheetView topLeftCell="C7" zoomScale="50" zoomScaleNormal="50" workbookViewId="0">
      <selection activeCell="Q31" sqref="Q31"/>
    </sheetView>
  </sheetViews>
  <sheetFormatPr defaultRowHeight="14.5" x14ac:dyDescent="0.35"/>
  <cols>
    <col min="1" max="1" width="9.1796875" customWidth="1"/>
    <col min="2" max="2" width="27.7265625" bestFit="1" customWidth="1"/>
    <col min="3" max="3" width="14.08984375" customWidth="1"/>
    <col min="4" max="4" width="10.90625" customWidth="1"/>
    <col min="5" max="5" width="14.6328125" bestFit="1" customWidth="1"/>
    <col min="6" max="6" width="11.453125" customWidth="1"/>
    <col min="7" max="7" width="10.6328125" customWidth="1"/>
    <col min="8" max="8" width="16.453125" bestFit="1" customWidth="1"/>
    <col min="9" max="9" width="10.453125" customWidth="1"/>
    <col min="10" max="10" width="11.81640625" customWidth="1"/>
    <col min="11" max="11" width="17.1796875" bestFit="1" customWidth="1"/>
    <col min="12" max="12" width="17.1796875" customWidth="1"/>
    <col min="13" max="13" width="15.453125" customWidth="1"/>
    <col min="14" max="14" width="17.1796875" customWidth="1"/>
    <col min="15" max="15" width="17.1796875" bestFit="1" customWidth="1"/>
    <col min="16" max="16" width="13.54296875" bestFit="1" customWidth="1"/>
    <col min="17" max="17" width="14.36328125" customWidth="1"/>
    <col min="18" max="18" width="11.36328125" customWidth="1"/>
    <col min="19" max="20" width="11" bestFit="1" customWidth="1"/>
  </cols>
  <sheetData>
    <row r="1" spans="1:20" ht="30" x14ac:dyDescent="0.45">
      <c r="A1" s="57" t="s">
        <v>136</v>
      </c>
      <c r="B1" s="40">
        <v>8.5999999999999993E-2</v>
      </c>
      <c r="C1" s="39" t="s">
        <v>137</v>
      </c>
      <c r="D1" s="320" t="s">
        <v>337</v>
      </c>
      <c r="E1" s="320"/>
      <c r="F1" s="320"/>
      <c r="G1" s="320"/>
      <c r="H1" s="320"/>
      <c r="I1" s="320"/>
      <c r="J1" s="320"/>
      <c r="K1" s="320"/>
    </row>
    <row r="2" spans="1:20" x14ac:dyDescent="0.35">
      <c r="A2" s="50" t="s">
        <v>138</v>
      </c>
      <c r="B2" s="40">
        <f>1.23144 *B1</f>
        <v>0.10590384</v>
      </c>
      <c r="C2" t="s">
        <v>139</v>
      </c>
    </row>
    <row r="3" spans="1:20" x14ac:dyDescent="0.35">
      <c r="B3" t="s">
        <v>153</v>
      </c>
    </row>
    <row r="4" spans="1:20" ht="101.5" x14ac:dyDescent="0.35">
      <c r="A4" s="168" t="s">
        <v>108</v>
      </c>
      <c r="B4" s="27" t="s">
        <v>320</v>
      </c>
      <c r="C4" s="27" t="s">
        <v>159</v>
      </c>
      <c r="D4" s="27" t="s">
        <v>342</v>
      </c>
      <c r="E4" s="27" t="s">
        <v>330</v>
      </c>
      <c r="F4" s="27" t="s">
        <v>331</v>
      </c>
      <c r="G4" s="27" t="s">
        <v>343</v>
      </c>
      <c r="H4" s="27" t="s">
        <v>338</v>
      </c>
      <c r="I4" s="27" t="s">
        <v>157</v>
      </c>
      <c r="J4" s="27" t="s">
        <v>344</v>
      </c>
      <c r="K4" s="27" t="s">
        <v>156</v>
      </c>
      <c r="L4" s="27" t="s">
        <v>336</v>
      </c>
      <c r="M4" s="27" t="s">
        <v>345</v>
      </c>
      <c r="N4" s="27" t="s">
        <v>334</v>
      </c>
      <c r="O4" s="27" t="s">
        <v>348</v>
      </c>
      <c r="P4" s="27" t="s">
        <v>158</v>
      </c>
      <c r="Q4" s="27" t="s">
        <v>346</v>
      </c>
      <c r="R4" s="27" t="s">
        <v>347</v>
      </c>
      <c r="S4" s="27" t="s">
        <v>446</v>
      </c>
    </row>
    <row r="5" spans="1:20" x14ac:dyDescent="0.35">
      <c r="A5" s="168">
        <v>0</v>
      </c>
      <c r="B5" s="38">
        <v>0</v>
      </c>
      <c r="C5" s="56">
        <f>B5*0.0036</f>
        <v>0</v>
      </c>
      <c r="D5" s="58">
        <f>B5/(365*24)</f>
        <v>0</v>
      </c>
      <c r="E5" s="38">
        <f>'Appendix M'!C32</f>
        <v>0</v>
      </c>
      <c r="F5" s="38">
        <f>E5*0.0036</f>
        <v>0</v>
      </c>
      <c r="G5" s="53">
        <f>F5/(365*24)</f>
        <v>0</v>
      </c>
      <c r="H5" s="41">
        <f>E5*$B$2</f>
        <v>0</v>
      </c>
      <c r="I5" s="52">
        <f>H5/(365*24)</f>
        <v>0</v>
      </c>
      <c r="J5" s="188">
        <f>J6</f>
        <v>0.10590383999999999</v>
      </c>
      <c r="K5" s="54">
        <f>'Appendix K'!I30/(365*24)</f>
        <v>3835.0345255793495</v>
      </c>
      <c r="L5" s="54">
        <v>0</v>
      </c>
      <c r="M5" s="54">
        <f>L5*0.0036/(365*24)</f>
        <v>0</v>
      </c>
      <c r="N5" s="54">
        <f>L5*$B$2/(365*24)</f>
        <v>0</v>
      </c>
      <c r="O5" s="37">
        <f>O6</f>
        <v>0.10590384000000001</v>
      </c>
      <c r="P5" s="53">
        <f t="shared" ref="P5:P26" si="0">I5+K5-N5</f>
        <v>3835.0345255793495</v>
      </c>
      <c r="Q5" s="53" t="e">
        <f t="shared" ref="Q5:Q26" si="1">P5/D5</f>
        <v>#DIV/0!</v>
      </c>
      <c r="R5" s="53" t="e">
        <f>((F5/1000)+((K5*365*24/$B$2)*3.6)-(L5*3.6))/C5</f>
        <v>#DIV/0!</v>
      </c>
      <c r="S5" s="27">
        <v>1</v>
      </c>
    </row>
    <row r="6" spans="1:20" x14ac:dyDescent="0.35">
      <c r="A6" s="15">
        <v>1</v>
      </c>
      <c r="B6" s="38">
        <f>'Appendix L'!BJ65</f>
        <v>2596974685.8842335</v>
      </c>
      <c r="C6" s="56">
        <f>B6*0.0036</f>
        <v>9349108.8691832405</v>
      </c>
      <c r="D6" s="58">
        <f t="shared" ref="D6:D26" si="2">B6/(365*24)</f>
        <v>296458.29747536912</v>
      </c>
      <c r="E6" s="38">
        <f>'Appendix M'!C33</f>
        <v>6795411.1676859828</v>
      </c>
      <c r="F6" s="38">
        <f>E6*0.0036</f>
        <v>24463.480203669536</v>
      </c>
      <c r="G6" s="53">
        <f>E6/(365*24)</f>
        <v>775.73186845730402</v>
      </c>
      <c r="H6" s="41">
        <f>E6*$B$2</f>
        <v>719660.13703682949</v>
      </c>
      <c r="I6" s="52">
        <f>H6/(365*24)</f>
        <v>82.152983680003359</v>
      </c>
      <c r="J6" s="188">
        <f>I6/G6</f>
        <v>0.10590383999999999</v>
      </c>
      <c r="K6" s="54">
        <f>('Appendix K'!E31+'Appendix K'!F31+'Appendix K'!G31)/(365*24)</f>
        <v>545.51015224576531</v>
      </c>
      <c r="L6" s="54">
        <f>'Appendix L'!BL65</f>
        <v>23623759.004682131</v>
      </c>
      <c r="M6" s="54">
        <f>L6/(365*24)</f>
        <v>2696.7761420870011</v>
      </c>
      <c r="N6" s="54">
        <f>L6*$B$2/(365*24)</f>
        <v>285.59894906739908</v>
      </c>
      <c r="O6" s="37">
        <f>N6/M6</f>
        <v>0.10590384000000001</v>
      </c>
      <c r="P6" s="53">
        <f t="shared" si="0"/>
        <v>342.06418685836957</v>
      </c>
      <c r="Q6" s="173">
        <f t="shared" si="1"/>
        <v>1.1538357663502051E-3</v>
      </c>
      <c r="R6" s="53">
        <f>((F6)+((K6*365*24/$B$2))-(L6))/B6</f>
        <v>8.2878824163122745E-3</v>
      </c>
      <c r="S6" s="53">
        <f>(C6-((F6)+((K6*365*24/$B$2)*0.0036)+(L6*0.0036)))/(((F6)+((K6*365*24/$B$2)*0.0036)+(L6*0.0036)))</f>
        <v>33.377943219594812</v>
      </c>
      <c r="T6" s="68"/>
    </row>
    <row r="7" spans="1:20" x14ac:dyDescent="0.35">
      <c r="A7" s="15">
        <v>2</v>
      </c>
      <c r="B7" s="38">
        <f>'Appendix L'!BJ66</f>
        <v>1011318409.1032439</v>
      </c>
      <c r="C7" s="56">
        <f t="shared" ref="C7:C26" si="3">B7*0.0036</f>
        <v>3640746.2727716779</v>
      </c>
      <c r="D7" s="58">
        <f t="shared" si="2"/>
        <v>115447.30697525616</v>
      </c>
      <c r="E7" s="38">
        <f>'Appendix M'!C34</f>
        <v>4977793.5935480427</v>
      </c>
      <c r="F7" s="38">
        <f t="shared" ref="F7:F26" si="4">E7*0.0036</f>
        <v>17920.056936772955</v>
      </c>
      <c r="G7" s="53">
        <f t="shared" ref="G7:G26" si="5">E7/(365*24)</f>
        <v>568.24127780228798</v>
      </c>
      <c r="H7" s="41">
        <f t="shared" ref="H7:H25" si="6">E7*$B$2</f>
        <v>527167.45628413698</v>
      </c>
      <c r="I7" s="52">
        <f t="shared" ref="I7:I26" si="7">H7/(365*24)</f>
        <v>60.178933365769062</v>
      </c>
      <c r="J7" s="188">
        <f t="shared" ref="J7:J26" si="8">I7/G7</f>
        <v>0.10590384000000001</v>
      </c>
      <c r="K7" s="54">
        <f>('Appendix K'!E32+'Appendix K'!F32+'Appendix K'!G32)/(365*24)</f>
        <v>421.50710322812313</v>
      </c>
      <c r="L7" s="54">
        <f>'Appendix L'!BL66</f>
        <v>11895970.005335914</v>
      </c>
      <c r="M7" s="54">
        <f t="shared" ref="M7:M26" si="9">L7/(365*24)</f>
        <v>1357.9874435314971</v>
      </c>
      <c r="N7" s="54">
        <f t="shared" ref="N7:N26" si="10">L7*$B$2/(365*24)</f>
        <v>143.81608494176868</v>
      </c>
      <c r="O7" s="37">
        <f t="shared" ref="O7:O26" si="11">N7/M7</f>
        <v>0.10590383999999999</v>
      </c>
      <c r="P7" s="53">
        <f t="shared" si="0"/>
        <v>337.86995165212352</v>
      </c>
      <c r="Q7" s="173">
        <f t="shared" si="1"/>
        <v>2.9266161377375331E-3</v>
      </c>
      <c r="R7" s="53">
        <f t="shared" ref="R7:R26" si="12">((F7)+((K7*365*24/$B$2))-(L7))/B7</f>
        <v>2.273029159115772E-2</v>
      </c>
      <c r="S7" s="53">
        <f t="shared" ref="S7:S26" si="13">(C7-((F7)+((K7*365*24/$B$2)*0.0036)+(L7*0.0036)))/(((F7)+((K7*365*24/$B$2)*0.0036)+(L7*0.0036)))</f>
        <v>18.546397534706632</v>
      </c>
      <c r="T7" s="68"/>
    </row>
    <row r="8" spans="1:20" x14ac:dyDescent="0.35">
      <c r="A8" s="15">
        <v>3</v>
      </c>
      <c r="B8" s="38">
        <f>'Appendix L'!BJ67</f>
        <v>560829681.75878096</v>
      </c>
      <c r="C8" s="56">
        <f t="shared" si="3"/>
        <v>2018986.8543316114</v>
      </c>
      <c r="D8" s="58">
        <f t="shared" si="2"/>
        <v>64021.653168810612</v>
      </c>
      <c r="E8" s="38">
        <f>'Appendix M'!C35</f>
        <v>4425775.7445406504</v>
      </c>
      <c r="F8" s="38">
        <f t="shared" si="4"/>
        <v>15932.792680346342</v>
      </c>
      <c r="G8" s="53">
        <f t="shared" si="5"/>
        <v>505.22554161422948</v>
      </c>
      <c r="H8" s="41">
        <f t="shared" si="6"/>
        <v>468706.6463257139</v>
      </c>
      <c r="I8" s="52">
        <f t="shared" si="7"/>
        <v>53.505324923026699</v>
      </c>
      <c r="J8" s="188">
        <f t="shared" si="8"/>
        <v>0.10590384</v>
      </c>
      <c r="K8" s="54">
        <f>('Appendix K'!E33+'Appendix K'!F33+'Appendix K'!G33)/(365*24)</f>
        <v>396.98318212585525</v>
      </c>
      <c r="L8" s="54">
        <f>'Appendix L'!BL67</f>
        <v>8810537.9643520992</v>
      </c>
      <c r="M8" s="54">
        <f t="shared" si="9"/>
        <v>1005.7691740127967</v>
      </c>
      <c r="N8" s="54">
        <f t="shared" si="10"/>
        <v>106.51481768158338</v>
      </c>
      <c r="O8" s="37">
        <f t="shared" si="11"/>
        <v>0.10590384</v>
      </c>
      <c r="P8" s="53">
        <f t="shared" si="0"/>
        <v>343.97368936729856</v>
      </c>
      <c r="Q8" s="173">
        <f t="shared" si="1"/>
        <v>5.3727711226124976E-3</v>
      </c>
      <c r="R8" s="53">
        <f t="shared" si="12"/>
        <v>4.2869473223565095E-2</v>
      </c>
      <c r="S8" s="53">
        <f t="shared" si="13"/>
        <v>11.172528623605849</v>
      </c>
    </row>
    <row r="9" spans="1:20" x14ac:dyDescent="0.35">
      <c r="A9" s="15">
        <v>4</v>
      </c>
      <c r="B9" s="38">
        <f>'Appendix L'!BJ68</f>
        <v>1060013230.862856</v>
      </c>
      <c r="C9" s="56">
        <f t="shared" si="3"/>
        <v>3816047.6311062817</v>
      </c>
      <c r="D9" s="58">
        <f t="shared" si="2"/>
        <v>121006.07658251781</v>
      </c>
      <c r="E9" s="38">
        <f>'Appendix M'!C36</f>
        <v>4532231.4486212227</v>
      </c>
      <c r="F9" s="38">
        <f t="shared" si="4"/>
        <v>16316.033215036401</v>
      </c>
      <c r="G9" s="53">
        <f t="shared" si="5"/>
        <v>517.37801924899804</v>
      </c>
      <c r="H9" s="41">
        <f t="shared" si="6"/>
        <v>479980.71417775017</v>
      </c>
      <c r="I9" s="52">
        <f t="shared" si="7"/>
        <v>54.792318970062801</v>
      </c>
      <c r="J9" s="188">
        <f t="shared" si="8"/>
        <v>0.10590383999999999</v>
      </c>
      <c r="K9" s="54">
        <f>('Appendix K'!E34+'Appendix K'!F34+'Appendix K'!G34)/(365*24)</f>
        <v>495.61700409750665</v>
      </c>
      <c r="L9" s="54">
        <f>'Appendix L'!BL68</f>
        <v>13609829.58640716</v>
      </c>
      <c r="M9" s="54">
        <f t="shared" si="9"/>
        <v>1553.633514430041</v>
      </c>
      <c r="N9" s="54">
        <f t="shared" si="10"/>
        <v>164.53575513083678</v>
      </c>
      <c r="O9" s="37">
        <f t="shared" si="11"/>
        <v>0.10590384000000001</v>
      </c>
      <c r="P9" s="53">
        <f t="shared" si="0"/>
        <v>385.87356793673263</v>
      </c>
      <c r="Q9" s="173">
        <f t="shared" si="1"/>
        <v>3.1888776070976357E-3</v>
      </c>
      <c r="R9" s="53">
        <f t="shared" si="12"/>
        <v>2.5850822475634999E-2</v>
      </c>
      <c r="S9" s="53">
        <f t="shared" si="13"/>
        <v>16.924465199082587</v>
      </c>
    </row>
    <row r="10" spans="1:20" x14ac:dyDescent="0.35">
      <c r="A10" s="15">
        <v>5</v>
      </c>
      <c r="B10" s="38">
        <f>'Appendix L'!BJ69</f>
        <v>1414523629.7062671</v>
      </c>
      <c r="C10" s="56">
        <f t="shared" si="3"/>
        <v>5092285.0669425614</v>
      </c>
      <c r="D10" s="58">
        <f t="shared" si="2"/>
        <v>161475.30019477935</v>
      </c>
      <c r="E10" s="38">
        <f>'Appendix M'!C37</f>
        <v>4880454.6181429774</v>
      </c>
      <c r="F10" s="38">
        <f t="shared" si="4"/>
        <v>17569.636625314717</v>
      </c>
      <c r="G10" s="53">
        <f t="shared" si="5"/>
        <v>557.12952261906139</v>
      </c>
      <c r="H10" s="41">
        <f t="shared" si="6"/>
        <v>516858.88500707498</v>
      </c>
      <c r="I10" s="52">
        <f t="shared" si="7"/>
        <v>59.002155822725456</v>
      </c>
      <c r="J10" s="188">
        <f t="shared" si="8"/>
        <v>0.10590384</v>
      </c>
      <c r="K10" s="54">
        <f>('Appendix K'!E35+'Appendix K'!F35+'Appendix K'!G35)/(365*24)</f>
        <v>489.64280677899029</v>
      </c>
      <c r="L10" s="54">
        <f>'Appendix L'!BL69</f>
        <v>15930635.440543275</v>
      </c>
      <c r="M10" s="54">
        <f t="shared" si="9"/>
        <v>1818.5656895597347</v>
      </c>
      <c r="N10" s="54">
        <f t="shared" si="10"/>
        <v>192.5930898166238</v>
      </c>
      <c r="O10" s="37">
        <f t="shared" si="11"/>
        <v>0.10590384</v>
      </c>
      <c r="P10" s="53">
        <f t="shared" si="0"/>
        <v>356.05187278509197</v>
      </c>
      <c r="Q10" s="173">
        <f t="shared" si="1"/>
        <v>2.2049927905729541E-3</v>
      </c>
      <c r="R10" s="53">
        <f t="shared" si="12"/>
        <v>1.7382881494622936E-2</v>
      </c>
      <c r="S10" s="53">
        <f t="shared" si="13"/>
        <v>22.070664410693951</v>
      </c>
    </row>
    <row r="11" spans="1:20" x14ac:dyDescent="0.35">
      <c r="A11" s="15">
        <v>6</v>
      </c>
      <c r="B11" s="38">
        <f>'Appendix L'!BJ70</f>
        <v>918871546.98221517</v>
      </c>
      <c r="C11" s="56">
        <f t="shared" si="3"/>
        <v>3307937.5691359746</v>
      </c>
      <c r="D11" s="58">
        <f t="shared" si="2"/>
        <v>104894.01221258164</v>
      </c>
      <c r="E11" s="38">
        <f>'Appendix M'!C38</f>
        <v>4366872.4993704828</v>
      </c>
      <c r="F11" s="38">
        <f t="shared" si="4"/>
        <v>15720.740997733737</v>
      </c>
      <c r="G11" s="53">
        <f t="shared" si="5"/>
        <v>498.50142686877655</v>
      </c>
      <c r="H11" s="41">
        <f t="shared" si="6"/>
        <v>462468.56647373171</v>
      </c>
      <c r="I11" s="52">
        <f t="shared" si="7"/>
        <v>52.793215350882619</v>
      </c>
      <c r="J11" s="188">
        <f t="shared" si="8"/>
        <v>0.10590384000000001</v>
      </c>
      <c r="K11" s="54">
        <f>('Appendix K'!E36+'Appendix K'!F36+'Appendix K'!G36)/(365*24)</f>
        <v>455.97705596171096</v>
      </c>
      <c r="L11" s="54">
        <f>'Appendix L'!BL70</f>
        <v>12363417.165349558</v>
      </c>
      <c r="M11" s="54">
        <f t="shared" si="9"/>
        <v>1411.3489914782601</v>
      </c>
      <c r="N11" s="54">
        <f t="shared" si="10"/>
        <v>149.46727777767501</v>
      </c>
      <c r="O11" s="37">
        <f t="shared" si="11"/>
        <v>0.10590383999999999</v>
      </c>
      <c r="P11" s="53">
        <f t="shared" si="0"/>
        <v>359.30299353491858</v>
      </c>
      <c r="Q11" s="173">
        <f t="shared" si="1"/>
        <v>3.425390887010246E-3</v>
      </c>
      <c r="R11" s="53">
        <f t="shared" si="12"/>
        <v>2.7609029158167132E-2</v>
      </c>
      <c r="S11" s="53">
        <f t="shared" si="13"/>
        <v>15.876397740712727</v>
      </c>
    </row>
    <row r="12" spans="1:20" x14ac:dyDescent="0.35">
      <c r="A12" s="15">
        <v>7</v>
      </c>
      <c r="B12" s="38">
        <f>'Appendix L'!BJ71</f>
        <v>641508618.37236392</v>
      </c>
      <c r="C12" s="56">
        <f t="shared" si="3"/>
        <v>2309431.0261405101</v>
      </c>
      <c r="D12" s="58">
        <f t="shared" si="2"/>
        <v>73231.57743976757</v>
      </c>
      <c r="E12" s="38">
        <f>'Appendix M'!C39</f>
        <v>4129756.5501270546</v>
      </c>
      <c r="F12" s="38">
        <f t="shared" si="4"/>
        <v>14867.123580457395</v>
      </c>
      <c r="G12" s="53">
        <f t="shared" si="5"/>
        <v>471.43339613322541</v>
      </c>
      <c r="H12" s="41">
        <f t="shared" si="6"/>
        <v>437357.07692360756</v>
      </c>
      <c r="I12" s="52">
        <f t="shared" si="7"/>
        <v>49.926606954749722</v>
      </c>
      <c r="J12" s="188">
        <f t="shared" si="8"/>
        <v>0.10590384</v>
      </c>
      <c r="K12" s="54">
        <f>('Appendix K'!E37+'Appendix K'!F37+'Appendix K'!G37)/(365*24)</f>
        <v>443.91322412363996</v>
      </c>
      <c r="L12" s="54">
        <f>'Appendix L'!BL71</f>
        <v>10458947.990848234</v>
      </c>
      <c r="M12" s="54">
        <f t="shared" si="9"/>
        <v>1193.9438345717163</v>
      </c>
      <c r="N12" s="54">
        <f t="shared" si="10"/>
        <v>126.44323682546948</v>
      </c>
      <c r="O12" s="37">
        <f t="shared" si="11"/>
        <v>0.10590383999999999</v>
      </c>
      <c r="P12" s="53">
        <f t="shared" si="0"/>
        <v>367.39659425292018</v>
      </c>
      <c r="Q12" s="173">
        <f t="shared" si="1"/>
        <v>5.0169149306540772E-3</v>
      </c>
      <c r="R12" s="53">
        <f t="shared" si="12"/>
        <v>4.0957966299920226E-2</v>
      </c>
      <c r="S12" s="53">
        <f t="shared" si="13"/>
        <v>11.503170989879123</v>
      </c>
    </row>
    <row r="13" spans="1:20" x14ac:dyDescent="0.35">
      <c r="A13" s="15">
        <v>8</v>
      </c>
      <c r="B13" s="38">
        <f>'Appendix L'!BJ72</f>
        <v>464176267.74713755</v>
      </c>
      <c r="C13" s="56">
        <f t="shared" si="3"/>
        <v>1671034.5638896951</v>
      </c>
      <c r="D13" s="58">
        <f t="shared" si="2"/>
        <v>52988.15841862301</v>
      </c>
      <c r="E13" s="38">
        <f>'Appendix M'!C40</f>
        <v>4001957.2459484637</v>
      </c>
      <c r="F13" s="38">
        <f t="shared" si="4"/>
        <v>14407.046085414469</v>
      </c>
      <c r="G13" s="53">
        <f t="shared" si="5"/>
        <v>456.84443446900269</v>
      </c>
      <c r="H13" s="41">
        <f t="shared" si="6"/>
        <v>423822.63986176671</v>
      </c>
      <c r="I13" s="52">
        <f t="shared" si="7"/>
        <v>48.381579892895743</v>
      </c>
      <c r="J13" s="188">
        <f t="shared" si="8"/>
        <v>0.10590384</v>
      </c>
      <c r="K13" s="54">
        <f>('Appendix K'!E38+'Appendix K'!F38+'Appendix K'!G38)/(365*24)</f>
        <v>440.18513534676941</v>
      </c>
      <c r="L13" s="54">
        <f>'Appendix L'!BL72</f>
        <v>9290243.3850003406</v>
      </c>
      <c r="M13" s="54">
        <f t="shared" si="9"/>
        <v>1060.5300667808608</v>
      </c>
      <c r="N13" s="54">
        <f t="shared" si="10"/>
        <v>112.31420650754959</v>
      </c>
      <c r="O13" s="37">
        <f t="shared" si="11"/>
        <v>0.10590383999999999</v>
      </c>
      <c r="P13" s="53">
        <f t="shared" si="0"/>
        <v>376.25250873211553</v>
      </c>
      <c r="Q13" s="173">
        <f t="shared" si="1"/>
        <v>7.1006904176514896E-3</v>
      </c>
      <c r="R13" s="53">
        <f t="shared" si="12"/>
        <v>5.8457875066454737E-2</v>
      </c>
      <c r="S13" s="53">
        <f t="shared" si="13"/>
        <v>8.3390374830726852</v>
      </c>
    </row>
    <row r="14" spans="1:20" x14ac:dyDescent="0.35">
      <c r="A14" s="15">
        <v>9</v>
      </c>
      <c r="B14" s="38">
        <f>'Appendix L'!BJ73</f>
        <v>357506764.27543944</v>
      </c>
      <c r="C14" s="56">
        <f t="shared" si="3"/>
        <v>1287024.3513915821</v>
      </c>
      <c r="D14" s="58">
        <f t="shared" si="2"/>
        <v>40811.274460666602</v>
      </c>
      <c r="E14" s="38">
        <f>'Appendix M'!C41</f>
        <v>3943409.4394908915</v>
      </c>
      <c r="F14" s="38">
        <f t="shared" si="4"/>
        <v>14196.273982167209</v>
      </c>
      <c r="G14" s="53">
        <f t="shared" si="5"/>
        <v>450.16089491905154</v>
      </c>
      <c r="H14" s="41">
        <f t="shared" si="6"/>
        <v>417622.20233433304</v>
      </c>
      <c r="I14" s="52">
        <f t="shared" si="7"/>
        <v>47.673767389764045</v>
      </c>
      <c r="J14" s="188">
        <f t="shared" si="8"/>
        <v>0.10590384</v>
      </c>
      <c r="K14" s="54">
        <f>('Appendix K'!E39+'Appendix K'!F39+'Appendix K'!G39)/(365*24)</f>
        <v>440.8585054325531</v>
      </c>
      <c r="L14" s="54">
        <f>'Appendix L'!BL73</f>
        <v>8623810.8779892474</v>
      </c>
      <c r="M14" s="54">
        <f t="shared" si="9"/>
        <v>984.45329657411503</v>
      </c>
      <c r="N14" s="54">
        <f t="shared" si="10"/>
        <v>104.25738440785761</v>
      </c>
      <c r="O14" s="37">
        <f t="shared" si="11"/>
        <v>0.10590383999999999</v>
      </c>
      <c r="P14" s="53">
        <f t="shared" si="0"/>
        <v>384.27488841445955</v>
      </c>
      <c r="Q14" s="173">
        <f t="shared" si="1"/>
        <v>9.4159002259245513E-3</v>
      </c>
      <c r="R14" s="53">
        <f t="shared" si="12"/>
        <v>7.7919305691324006E-2</v>
      </c>
      <c r="S14" s="53">
        <f t="shared" si="13"/>
        <v>6.2910696533969741</v>
      </c>
    </row>
    <row r="15" spans="1:20" x14ac:dyDescent="0.35">
      <c r="A15" s="15">
        <v>10</v>
      </c>
      <c r="B15" s="38">
        <f>'Appendix L'!BJ74</f>
        <v>287770101.41315514</v>
      </c>
      <c r="C15" s="56">
        <f t="shared" si="3"/>
        <v>1035972.3650873585</v>
      </c>
      <c r="D15" s="58">
        <f t="shared" si="2"/>
        <v>32850.468197848757</v>
      </c>
      <c r="E15" s="38">
        <f>'Appendix M'!C42</f>
        <v>3895207.9851804739</v>
      </c>
      <c r="F15" s="38">
        <f t="shared" si="4"/>
        <v>14022.748746649706</v>
      </c>
      <c r="G15" s="53">
        <f t="shared" si="5"/>
        <v>444.65844579685773</v>
      </c>
      <c r="H15" s="41">
        <f t="shared" si="6"/>
        <v>412517.48322927527</v>
      </c>
      <c r="I15" s="52">
        <f t="shared" si="7"/>
        <v>47.091036898319096</v>
      </c>
      <c r="J15" s="188">
        <f t="shared" si="8"/>
        <v>0.10590384</v>
      </c>
      <c r="K15" s="54">
        <f>('Appendix K'!E40+'Appendix K'!F40+'Appendix K'!G40)/(365*24)</f>
        <v>436.3461848853409</v>
      </c>
      <c r="L15" s="54">
        <f>'Appendix L'!BL74</f>
        <v>8144821.6514149746</v>
      </c>
      <c r="M15" s="54">
        <f t="shared" si="9"/>
        <v>929.7741611204309</v>
      </c>
      <c r="N15" s="54">
        <f t="shared" si="10"/>
        <v>98.466653995432338</v>
      </c>
      <c r="O15" s="37">
        <f t="shared" si="11"/>
        <v>0.10590384</v>
      </c>
      <c r="P15" s="53">
        <f t="shared" si="0"/>
        <v>384.97056778822764</v>
      </c>
      <c r="Q15" s="173">
        <f t="shared" si="1"/>
        <v>1.171887613502683E-2</v>
      </c>
      <c r="R15" s="53">
        <f t="shared" si="12"/>
        <v>9.7168715026134098E-2</v>
      </c>
      <c r="S15" s="53">
        <f t="shared" si="13"/>
        <v>4.9786347415063261</v>
      </c>
    </row>
    <row r="16" spans="1:20" x14ac:dyDescent="0.35">
      <c r="A16" s="15">
        <v>11</v>
      </c>
      <c r="B16" s="38">
        <f>'Appendix L'!BJ75</f>
        <v>245823980.39251161</v>
      </c>
      <c r="C16" s="56">
        <f t="shared" si="3"/>
        <v>884966.32941304171</v>
      </c>
      <c r="D16" s="58">
        <f t="shared" si="2"/>
        <v>28062.098218323245</v>
      </c>
      <c r="E16" s="38">
        <f>'Appendix M'!C43</f>
        <v>3909870.7142157569</v>
      </c>
      <c r="F16" s="38">
        <f t="shared" si="4"/>
        <v>14075.534571176724</v>
      </c>
      <c r="G16" s="53">
        <f t="shared" si="5"/>
        <v>446.33227331230103</v>
      </c>
      <c r="H16" s="41">
        <f t="shared" si="6"/>
        <v>414070.32253899123</v>
      </c>
      <c r="I16" s="52">
        <f t="shared" si="7"/>
        <v>47.268301659702196</v>
      </c>
      <c r="J16" s="188">
        <f t="shared" si="8"/>
        <v>0.10590384</v>
      </c>
      <c r="K16" s="54">
        <f>('Appendix K'!E41+'Appendix K'!F41+'Appendix K'!G41)/(365*24)</f>
        <v>446.64702590051257</v>
      </c>
      <c r="L16" s="54">
        <f>'Appendix L'!BL75</f>
        <v>7986145.1666676933</v>
      </c>
      <c r="M16" s="54">
        <f t="shared" si="9"/>
        <v>911.66040715384622</v>
      </c>
      <c r="N16" s="54">
        <f t="shared" si="10"/>
        <v>96.548337893555782</v>
      </c>
      <c r="O16" s="37">
        <f t="shared" si="11"/>
        <v>0.10590384</v>
      </c>
      <c r="P16" s="53">
        <f t="shared" si="0"/>
        <v>397.36698966665904</v>
      </c>
      <c r="Q16" s="173">
        <f t="shared" si="1"/>
        <v>1.4160273639381566E-2</v>
      </c>
      <c r="R16" s="53">
        <f t="shared" si="12"/>
        <v>0.11786087836321349</v>
      </c>
      <c r="S16" s="53">
        <f t="shared" si="13"/>
        <v>4.0331360482506584</v>
      </c>
    </row>
    <row r="17" spans="1:19" x14ac:dyDescent="0.35">
      <c r="A17" s="15">
        <v>12</v>
      </c>
      <c r="B17" s="38">
        <f>'Appendix L'!BJ76</f>
        <v>206593680.55328527</v>
      </c>
      <c r="C17" s="56">
        <f t="shared" si="3"/>
        <v>743737.24999182695</v>
      </c>
      <c r="D17" s="58">
        <f t="shared" si="2"/>
        <v>23583.753487817954</v>
      </c>
      <c r="E17" s="38">
        <f>'Appendix M'!C44</f>
        <v>3885821.3326822654</v>
      </c>
      <c r="F17" s="38">
        <f t="shared" si="4"/>
        <v>13988.956797656156</v>
      </c>
      <c r="G17" s="53">
        <f t="shared" si="5"/>
        <v>443.58691012354626</v>
      </c>
      <c r="H17" s="41">
        <f t="shared" si="6"/>
        <v>411523.40068496938</v>
      </c>
      <c r="I17" s="52">
        <f t="shared" si="7"/>
        <v>46.977557155818424</v>
      </c>
      <c r="J17" s="188">
        <f t="shared" si="8"/>
        <v>0.10590384</v>
      </c>
      <c r="K17" s="54">
        <f>('Appendix K'!E42+'Appendix K'!F42+'Appendix K'!G42)/(365*24)</f>
        <v>447.98805159931356</v>
      </c>
      <c r="L17" s="54">
        <f>'Appendix L'!BL76</f>
        <v>7746638.6454356397</v>
      </c>
      <c r="M17" s="54">
        <f t="shared" si="9"/>
        <v>884.31948007256165</v>
      </c>
      <c r="N17" s="54">
        <f t="shared" si="10"/>
        <v>93.652828726487755</v>
      </c>
      <c r="O17" s="37">
        <f t="shared" si="11"/>
        <v>0.10590384</v>
      </c>
      <c r="P17" s="53">
        <f t="shared" si="0"/>
        <v>401.31278002864423</v>
      </c>
      <c r="Q17" s="173">
        <f t="shared" si="1"/>
        <v>1.7016493164921348E-2</v>
      </c>
      <c r="R17" s="53">
        <f t="shared" si="12"/>
        <v>0.14193742583264748</v>
      </c>
      <c r="S17" s="53">
        <f t="shared" si="13"/>
        <v>3.2431733308579975</v>
      </c>
    </row>
    <row r="18" spans="1:19" x14ac:dyDescent="0.35">
      <c r="A18" s="15">
        <v>13</v>
      </c>
      <c r="B18" s="38">
        <f>'Appendix L'!BJ77</f>
        <v>173976205.03646591</v>
      </c>
      <c r="C18" s="56">
        <f t="shared" si="3"/>
        <v>626314.33813127724</v>
      </c>
      <c r="D18" s="58">
        <f t="shared" si="2"/>
        <v>19860.297378592</v>
      </c>
      <c r="E18" s="38">
        <f>'Appendix M'!C45</f>
        <v>3850544.7226951844</v>
      </c>
      <c r="F18" s="38">
        <f t="shared" si="4"/>
        <v>13861.961001702664</v>
      </c>
      <c r="G18" s="53">
        <f t="shared" si="5"/>
        <v>439.55989985104844</v>
      </c>
      <c r="H18" s="41">
        <f t="shared" si="6"/>
        <v>407787.47222515516</v>
      </c>
      <c r="I18" s="52">
        <f t="shared" si="7"/>
        <v>46.551081304241457</v>
      </c>
      <c r="J18" s="188">
        <f t="shared" si="8"/>
        <v>0.10590384</v>
      </c>
      <c r="K18" s="54">
        <f>('Appendix K'!E43+'Appendix K'!F43+'Appendix K'!G43)/(365*24)</f>
        <v>447.85086540178116</v>
      </c>
      <c r="L18" s="54">
        <f>'Appendix L'!BL77</f>
        <v>7525358.7719374401</v>
      </c>
      <c r="M18" s="54">
        <f t="shared" si="9"/>
        <v>859.05922054080372</v>
      </c>
      <c r="N18" s="54">
        <f t="shared" si="10"/>
        <v>90.977670242677988</v>
      </c>
      <c r="O18" s="37">
        <f t="shared" si="11"/>
        <v>0.10590384</v>
      </c>
      <c r="P18" s="53">
        <f t="shared" si="0"/>
        <v>403.42427646334465</v>
      </c>
      <c r="Q18" s="173">
        <f t="shared" si="1"/>
        <v>2.0313103513656727E-2</v>
      </c>
      <c r="R18" s="53">
        <f t="shared" si="12"/>
        <v>0.16975413685985585</v>
      </c>
      <c r="S18" s="53">
        <f t="shared" si="13"/>
        <v>2.5930218528930196</v>
      </c>
    </row>
    <row r="19" spans="1:19" x14ac:dyDescent="0.35">
      <c r="A19" s="15">
        <v>14</v>
      </c>
      <c r="B19" s="38">
        <f>'Appendix L'!BJ78</f>
        <v>147426241.4386721</v>
      </c>
      <c r="C19" s="56">
        <f t="shared" si="3"/>
        <v>530734.46917921957</v>
      </c>
      <c r="D19" s="58">
        <f t="shared" si="2"/>
        <v>16829.479616286768</v>
      </c>
      <c r="E19" s="38">
        <f>'Appendix M'!C46</f>
        <v>3808391.3318598503</v>
      </c>
      <c r="F19" s="38">
        <f t="shared" si="4"/>
        <v>13710.208794695462</v>
      </c>
      <c r="G19" s="53">
        <f t="shared" si="5"/>
        <v>434.74786893377285</v>
      </c>
      <c r="H19" s="41">
        <f t="shared" si="6"/>
        <v>403323.26626667246</v>
      </c>
      <c r="I19" s="52">
        <f t="shared" si="7"/>
        <v>46.041468751903253</v>
      </c>
      <c r="J19" s="188">
        <f t="shared" si="8"/>
        <v>0.10590384</v>
      </c>
      <c r="K19" s="54">
        <f>('Appendix K'!E44+'Appendix K'!F44+'Appendix K'!G44)/(365*24)</f>
        <v>445.80788245655839</v>
      </c>
      <c r="L19" s="54">
        <f>'Appendix L'!BL78</f>
        <v>7319916.8311408693</v>
      </c>
      <c r="M19" s="54">
        <f t="shared" si="9"/>
        <v>835.60694419416313</v>
      </c>
      <c r="N19" s="54">
        <f t="shared" si="10"/>
        <v>88.493984120827577</v>
      </c>
      <c r="O19" s="37">
        <f t="shared" si="11"/>
        <v>0.10590384</v>
      </c>
      <c r="P19" s="53">
        <f t="shared" si="0"/>
        <v>403.35536708763408</v>
      </c>
      <c r="Q19" s="173">
        <f t="shared" si="1"/>
        <v>2.396719187308002E-2</v>
      </c>
      <c r="R19" s="53">
        <f t="shared" si="12"/>
        <v>0.20057136317489344</v>
      </c>
      <c r="S19" s="53">
        <f t="shared" si="13"/>
        <v>2.0711242949920448</v>
      </c>
    </row>
    <row r="20" spans="1:19" x14ac:dyDescent="0.35">
      <c r="A20" s="15">
        <v>15</v>
      </c>
      <c r="B20" s="38">
        <f>'Appendix L'!BJ79</f>
        <v>126606700.50457917</v>
      </c>
      <c r="C20" s="56">
        <f t="shared" si="3"/>
        <v>455784.12181648501</v>
      </c>
      <c r="D20" s="58">
        <f t="shared" si="2"/>
        <v>14452.819692303558</v>
      </c>
      <c r="E20" s="38">
        <f>'Appendix M'!C47</f>
        <v>3772448.5014205845</v>
      </c>
      <c r="F20" s="38">
        <f t="shared" si="4"/>
        <v>13580.814605114103</v>
      </c>
      <c r="G20" s="53">
        <f t="shared" si="5"/>
        <v>430.64480609824022</v>
      </c>
      <c r="H20" s="41">
        <f t="shared" si="6"/>
        <v>399516.78250268532</v>
      </c>
      <c r="I20" s="52">
        <f t="shared" si="7"/>
        <v>45.606938641859053</v>
      </c>
      <c r="J20" s="188">
        <f t="shared" si="8"/>
        <v>0.10590383999999999</v>
      </c>
      <c r="K20" s="54">
        <f>('Appendix K'!E45+'Appendix K'!F45+'Appendix K'!G45)/(365*24)</f>
        <v>444.01134356257859</v>
      </c>
      <c r="L20" s="54">
        <f>'Appendix L'!BL79</f>
        <v>7154890.7988259215</v>
      </c>
      <c r="M20" s="54">
        <f t="shared" si="9"/>
        <v>816.76835603035636</v>
      </c>
      <c r="N20" s="54">
        <f t="shared" si="10"/>
        <v>86.498905294101888</v>
      </c>
      <c r="O20" s="37">
        <f t="shared" si="11"/>
        <v>0.10590383999999999</v>
      </c>
      <c r="P20" s="53">
        <f t="shared" si="0"/>
        <v>403.11937691033575</v>
      </c>
      <c r="Q20" s="173">
        <f t="shared" si="1"/>
        <v>2.7892092027205294E-2</v>
      </c>
      <c r="R20" s="53">
        <f t="shared" si="12"/>
        <v>0.23368254001375924</v>
      </c>
      <c r="S20" s="53">
        <f t="shared" si="13"/>
        <v>1.6567669520299557</v>
      </c>
    </row>
    <row r="21" spans="1:19" x14ac:dyDescent="0.35">
      <c r="A21" s="15">
        <v>16</v>
      </c>
      <c r="B21" s="38">
        <f>'Appendix L'!BJ80</f>
        <v>108547113.67377001</v>
      </c>
      <c r="C21" s="56">
        <f t="shared" si="3"/>
        <v>390769.60922557203</v>
      </c>
      <c r="D21" s="58">
        <f t="shared" si="2"/>
        <v>12391.223022119864</v>
      </c>
      <c r="E21" s="38">
        <f>'Appendix M'!C48</f>
        <v>3717849.1188789895</v>
      </c>
      <c r="F21" s="38">
        <f t="shared" si="4"/>
        <v>13384.256827964362</v>
      </c>
      <c r="G21" s="53">
        <f t="shared" si="5"/>
        <v>424.41199987203078</v>
      </c>
      <c r="H21" s="41">
        <f t="shared" si="6"/>
        <v>393734.49822990148</v>
      </c>
      <c r="I21" s="52">
        <f t="shared" si="7"/>
        <v>44.946860528527566</v>
      </c>
      <c r="J21" s="188">
        <f t="shared" si="8"/>
        <v>0.10590384</v>
      </c>
      <c r="K21" s="54">
        <f>('Appendix K'!E46+'Appendix K'!F46+'Appendix K'!G46)/(365*24)</f>
        <v>435.3793241692461</v>
      </c>
      <c r="L21" s="54">
        <f>'Appendix L'!BL80</f>
        <v>6941721.1394488001</v>
      </c>
      <c r="M21" s="54">
        <f t="shared" si="9"/>
        <v>792.43392002840187</v>
      </c>
      <c r="N21" s="54">
        <f t="shared" si="10"/>
        <v>83.921795077260668</v>
      </c>
      <c r="O21" s="37">
        <f t="shared" si="11"/>
        <v>0.10590384</v>
      </c>
      <c r="P21" s="53">
        <f t="shared" si="0"/>
        <v>396.40438962051303</v>
      </c>
      <c r="Q21" s="173">
        <f t="shared" si="1"/>
        <v>3.1990739647965519E-2</v>
      </c>
      <c r="R21" s="53">
        <f t="shared" si="12"/>
        <v>0.26794574846526947</v>
      </c>
      <c r="S21" s="53">
        <f t="shared" si="13"/>
        <v>1.325711650508884</v>
      </c>
    </row>
    <row r="22" spans="1:19" x14ac:dyDescent="0.35">
      <c r="A22" s="15">
        <v>17</v>
      </c>
      <c r="B22" s="38">
        <f>'Appendix L'!BJ81</f>
        <v>97352802.903696001</v>
      </c>
      <c r="C22" s="56">
        <f t="shared" si="3"/>
        <v>350470.09045330557</v>
      </c>
      <c r="D22" s="58">
        <f t="shared" si="2"/>
        <v>11113.333664805479</v>
      </c>
      <c r="E22" s="38">
        <f>'Appendix M'!C49</f>
        <v>3715511.5129469689</v>
      </c>
      <c r="F22" s="38">
        <f t="shared" si="4"/>
        <v>13375.841446609087</v>
      </c>
      <c r="G22" s="53">
        <f t="shared" si="5"/>
        <v>424.14514987979095</v>
      </c>
      <c r="H22" s="41">
        <f t="shared" si="6"/>
        <v>393486.93678529374</v>
      </c>
      <c r="I22" s="52">
        <f t="shared" si="7"/>
        <v>44.918600089645402</v>
      </c>
      <c r="J22" s="188">
        <f t="shared" si="8"/>
        <v>0.10590384</v>
      </c>
      <c r="K22" s="54">
        <f>('Appendix K'!E47+'Appendix K'!F47+'Appendix K'!G47)/(365*24)</f>
        <v>441.48699564314745</v>
      </c>
      <c r="L22" s="54">
        <f>'Appendix L'!BL81</f>
        <v>6917415.8667530473</v>
      </c>
      <c r="M22" s="54">
        <f t="shared" si="9"/>
        <v>789.65934551975431</v>
      </c>
      <c r="N22" s="54">
        <f t="shared" si="10"/>
        <v>83.627956982428771</v>
      </c>
      <c r="O22" s="37">
        <f t="shared" si="11"/>
        <v>0.10590383999999999</v>
      </c>
      <c r="P22" s="53">
        <f t="shared" si="0"/>
        <v>402.77763875036408</v>
      </c>
      <c r="Q22" s="173">
        <f t="shared" si="1"/>
        <v>3.6242737858749791E-2</v>
      </c>
      <c r="R22" s="53">
        <f t="shared" si="12"/>
        <v>0.30419504203261466</v>
      </c>
      <c r="S22" s="53">
        <f t="shared" si="13"/>
        <v>1.0646937442507933</v>
      </c>
    </row>
    <row r="23" spans="1:19" x14ac:dyDescent="0.35">
      <c r="A23" s="15">
        <v>18</v>
      </c>
      <c r="B23" s="38">
        <f>'Appendix L'!BJ82</f>
        <v>86630500.930000111</v>
      </c>
      <c r="C23" s="56">
        <f t="shared" si="3"/>
        <v>311869.80334800039</v>
      </c>
      <c r="D23" s="58">
        <f t="shared" si="2"/>
        <v>9889.3265901826617</v>
      </c>
      <c r="E23" s="38">
        <f>'Appendix M'!C50</f>
        <v>3691799.7348369285</v>
      </c>
      <c r="F23" s="38">
        <f t="shared" si="4"/>
        <v>13290.479045412942</v>
      </c>
      <c r="G23" s="53">
        <f t="shared" si="5"/>
        <v>421.43832589462653</v>
      </c>
      <c r="H23" s="41">
        <f t="shared" si="6"/>
        <v>390975.76843021251</v>
      </c>
      <c r="I23" s="52">
        <f t="shared" si="7"/>
        <v>44.631937035412385</v>
      </c>
      <c r="J23" s="188">
        <f t="shared" si="8"/>
        <v>0.10590384</v>
      </c>
      <c r="K23" s="54">
        <f>('Appendix K'!E48+'Appendix K'!F48+'Appendix K'!G48)/(365*24)</f>
        <v>440.56175754161001</v>
      </c>
      <c r="L23" s="54">
        <f>'Appendix L'!BL82</f>
        <v>6827903.1279939711</v>
      </c>
      <c r="M23" s="54">
        <f t="shared" si="9"/>
        <v>779.4409963463437</v>
      </c>
      <c r="N23" s="54">
        <f t="shared" si="10"/>
        <v>82.545794566503773</v>
      </c>
      <c r="O23" s="37">
        <f t="shared" si="11"/>
        <v>0.10590384000000001</v>
      </c>
      <c r="P23" s="53">
        <f t="shared" si="0"/>
        <v>402.64790001051858</v>
      </c>
      <c r="Q23" s="173">
        <f t="shared" si="1"/>
        <v>4.0715401229668706E-2</v>
      </c>
      <c r="R23" s="53">
        <f t="shared" si="12"/>
        <v>0.3419942690889955</v>
      </c>
      <c r="S23" s="53">
        <f t="shared" si="13"/>
        <v>0.84471519234006498</v>
      </c>
    </row>
    <row r="24" spans="1:19" x14ac:dyDescent="0.35">
      <c r="A24" s="15">
        <v>19</v>
      </c>
      <c r="B24" s="38">
        <f>'Appendix L'!BJ83</f>
        <v>77719571.159421489</v>
      </c>
      <c r="C24" s="56">
        <f t="shared" si="3"/>
        <v>279790.45617391734</v>
      </c>
      <c r="D24" s="58">
        <f t="shared" si="2"/>
        <v>8872.0971643175217</v>
      </c>
      <c r="E24" s="38">
        <f>'Appendix M'!C51</f>
        <v>3670404.2382310373</v>
      </c>
      <c r="F24" s="38">
        <f t="shared" si="4"/>
        <v>13213.455257631735</v>
      </c>
      <c r="G24" s="53">
        <f t="shared" si="5"/>
        <v>418.99591760628277</v>
      </c>
      <c r="H24" s="41">
        <f t="shared" si="6"/>
        <v>388709.90318094165</v>
      </c>
      <c r="I24" s="52">
        <f t="shared" si="7"/>
        <v>44.373276618828953</v>
      </c>
      <c r="J24" s="188">
        <f t="shared" si="8"/>
        <v>0.10590384</v>
      </c>
      <c r="K24" s="54">
        <f>('Appendix K'!E49+'Appendix K'!F49+'Appendix K'!G49)/(365*24)</f>
        <v>439.79282454904029</v>
      </c>
      <c r="L24" s="54">
        <f>'Appendix L'!BL83</f>
        <v>6752043.1221483201</v>
      </c>
      <c r="M24" s="54">
        <f t="shared" si="9"/>
        <v>770.78117832743385</v>
      </c>
      <c r="N24" s="54">
        <f t="shared" si="10"/>
        <v>81.628686584600004</v>
      </c>
      <c r="O24" s="37">
        <f t="shared" si="11"/>
        <v>0.10590383999999997</v>
      </c>
      <c r="P24" s="53">
        <f t="shared" si="0"/>
        <v>402.5374145832692</v>
      </c>
      <c r="Q24" s="173">
        <f t="shared" si="1"/>
        <v>4.537116840900085E-2</v>
      </c>
      <c r="R24" s="53">
        <f t="shared" si="12"/>
        <v>0.38136229914741632</v>
      </c>
      <c r="S24" s="53">
        <f t="shared" si="13"/>
        <v>0.66065361310008974</v>
      </c>
    </row>
    <row r="25" spans="1:19" x14ac:dyDescent="0.35">
      <c r="A25" s="15">
        <v>20</v>
      </c>
      <c r="B25" s="38">
        <f>'Appendix L'!BJ84</f>
        <v>70200929.310860902</v>
      </c>
      <c r="C25" s="56">
        <f t="shared" si="3"/>
        <v>252723.34551909924</v>
      </c>
      <c r="D25" s="58">
        <f t="shared" si="2"/>
        <v>8013.8047158517011</v>
      </c>
      <c r="E25" s="38">
        <f>'Appendix M'!C52</f>
        <v>3650850.6511242576</v>
      </c>
      <c r="F25" s="38">
        <f t="shared" si="4"/>
        <v>13143.062344047326</v>
      </c>
      <c r="G25" s="53">
        <f t="shared" si="5"/>
        <v>416.76377295939011</v>
      </c>
      <c r="H25" s="41">
        <f t="shared" si="6"/>
        <v>386639.10322055919</v>
      </c>
      <c r="I25" s="52">
        <f t="shared" si="7"/>
        <v>44.136883929287578</v>
      </c>
      <c r="J25" s="188">
        <f t="shared" si="8"/>
        <v>0.10590384</v>
      </c>
      <c r="K25" s="54">
        <f>('Appendix K'!E50+'Appendix K'!F50+'Appendix K'!G50)/(365*24)</f>
        <v>439.14403346600966</v>
      </c>
      <c r="L25" s="54">
        <f>'Appendix L'!BL84</f>
        <v>6686730.6176249906</v>
      </c>
      <c r="M25" s="54">
        <f t="shared" si="9"/>
        <v>763.32541297088937</v>
      </c>
      <c r="N25" s="54">
        <f t="shared" si="10"/>
        <v>80.839092403202983</v>
      </c>
      <c r="O25" s="37">
        <f t="shared" si="11"/>
        <v>0.10590383999999999</v>
      </c>
      <c r="P25" s="53">
        <f t="shared" si="0"/>
        <v>402.44182499209427</v>
      </c>
      <c r="Q25" s="173">
        <f t="shared" si="1"/>
        <v>5.0218571485282699E-2</v>
      </c>
      <c r="R25" s="53">
        <f t="shared" si="12"/>
        <v>0.42237176901254747</v>
      </c>
      <c r="S25" s="53">
        <f t="shared" si="13"/>
        <v>0.50445415457244858</v>
      </c>
    </row>
    <row r="26" spans="1:19" x14ac:dyDescent="0.35">
      <c r="A26" s="15">
        <v>21</v>
      </c>
      <c r="B26" s="38">
        <f>'Appendix L'!BJ85</f>
        <v>29362471.002036758</v>
      </c>
      <c r="C26" s="56">
        <f t="shared" si="3"/>
        <v>105704.89560733232</v>
      </c>
      <c r="D26" s="58">
        <f t="shared" si="2"/>
        <v>3351.8802513740593</v>
      </c>
      <c r="E26" s="38">
        <f>'Appendix M'!C53</f>
        <v>2852494.1222413615</v>
      </c>
      <c r="F26" s="38">
        <f t="shared" si="4"/>
        <v>10268.978840068901</v>
      </c>
      <c r="G26" s="53">
        <f t="shared" si="5"/>
        <v>325.627182904265</v>
      </c>
      <c r="H26" s="41">
        <f>E26*$B$2</f>
        <v>302090.08112278959</v>
      </c>
      <c r="I26" s="52">
        <f t="shared" si="7"/>
        <v>34.485169077944015</v>
      </c>
      <c r="J26" s="188">
        <f t="shared" si="8"/>
        <v>0.10590384</v>
      </c>
      <c r="K26" s="54">
        <f>('Appendix K'!E51+'Appendix K'!F51+'Appendix K'!G51)/(365*24)</f>
        <v>197.92452798215697</v>
      </c>
      <c r="L26" s="54">
        <f>'Appendix L'!BL85</f>
        <v>4061585.003777192</v>
      </c>
      <c r="M26" s="54">
        <f t="shared" si="9"/>
        <v>463.65125613894884</v>
      </c>
      <c r="N26" s="54">
        <f t="shared" si="10"/>
        <v>49.102448445938258</v>
      </c>
      <c r="O26" s="37">
        <f t="shared" si="11"/>
        <v>0.10590384</v>
      </c>
      <c r="P26" s="53">
        <f t="shared" si="0"/>
        <v>183.30724861416275</v>
      </c>
      <c r="Q26" s="173">
        <f t="shared" si="1"/>
        <v>5.4687887056531437E-2</v>
      </c>
      <c r="R26" s="53">
        <f t="shared" si="12"/>
        <v>0.41959403118424599</v>
      </c>
      <c r="S26" s="53">
        <f t="shared" si="13"/>
        <v>0.26096509691466518</v>
      </c>
    </row>
    <row r="27" spans="1:19" x14ac:dyDescent="0.35">
      <c r="A27" s="59"/>
      <c r="B27" s="59"/>
      <c r="C27" s="59"/>
      <c r="D27" s="59"/>
      <c r="E27" s="59"/>
      <c r="F27" s="59"/>
      <c r="G27" s="59"/>
      <c r="H27" s="59"/>
    </row>
    <row r="28" spans="1:19" ht="101.5" x14ac:dyDescent="0.35">
      <c r="A28" s="49"/>
      <c r="B28" s="27" t="s">
        <v>351</v>
      </c>
      <c r="D28" s="27" t="s">
        <v>352</v>
      </c>
      <c r="E28" s="27" t="s">
        <v>350</v>
      </c>
      <c r="F28" s="27"/>
      <c r="G28" s="27" t="s">
        <v>343</v>
      </c>
      <c r="H28" s="27" t="s">
        <v>154</v>
      </c>
      <c r="I28" s="27" t="s">
        <v>157</v>
      </c>
      <c r="J28" s="27" t="s">
        <v>344</v>
      </c>
      <c r="K28" s="27" t="s">
        <v>162</v>
      </c>
      <c r="L28" s="27" t="s">
        <v>336</v>
      </c>
      <c r="M28" s="27" t="s">
        <v>349</v>
      </c>
      <c r="N28" s="27" t="s">
        <v>334</v>
      </c>
      <c r="O28" s="27" t="s">
        <v>348</v>
      </c>
      <c r="P28" s="27" t="s">
        <v>158</v>
      </c>
      <c r="Q28" s="27" t="s">
        <v>346</v>
      </c>
      <c r="R28" s="27" t="s">
        <v>347</v>
      </c>
      <c r="S28" s="27" t="s">
        <v>446</v>
      </c>
    </row>
    <row r="29" spans="1:19" ht="43.5" x14ac:dyDescent="0.35">
      <c r="A29" s="66" t="s">
        <v>160</v>
      </c>
      <c r="B29" s="56">
        <f>SUM(B6:B25)</f>
        <v>10654370662.008961</v>
      </c>
      <c r="D29" s="58">
        <f>B29/(20*365*24)</f>
        <v>60812.617933841102</v>
      </c>
      <c r="E29" s="53">
        <f>SUM(E6:E25)</f>
        <v>83622362.151548043</v>
      </c>
      <c r="F29" s="56"/>
      <c r="G29" s="53">
        <f>E29/(20*365*24)</f>
        <v>477.29658762299113</v>
      </c>
      <c r="H29" s="65">
        <f>SUM(H6:H25)</f>
        <v>8855929.2617196031</v>
      </c>
      <c r="I29" s="52">
        <f>H29/(20*365*24)</f>
        <v>50.547541448171252</v>
      </c>
      <c r="J29" s="52">
        <f>I29/G29</f>
        <v>0.10590384000000004</v>
      </c>
      <c r="K29" s="55">
        <f>('Appendix K'!E53+'Appendix K'!F53+'Appendix K'!I53+'Appendix K'!G53)/(20*365*24)</f>
        <v>641.51224920477</v>
      </c>
      <c r="L29" s="55">
        <f>SUM(L6:L25)</f>
        <v>194610737.15989959</v>
      </c>
      <c r="M29" s="55">
        <f>L29/(20*365*24)</f>
        <v>1110.7918787665501</v>
      </c>
      <c r="N29" s="55">
        <f>L29*$B$2/(20*365*24)</f>
        <v>117.63712540219213</v>
      </c>
      <c r="O29" s="58">
        <f>N29/M29</f>
        <v>0.10590384000000001</v>
      </c>
      <c r="P29" s="53">
        <f>I29+K29-N29</f>
        <v>574.42266525074911</v>
      </c>
      <c r="Q29" s="173">
        <f>P29/D29</f>
        <v>9.4457809048061631E-3</v>
      </c>
      <c r="R29" s="53">
        <f>(E29+((('Appendix K'!E53+'Appendix K'!F53+'Appendix K'!I53+'Appendix K'!G53)/$B$2))-(L29))/B29</f>
        <v>8.9192052949224165E-2</v>
      </c>
      <c r="S29" s="53">
        <f>(B29-(((E29)+((('Appendix K'!E53+'Appendix K'!F53+'Appendix K'!I53+'Appendix K'!G53)/$B$2))+(L29))))/(((E29)+((('Appendix K'!E53+'Appendix K'!F53+'Appendix K'!I53+'Appendix K'!G53)/$B$2))+(L29)))</f>
        <v>6.9539512031537853</v>
      </c>
    </row>
    <row r="30" spans="1:19" x14ac:dyDescent="0.35">
      <c r="A30" s="274" t="s">
        <v>506</v>
      </c>
      <c r="B30" s="281">
        <f>SUM(B9:B25)</f>
        <v>6485247885.2626972</v>
      </c>
      <c r="C30" s="275"/>
      <c r="D30" s="276">
        <f>B30/(17*365*24)</f>
        <v>43548.535356316796</v>
      </c>
      <c r="E30" s="277">
        <f>SUM(E9:E25)</f>
        <v>67423381.645773411</v>
      </c>
      <c r="F30" s="275"/>
      <c r="G30" s="277">
        <f>E30/(17*365*24)</f>
        <v>452.74900379917682</v>
      </c>
      <c r="H30" s="282">
        <f>E30*$B$2</f>
        <v>7140395.0220729243</v>
      </c>
      <c r="I30" s="278">
        <f>H30/(17*365*24)</f>
        <v>47.947858058507414</v>
      </c>
      <c r="J30" s="278">
        <f>I30/G30</f>
        <v>0.10590384</v>
      </c>
      <c r="K30" s="279">
        <f>('Appendix K'!E57+'Appendix K'!F57+'Appendix K'!G57)/(17*365*24)</f>
        <v>448.89470711272401</v>
      </c>
      <c r="L30" s="279">
        <f>SUM(L9:L25)</f>
        <v>150280470.18552953</v>
      </c>
      <c r="M30" s="279">
        <f>L30/(17*365*24)</f>
        <v>1009.135577394101</v>
      </c>
      <c r="N30" s="279">
        <f>L30*$B$2/(17*365*24)</f>
        <v>106.8713327266525</v>
      </c>
      <c r="O30" s="276">
        <f>N30/M30</f>
        <v>0.10590384000000001</v>
      </c>
      <c r="P30" s="277">
        <f>I30+K30-N30</f>
        <v>389.9712324445789</v>
      </c>
      <c r="Q30" s="280">
        <f>P30/D30</f>
        <v>8.9548644806033157E-3</v>
      </c>
      <c r="R30" s="277">
        <f>(E30+((('Appendix K'!E57+'Appendix K'!F57+'Appendix K'!G57)/$B$2))-(L30))/B30</f>
        <v>8.4556560749858692E-2</v>
      </c>
      <c r="S30" s="277">
        <f>(B30-(((E30)+((('Appendix K'!E57+'Appendix K'!F57+'Appendix K'!G57)/$B$2))+(L30))))/(((E30)+((('Appendix K'!E57+'Appendix K'!F57+'Appendix K'!G57)/$B$2))+(L30)))</f>
        <v>6.6393091771920956</v>
      </c>
    </row>
    <row r="31" spans="1:19" x14ac:dyDescent="0.35">
      <c r="A31" s="274"/>
      <c r="B31" s="283">
        <f>3830339.10527245*1000</f>
        <v>3830339105.27245</v>
      </c>
      <c r="C31" s="284"/>
      <c r="D31" s="276">
        <f>B31/(17*365*24)</f>
        <v>25720.783677628591</v>
      </c>
      <c r="E31" s="284">
        <f>6620.15892442635*1000</f>
        <v>6620158.9244263498</v>
      </c>
      <c r="F31" s="285"/>
      <c r="G31" s="277">
        <f>E31/(17*365*24)</f>
        <v>44.454464977345886</v>
      </c>
      <c r="H31" s="282">
        <f>E31*$B$2</f>
        <v>701100.25150702021</v>
      </c>
      <c r="I31" s="278">
        <f>H31/(17*365*24)</f>
        <v>4.707898546246442</v>
      </c>
      <c r="J31" s="278">
        <f>I31/G31</f>
        <v>0.10590384</v>
      </c>
      <c r="K31" s="279">
        <f>('Appendix T2'!C30)/(17*365*24)</f>
        <v>130.74364582694932</v>
      </c>
      <c r="L31" s="274">
        <f>61283.7787421508*1000</f>
        <v>61283778.742150798</v>
      </c>
      <c r="M31" s="279">
        <f>L31/(17*365*24)</f>
        <v>411.52147960079776</v>
      </c>
      <c r="N31" s="279">
        <f>L31*$B$2/(17*365*24)</f>
        <v>43.581704932206151</v>
      </c>
      <c r="O31" s="276">
        <f>N31/M31</f>
        <v>0.10590384</v>
      </c>
      <c r="P31" s="277">
        <f>I31+K31-N31</f>
        <v>91.869839440989608</v>
      </c>
      <c r="Q31" s="280">
        <f>P31/D31</f>
        <v>3.5718133861098525E-3</v>
      </c>
      <c r="R31" s="277">
        <f>(E31+((('Appendix T2'!C30)/$B$2))-(L31))/B31</f>
        <v>3.3726948768900665E-2</v>
      </c>
      <c r="S31" s="277">
        <f>(B31-(((E31)+((('Appendix T2'!C30)/$B$2))+(L31))))/(((E31)+((('Appendix T2'!C30)/$B$2))+(L31)))</f>
        <v>14.214658561123494</v>
      </c>
    </row>
    <row r="32" spans="1:19" x14ac:dyDescent="0.35">
      <c r="A32" s="59"/>
      <c r="B32" s="62"/>
      <c r="C32" s="51"/>
      <c r="D32" s="51"/>
      <c r="E32" s="51"/>
      <c r="F32" s="63"/>
      <c r="G32" s="63"/>
      <c r="H32" s="59"/>
      <c r="I32" s="59"/>
      <c r="J32" s="59"/>
      <c r="K32" s="59"/>
      <c r="L32" s="59"/>
      <c r="M32" s="59"/>
      <c r="N32" s="59"/>
      <c r="O32" s="59"/>
      <c r="P32" s="59"/>
    </row>
    <row r="33" spans="1:17" ht="29" x14ac:dyDescent="0.35">
      <c r="A33" s="105" t="s">
        <v>108</v>
      </c>
      <c r="B33" s="27" t="s">
        <v>231</v>
      </c>
      <c r="C33" s="51"/>
      <c r="D33" s="51"/>
      <c r="E33" s="51"/>
      <c r="F33" s="63"/>
      <c r="G33" s="63"/>
      <c r="H33" s="59"/>
      <c r="I33" s="59"/>
      <c r="J33" s="59"/>
      <c r="K33" s="59"/>
      <c r="L33" s="59"/>
      <c r="M33" s="59"/>
      <c r="N33" s="59"/>
      <c r="O33" s="59"/>
      <c r="P33" s="59"/>
    </row>
    <row r="34" spans="1:17" x14ac:dyDescent="0.35">
      <c r="A34" s="105">
        <v>0</v>
      </c>
      <c r="B34" s="27">
        <v>0</v>
      </c>
      <c r="C34" s="51"/>
      <c r="D34" s="51"/>
      <c r="E34" s="51"/>
      <c r="F34" s="63"/>
      <c r="G34" s="63"/>
      <c r="H34" s="59"/>
      <c r="I34" s="59"/>
      <c r="J34" s="59"/>
      <c r="K34" s="59"/>
      <c r="L34" s="59"/>
      <c r="M34" s="59"/>
      <c r="N34" s="59"/>
      <c r="O34" s="59"/>
      <c r="P34" s="59"/>
      <c r="Q34" s="138">
        <f>Q6*1000</f>
        <v>1.153835766350205</v>
      </c>
    </row>
    <row r="35" spans="1:17" x14ac:dyDescent="0.35">
      <c r="A35" s="15">
        <v>1</v>
      </c>
      <c r="B35" s="38">
        <f>E6/('Appendix M'!F4*1000*6.29)</f>
        <v>8.6550388993825464</v>
      </c>
      <c r="C35" s="51"/>
      <c r="D35" s="51"/>
      <c r="E35" s="51"/>
      <c r="F35" s="63"/>
      <c r="G35" s="63"/>
      <c r="H35" s="59"/>
      <c r="I35" s="59"/>
      <c r="J35" s="59"/>
      <c r="K35" s="59"/>
      <c r="L35" s="59"/>
      <c r="M35" s="59"/>
      <c r="N35" s="59"/>
      <c r="O35" s="59"/>
      <c r="P35" s="59"/>
      <c r="Q35" s="138">
        <f t="shared" ref="Q35:Q53" si="14">Q7*1000</f>
        <v>2.926616137737533</v>
      </c>
    </row>
    <row r="36" spans="1:17" x14ac:dyDescent="0.35">
      <c r="A36" s="15">
        <v>2</v>
      </c>
      <c r="B36" s="38">
        <f>E7/('Appendix M'!F5*1000*6.29)</f>
        <v>16.284555960708261</v>
      </c>
      <c r="C36" s="51"/>
      <c r="D36" s="51"/>
      <c r="E36" s="51"/>
      <c r="F36" s="63"/>
      <c r="G36" s="63"/>
      <c r="H36" s="59"/>
      <c r="I36" s="59"/>
      <c r="J36" s="59"/>
      <c r="K36" s="59"/>
      <c r="L36" s="59"/>
      <c r="M36" s="59"/>
      <c r="N36" s="59"/>
      <c r="O36" s="59"/>
      <c r="P36" s="59"/>
      <c r="Q36" s="138">
        <f t="shared" si="14"/>
        <v>5.3727711226124972</v>
      </c>
    </row>
    <row r="37" spans="1:17" x14ac:dyDescent="0.35">
      <c r="A37" s="15">
        <v>3</v>
      </c>
      <c r="B37" s="38">
        <f>E8/('Appendix M'!F6*1000*6.29)</f>
        <v>26.104461842306311</v>
      </c>
      <c r="C37" s="51"/>
      <c r="D37" s="51"/>
      <c r="E37" s="51"/>
      <c r="F37" s="63"/>
      <c r="G37" s="63"/>
      <c r="H37" s="59"/>
      <c r="I37" s="59"/>
      <c r="J37" s="59"/>
      <c r="K37" s="59"/>
      <c r="L37" s="59"/>
      <c r="M37" s="59"/>
      <c r="N37" s="59"/>
      <c r="O37" s="59"/>
      <c r="P37" s="59"/>
      <c r="Q37" s="138">
        <f t="shared" si="14"/>
        <v>3.1888776070976359</v>
      </c>
    </row>
    <row r="38" spans="1:17" x14ac:dyDescent="0.35">
      <c r="A38" s="15">
        <v>4</v>
      </c>
      <c r="B38" s="38">
        <f>E9/('Appendix M'!F7*1000*6.29)</f>
        <v>14.122321173251397</v>
      </c>
      <c r="C38" s="51"/>
      <c r="D38" s="51"/>
      <c r="E38" s="51"/>
      <c r="F38" s="63"/>
      <c r="G38" s="63"/>
      <c r="H38" s="59"/>
      <c r="I38" s="59"/>
      <c r="J38" s="59"/>
      <c r="K38" s="59"/>
      <c r="L38" s="59"/>
      <c r="M38" s="59"/>
      <c r="N38" s="59"/>
      <c r="O38" s="59"/>
      <c r="P38" s="59"/>
      <c r="Q38" s="138">
        <f t="shared" si="14"/>
        <v>2.2049927905729541</v>
      </c>
    </row>
    <row r="39" spans="1:17" x14ac:dyDescent="0.35">
      <c r="A39" s="15">
        <v>5</v>
      </c>
      <c r="B39" s="38">
        <f>E10/('Appendix M'!F8*1000*6.29)</f>
        <v>11.400702145939103</v>
      </c>
      <c r="C39" s="51"/>
      <c r="D39" s="51"/>
      <c r="E39" s="51"/>
      <c r="F39" s="63"/>
      <c r="G39" s="63"/>
      <c r="H39" s="59"/>
      <c r="I39" s="59"/>
      <c r="J39" s="59"/>
      <c r="K39" s="59"/>
      <c r="L39" s="59"/>
      <c r="M39" s="59"/>
      <c r="N39" s="59"/>
      <c r="O39" s="59"/>
      <c r="P39" s="59"/>
      <c r="Q39" s="138">
        <f t="shared" si="14"/>
        <v>3.4253908870102459</v>
      </c>
    </row>
    <row r="40" spans="1:17" x14ac:dyDescent="0.35">
      <c r="A40" s="15">
        <v>6</v>
      </c>
      <c r="B40" s="38">
        <f>E11/('Appendix M'!F9*1000*6.29)</f>
        <v>15.69568752247552</v>
      </c>
      <c r="C40" s="51"/>
      <c r="D40" s="51"/>
      <c r="E40" s="51"/>
      <c r="F40" s="63"/>
      <c r="G40" s="63"/>
      <c r="H40" s="59"/>
      <c r="I40" s="59"/>
      <c r="J40" s="59"/>
      <c r="K40" s="59"/>
      <c r="L40" s="59"/>
      <c r="M40" s="59"/>
      <c r="N40" s="59"/>
      <c r="O40" s="59"/>
      <c r="P40" s="59"/>
      <c r="Q40" s="138">
        <f t="shared" si="14"/>
        <v>5.0169149306540772</v>
      </c>
    </row>
    <row r="41" spans="1:17" x14ac:dyDescent="0.35">
      <c r="A41" s="15">
        <v>7</v>
      </c>
      <c r="B41" s="38">
        <f>E12/('Appendix M'!F10*1000*6.29)</f>
        <v>21.247301122685506</v>
      </c>
      <c r="C41" s="51"/>
      <c r="D41" s="51"/>
      <c r="E41" s="51"/>
      <c r="F41" s="63"/>
      <c r="G41" s="63"/>
      <c r="H41" s="59"/>
      <c r="I41" s="59"/>
      <c r="J41" s="59"/>
      <c r="K41" s="59"/>
      <c r="L41" s="59"/>
      <c r="M41" s="59"/>
      <c r="N41" s="59"/>
      <c r="O41" s="59"/>
      <c r="P41" s="59"/>
      <c r="Q41" s="138">
        <f t="shared" si="14"/>
        <v>7.1006904176514896</v>
      </c>
    </row>
    <row r="42" spans="1:17" x14ac:dyDescent="0.35">
      <c r="A42" s="15">
        <v>8</v>
      </c>
      <c r="B42" s="38">
        <f>E13/('Appendix M'!F11*1000*6.29)</f>
        <v>28.431592736001594</v>
      </c>
      <c r="C42" s="51"/>
      <c r="D42" s="51"/>
      <c r="E42" s="51"/>
      <c r="F42" s="63"/>
      <c r="G42" s="63"/>
      <c r="H42" s="59"/>
      <c r="I42" s="59"/>
      <c r="J42" s="59"/>
      <c r="K42" s="59"/>
      <c r="L42" s="59"/>
      <c r="M42" s="59"/>
      <c r="N42" s="59"/>
      <c r="O42" s="59"/>
      <c r="P42" s="59"/>
      <c r="Q42" s="138">
        <f t="shared" si="14"/>
        <v>9.4159002259245508</v>
      </c>
    </row>
    <row r="43" spans="1:17" x14ac:dyDescent="0.35">
      <c r="A43" s="15">
        <v>9</v>
      </c>
      <c r="B43" s="38">
        <f>E14/('Appendix M'!F12*1000*6.29)</f>
        <v>36.340284413852011</v>
      </c>
      <c r="C43" s="51"/>
      <c r="D43" s="51"/>
      <c r="E43" s="51"/>
      <c r="F43" s="63"/>
      <c r="G43" s="63"/>
      <c r="H43" s="59"/>
      <c r="I43" s="59"/>
      <c r="J43" s="59"/>
      <c r="K43" s="59"/>
      <c r="L43" s="59"/>
      <c r="M43" s="59"/>
      <c r="N43" s="59"/>
      <c r="O43" s="59"/>
      <c r="P43" s="59"/>
      <c r="Q43" s="138">
        <f t="shared" si="14"/>
        <v>11.71887613502683</v>
      </c>
    </row>
    <row r="44" spans="1:17" x14ac:dyDescent="0.35">
      <c r="A44" s="15">
        <v>10</v>
      </c>
      <c r="B44" s="38">
        <f>E15/('Appendix M'!F13*1000*6.29)</f>
        <v>44.553000135053857</v>
      </c>
      <c r="C44" s="51"/>
      <c r="D44" s="51"/>
      <c r="E44" s="51"/>
      <c r="F44" s="63"/>
      <c r="G44" s="63"/>
      <c r="H44" s="59"/>
      <c r="I44" s="59"/>
      <c r="J44" s="59"/>
      <c r="K44" s="59"/>
      <c r="L44" s="59"/>
      <c r="M44" s="59"/>
      <c r="N44" s="59"/>
      <c r="O44" s="59"/>
      <c r="P44" s="59"/>
      <c r="Q44" s="138">
        <f t="shared" si="14"/>
        <v>14.160273639381566</v>
      </c>
    </row>
    <row r="45" spans="1:17" x14ac:dyDescent="0.35">
      <c r="A45" s="15">
        <v>11</v>
      </c>
      <c r="B45" s="38">
        <f>E16/('Appendix M'!F14*1000*6.29)</f>
        <v>52.299523250857618</v>
      </c>
      <c r="C45" s="51"/>
      <c r="D45" s="51"/>
      <c r="E45" s="51"/>
      <c r="F45" s="63"/>
      <c r="G45" s="63"/>
      <c r="H45" s="59"/>
      <c r="I45" s="59"/>
      <c r="J45" s="59"/>
      <c r="K45" s="59"/>
      <c r="L45" s="59"/>
      <c r="M45" s="59"/>
      <c r="N45" s="59"/>
      <c r="O45" s="59"/>
      <c r="P45" s="59"/>
      <c r="Q45" s="138">
        <f t="shared" si="14"/>
        <v>17.016493164921346</v>
      </c>
    </row>
    <row r="46" spans="1:17" x14ac:dyDescent="0.35">
      <c r="A46" s="15">
        <v>12</v>
      </c>
      <c r="B46" s="38">
        <f>E17/('Appendix M'!F15*1000*6.29)</f>
        <v>61.775972132457106</v>
      </c>
      <c r="C46" s="51"/>
      <c r="D46" s="51"/>
      <c r="E46" s="51"/>
      <c r="F46" s="63"/>
      <c r="G46" s="63"/>
      <c r="H46" s="59"/>
      <c r="I46" s="59"/>
      <c r="J46" s="59"/>
      <c r="K46" s="59"/>
      <c r="L46" s="59"/>
      <c r="M46" s="59"/>
      <c r="N46" s="59"/>
      <c r="O46" s="59"/>
      <c r="P46" s="59"/>
      <c r="Q46" s="138">
        <f t="shared" si="14"/>
        <v>20.313103513656728</v>
      </c>
    </row>
    <row r="47" spans="1:17" x14ac:dyDescent="0.35">
      <c r="A47" s="15">
        <v>13</v>
      </c>
      <c r="B47" s="38">
        <f>E18/('Appendix M'!F16*1000*6.29)</f>
        <v>72.594383636412232</v>
      </c>
      <c r="C47" s="51"/>
      <c r="D47" s="51"/>
      <c r="E47" s="51"/>
      <c r="F47" s="63"/>
      <c r="G47" s="63"/>
      <c r="H47" s="59"/>
      <c r="I47" s="59"/>
      <c r="J47" s="59"/>
      <c r="K47" s="59"/>
      <c r="L47" s="59"/>
      <c r="M47" s="59"/>
      <c r="N47" s="59"/>
      <c r="O47" s="59"/>
      <c r="P47" s="59"/>
      <c r="Q47" s="138">
        <f t="shared" si="14"/>
        <v>23.967191873080019</v>
      </c>
    </row>
    <row r="48" spans="1:17" x14ac:dyDescent="0.35">
      <c r="A48" s="15">
        <v>14</v>
      </c>
      <c r="B48" s="38">
        <f>E19/('Appendix M'!F17*1000*6.29)</f>
        <v>84.604228107918104</v>
      </c>
      <c r="C48" s="51"/>
      <c r="D48" s="51"/>
      <c r="E48" s="51"/>
      <c r="F48" s="63"/>
      <c r="G48" s="63"/>
      <c r="H48" s="59"/>
      <c r="I48" s="59"/>
      <c r="J48" s="59"/>
      <c r="K48" s="59"/>
      <c r="L48" s="59"/>
      <c r="M48" s="59"/>
      <c r="N48" s="59"/>
      <c r="O48" s="59"/>
      <c r="P48" s="59"/>
      <c r="Q48" s="138">
        <f t="shared" si="14"/>
        <v>27.892092027205294</v>
      </c>
    </row>
    <row r="49" spans="1:17" x14ac:dyDescent="0.35">
      <c r="A49" s="15">
        <v>15</v>
      </c>
      <c r="B49" s="38">
        <f>E20/('Appendix M'!F18*1000*6.29)</f>
        <v>97.43161124566663</v>
      </c>
      <c r="C49" s="51"/>
      <c r="D49" s="51"/>
      <c r="E49" s="51"/>
      <c r="F49" s="63"/>
      <c r="G49" s="63"/>
      <c r="H49" s="59"/>
      <c r="I49" s="59"/>
      <c r="J49" s="59"/>
      <c r="K49" s="59"/>
      <c r="L49" s="59"/>
      <c r="M49" s="59"/>
      <c r="N49" s="59"/>
      <c r="O49" s="59"/>
      <c r="P49" s="59"/>
      <c r="Q49" s="138">
        <f t="shared" si="14"/>
        <v>31.990739647965519</v>
      </c>
    </row>
    <row r="50" spans="1:17" x14ac:dyDescent="0.35">
      <c r="A50" s="15">
        <v>16</v>
      </c>
      <c r="B50" s="38">
        <f>E21/('Appendix M'!F19*1000*6.29)</f>
        <v>111.81096101526967</v>
      </c>
      <c r="C50" s="51"/>
      <c r="D50" s="51"/>
      <c r="E50" s="51"/>
      <c r="F50" s="63"/>
      <c r="G50" s="63"/>
      <c r="H50" s="59"/>
      <c r="I50" s="59"/>
      <c r="J50" s="59"/>
      <c r="K50" s="59"/>
      <c r="L50" s="59"/>
      <c r="M50" s="59"/>
      <c r="N50" s="59"/>
      <c r="O50" s="59"/>
      <c r="P50" s="59"/>
      <c r="Q50" s="138">
        <f t="shared" si="14"/>
        <v>36.242737858749791</v>
      </c>
    </row>
    <row r="51" spans="1:17" x14ac:dyDescent="0.35">
      <c r="A51" s="15">
        <v>17</v>
      </c>
      <c r="B51" s="38">
        <f>E22/('Appendix M'!F20*1000*6.29)</f>
        <v>124.37540893236957</v>
      </c>
      <c r="C51" s="51"/>
      <c r="D51" s="51"/>
      <c r="E51" s="51"/>
      <c r="F51" s="63"/>
      <c r="G51" s="63"/>
      <c r="H51" s="59"/>
      <c r="I51" s="59"/>
      <c r="J51" s="59"/>
      <c r="K51" s="59"/>
      <c r="L51" s="59"/>
      <c r="M51" s="59"/>
      <c r="N51" s="59"/>
      <c r="O51" s="59"/>
      <c r="P51" s="59"/>
      <c r="Q51" s="138">
        <f t="shared" si="14"/>
        <v>40.715401229668707</v>
      </c>
    </row>
    <row r="52" spans="1:17" x14ac:dyDescent="0.35">
      <c r="A52" s="15">
        <v>18</v>
      </c>
      <c r="B52" s="38">
        <f>E23/('Appendix M'!F21*1000*6.29)</f>
        <v>138.62670241704956</v>
      </c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138">
        <f t="shared" si="14"/>
        <v>45.371168409000852</v>
      </c>
    </row>
    <row r="53" spans="1:17" x14ac:dyDescent="0.35">
      <c r="A53" s="15">
        <v>19</v>
      </c>
      <c r="B53" s="38">
        <f>E24/('Appendix M'!F22*1000*6.29)</f>
        <v>153.33723332963484</v>
      </c>
      <c r="Q53" s="138">
        <f t="shared" si="14"/>
        <v>50.218571485282702</v>
      </c>
    </row>
    <row r="54" spans="1:17" x14ac:dyDescent="0.35">
      <c r="A54" s="15">
        <v>20</v>
      </c>
      <c r="B54" s="38">
        <f>E25/('Appendix M'!F23*1000*6.29)</f>
        <v>168.52637171282768</v>
      </c>
    </row>
    <row r="55" spans="1:17" x14ac:dyDescent="0.35">
      <c r="A55" s="15">
        <v>21</v>
      </c>
      <c r="B55" s="38">
        <f>E26/('Appendix M'!F24*1000*6.29)</f>
        <v>314.17178054364217</v>
      </c>
      <c r="Q55" s="138">
        <f>Q29*1000</f>
        <v>9.4457809048061634</v>
      </c>
    </row>
  </sheetData>
  <mergeCells count="1">
    <mergeCell ref="D1:K1"/>
  </mergeCells>
  <pageMargins left="0.7" right="0.7" top="0.75" bottom="0.75" header="0.3" footer="0.3"/>
  <pageSetup orientation="portrait" r:id="rId1"/>
  <ignoredErrors>
    <ignoredError sqref="H6:H25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5</vt:i4>
      </vt:variant>
    </vt:vector>
  </HeadingPairs>
  <TitlesOfParts>
    <vt:vector size="25" baseType="lpstr">
      <vt:lpstr>Appendix J</vt:lpstr>
      <vt:lpstr>COSTS</vt:lpstr>
      <vt:lpstr>Waterflood equipment</vt:lpstr>
      <vt:lpstr>Appendix K</vt:lpstr>
      <vt:lpstr>Cashflow plots</vt:lpstr>
      <vt:lpstr>Cashflow plots (2)</vt:lpstr>
      <vt:lpstr>Appendix L</vt:lpstr>
      <vt:lpstr>Appendix M</vt:lpstr>
      <vt:lpstr>Appendix N</vt:lpstr>
      <vt:lpstr>Exergy plots</vt:lpstr>
      <vt:lpstr>Appendix O</vt:lpstr>
      <vt:lpstr>Analytic RO plots </vt:lpstr>
      <vt:lpstr>Appendix P</vt:lpstr>
      <vt:lpstr>Appendix Q</vt:lpstr>
      <vt:lpstr>Appendix R</vt:lpstr>
      <vt:lpstr>Appendix S</vt:lpstr>
      <vt:lpstr>Appendix T</vt:lpstr>
      <vt:lpstr>Appendix T2</vt:lpstr>
      <vt:lpstr>Sheet1</vt:lpstr>
      <vt:lpstr>Real options tester</vt:lpstr>
      <vt:lpstr>'Appendix J'!OIP</vt:lpstr>
      <vt:lpstr>'Appendix R'!Print_Area</vt:lpstr>
      <vt:lpstr>'Appendix S'!Print_Area</vt:lpstr>
      <vt:lpstr>'Appendix T'!Print_Area</vt:lpstr>
      <vt:lpstr>'Appendix T2'!Print_Area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Efra Soza Cisneros</dc:creator>
  <cp:lastModifiedBy>Efra Soza Cisneros</cp:lastModifiedBy>
  <dcterms:created xsi:type="dcterms:W3CDTF">2018-02-09T10:36:11Z</dcterms:created>
  <dcterms:modified xsi:type="dcterms:W3CDTF">2018-09-05T18:41:12Z</dcterms:modified>
</cp:coreProperties>
</file>